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BT WOMEN'S RUGBY/2022 Women's International Results ^0 Scorers/"/>
    </mc:Choice>
  </mc:AlternateContent>
  <xr:revisionPtr revIDLastSave="146" documentId="8_{B1EB85D7-8AB0-4C60-8EC6-1833F71AE2FA}" xr6:coauthVersionLast="47" xr6:coauthVersionMax="47" xr10:uidLastSave="{D66A8425-6844-4CA0-8F80-F306F4A47AC0}"/>
  <bookViews>
    <workbookView xWindow="-109" yWindow="-109" windowWidth="26301" windowHeight="14169" tabRatio="939" activeTab="1" xr2:uid="{00000000-000D-0000-FFFF-FFFF00000000}"/>
  </bookViews>
  <sheets>
    <sheet name="6N" sheetId="22" r:id="rId1"/>
    <sheet name="WC" sheetId="30" r:id="rId2"/>
    <sheet name="AUS" sheetId="25" r:id="rId3"/>
    <sheet name="CAN" sheetId="26" r:id="rId4"/>
    <sheet name="ENG" sheetId="4" r:id="rId5"/>
    <sheet name="FIJ" sheetId="23" r:id="rId6"/>
    <sheet name="FRA" sheetId="6" r:id="rId7"/>
    <sheet name="IRE" sheetId="8" r:id="rId8"/>
    <sheet name="ITA" sheetId="9" r:id="rId9"/>
    <sheet name="JPN" sheetId="24" r:id="rId10"/>
    <sheet name="NZL" sheetId="28" r:id="rId11"/>
    <sheet name="SCO" sheetId="16" r:id="rId12"/>
    <sheet name="RSA" sheetId="29" r:id="rId13"/>
    <sheet name="USA" sheetId="27" r:id="rId14"/>
    <sheet name="WAL" sheetId="21" r:id="rId15"/>
  </sheets>
  <definedNames>
    <definedName name="A_Wallerpts">ITA!#REF!</definedName>
    <definedName name="A_Wallertries">ITA!#REF!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damsWAL6NPTS">WAL!$G$3</definedName>
    <definedName name="AdamsWAL6NTRIES">WAL!$B$3</definedName>
    <definedName name="Addisonsalpts">#REF!</definedName>
    <definedName name="Addisonsaltries">#REF!</definedName>
    <definedName name="Afoaglopts">#REF!</definedName>
    <definedName name="Afoaglotries">#REF!</definedName>
    <definedName name="Agullabatpts">#REF!</definedName>
    <definedName name="Agullabattries">#REF!</definedName>
    <definedName name="Agullapts">#REF!</definedName>
    <definedName name="Agullatries">#REF!</definedName>
    <definedName name="Aholeleiwelshpts">#REF!</definedName>
    <definedName name="Aholeleiwelshtries">#REF!</definedName>
    <definedName name="Aitchisonengpts">ENG!$G$3</definedName>
    <definedName name="Aitchisonengtries">ENG!$B$3</definedName>
    <definedName name="Akiire6npts">IRE!$F$4</definedName>
    <definedName name="Akiiretries">IRE!$B$4</definedName>
    <definedName name="Allenanthonypts">#REF!</definedName>
    <definedName name="Allenanthonytries">#REF!</definedName>
    <definedName name="allinsonliatt">FRA!#REF!</definedName>
    <definedName name="allinsonligoals">FRA!#REF!</definedName>
    <definedName name="Allinsonlipts">FRA!#REF!</definedName>
    <definedName name="Allinsonlitries">FRA!#REF!</definedName>
    <definedName name="Allinsonpts">FRA!#REF!</definedName>
    <definedName name="Allinsontries">FRA!#REF!</definedName>
    <definedName name="Armanddonpts">#REF!</definedName>
    <definedName name="Armanddontries">#REF!</definedName>
    <definedName name="Armitageguytries">FRA!#REF!</definedName>
    <definedName name="Armtageguypts">FRA!#REF!</definedName>
    <definedName name="Arnottexepts">#REF!</definedName>
    <definedName name="Arnottexetries">#REF!</definedName>
    <definedName name="Arscottbatpts">#REF!</definedName>
    <definedName name="Arscottbattries">#REF!</definedName>
    <definedName name="Arscottlukepts">#REF!</definedName>
    <definedName name="Arscottluketries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shtonchrisptscorrect">#REF!</definedName>
    <definedName name="Ashtonchristriescorrect">#REF!</definedName>
    <definedName name="Ashtonpts">#REF!</definedName>
    <definedName name="ashtontries">#REF!</definedName>
    <definedName name="Atkinsonglopts">#REF!</definedName>
    <definedName name="Atkinsonglotries">#REF!</definedName>
    <definedName name="Attwooddavepts">#REF!</definedName>
    <definedName name="Attwooddavetries">#REF!</definedName>
    <definedName name="Attwoodpts">#REF!</definedName>
    <definedName name="attwoodtries">#REF!</definedName>
    <definedName name="Aulikalipts">FRA!#REF!</definedName>
    <definedName name="Aulikalitries">FRA!#REF!</definedName>
    <definedName name="Autagavaiafaatoinapts">ITA!#REF!</definedName>
    <definedName name="Autagavaiafaatoinatries">ITA!#REF!</definedName>
    <definedName name="Auteracnicbatpts">#REF!</definedName>
    <definedName name="auteracnicbat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leFRA6NPTS">FRA!$G$4</definedName>
    <definedName name="BailleFRA6NTRIES">FRA!$B$4</definedName>
    <definedName name="Bainessalpts">#REF!</definedName>
    <definedName name="Bainessaltries">#REF!</definedName>
    <definedName name="Bairdire6npts">IRE!$F$5</definedName>
    <definedName name="Bairdire6ntries">IRE!$B$5</definedName>
    <definedName name="Balmainleipts">#REF!</definedName>
    <definedName name="Balmainleitries">#REF!</definedName>
    <definedName name="banahanbatatt">#REF!</definedName>
    <definedName name="banahanbatgoals">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hanpts">#REF!</definedName>
    <definedName name="Barattinitapts">ITA!$G$4</definedName>
    <definedName name="Barattinitatries">ITA!$B$4</definedName>
    <definedName name="Barbierileipts">#REF!</definedName>
    <definedName name="Barbierileitries">#REF!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newpts">IRE!#REF!</definedName>
    <definedName name="Barnesnewtries">IRE!#REF!</definedName>
    <definedName name="Barringtonrichardpts">#REF!</definedName>
    <definedName name="Barringtonrichardtries">#REF!</definedName>
    <definedName name="Barrittbradpts">#REF!</definedName>
    <definedName name="Barrittbradtries">#REF!</definedName>
    <definedName name="Barrownewpts">IRE!#REF!</definedName>
    <definedName name="Barrownewtries">IRE!#REF!</definedName>
    <definedName name="BashamWAL6NPTS">WAL!$G$5</definedName>
    <definedName name="BashamWAL6NTRIES">WAL!$B$5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#REF!</definedName>
    <definedName name="Batemangregtries">#REF!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scorers">#REF!</definedName>
    <definedName name="Battyrosspts">#REF!</definedName>
    <definedName name="Battyrosstries">#REF!</definedName>
    <definedName name="Bealhamire6npts">IRE!$F$6</definedName>
    <definedName name="Bealhamire6ntries">IRE!$B$6</definedName>
    <definedName name="Beaumontsalpts">#REF!</definedName>
    <definedName name="Beaumontsaltries">#REF!</definedName>
    <definedName name="Beechcharliepts">#REF!</definedName>
    <definedName name="Beechcharlietries">#REF!</definedName>
    <definedName name="Bell_C">#REF!</definedName>
    <definedName name="Bellchrispts">#REF!</definedName>
    <definedName name="Bellchristries">#REF!</definedName>
    <definedName name="bellleiatt">#REF!</definedName>
    <definedName name="Bellleigoals">#REF!</definedName>
    <definedName name="Bellleipts">#REF!</definedName>
    <definedName name="Bellleitries">#REF!</definedName>
    <definedName name="Belltommypts">#REF!</definedName>
    <definedName name="Belltommytries">#REF!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tleyjonnypts">#REF!</definedName>
    <definedName name="Berneng6npts">ENG!$G$6</definedName>
    <definedName name="Berneng6ntries">ENG!$B$6</definedName>
    <definedName name="Bettoniita6npts">ITA!$G$5</definedName>
    <definedName name="Bettoniita6ntries">ITA!$B$5</definedName>
    <definedName name="Bettysampts">#REF!</definedName>
    <definedName name="Bettysamtries">#REF!</definedName>
    <definedName name="bevanwal6natt">WAL!$M$11</definedName>
    <definedName name="Bevanwal6ngls">WAL!$L$4</definedName>
    <definedName name="Bevanwal6nglscorrect">WAL!$L$11</definedName>
    <definedName name="Bezyfra6natt">FRA!#REF!</definedName>
    <definedName name="Bezyfra6ngoals">FRA!#REF!</definedName>
    <definedName name="bezyfraatt">FRA!#REF!</definedName>
    <definedName name="Bezyfragoals">FRA!#REF!</definedName>
    <definedName name="Biggarwal6natt">WAL!$S$18</definedName>
    <definedName name="biggarwal6nattcorrect">WAL!$M$13</definedName>
    <definedName name="Biggarwal6nglscorrect">WAL!$L$13</definedName>
    <definedName name="Biggarwal6ngoals">WAL!$R$12</definedName>
    <definedName name="Biggarwal6npts">WAL!$G$6</definedName>
    <definedName name="Biggarwal6ntries">WAL!$B$6</definedName>
    <definedName name="biggarwalatt">WAL!$M$6</definedName>
    <definedName name="Biggarwalgls">WAL!$L$6</definedName>
    <definedName name="biggarwalpts">WAL!$J$6</definedName>
    <definedName name="biggarwaltries">WAL!$E$6</definedName>
    <definedName name="Biggstompts">#REF!</definedName>
    <definedName name="Biggstomtries">#REF!</definedName>
    <definedName name="Blairnewpts">IRE!#REF!</definedName>
    <definedName name="Blairpts">IRE!#REF!</definedName>
    <definedName name="Blairtries">IRE!#REF!</definedName>
    <definedName name="Bodillyexepts">#REF!</definedName>
    <definedName name="Bodillyexetries">#REF!</definedName>
    <definedName name="boschatt">#REF!</definedName>
    <definedName name="Boschgoals">#REF!</definedName>
    <definedName name="Boschmarcelopts">#REF!</definedName>
    <definedName name="Boschmarcelotries">#REF!</definedName>
    <definedName name="Bothaexepts">#REF!</definedName>
    <definedName name="Bothaexetries">#REF!</definedName>
    <definedName name="Bothamouritzpts">#REF!</definedName>
    <definedName name="Bothamouritztries">#REF!</definedName>
    <definedName name="boticaatt">ENG!#REF!</definedName>
    <definedName name="Boticabentries">ENG!#REF!</definedName>
    <definedName name="boticagoals">ENG!#REF!</definedName>
    <definedName name="Boticaharpts">ENG!#REF!</definedName>
    <definedName name="Boticapts">ENG!#REF!</definedName>
    <definedName name="Boujardfra6npts">FRA!$G$8</definedName>
    <definedName name="Boujardfra6ntries">FRA!$B$8</definedName>
    <definedName name="Boulard_Efra6npts">FRA!$G$9</definedName>
    <definedName name="Boulard_Efra6ntries">FRA!$B$9</definedName>
    <definedName name="Bowdendanpts">#REF!</definedName>
    <definedName name="Bowdendantries">#REF!</definedName>
    <definedName name="Bowdenpts">#REF!</definedName>
    <definedName name="bowdentries">#REF!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leyglopts">#REF!</definedName>
    <definedName name="Braleyglotries">#REF!</definedName>
    <definedName name="Braleyita6npts">ITA!$G$6</definedName>
    <definedName name="Braleyita6ntries">ITA!$B$6</definedName>
    <definedName name="Breenire6natt">IRE!$K$12</definedName>
    <definedName name="Breenire6ngls">IRE!$J$12</definedName>
    <definedName name="Briggsleipts">#REF!</definedName>
    <definedName name="Briggsleitries">#REF!</definedName>
    <definedName name="Bristowleipts">#REF!</definedName>
    <definedName name="Bristowleitries">#REF!</definedName>
    <definedName name="Britspts">#REF!</definedName>
    <definedName name="britstris">#REF!</definedName>
    <definedName name="Brittonwelpts">#REF!</definedName>
    <definedName name="Brittonweltries">#REF!</definedName>
    <definedName name="Brookesnewpts">IRE!#REF!</definedName>
    <definedName name="Brookesnewtries">IRE!#REF!</definedName>
    <definedName name="Brophy_Clewslirpts">FRA!#REF!</definedName>
    <definedName name="Brophy_Clewslirtries">FRA!#REF!</definedName>
    <definedName name="Brown">ENG!#REF!</definedName>
    <definedName name="brown2">ENG!#REF!</definedName>
    <definedName name="Brownedanielpts">#REF!</definedName>
    <definedName name="Brownedanieltries">#REF!</definedName>
    <definedName name="browneng6npts">ENG!$G$9</definedName>
    <definedName name="browneng6ntries">ENG!$B$9</definedName>
    <definedName name="Brownepetepts">#REF!</definedName>
    <definedName name="Brownepetetries">#REF!</definedName>
    <definedName name="brownexepts">#REF!</definedName>
    <definedName name="brownexetries">#REF!</definedName>
    <definedName name="brownkellypts">#REF!</definedName>
    <definedName name="brownkellytries">#REF!</definedName>
    <definedName name="brownmikepts2">ENG!#REF!</definedName>
    <definedName name="brownmikeries">ENG!#REF!</definedName>
    <definedName name="Brownmiketries">ENG!#REF!</definedName>
    <definedName name="brownmiketriescorrect">ENG!#REF!</definedName>
    <definedName name="brownsarpts">#REF!</definedName>
    <definedName name="brownsartries">#REF!</definedName>
    <definedName name="Buchananpts">ENG!#REF!</definedName>
    <definedName name="buchanantries">ENG!#REF!</definedName>
    <definedName name="Buckleysalpts">#REF!</definedName>
    <definedName name="Buckleysaltries">#REF!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nsbillypts">#REF!</definedName>
    <definedName name="Burnsbillytries">#REF!</definedName>
    <definedName name="burnsfreddieatt">#REF!</definedName>
    <definedName name="burnsfreddiegoals">#REF!</definedName>
    <definedName name="Burnsfreddiepts">#REF!</definedName>
    <definedName name="Burnsfreddietries">#REF!</definedName>
    <definedName name="burnsgloatt">#REF!</definedName>
    <definedName name="burnsglogoals">#REF!</definedName>
    <definedName name="Burnsharpts">ENG!#REF!</definedName>
    <definedName name="Burnshartries">ENG!#REF!</definedName>
    <definedName name="burnsleiatt">#REF!</definedName>
    <definedName name="burnsleigoals">#REF!</definedName>
    <definedName name="Burnsleipts">#REF!</definedName>
    <definedName name="Burnsleitries">#REF!</definedName>
    <definedName name="Burrelllutherpts">ITA!#REF!</definedName>
    <definedName name="Burrellpts">ITA!#REF!</definedName>
    <definedName name="Burrelltries">ITA!#REF!</definedName>
    <definedName name="Burrelltriescorrect">ITA!#REF!</definedName>
    <definedName name="caarberyire6ngls">IRE!#REF!</definedName>
    <definedName name="Cahillshanepts">#REF!</definedName>
    <definedName name="Cahillshanetries">#REF!</definedName>
    <definedName name="Caldwellexepts">#REF!</definedName>
    <definedName name="Caldwellexetries">#REF!</definedName>
    <definedName name="Camacholeipts">#REF!</definedName>
    <definedName name="Camacholeitries">#REF!</definedName>
    <definedName name="Cannaita6natt">ITA!#REF!</definedName>
    <definedName name="Cannaita6ngoals">ITA!#REF!</definedName>
    <definedName name="Cannonwaspts">#REF!</definedName>
    <definedName name="Cannonwastries">#REF!</definedName>
    <definedName name="Capuozzoita6npts">ITA!$G$7</definedName>
    <definedName name="Capuozzoita6ntries">ITA!$B$7</definedName>
    <definedName name="carberyire6natt">IRE!#REF!</definedName>
    <definedName name="Carberyire6ngls">IRE!#REF!</definedName>
    <definedName name="Carberyire6npts">IRE!$F$12</definedName>
    <definedName name="Carberyire6ntries">IRE!$B$12</definedName>
    <definedName name="carberyireatt">IRE!#REF!</definedName>
    <definedName name="Carberyiregls">IRE!#REF!</definedName>
    <definedName name="Care" comment="constant">ENG!#REF!</definedName>
    <definedName name="Carepts">ENG!#REF!</definedName>
    <definedName name="caretries" comment="constant">ENG!#REF!</definedName>
    <definedName name="carlisleatt">#REF!</definedName>
    <definedName name="carlislegoals">#REF!</definedName>
    <definedName name="Carlislejoetries">#REF!</definedName>
    <definedName name="Carlislepts">#REF!</definedName>
    <definedName name="Carrick_Smithexepts">#REF!</definedName>
    <definedName name="Carrick_Smithexetries">#REF!</definedName>
    <definedName name="Cassonharpts">ENG!#REF!</definedName>
    <definedName name="Cassonhartries">ENG!#REF!</definedName>
    <definedName name="Catonewpts">IRE!#REF!</definedName>
    <definedName name="Catonoahpts">IRE!#REF!</definedName>
    <definedName name="Catonoahtries">IRE!#REF!</definedName>
    <definedName name="catterickatt">IRE!#REF!</definedName>
    <definedName name="catterickgoals">IRE!#REF!</definedName>
    <definedName name="Cattericknewtries">IRE!#REF!</definedName>
    <definedName name="Catterickpts">IRE!#REF!</definedName>
    <definedName name="Cattericktries">IRE!#REF!</definedName>
    <definedName name="Cattnathanpts">#REF!</definedName>
    <definedName name="Cattnathantries">#REF!</definedName>
    <definedName name="Chisholm_Jharpts">ENG!#REF!</definedName>
    <definedName name="Chisholm_Jhartries">ENG!#REF!</definedName>
    <definedName name="Chisholm_Rharpts">ENG!#REF!</definedName>
    <definedName name="Chisholm_Rhartries">ENG!#REF!</definedName>
    <definedName name="Chudleyexepts">#REF!</definedName>
    <definedName name="Chudleyexetries">#REF!</definedName>
    <definedName name="ciprianiatt">#REF!</definedName>
    <definedName name="Ciprianidannytries">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ttadiniwaspts">#REF!</definedName>
    <definedName name="Cittadiniwastries">#REF!</definedName>
    <definedName name="Clarkcalumpts">ITA!#REF!</definedName>
    <definedName name="Clarkcalumtries">ITA!#REF!</definedName>
    <definedName name="Cleall_Penftries">ENG!$B$13</definedName>
    <definedName name="Cleall_Pengpts">ENG!$G$13</definedName>
    <definedName name="cleggatt">IRE!#REF!</definedName>
    <definedName name="clegggoals">IRE!#REF!</definedName>
    <definedName name="Cleggnewpts">IRE!#REF!</definedName>
    <definedName name="Cleggpts">IRE!#REF!</definedName>
    <definedName name="cleggrorytries">IRE!#REF!</definedName>
    <definedName name="Cliffordharpts">ENG!#REF!</definedName>
    <definedName name="Cliffordhartries">ENG!#REF!</definedName>
    <definedName name="Cliffordjackpts">ENG!#REF!</definedName>
    <definedName name="Cliffordjacktries">ENG!#REF!</definedName>
    <definedName name="Cliffsalpts">#REF!</definedName>
    <definedName name="Cliffsaltries">#REF!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leleipts">#REF!</definedName>
    <definedName name="Coleleitries">#REF!</definedName>
    <definedName name="Collierharpts">ENG!#REF!</definedName>
    <definedName name="Collierhartries">ENG!#REF!</definedName>
    <definedName name="Collinstompts">ITA!#REF!</definedName>
    <definedName name="Collinstomtries">ITA!#REF!</definedName>
    <definedName name="Conanire6npts">IRE!$F$13</definedName>
    <definedName name="Conanire6ntries">IRE!$B$13</definedName>
    <definedName name="Conlonexepts">#REF!</definedName>
    <definedName name="Conlonexetries">#REF!</definedName>
    <definedName name="Conlonjoelpts">#REF!</definedName>
    <definedName name="Conlonjoeltries">#REF!</definedName>
    <definedName name="Conwayire6npts">IRE!$F$15</definedName>
    <definedName name="Conwayire6ntries">IRE!$B$15</definedName>
    <definedName name="cookatt">#REF!</definedName>
    <definedName name="Cookchrispts">#REF!</definedName>
    <definedName name="Cookchristries">#REF!</definedName>
    <definedName name="Cookgoals">#REF!</definedName>
    <definedName name="Cookpts">#REF!</definedName>
    <definedName name="Cooktries">#REF!</definedName>
    <definedName name="Cooper_Woolleypts">#REF!</definedName>
    <definedName name="Cooper_Woolleytries">#REF!</definedName>
    <definedName name="Cooper_Woolleywaspts">#REF!</definedName>
    <definedName name="Cooper_Woolleywastries">#REF!</definedName>
    <definedName name="Cooperwelpts">#REF!</definedName>
    <definedName name="Cooperweltries">#REF!</definedName>
    <definedName name="Corbisieronorpts">ITA!#REF!</definedName>
    <definedName name="Corbisieronortries">ITA!#REF!</definedName>
    <definedName name="Corbisieropts">ITA!#REF!</definedName>
    <definedName name="Corbisierotries">ITA!#REF!</definedName>
    <definedName name="Corkermattpts">#REF!</definedName>
    <definedName name="Corkermatttries">#REF!</definedName>
    <definedName name="Courtlipts">FRA!#REF!</definedName>
    <definedName name="Courtlitries">FRA!#REF!</definedName>
    <definedName name="Cowan_Dickie_Lukepts">#REF!</definedName>
    <definedName name="Cowan_Dickie_Luketries">#REF!</definedName>
    <definedName name="Cowanblairtries">FRA!#REF!</definedName>
    <definedName name="Cowanjimmypts">#REF!</definedName>
    <definedName name="Cowanjimmytries">#REF!</definedName>
    <definedName name="Cowanlipts">FRA!#REF!</definedName>
    <definedName name="Cowanpts">FRA!#REF!</definedName>
    <definedName name="Cowantries">FRA!#REF!</definedName>
    <definedName name="Cowellengpts">ENG!$G$16</definedName>
    <definedName name="Cowellengtries">ENG!$B$16</definedName>
    <definedName name="Coxlipts">FRA!#REF!</definedName>
    <definedName name="Coxlitries">FRA!#REF!</definedName>
    <definedName name="Coxmattpts">#REF!</definedName>
    <definedName name="Coxmatttries">#REF!</definedName>
    <definedName name="Craignorpts">ITA!#REF!</definedName>
    <definedName name="Craignortries">ITA!#REF!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oallsalpts">#REF!</definedName>
    <definedName name="Croallsaltries">#REF!</definedName>
    <definedName name="Croftleipts">#REF!</definedName>
    <definedName name="Croftleitries">#REF!</definedName>
    <definedName name="croninire6natt">IRE!$K$13</definedName>
    <definedName name="Croninire6ngls">IRE!$J$13</definedName>
    <definedName name="Croninire6npts">IRE!$F$9</definedName>
    <definedName name="Croninire6ntries">IRE!$B$9</definedName>
    <definedName name="Crosslipts">FRA!#REF!</definedName>
    <definedName name="Crosslitries">FRA!#REF!</definedName>
    <definedName name="Croweire6npts">IRE!$F$10</definedName>
    <definedName name="Croweire6ntries">IRE!$B$10</definedName>
    <definedName name="Cuetopts">#REF!</definedName>
    <definedName name="Cuetosalpts">#REF!</definedName>
    <definedName name="Cuetosaltries">#REF!</definedName>
    <definedName name="cuetotries">#REF!</definedName>
    <definedName name="Cusitersalpts">#REF!</definedName>
    <definedName name="Cusitersaltries">#REF!</definedName>
    <definedName name="Dalyelliotpts">#REF!</definedName>
    <definedName name="Dalyelliottries">#REF!</definedName>
    <definedName name="Dalyeng6npts">ENG!$G$7</definedName>
    <definedName name="Dalyeng6ntries">ENG!$B$7</definedName>
    <definedName name="dalywasatt">#REF!</definedName>
    <definedName name="dalywasgoals">#REF!</definedName>
    <definedName name="Dalywaspts">#REF!</definedName>
    <definedName name="Danaherdeclanpts">FRA!#REF!</definedName>
    <definedName name="Danaherdeclantries">FRA!#REF!</definedName>
    <definedName name="Dantyfra6npts">FRA!$G$11</definedName>
    <definedName name="Dantyfra6ntries">FRA!$B$11</definedName>
    <definedName name="Dargesco6npts">SCO!$G$7</definedName>
    <definedName name="Dargesco6ntries">SCO!$B$7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ng6npts">ENG!$G$17</definedName>
    <definedName name="Davieseng6ntries">ENG!$B$17</definedName>
    <definedName name="Daviesexepts">#REF!</definedName>
    <definedName name="Daviesexetries">#REF!</definedName>
    <definedName name="Daviesnewpts">IRE!#REF!</definedName>
    <definedName name="Daviesnewtries">IRE!#REF!</definedName>
    <definedName name="davieswelatt">#REF!</definedName>
    <definedName name="davieswelgoals">#REF!</definedName>
    <definedName name="Dawidiukglopts">#REF!</definedName>
    <definedName name="Dawidiukglotries">#REF!</definedName>
    <definedName name="Day_Cnorpts">ITA!#REF!</definedName>
    <definedName name="Day_Cnortries">ITA!#REF!</definedName>
    <definedName name="Dayalexpts">ITA!#REF!</definedName>
    <definedName name="Dayalextries">ITA!#REF!</definedName>
    <definedName name="Daychristianpts">ITA!#REF!</definedName>
    <definedName name="Daychristiantries">ITA!#REF!</definedName>
    <definedName name="Daydompts">#REF!</definedName>
    <definedName name="Daydomtries">#REF!</definedName>
    <definedName name="De_Chavesleipts">#REF!</definedName>
    <definedName name="De_Chavesleitries">#REF!</definedName>
    <definedName name="de_Jagersarpts">#REF!</definedName>
    <definedName name="de_Jagersartries">#REF!</definedName>
    <definedName name="de_Kockneilpts">#REF!</definedName>
    <definedName name="de_Kockneiltries">#REF!</definedName>
    <definedName name="Deaconleipts">#REF!</definedName>
    <definedName name="Deaconleitries">#REF!</definedName>
    <definedName name="Denmangarethpts">ITA!#REF!</definedName>
    <definedName name="Denmangarethtries">ITA!#REF!</definedName>
    <definedName name="devotobatatt">#REF!</definedName>
    <definedName name="devotobatgoals">#REF!</definedName>
    <definedName name="Devotoolliepts">#REF!</definedName>
    <definedName name="Devotoollietries">#REF!</definedName>
    <definedName name="di_Marchisalpts">#REF!</definedName>
    <definedName name="di_Marchisaltries">#REF!</definedName>
    <definedName name="Dickinsonsampts">ITA!#REF!</definedName>
    <definedName name="Dickinsonsamtries">ITA!#REF!</definedName>
    <definedName name="Dicksonglennpts">ITA!#REF!</definedName>
    <definedName name="dicksonglentries">ITA!#REF!</definedName>
    <definedName name="dicksongnoratt">ITA!#REF!</definedName>
    <definedName name="dicksongnorgoals">ITA!#REF!</definedName>
    <definedName name="Dicksonkarlpts">ENG!#REF!</definedName>
    <definedName name="Dicksonleepts">ITA!#REF!</definedName>
    <definedName name="Dicksonleeptscorrect">ITA!#REF!</definedName>
    <definedName name="Dicksonleetries">ITA!#REF!</definedName>
    <definedName name="dicksonleetriescorrect">ITA!#REF!</definedName>
    <definedName name="dicksontries">ENG!#REF!</definedName>
    <definedName name="Dobsonmatthewpts">#REF!</definedName>
    <definedName name="Dobsonmatthewtries">#REF!</definedName>
    <definedName name="Dolannorpts">ITA!#REF!</definedName>
    <definedName name="Dolannortries">ITA!#REF!</definedName>
    <definedName name="dollmanatt">#REF!</definedName>
    <definedName name="Dollmanexepts">#REF!</definedName>
    <definedName name="Dollmanexetries">#REF!</definedName>
    <definedName name="Dollmangoals">#REF!</definedName>
    <definedName name="Dollmanpts">#REF!</definedName>
    <definedName name="dollmantries">#REF!</definedName>
    <definedName name="Dombrandteng6npts">ENG!$G$8</definedName>
    <definedName name="Dombrandteng6ntries">ENG!$B$8</definedName>
    <definedName name="Doran_Jonesharpts">ENG!#REF!</definedName>
    <definedName name="Doran_Joneshartries">ENG!#REF!</definedName>
    <definedName name="Dorrianlipts">FRA!#REF!</definedName>
    <definedName name="Dorrianlitries">FRA!#REF!</definedName>
    <definedName name="dorrianmylesatt">FRA!#REF!</definedName>
    <definedName name="Dorrianmylesgoals">FRA!#REF!</definedName>
    <definedName name="Dorrianpts">FRA!#REF!</definedName>
    <definedName name="Dorriantries">FRA!#REF!</definedName>
    <definedName name="Dowengpts">ENG!$G$18</definedName>
    <definedName name="Dowengtries">ENG!$B$18</definedName>
    <definedName name="Downwelpts">#REF!</definedName>
    <definedName name="Downweltries">#REF!</definedName>
    <definedName name="Dowsonphilnorpts">ITA!#REF!</definedName>
    <definedName name="Dowsonphilptscorrect">ITA!#REF!</definedName>
    <definedName name="Dowsonphiltriescorrect">ITA!#REF!</definedName>
    <definedName name="Dowsonpts">ITA!#REF!</definedName>
    <definedName name="Dowsontries">ITA!#REF!</definedName>
    <definedName name="Drauniniupts">#REF!</definedName>
    <definedName name="Drauniniutries">#REF!</definedName>
    <definedName name="drouinfra6natt">FRA!$M$10</definedName>
    <definedName name="Drouinfra6ngls">FRA!$L$10</definedName>
    <definedName name="Drouinfra6npts">FRA!$G$16</definedName>
    <definedName name="Drouinfra6ntries">FRA!$B$16</definedName>
    <definedName name="du_Plessissarpts">#REF!</definedName>
    <definedName name="du_Plessissartries">#REF!</definedName>
    <definedName name="Dunnbattries">#REF!</definedName>
    <definedName name="Dunntompts">#REF!</definedName>
    <definedName name="DupontFRA6NPTS">FRA!$G$12</definedName>
    <definedName name="DupontFRA6NTRIES">FRA!$B$12</definedName>
    <definedName name="Earlenathanpts">#REF!</definedName>
    <definedName name="Earlenathantries">#REF!</definedName>
    <definedName name="Eastermarkpts">#REF!</definedName>
    <definedName name="Eastermarktries">#REF!</definedName>
    <definedName name="Easternickpts">ENG!#REF!</definedName>
    <definedName name="Easternicktries">ENG!#REF!</definedName>
    <definedName name="Eastersalpts">#REF!</definedName>
    <definedName name="Eastersaltries">#REF!</definedName>
    <definedName name="Eastertries">ENG!#REF!</definedName>
    <definedName name="Eastmondkylepts">#REF!</definedName>
    <definedName name="Eastmondkyletries">#REF!</definedName>
    <definedName name="Edmondshuiapts">#REF!</definedName>
    <definedName name="Edmondshuiatries">#REF!</definedName>
    <definedName name="Elderchrispts">#REF!</definedName>
    <definedName name="Elderchristries">#REF!</definedName>
    <definedName name="Ellerysarpts">#REF!</definedName>
    <definedName name="Ellerysartries">#REF!</definedName>
    <definedName name="Elliottjamiepts">ITA!#REF!</definedName>
    <definedName name="Elliottjamieptscorrect">ITA!#REF!</definedName>
    <definedName name="elliottjamietries">ITA!#REF!</definedName>
    <definedName name="Elliottjamietriescorrect">ITA!#REF!</definedName>
    <definedName name="Ellisgerardpts">FRA!#REF!</definedName>
    <definedName name="Ellisgerardtries">FRA!#REF!</definedName>
    <definedName name="Evansbrynpts">FRA!#REF!</definedName>
    <definedName name="Evansbryntries">FRA!#REF!</definedName>
    <definedName name="Evansgarethpts">#REF!</definedName>
    <definedName name="Evansgarethtries">#REF!</definedName>
    <definedName name="Evansharpts">ENG!#REF!</definedName>
    <definedName name="evansnickatt">ENG!#REF!</definedName>
    <definedName name="evansnickgoals">ENG!#REF!</definedName>
    <definedName name="Evansnickpts">ENG!#REF!</definedName>
    <definedName name="Evansnicktries">ENG!#REF!</definedName>
    <definedName name="Everardmattpts">#REF!</definedName>
    <definedName name="Everardmatttries">#REF!</definedName>
    <definedName name="Everardwaspts">#REF!</definedName>
    <definedName name="Everardwastries">#REF!</definedName>
    <definedName name="Ewersexepts">#REF!</definedName>
    <definedName name="Ewersexetries">#REF!</definedName>
    <definedName name="Ewerspts">#REF!</definedName>
    <definedName name="Ewerstries">#REF!</definedName>
    <definedName name="Fa_asavalumauriepts">ENG!#REF!</definedName>
    <definedName name="Fa_asavalumaurietries">ENG!#REF!</definedName>
    <definedName name="Fa_osilivaalafotipts">#REF!</definedName>
    <definedName name="Fa_osilivaalafotitries">#REF!</definedName>
    <definedName name="Fainga_anukuofapts">#REF!</definedName>
    <definedName name="Fainga_anukuofatries">#REF!</definedName>
    <definedName name="farrellatt">#REF!</definedName>
    <definedName name="Farrelleng6Ngatt">ENG!$P$13</definedName>
    <definedName name="Farrelleng6Ngoals">ENG!$O$13</definedName>
    <definedName name="farrellgoals">#REF!</definedName>
    <definedName name="Farrellowentries">#REF!</definedName>
    <definedName name="Farrellpts">#REF!</definedName>
    <definedName name="Farrellsarpts">#REF!</definedName>
    <definedName name="Fearnsalpts">#REF!</definedName>
    <definedName name="Fearnsaltries">#REF!</definedName>
    <definedName name="Fearnscarlpts">#REF!</definedName>
    <definedName name="Fearnscarltries">#REF!</definedName>
    <definedName name="Fenbylipts">FRA!#REF!</definedName>
    <definedName name="Fenbylitries">FRA!#REF!</definedName>
    <definedName name="Fenbypts">FRA!#REF!</definedName>
    <definedName name="Fenbytries">FRA!#REF!</definedName>
    <definedName name="Fercusarpts">#REF!</definedName>
    <definedName name="Fercusartries">#REF!</definedName>
    <definedName name="Festucciacarlopts">#REF!</definedName>
    <definedName name="Festucciacarlotries">#REF!</definedName>
    <definedName name="Fickoufra6npts">FRA!$G$13</definedName>
    <definedName name="Fickoufra6ntries">FRA!$B$13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sherlipts">FRA!#REF!</definedName>
    <definedName name="Fisherlitries">FRA!#REF!</definedName>
    <definedName name="Fishernorpts">ITA!#REF!</definedName>
    <definedName name="Fishernortries">ITA!#REF!</definedName>
    <definedName name="Fleetwoodeng6npts">ENG!$G$19</definedName>
    <definedName name="Fleetwoodeng6ntries">ENG!$B$19</definedName>
    <definedName name="floodatt">#REF!</definedName>
    <definedName name="floodgoals">#REF!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ITA!#REF!</definedName>
    <definedName name="fodentries">ITA!#REF!</definedName>
    <definedName name="Fonualwepts">#REF!</definedName>
    <definedName name="Fonualwetries">#REF!</definedName>
    <definedName name="Fordeng6ngatt">ENG!$P$14</definedName>
    <definedName name="Fordeng6ngoals">ENG!$O$14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saltries">#REF!</definedName>
    <definedName name="Forlanifra6npts">FRA!$G$22</definedName>
    <definedName name="Forlanifra6ntries">FRA!$B$22</definedName>
    <definedName name="Forsythandy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tuali_Ikahnpts">ITA!#REF!</definedName>
    <definedName name="Fotuali_Ikahntries">ITA!#REF!</definedName>
    <definedName name="Fowlessalpts">#REF!</definedName>
    <definedName name="Fowlessaltries">#REF!</definedName>
    <definedName name="Fowlielipts">FRA!#REF!</definedName>
    <definedName name="Fowlietompts">FRA!#REF!</definedName>
    <definedName name="Fowlietomtries">FRA!#REF!</definedName>
    <definedName name="Francisexepts">#REF!</definedName>
    <definedName name="Francisexetries">#REF!</definedName>
    <definedName name="Franciswal6npts">WAL!$G$16</definedName>
    <definedName name="Franciswal6ntries">WAL!$B$16</definedName>
    <definedName name="franciswalpts">WAL!$J$16</definedName>
    <definedName name="franciswaltries">WAL!$E$16</definedName>
    <definedName name="Frasersarpts">#REF!</definedName>
    <definedName name="Frasersartries">#REF!</definedName>
    <definedName name="Fraserwillpts">#REF!</definedName>
    <definedName name="Fraserwilltries">#REF!</definedName>
    <definedName name="Frynewpts">IRE!#REF!</definedName>
    <definedName name="Frynewtries">IRE!#REF!</definedName>
    <definedName name="Furnonewpts">IRE!#REF!</definedName>
    <definedName name="Furnonewtries">IRE!#REF!</definedName>
    <definedName name="Furynewpts">IRE!#REF!</definedName>
    <definedName name="Furywarrenpts">IRE!#REF!</definedName>
    <definedName name="Furywarrentries">IRE!#REF!</definedName>
    <definedName name="Gaffneysco6npts">SCO!$G$11</definedName>
    <definedName name="Gaffneysco6ntries">SCO!$B$11</definedName>
    <definedName name="gaffneyscointpts">SCO!$H$11</definedName>
    <definedName name="gaffneyscointtries">SCO!$C$11</definedName>
    <definedName name="Galarzaglopts">#REF!</definedName>
    <definedName name="Galarzaglotries">#REF!</definedName>
    <definedName name="Galarzamarianopts">#REF!</definedName>
    <definedName name="Galarzamarianotries">#REF!</definedName>
    <definedName name="garbisiita6natt">ITA!#REF!</definedName>
    <definedName name="Garbisiita6ngls">ITA!#REF!</definedName>
    <definedName name="Garbisiita6npts">ITA!$G$12</definedName>
    <definedName name="garbisiitayearatt">ITA!#REF!</definedName>
    <definedName name="Garbisiitayeargls">ITA!#REF!</definedName>
    <definedName name="Garciaita6natt">ITA!#REF!</definedName>
    <definedName name="Garciaita6ngoals">ITA!#REF!</definedName>
    <definedName name="Garrattbthpts">#REF!</definedName>
    <definedName name="Garrattbthtries">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eorgeeng6npts">ENG!$G$12</definedName>
    <definedName name="Georgeeng6ntries">ENG!$B$12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tries">#REF!</definedName>
    <definedName name="georgetries">#REF!</definedName>
    <definedName name="geraghtyatt">FRA!#REF!</definedName>
    <definedName name="geraghtygoals">FRA!#REF!</definedName>
    <definedName name="Geraghtylipts">FRA!#REF!</definedName>
    <definedName name="Geraghtylitries">FRA!#REF!</definedName>
    <definedName name="Geraghtypts">FRA!#REF!</definedName>
    <definedName name="Geraghtyptscorrect">FRA!#REF!</definedName>
    <definedName name="Geraghtytries">FRA!#REF!</definedName>
    <definedName name="Geraghtytriescorrect">FRA!#REF!</definedName>
    <definedName name="gfordpts">#REF!</definedName>
    <definedName name="Ghiraldinileipts">#REF!</definedName>
    <definedName name="Ghiraldinileitries">#REF!</definedName>
    <definedName name="Gibson_Parkire6npts">IRE!$F$22</definedName>
    <definedName name="Gibson_Parkire6ntries">IRE!$B$22</definedName>
    <definedName name="Gibsonjamiepts">#REF!</definedName>
    <definedName name="Gibsonjamie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dingjackpts">#REF!</definedName>
    <definedName name="Gildingjacktries">#REF!</definedName>
    <definedName name="Gillsarpts">#REF!</definedName>
    <definedName name="Gillsartries">#REF!</definedName>
    <definedName name="Gilsenanlipts">FRA!#REF!</definedName>
    <definedName name="Gilsenanlitries">FRA!#REF!</definedName>
    <definedName name="gloucesterpentriespts">#REF!</definedName>
    <definedName name="GloucesterPenTriestries">#REF!</definedName>
    <definedName name="godmanatt">IRE!#REF!</definedName>
    <definedName name="godmangoals">IRE!#REF!</definedName>
    <definedName name="Godmannewpts">IRE!#REF!</definedName>
    <definedName name="Godmanphiltries">IRE!#REF!</definedName>
    <definedName name="Godmanpts">IRE!#REF!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pts">#REF!</definedName>
    <definedName name="Goodewaspts">#REF!</definedName>
    <definedName name="Goodewastries">#REF!</definedName>
    <definedName name="Goodhuecampts">#REF!</definedName>
    <definedName name="Goodhuecamtries">#REF!</definedName>
    <definedName name="Grahamsco6npts">SCO!$G$10</definedName>
    <definedName name="Grahamsco6ntries">SCO!$B$10</definedName>
    <definedName name="grahamscopts">SCO!$J$10</definedName>
    <definedName name="grahamscotries">SCO!$E$10</definedName>
    <definedName name="graydannyatt">#REF!</definedName>
    <definedName name="graydannygoals">#REF!</definedName>
    <definedName name="Grayharpts">ENG!#REF!</definedName>
    <definedName name="Grayhartries">ENG!#REF!</definedName>
    <definedName name="Graypts">#REF!</definedName>
    <definedName name="Greennewpts">IRE!#REF!</definedName>
    <definedName name="Greennewtries">IRE!#REF!</definedName>
    <definedName name="Griffinlipts">FRA!#REF!</definedName>
    <definedName name="Griffinlitries">FRA!#REF!</definedName>
    <definedName name="Grimoldbyharpts">ENG!#REF!</definedName>
    <definedName name="Grimoldbyhartries">ENG!#REF!</definedName>
    <definedName name="Grovepts">#REF!</definedName>
    <definedName name="Grovetries">#REF!</definedName>
    <definedName name="Guestlipts">FRA!#REF!</definedName>
    <definedName name="Guestlitries">FRA!#REF!</definedName>
    <definedName name="Guesttompts">ENG!#REF!</definedName>
    <definedName name="Guesttomtris">ENG!#REF!</definedName>
    <definedName name="Haganjamiepts">FRA!#REF!</definedName>
    <definedName name="Haganjamietries">FRA!#REF!</definedName>
    <definedName name="Haimonaita6natt">ITA!#REF!</definedName>
    <definedName name="Haimonaita6ngoals">ITA!#REF!</definedName>
    <definedName name="Hala_ufiachrispts">FRA!#REF!</definedName>
    <definedName name="Hala_ufiachristries">FRA!#REF!</definedName>
    <definedName name="Halavataulipts">FRA!#REF!</definedName>
    <definedName name="Halavataulitries">FRA!#REF!</definedName>
    <definedName name="Halavataupts">FRA!#REF!</definedName>
    <definedName name="Halavatautries">FRA!#REF!</definedName>
    <definedName name="Haleymikepts">#REF!</definedName>
    <definedName name="Haleymiketries">#REF!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IRE!#REF!</definedName>
    <definedName name="Hammersleynewtries">IRE!#REF!</definedName>
    <definedName name="Hammonddeanpts">#REF!</definedName>
    <definedName name="Hammonddeantries">#REF!</definedName>
    <definedName name="Hankinmattpts">#REF!</definedName>
    <definedName name="Hankinmatttries">#REF!</definedName>
    <definedName name="Hansenire6npts">IRE!$F$23</definedName>
    <definedName name="Hansenire6nries">IRE!$B$23</definedName>
    <definedName name="HardyWAL6NPTS">WAL!$G$18</definedName>
    <definedName name="HardyWAL6NTRIES">WAL!$B$18</definedName>
    <definedName name="Hargreavessarpts">#REF!</definedName>
    <definedName name="Hargreavessartries">#REF!</definedName>
    <definedName name="Harrieswal6npts">WAL!$G$11</definedName>
    <definedName name="Harrieswal6ntries">WAL!$B$11</definedName>
    <definedName name="Harrislipts">FRA!#REF!</definedName>
    <definedName name="Harrislitries">FRA!#REF!</definedName>
    <definedName name="Harrisnewpts">IRE!#REF!</definedName>
    <definedName name="Harrisnewtries">IRE!#REF!</definedName>
    <definedName name="harrisoneng6natt">ENG!$M$12</definedName>
    <definedName name="Harrisoneng6ngls">ENG!$L$12</definedName>
    <definedName name="Harrisoneng6npts">ENG!$G$22</definedName>
    <definedName name="Harrisoneng6ntries">ENG!$B$22</definedName>
    <definedName name="Harrisonnorpts">ITA!#REF!</definedName>
    <definedName name="Harrisonnortries">ITA!#REF!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SCO6NPTS">SCO!$G$12</definedName>
    <definedName name="HarrisSCO6NTRIES">SCO!$B$12</definedName>
    <definedName name="Hartleypts">ITA!#REF!</definedName>
    <definedName name="Hartleyptscorrect">ITA!#REF!</definedName>
    <definedName name="hartleytries">ITA!#REF!</definedName>
    <definedName name="Hartleytriescorrect">ITA!#REF!</definedName>
    <definedName name="Hartleytriesthisiscorrect">ITA!#REF!</definedName>
    <definedName name="Hartryscorers">ENG!$A$2:$E$45</definedName>
    <definedName name="Haskelljamespts">#REF!</definedName>
    <definedName name="Haskelljamestries">#REF!</definedName>
    <definedName name="Hawkinsnewpts">IRE!#REF!</definedName>
    <definedName name="Hawkinsnewtries">IRE!#REF!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ITA!#REF!</definedName>
    <definedName name="Haywoodmiketries">ITA!#REF!</definedName>
    <definedName name="heathcoteatt">#REF!</definedName>
    <definedName name="Heathcotegoals">#REF!</definedName>
    <definedName name="Heathcotepts">#REF!</definedName>
    <definedName name="Heathcoteptscorrect">#REF!</definedName>
    <definedName name="Helleurnewpts">IRE!#REF!</definedName>
    <definedName name="Helleurnewtris">IRE!#REF!</definedName>
    <definedName name="Helupts">#REF!</definedName>
    <definedName name="Helutries">#REF!</definedName>
    <definedName name="Hennwelshpts">#REF!</definedName>
    <definedName name="Hennwelshtries">#REF!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pburnwaspts">#REF!</definedName>
    <definedName name="Hepburnwastries">#REF!</definedName>
    <definedName name="Hepetamaleipts">#REF!</definedName>
    <definedName name="Hepetamaleitries">#REF!</definedName>
    <definedName name="Hermetfra6npts">FRA!$G$25</definedName>
    <definedName name="Hermetfra6ntries">FRA!$B$25</definedName>
    <definedName name="Hibbardglopts">#REF!</definedName>
    <definedName name="Hibbardglotries">#REF!</definedName>
    <definedName name="Higginsire6npts">IRE!$F$18</definedName>
    <definedName name="Higginsire6ntries">IRE!$B$18</definedName>
    <definedName name="Hillsampts">#REF!</definedName>
    <definedName name="Hillsamtries">#REF!</definedName>
    <definedName name="Hinessalpts">#REF!</definedName>
    <definedName name="Hinessaltries">#REF!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IRE!#REF!</definedName>
    <definedName name="Hodgsonjoelgoals">IRE!#REF!</definedName>
    <definedName name="Hodgsonjoelpts">IRE!#REF!</definedName>
    <definedName name="Hodgsonjoeltries">IRE!#REF!</definedName>
    <definedName name="hodgsonnoratt">ITA!#REF!</definedName>
    <definedName name="hodgsonnorgoals">ITA!#REF!</definedName>
    <definedName name="Hodgsonnorpts">ITA!#REF!</definedName>
    <definedName name="Hodgsonnortries">ITA!#REF!</definedName>
    <definedName name="hodgsonsargoals">ITA!#REF!</definedName>
    <definedName name="Hoggnewpts">IRE!#REF!</definedName>
    <definedName name="Hoggnewtries">IRE!#REF!</definedName>
    <definedName name="hoggsco6natt">SCO!#REF!</definedName>
    <definedName name="Hoggsco6ngls">SCO!#REF!</definedName>
    <definedName name="Hoggsco6npts">SCO!#REF!</definedName>
    <definedName name="Hoggsco6ntries">SCO!#REF!</definedName>
    <definedName name="hoggscoatt">SCO!#REF!</definedName>
    <definedName name="Hoggscogoals">SCO!#REF!</definedName>
    <definedName name="hoggscoyratt">SCO!#REF!</definedName>
    <definedName name="Hoggscoyrgls">SCO!#REF!</definedName>
    <definedName name="Holmesjonahpts">#REF!</definedName>
    <definedName name="Holmesjonahtries">#REF!</definedName>
    <definedName name="Holmeswaspts">#REF!</definedName>
    <definedName name="Holmeswastries">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FRA!#REF!</definedName>
    <definedName name="homerligoals">FRA!#REF!</definedName>
    <definedName name="homertombthatt">#REF!</definedName>
    <definedName name="Homertompts">FRA!#REF!</definedName>
    <definedName name="Homertomtried">FRA!#REF!</definedName>
    <definedName name="hookgloatt">#REF!</definedName>
    <definedName name="hookglogoals">#REF!</definedName>
    <definedName name="Hookglopts">#REF!</definedName>
    <definedName name="Hookglotries">#REF!</definedName>
    <definedName name="hooleyatt">ITA!#REF!</definedName>
    <definedName name="Hooleygoals">ITA!#REF!</definedName>
    <definedName name="Hooleywillpts">ITA!#REF!</definedName>
    <definedName name="Hooleywilltries">ITA!#REF!</definedName>
    <definedName name="Hooperstuartpts">#REF!</definedName>
    <definedName name="Hooperstuarttries">#REF!</definedName>
    <definedName name="Hopperpts">ENG!#REF!</definedName>
    <definedName name="Hoppertries">ENG!#REF!</definedName>
    <definedName name="Horstmannexepts">#REF!</definedName>
    <definedName name="Horstmannexetries">#REF!</definedName>
    <definedName name="Houstonleroypts">#REF!</definedName>
    <definedName name="Houstonleroytries">#REF!</definedName>
    <definedName name="Howetompts">#REF!</definedName>
    <definedName name="Howetomtries">#REF!</definedName>
    <definedName name="Hudsonjamespts">#REF!</definedName>
    <definedName name="hudsonjamestries">#REF!</definedName>
    <definedName name="Hughesexepts">#REF!</definedName>
    <definedName name="Hughesexetries">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FRA!#REF!</definedName>
    <definedName name="humphreysgoals">FRA!#REF!</definedName>
    <definedName name="Humphreysiantries">FRA!#REF!</definedName>
    <definedName name="Humphreyspts">FRA!#REF!</definedName>
    <definedName name="Huntereng6npts">ENG!$G$24</definedName>
    <definedName name="Huntereng6ntries">ENG!$B$24</definedName>
    <definedName name="Infanteengpts">ENG!$G$25</definedName>
    <definedName name="Infanteengtries">ENG!$B$25</definedName>
    <definedName name="Ingallcharliepts">#REF!</definedName>
    <definedName name="Ingallcharlietries">#REF!</definedName>
    <definedName name="Ioanetjsalpts">#REF!</definedName>
    <definedName name="Ioanetjsaltries">#REF!</definedName>
    <definedName name="Isaacsglopts">#REF!</definedName>
    <definedName name="Isaacsglotries">#REF!</definedName>
    <definedName name="Itojesarpts">#REF!</definedName>
    <definedName name="Itojesartries">#REF!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rwasatt">#REF!</definedName>
    <definedName name="jacksonrwasgoals">#REF!</definedName>
    <definedName name="Jacobsbenpts">#REF!</definedName>
    <definedName name="Jacobsbentries">#REF!</definedName>
    <definedName name="Jacobswaspts">#REF!</definedName>
    <definedName name="Jacobswastries">#REF!</definedName>
    <definedName name="Jacquetfra6npts">FRA!$G$26</definedName>
    <definedName name="Jacquetfra6ntries">FRA!$B$26</definedName>
    <definedName name="Jamespaulpts">#REF!</definedName>
    <definedName name="Jamespaultries">#REF!</definedName>
    <definedName name="Jamespts">#REF!</definedName>
    <definedName name="Jamessalpts">#REF!</definedName>
    <definedName name="Jamessaltries">#REF!</definedName>
    <definedName name="jamestries">#REF!</definedName>
    <definedName name="jaminetfra6natt">FRA!#REF!</definedName>
    <definedName name="Jaminetfra6ngls">FRA!#REF!</definedName>
    <definedName name="Jaminetfra6npts">FRA!$G$17</definedName>
    <definedName name="jaminetfrayearatt">FRA!#REF!</definedName>
    <definedName name="Jaminetfrayeargls">FRA!#REF!</definedName>
    <definedName name="Jelonchfra6npts">FRA!$G$18</definedName>
    <definedName name="Jelonchfra6ntries">FRA!$B$18</definedName>
    <definedName name="Jenningsbthpts">#REF!</definedName>
    <definedName name="Jenningsbthtries">#REF!</definedName>
    <definedName name="Jenningssalpts">#REF!</definedName>
    <definedName name="Jenningssaltries">#REF!</definedName>
    <definedName name="Jessexepts">#REF!</definedName>
    <definedName name="Jessexetries">#REF!</definedName>
    <definedName name="Jesspts">#REF!</definedName>
    <definedName name="Jesstries">#REF!</definedName>
    <definedName name="Jewellsebpts">#REF!</definedName>
    <definedName name="Jewellsebtries">#REF!</definedName>
    <definedName name="Johnsonashleypts">#REF!</definedName>
    <definedName name="johnsonashleytries">#REF!</definedName>
    <definedName name="Johnsonexepts">#REF!</definedName>
    <definedName name="Johnsonexetries">#REF!</definedName>
    <definedName name="Johnsonsco6npts">SCO!$G$15</definedName>
    <definedName name="JohnsonSCO6NTRIES">SCO!$B$15</definedName>
    <definedName name="Johnsontompts">#REF!</definedName>
    <definedName name="Johnsontomtries">#REF!</definedName>
    <definedName name="Johnsonwaspts">#REF!</definedName>
    <definedName name="Johnsonwastries">#REF!</definedName>
    <definedName name="Johnstonjamespts">#REF!</definedName>
    <definedName name="Johnstonjamestries">#REF!</definedName>
    <definedName name="jonathanjosephtries">#REF!</definedName>
    <definedName name="Jones_Kwal6npts">WAL!$G$17</definedName>
    <definedName name="Jones_Kwal6ntries">WAL!$B$17</definedName>
    <definedName name="Joneschrispts">#REF!</definedName>
    <definedName name="joneschristries">#REF!</definedName>
    <definedName name="Jonesmarcpts">#REF!</definedName>
    <definedName name="Jonesmarctries">#REF!</definedName>
    <definedName name="Jonessampts">#REF!</definedName>
    <definedName name="Jonessamtries">#REF!</definedName>
    <definedName name="Josephbatpts">#REF!</definedName>
    <definedName name="Josephbattries">#REF!</definedName>
    <definedName name="Josephjonathanptscorrect">#REF!</definedName>
    <definedName name="Josephjonathantriescorrect">#REF!</definedName>
    <definedName name="josephpts">#REF!</definedName>
    <definedName name="Josephpts2">#REF!</definedName>
    <definedName name="Jouberternstpts">#REF!</definedName>
    <definedName name="Jouberternsttries">#REF!</definedName>
    <definedName name="Joyeuxfra6npts">FRA!$G$27</definedName>
    <definedName name="Joyeuxfra6ntries">FRA!$B$27</definedName>
    <definedName name="Jubbtompts">#REF!</definedName>
    <definedName name="Jubbtomtries">#REF!</definedName>
    <definedName name="Kalamafonipts">#REF!</definedName>
    <definedName name="Kalamafonitries">#REF!</definedName>
    <definedName name="Kearlwepts">#REF!</definedName>
    <definedName name="Kearlwetries">#REF!</definedName>
    <definedName name="Keenanire6npts">IRE!$F$27</definedName>
    <definedName name="Keenanire6ntries">IRE!$B$27</definedName>
    <definedName name="Kibirigezachpts">IRE!#REF!</definedName>
    <definedName name="Kibirigezachtries">IRE!#REF!</definedName>
    <definedName name="Kildunneeng6npts">ENG!$G$27</definedName>
    <definedName name="Kildunneeng6ntries">ENG!$B$27</definedName>
    <definedName name="Kirwancarlpts">#REF!</definedName>
    <definedName name="Kirwancarltries">#REF!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nightpts">#REF!</definedName>
    <definedName name="Knighttries">#REF!</definedName>
    <definedName name="Kolo_ofainewpts">IRE!#REF!</definedName>
    <definedName name="Kolo_ofainewtries">IRE!#REF!</definedName>
    <definedName name="konkelintries">SCO!$C$14</definedName>
    <definedName name="Konkelscopts">SCO!$G$14</definedName>
    <definedName name="Konkelscotries">SCO!$B$14</definedName>
    <definedName name="Kruisgeorgepts">#REF!</definedName>
    <definedName name="Kruisgeorgetries">#REF!</definedName>
    <definedName name="Kuleminsalpts">#REF!</definedName>
    <definedName name="Kuleminsaltries">#REF!</definedName>
    <definedName name="Kvesicmattpts">#REF!</definedName>
    <definedName name="Kvesicmatttries">#REF!</definedName>
    <definedName name="Lahiffmaxbthpts">#REF!</definedName>
    <definedName name="lahiffmaxbthtries">#REF!</definedName>
    <definedName name="laidlawgloatt">#REF!</definedName>
    <definedName name="laidlawglogoals">#REF!</definedName>
    <definedName name="Laidlawglopts">#REF!</definedName>
    <definedName name="Laidlawglotries">#REF!</definedName>
    <definedName name="laidlawsco6natt">SCO!#REF!</definedName>
    <definedName name="Laidlawsco6ngoals">SCO!#REF!</definedName>
    <definedName name="lambatt">#REF!</definedName>
    <definedName name="Lambertharpts">ENG!#REF!</definedName>
    <definedName name="Lamberthartries">ENG!#REF!</definedName>
    <definedName name="lambgoals">#REF!</definedName>
    <definedName name="Lambpts">#REF!</definedName>
    <definedName name="Lambptscorrect">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nebatpts">#REF!</definedName>
    <definedName name="Lanebattris">#REF!</definedName>
    <definedName name="Lanerichardpts">#REF!</definedName>
    <definedName name="Lanerichardtries">#REF!</definedName>
    <definedName name="Lanerichardtriescorrect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wesnorpts">ITA!#REF!</definedName>
    <definedName name="Lawesnortries">ITA!#REF!</definedName>
    <definedName name="Lawrencewaspts">#REF!</definedName>
    <definedName name="Lawrencewastries">#REF!</definedName>
    <definedName name="lawscointpts">SCO!$H$15</definedName>
    <definedName name="Lawscoyrgls">SCO!$L$4</definedName>
    <definedName name="lawsocyrAtt">SCO!$M$4</definedName>
    <definedName name="Lawsonnewpts">IRE!#REF!</definedName>
    <definedName name="Lawsonnewtries">IRE!#REF!</definedName>
    <definedName name="Lawsonscottpts">IRE!#REF!</definedName>
    <definedName name="Lawsonscotttries">IRE!#REF!</definedName>
    <definedName name="Leesexepts">#REF!</definedName>
    <definedName name="Leesexetries">#REF!</definedName>
    <definedName name="leicspentriespts">#REF!</definedName>
    <definedName name="leicspentriestries">#REF!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FRA!#REF!</definedName>
    <definedName name="Leolitries">FRA!#REF!</definedName>
    <definedName name="Leotajohnnypts">#REF!</definedName>
    <definedName name="Leotajohnnytries">#REF!</definedName>
    <definedName name="Lewingtonalextries">FRA!#REF!</definedName>
    <definedName name="Lewingtonpts">FRA!#REF!</definedName>
    <definedName name="Lewingtontries">FRA!#REF!</definedName>
    <definedName name="Lewis_">#REF!</definedName>
    <definedName name="Lewis_Fwal6npts">WAL!$G$23</definedName>
    <definedName name="Lewis_Fwal6ntries">WAL!$B$23</definedName>
    <definedName name="Lewis_Robertssalpts">#REF!</definedName>
    <definedName name="Lewis_Robertssaltries">#REF!</definedName>
    <definedName name="Lewisdavepts">#REF!</definedName>
    <definedName name="Lewisdavetries">#REF!</definedName>
    <definedName name="Lewisjamespts">#REF!</definedName>
    <definedName name="Lewisjamestries">#REF!</definedName>
    <definedName name="Lewisrobpts">#REF!</definedName>
    <definedName name="Lewisrobtries">#REF!</definedName>
    <definedName name="Lindsay_Hagueolliepts">ENG!#REF!</definedName>
    <definedName name="Lindsay_Hagueollietries">ENG!#REF!</definedName>
    <definedName name="Lindsaywaspts">#REF!</definedName>
    <definedName name="Lindsaywastries">#REF!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lorensfra6npts">FRA!$G$30</definedName>
    <definedName name="Llorensfra6ntries">FRA!$B$30</definedName>
    <definedName name="Lloydscointpts">SCO!$G$16</definedName>
    <definedName name="lloydscointptscorrect">SCO!$H$16</definedName>
    <definedName name="lloydscointtries">SCO!$C$16</definedName>
    <definedName name="Lloydscpo6ntries">SCO!$B$16</definedName>
    <definedName name="Loamanuleipts">#REF!</definedName>
    <definedName name="Loamanuleitries">#REF!</definedName>
    <definedName name="Lokotuiglopts">#REF!</definedName>
    <definedName name="Lokotuiglotries">#REF!</definedName>
    <definedName name="londonirishpentriespts">FRA!#REF!</definedName>
    <definedName name="londonirishpentriestries">FRA!#REF!</definedName>
    <definedName name="Longbottomsarpts">#REF!</definedName>
    <definedName name="Longbottomsartries">#REF!</definedName>
    <definedName name="Louwfrancoispts">#REF!</definedName>
    <definedName name="Louwfrancoistris">#REF!</definedName>
    <definedName name="Loweharpts">ENG!#REF!</definedName>
    <definedName name="Lowehartries">ENG!#REF!</definedName>
    <definedName name="Loweire6npts">IRE!$F$30</definedName>
    <definedName name="Loweire6ntries">IRE!$B$30</definedName>
    <definedName name="Lowkierantries">FRA!#REF!</definedName>
    <definedName name="Lowlipts">FRA!#REF!</definedName>
    <definedName name="Lowmoraypts">#REF!</definedName>
    <definedName name="Lowmoraytries">#REF!</definedName>
    <definedName name="Lowpts">FRA!#REF!</definedName>
    <definedName name="Lowptscorrect">FRA!#REF!</definedName>
    <definedName name="Lowryire6npts">IRE!$F$31</definedName>
    <definedName name="Lowryire6ntries">IRE!$B$31</definedName>
    <definedName name="lowtries">FRA!#REF!</definedName>
    <definedName name="Lowtriescorrect">FRA!#REF!</definedName>
    <definedName name="Lozadawaspts">#REF!</definedName>
    <definedName name="Lozadawastries">#REF!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ndsalpts">#REF!</definedName>
    <definedName name="Lundsaltries">#REF!</definedName>
    <definedName name="Lutuiglopts">#REF!</definedName>
    <definedName name="Lutuiglotries">#REF!</definedName>
    <definedName name="Ma_afusalesipts">ITA!#REF!</definedName>
    <definedName name="Ma_afusalesitries">ITA!#REF!</definedName>
    <definedName name="MacKenziephilpts">#REF!</definedName>
    <definedName name="MacKenziephiltries">#REF!</definedName>
    <definedName name="MacLeodnewpts">IRE!#REF!</definedName>
    <definedName name="MacLeodnewtries">IRE!#REF!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fipts">#REF!</definedName>
    <definedName name="Mafistevepts">#REF!</definedName>
    <definedName name="Mafistevetriescorrect">#REF!</definedName>
    <definedName name="mafitries">#REF!</definedName>
    <definedName name="Mamukashvilisalpts">#REF!</definedName>
    <definedName name="Mamukashvilisaltries">#REF!</definedName>
    <definedName name="Manoanorpts">ITA!#REF!</definedName>
    <definedName name="Manoanortries">ITA!#REF!</definedName>
    <definedName name="Manoapts">ITA!#REF!</definedName>
    <definedName name="manoatries">ITA!#REF!</definedName>
    <definedName name="Marfoharpts">ENG!#REF!</definedName>
    <definedName name="Marfohartries">ENG!#REF!</definedName>
    <definedName name="Marlerharpts">ENG!#REF!</definedName>
    <definedName name="Marlerpts">ENG!#REF!</definedName>
    <definedName name="marlertries">ENG!#REF!</definedName>
    <definedName name="Masiwaspts">#REF!</definedName>
    <definedName name="Masiwastries">#REF!</definedName>
    <definedName name="Matavesipts">#REF!</definedName>
    <definedName name="matavesitries">#REF!</definedName>
    <definedName name="Materapablopts">#REF!</definedName>
    <definedName name="Materapablotries">#REF!</definedName>
    <definedName name="Matthewsharpts">ENG!#REF!</definedName>
    <definedName name="Matthewshartries">ENG!#REF!</definedName>
    <definedName name="Mayglopts">#REF!</definedName>
    <definedName name="Mayhewlipts">FRA!#REF!</definedName>
    <definedName name="Mayhewlitries">FRA!#REF!</definedName>
    <definedName name="Mayhewrichardpts">IRE!#REF!</definedName>
    <definedName name="Mayhewrichardtries">IRE!#REF!</definedName>
    <definedName name="Maypts">#REF!</definedName>
    <definedName name="Maytompts">#REF!</definedName>
    <definedName name="Maytomtries">#REF!</definedName>
    <definedName name="Maytris">#REF!</definedName>
    <definedName name="McCaffreywelshpts">#REF!</definedName>
    <definedName name="McCaffreywelshtries">#REF!</definedName>
    <definedName name="McCollgloptsd">#REF!</definedName>
    <definedName name="McCollglotries">#REF!</definedName>
    <definedName name="McGuiganexepts">#REF!</definedName>
    <definedName name="McGuiganexetries">#REF!</definedName>
    <definedName name="McGuiganpts">IRE!#REF!</definedName>
    <definedName name="McGuigantries">IRE!#REF!</definedName>
    <definedName name="McIntyresimonpts">#REF!</definedName>
    <definedName name="McIntyresimontries">#REF!</definedName>
    <definedName name="McIntyrewastries">#REF!</definedName>
    <definedName name="McKennaeng6npts">ENG!$G$30</definedName>
    <definedName name="McKennaeng6ntries">ENG!$B$30</definedName>
    <definedName name="McKenziefraserpts">IRE!#REF!</definedName>
    <definedName name="McKenziefrasertries">IRE!#REF!</definedName>
    <definedName name="mcleansalatt">#REF!</definedName>
    <definedName name="mcleansalgoals">#REF!</definedName>
    <definedName name="McLeansalpts">#REF!</definedName>
    <definedName name="McLeansaltries">#REF!</definedName>
    <definedName name="McMillannorpts">ITA!#REF!</definedName>
    <definedName name="McMillannortries">ITA!#REF!</definedName>
    <definedName name="McNallyjoshpts">#REF!</definedName>
    <definedName name="McNallyjoshtries">#REF!</definedName>
    <definedName name="Meakesglopts">#REF!</definedName>
    <definedName name="Meakesglo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noncelloita6npts">ITA!$G$15</definedName>
    <definedName name="Menoncelloita6ntries">ITA!$B$15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ITA!#REF!</definedName>
    <definedName name="Merceynortries">ITA!#REF!</definedName>
    <definedName name="Merrickharpts">ENG!#REF!</definedName>
    <definedName name="Merrickhartries">ENG!#REF!</definedName>
    <definedName name="mieresatt">#REF!</definedName>
    <definedName name="mieresgoals">#REF!</definedName>
    <definedName name="Mierespts">#REF!</definedName>
    <definedName name="mierestries">#REF!</definedName>
    <definedName name="mikepts">ENG!#REF!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sjonathanpts">#REF!</definedName>
    <definedName name="Millsjonathantries">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efana6npts">FRA!$G$19</definedName>
    <definedName name="Moefanafra6ntries">FRA!$B$19</definedName>
    <definedName name="Molenaartimpts">ENG!#REF!</definedName>
    <definedName name="Molenaartimtries">ENG!#REF!</definedName>
    <definedName name="Molenaarwelpts">#REF!</definedName>
    <definedName name="Molenaarweltries">#REF!</definedName>
    <definedName name="Monahanshanepts">#REF!</definedName>
    <definedName name="Monahanshanetries">#REF!</definedName>
    <definedName name="Monyeugopts">ENG!#REF!</definedName>
    <definedName name="Monyeugotries">ENG!#REF!</definedName>
    <definedName name="Mordtnilspts">#REF!</definedName>
    <definedName name="mordtsaratt">#REF!</definedName>
    <definedName name="mordtsargoals">#REF!</definedName>
    <definedName name="Mordtsartries">#REF!</definedName>
    <definedName name="Morganbenpts">#REF!</definedName>
    <definedName name="Morganbentries">#REF!</definedName>
    <definedName name="Moriartyglopts">#REF!</definedName>
    <definedName name="Moriartyglotries">#REF!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waspts">#REF!</definedName>
    <definedName name="Morriswastries">#REF!</definedName>
    <definedName name="Mulchronelipts">FRA!#REF!</definedName>
    <definedName name="Mulchronelitries">FRA!#REF!</definedName>
    <definedName name="Mulchronepts">FRA!#REF!</definedName>
    <definedName name="Mulchronetries">FRA!#REF!</definedName>
    <definedName name="Mulipolaleipts">#REF!</definedName>
    <definedName name="Mulipolalei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mmpts">#REF!</definedName>
    <definedName name="mummtries">#REF!</definedName>
    <definedName name="Murphydanpts">#REF!</definedName>
    <definedName name="Murphydantries">#REF!</definedName>
    <definedName name="Myallpts">#REF!</definedName>
    <definedName name="Myalltries">#REF!</definedName>
    <definedName name="myleratt">ITA!#REF!</definedName>
    <definedName name="mylergoals">ITA!#REF!</definedName>
    <definedName name="Mylernorpts">ITA!#REF!</definedName>
    <definedName name="Mylerpts">ITA!#REF!</definedName>
    <definedName name="Mylerstephentries">ITA!#REF!</definedName>
    <definedName name="Naqelevukisirelipts">#REF!</definedName>
    <definedName name="Naqelevukisirelitries">#REF!</definedName>
    <definedName name="Narrawaylipts">FRA!#REF!</definedName>
    <definedName name="Narrawaylitries">FRA!#REF!</definedName>
    <definedName name="Nelsonnewpts">IRE!#REF!</definedName>
    <definedName name="Nelsonnewtries">IRE!#REF!</definedName>
    <definedName name="nelsonsco6nAtt">SCO!$M$10</definedName>
    <definedName name="Nelsonsco6ngls">SCO!$L$10</definedName>
    <definedName name="Nelsonsco6npts">SCO!$G$25</definedName>
    <definedName name="Nelsonsco6ntries">SCO!$B$25</definedName>
    <definedName name="nelsonscointpts">SCO!$H$25</definedName>
    <definedName name="nelsonscointtries">SCO!$C$25</definedName>
    <definedName name="nelsonscoyratt">SCO!$M$5</definedName>
    <definedName name="Nelsonscoyrgls">SCO!$L$5</definedName>
    <definedName name="newcastlepenaltytriespts">IRE!#REF!</definedName>
    <definedName name="newcastlepenaltytriestries">IRE!#REF!</definedName>
    <definedName name="noakesliatt">FRA!#REF!</definedName>
    <definedName name="noakesligoals">FRA!#REF!</definedName>
    <definedName name="Noakeslipts">FRA!#REF!</definedName>
    <definedName name="Noakeslitries">FRA!#REF!</definedName>
    <definedName name="Noonemichaelpts">#REF!</definedName>
    <definedName name="Noonemichaeltries">#REF!</definedName>
    <definedName name="Northcote_Greenbthpts">#REF!</definedName>
    <definedName name="Northcote_Greenbthtries">#REF!</definedName>
    <definedName name="Northnorpts">ITA!#REF!</definedName>
    <definedName name="Northnortries">ITA!#REF!</definedName>
    <definedName name="Northpts">ITA!#REF!</definedName>
    <definedName name="Northtries">ITA!#REF!</definedName>
    <definedName name="Nowellexepts">#REF!</definedName>
    <definedName name="Nowellexetries">#REF!</definedName>
    <definedName name="ntamackfra6natt">FRA!#REF!</definedName>
    <definedName name="Ntamackfra6ngls">FRA!#REF!</definedName>
    <definedName name="Ntamackfra6npts">FRA!$G$20</definedName>
    <definedName name="ntamackfrayearatt">FRA!#REF!</definedName>
    <definedName name="Ntamackfrayeargls">FRA!#REF!</definedName>
    <definedName name="Nutleybenpts">ITA!#REF!</definedName>
    <definedName name="Nutleybentries">ITA!#REF!</definedName>
    <definedName name="O_Connorire6natt">IRE!$K$14</definedName>
    <definedName name="O_Connorire6ngls">IRE!$J$14</definedName>
    <definedName name="O_Connorjamespts">FRA!#REF!</definedName>
    <definedName name="O_Donnellrobpts">#REF!</definedName>
    <definedName name="O_Donnellrobptscorrect">#REF!</definedName>
    <definedName name="O_Donnellrobtries">#REF!</definedName>
    <definedName name="O_Learylipts">FRA!#REF!</definedName>
    <definedName name="O_Learylitries">FRA!#REF!</definedName>
    <definedName name="O_Mahonyire6npts">IRE!$F$35</definedName>
    <definedName name="O_Mahonyire6ntries">IRE!$B$35</definedName>
    <definedName name="O’Connorire6npts">IRE!$F$33</definedName>
    <definedName name="O’Connorire6ntries">IRE!$B$33</definedName>
    <definedName name="oconnoratt">FRA!#REF!</definedName>
    <definedName name="oconnorgoals">FRA!#REF!</definedName>
    <definedName name="OConnorjamestries">FRA!#REF!</definedName>
    <definedName name="Ojotopsypts">FRA!#REF!</definedName>
    <definedName name="Ojotopsytries">FRA!#REF!</definedName>
    <definedName name="olvernoratt">ITA!#REF!</definedName>
    <definedName name="olvernorgoals">ITA!#REF!</definedName>
    <definedName name="Olvernorpts">ITA!#REF!</definedName>
    <definedName name="Olvernortries">ITA!#REF!</definedName>
    <definedName name="Olvernortriescorrect">ITA!#REF!</definedName>
    <definedName name="Orlandibatpts">#REF!</definedName>
    <definedName name="Orlandibattries">#REF!</definedName>
    <definedName name="Ostrikovandreipts">#REF!</definedName>
    <definedName name="Ostrikovandreitries">#REF!</definedName>
    <definedName name="OStrikovsalpts">#REF!</definedName>
    <definedName name="Ovensjoshpts">#REF!</definedName>
    <definedName name="Ovensjoshtries">#REF!</definedName>
    <definedName name="Packer_Mengpts">ENG!$G$34</definedName>
    <definedName name="Packer_Mengtries">ENG!$B$34</definedName>
    <definedName name="Packmanhowardpts">ITA!#REF!</definedName>
    <definedName name="Packmanhowardtries">ITA!#REF!</definedName>
    <definedName name="PADOVANIITA6NATT">ITA!#REF!</definedName>
    <definedName name="PadovaniITA6NGLS">ITA!#REF!</definedName>
    <definedName name="PadovaniITA6NPTS">ITA!$G$20</definedName>
    <definedName name="PadovaniITA6NTRIES">ITA!$B$20</definedName>
    <definedName name="padovaniitaatt">ITA!#REF!</definedName>
    <definedName name="Padovaniitagoals">ITA!#REF!</definedName>
    <definedName name="padovaniitayratt">ITA!#REF!</definedName>
    <definedName name="Padovaniitayrgls">ITA!#REF!</definedName>
    <definedName name="Paicedavidpts">FRA!#REF!</definedName>
    <definedName name="Paicedavidtries">FRA!#REF!</definedName>
    <definedName name="Palma_Newportpts">#REF!</definedName>
    <definedName name="palmanewporttries">#REF!</definedName>
    <definedName name="Palmerglopts">#REF!</definedName>
    <definedName name="Palmerglotries">#REF!</definedName>
    <definedName name="Palmerpts">#REF!</definedName>
    <definedName name="palmertomtries">#REF!</definedName>
    <definedName name="Parlingleipts">#REF!</definedName>
    <definedName name="Parlingleitries">#REF!</definedName>
    <definedName name="Parrmattpts">FRA!#REF!</definedName>
    <definedName name="Parrmatttries">FRA!#REF!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earceleipts">#REF!</definedName>
    <definedName name="Pearceleitries">#REF!</definedName>
    <definedName name="Peeldwaynepts">#REF!</definedName>
    <definedName name="Peeldwaynetries">#REF!</definedName>
    <definedName name="Peeldwaynetriescorrect">#REF!</definedName>
    <definedName name="Penalty_Triesbath">#REF!</definedName>
    <definedName name="Penalty_Triesexepts">#REF!</definedName>
    <definedName name="Penalty_Triesexetries">#REF!</definedName>
    <definedName name="Penalty_Triesglopts">#REF!</definedName>
    <definedName name="Penalty_Triesglotries">#REF!</definedName>
    <definedName name="Penalty_Triesharpts">ENG!#REF!</definedName>
    <definedName name="Penalty_Trieshartries">ENG!#REF!</definedName>
    <definedName name="Penalty_Triesire6npts">IRE!$F$38</definedName>
    <definedName name="Penalty_Triesire6ntries">IRE!$B$38</definedName>
    <definedName name="Penalty_Trieslwelshpts">#REF!</definedName>
    <definedName name="Penalty_Trieslwelshtries">#REF!</definedName>
    <definedName name="Penalty_Triesnewpts">IRE!#REF!</definedName>
    <definedName name="Penalty_Triesnewtries">IRE!#REF!</definedName>
    <definedName name="Penalty_Triessaintspts">ITA!#REF!</definedName>
    <definedName name="Penalty_Triessaintstries">ITA!#REF!</definedName>
    <definedName name="Penalty_Triessarpts">#REF!</definedName>
    <definedName name="Penalty_Triessartries">#REF!</definedName>
    <definedName name="Penalty_Triessco6npts">SCO!$G$30</definedName>
    <definedName name="Penalty_Triessco6ntries">SCO!$B$30</definedName>
    <definedName name="Penalty_Trieswaspts">#REF!</definedName>
    <definedName name="Penalty_Trieswastries">#REF!</definedName>
    <definedName name="Penaudfra6npts">FRA!$G$24</definedName>
    <definedName name="Penaudfra6ntries">FRA!$B$24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ynewpts">IRE!#REF!</definedName>
    <definedName name="Pennynewtries">IRE!#REF!</definedName>
    <definedName name="Pereniseanthonypt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hibbslipts">FRA!#REF!</definedName>
    <definedName name="Phibbslitries">FRA!#REF!</definedName>
    <definedName name="Phillipsjamespts">#REF!</definedName>
    <definedName name="Phillipsjamestries">#REF!</definedName>
    <definedName name="Phillipswal6npts">WAL!$G$27</definedName>
    <definedName name="Phillipswal6ntries">WAL!$B$27</definedName>
    <definedName name="Pienaarbenpts">#REF!</definedName>
    <definedName name="Pienaarbentries">#REF!</definedName>
    <definedName name="Pisi_Gnorpts">ITA!#REF!</definedName>
    <definedName name="Pisi_Gnortries">ITA!#REF!</definedName>
    <definedName name="Pisigeorgepts">ITA!#REF!</definedName>
    <definedName name="Pisigeorgeptscorrect">ITA!#REF!</definedName>
    <definedName name="pisigeorgetries">ITA!#REF!</definedName>
    <definedName name="Pisigeorgetriescorrect">ITA!#REF!</definedName>
    <definedName name="Pisikenpts">ITA!#REF!</definedName>
    <definedName name="Pisikenptscorrect">ITA!#REF!</definedName>
    <definedName name="pisikentries">ITA!#REF!</definedName>
    <definedName name="Pisikentriescorrect">ITA!#REF!</definedName>
    <definedName name="Plissonfra6natt">FRA!#REF!</definedName>
    <definedName name="Plissonfra6ngoals">FRA!#REF!</definedName>
    <definedName name="plissonfraatt">FRA!#REF!</definedName>
    <definedName name="Plissonfragoals">FRA!#REF!</definedName>
    <definedName name="Powelladampts">IRE!#REF!</definedName>
    <definedName name="Powelladamtries">IRE!#REF!</definedName>
    <definedName name="Powellengpts">ENG!$G$36</definedName>
    <definedName name="Powellengtries">ENG!$B$36</definedName>
    <definedName name="Priestlandwal6natt">WAL!#REF!</definedName>
    <definedName name="Priestlandwal6ngoals">WAL!#REF!</definedName>
    <definedName name="pts">ENG!#REF!</definedName>
    <definedName name="Puafisiglopts">#REF!</definedName>
    <definedName name="Puafisiglotries">#REF!</definedName>
    <definedName name="Purdyglospts">#REF!</definedName>
    <definedName name="Purdyglotries">#REF!</definedName>
    <definedName name="quinspentriespts">ENG!#REF!</definedName>
    <definedName name="quinspentriestries">ENG!#REF!</definedName>
    <definedName name="Ransombenpts">#REF!</definedName>
    <definedName name="Ransombentries">#REF!</definedName>
    <definedName name="Reevesrickypts">#REF!</definedName>
    <definedName name="Reevesrickytries">#REF!</definedName>
    <definedName name="Reynoldsnicpts">#REF!</definedName>
    <definedName name="Reynoldsnictries">#REF!</definedName>
    <definedName name="Reynoldsstefpts">#REF!</definedName>
    <definedName name="Reynoldssteftries">#REF!</definedName>
    <definedName name="rigoniia6natt">ITA!$M$10</definedName>
    <definedName name="Rigoniita6ngls">ITA!$L$10</definedName>
    <definedName name="Rigoniita6npts">ITA!$G$26</definedName>
    <definedName name="Rigoniita6ntries">ITA!$B$26</definedName>
    <definedName name="Rimmercarlpts">#REF!</definedName>
    <definedName name="Rimmercarltries">#REF!</definedName>
    <definedName name="Ringroseire6npts">IRE!$F$39</definedName>
    <definedName name="Ringroseire6ntries">IRE!$B$39</definedName>
    <definedName name="Rizzoleipts">#REF!</definedName>
    <definedName name="Rizzoleitries">#REF!</definedName>
    <definedName name="Robertsmartinpts">#REF!</definedName>
    <definedName name="Robertsmartintruies">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IRE!#REF!</definedName>
    <definedName name="Robinsonnewtries">IRE!#REF!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ENG!#REF!</definedName>
    <definedName name="Robshawhartries">ENG!#REF!</definedName>
    <definedName name="Robsonglopts">#REF!</definedName>
    <definedName name="Robsonglotries">#REF!</definedName>
    <definedName name="Robsonharpts">ENG!#REF!</definedName>
    <definedName name="Robsonhartries">ENG!#REF!</definedName>
    <definedName name="Rogersnewpts">IRE!#REF!</definedName>
    <definedName name="Rogersnewtries">IRE!#REF!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lliesco6npts">SCO!$G$30</definedName>
    <definedName name="Rolliesco6ntries">SCO!$B$30</definedName>
    <definedName name="rolliescointpts">SCO!$H$30</definedName>
    <definedName name="rolliescointtries">SCO!$C$30</definedName>
    <definedName name="Rose6nwaltries">WAL!$B$31</definedName>
    <definedName name="Rosewal6npts">WAL!$G$31</definedName>
    <definedName name="Rossgordonpts">#REF!</definedName>
    <definedName name="Rossgordontries">#REF!</definedName>
    <definedName name="rosswelatt">#REF!</definedName>
    <definedName name="rosswelgoals">#REF!</definedName>
    <definedName name="Rouselipts">FRA!#REF!</definedName>
    <definedName name="Rouselitries">FRA!#REF!</definedName>
    <definedName name="Rousepts">FRA!#REF!</definedName>
    <definedName name="rousetries">FRA!#REF!</definedName>
    <definedName name="Rowanglopts">#REF!</definedName>
    <definedName name="Rowanglotries">#REF!</definedName>
    <definedName name="rowlandeng6natt">ENG!$M$13</definedName>
    <definedName name="Rowlandeng6ngls">ENG!$L$13</definedName>
    <definedName name="Rowlandengpts">ENG!$G$38</definedName>
    <definedName name="Rowlandengtries">ENG!$B$38</definedName>
    <definedName name="Rowlandswaspts">#REF!</definedName>
    <definedName name="Rowlandswastries">#REF!</definedName>
    <definedName name="Rowleypaulpts">#REF!</definedName>
    <definedName name="Rowleypaultries">#REF!</definedName>
    <definedName name="russellsco6natt">SCO!#REF!</definedName>
    <definedName name="Russellsco6ngls">SCO!#REF!</definedName>
    <definedName name="Russellsco6npts">SCO!$G$32</definedName>
    <definedName name="Russellscoyearatt">SCO!#REF!</definedName>
    <definedName name="russellscoyearattcorrect">SCO!#REF!</definedName>
    <definedName name="Russellscoyeargls">SCO!#REF!</definedName>
    <definedName name="Sackeypaulpts">ENG!#REF!</definedName>
    <definedName name="Sackeypaultries">ENG!#REF!</definedName>
    <definedName name="Salepenaltytriespts">#REF!</definedName>
    <definedName name="SalePenaltyTriestries">#REF!</definedName>
    <definedName name="Salvijulianpts">#REF!</definedName>
    <definedName name="Salvijuliantries">#REF!</definedName>
    <definedName name="Sandfordjamespts">#REF!</definedName>
    <definedName name="Sandfordjamestries">#REF!</definedName>
    <definedName name="Sansusfra6npts">FRA!$G$38</definedName>
    <definedName name="Sansusfra6ntries">FRA!$B$38</definedName>
    <definedName name="saracenspenaltytriespts">#REF!</definedName>
    <definedName name="saracenspenaltytriestries">#REF!</definedName>
    <definedName name="Saullandypts">IRE!#REF!</definedName>
    <definedName name="Saullandytries">IRE!#REF!</definedName>
    <definedName name="Saundersjaredsarpts">#REF!</definedName>
    <definedName name="Saundersjaredsartries">#REF!</definedName>
    <definedName name="Saunderssarpts">#REF!</definedName>
    <definedName name="Saunderssartries">#REF!</definedName>
    <definedName name="Savageglopts">#REF!</definedName>
    <definedName name="Savageglotries">#REF!</definedName>
    <definedName name="scarratteng6natt">ENG!$M$14</definedName>
    <definedName name="Scarratteng6ngls">ENG!$L$14</definedName>
    <definedName name="Scarrattengpts">ENG!$G$39</definedName>
    <definedName name="Scarrattengtries">ENG!$B$39</definedName>
    <definedName name="Scaysbrookpts">#REF!</definedName>
    <definedName name="scaysbrooktries">#REF!</definedName>
    <definedName name="Schofieldwelpts">#REF!</definedName>
    <definedName name="Schofieldweltries">#REF!</definedName>
    <definedName name="ScotlandWilliamsonchristianpts">#REF!</definedName>
    <definedName name="ScotlandWilliamsonchristiantries">#REF!</definedName>
    <definedName name="Scottnickpts">#REF!</definedName>
    <definedName name="Scottnicktries">#REF!</definedName>
    <definedName name="Scullyblainepts">#REF!</definedName>
    <definedName name="Scullyblainetries">#REF!</definedName>
    <definedName name="Scullypts">#REF!</definedName>
    <definedName name="scullytries">#REF!</definedName>
    <definedName name="Sextonexepoints">#REF!</definedName>
    <definedName name="Sextonexetries">#REF!</definedName>
    <definedName name="Sextonire6natt">IRE!$Q$25</definedName>
    <definedName name="sextonire6nattcorrect">IRE!#REF!</definedName>
    <definedName name="Sextonire6ngls">IRE!#REF!</definedName>
    <definedName name="Sextonire6ngoals">IRE!$P$18</definedName>
    <definedName name="Sextonire6npts">IRE!#REF!</definedName>
    <definedName name="Sextonire6ntries">IRE!#REF!</definedName>
    <definedName name="sextonireyearatt">IRE!#REF!</definedName>
    <definedName name="Sextonireyeargls">IRE!#REF!</definedName>
    <definedName name="Seymourdavidpts">#REF!</definedName>
    <definedName name="seymourdavidtries">#REF!</definedName>
    <definedName name="Seymourdavidtriescorrect">#REF!</definedName>
    <definedName name="Sharplesglopts">#REF!</definedName>
    <definedName name="Sharplesglotries">#REF!</definedName>
    <definedName name="Sharplespts">#REF!</definedName>
    <definedName name="Sharplestries">#REF!</definedName>
    <definedName name="sheedywal6natt">WAL!#REF!</definedName>
    <definedName name="Sheedywal6ngls">WAL!#REF!</definedName>
    <definedName name="Sheedywal6npts">WAL!$G$32</definedName>
    <definedName name="sheedywalyearatt">WAL!#REF!</definedName>
    <definedName name="Sheedywalyeargls">WAL!#REF!</definedName>
    <definedName name="Sheridaneamonnpts">FRA!#REF!</definedName>
    <definedName name="Sheridaneamonntries">FRA!#REF!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lsgrahambatpts">#REF!</definedName>
    <definedName name="Shiellsgrahambattries">#REF!</definedName>
    <definedName name="Short_Alirpts">FRA!#REF!</definedName>
    <definedName name="Short_Alirtries">FRA!#REF!</definedName>
    <definedName name="Shortjamespts">#REF!</definedName>
    <definedName name="Shortjamestries">#REF!</definedName>
    <definedName name="Shortlandpts">IRE!#REF!</definedName>
    <definedName name="Shortlandryanpts">IRE!#REF!</definedName>
    <definedName name="Shortlandtries">IRE!#REF!</definedName>
    <definedName name="Shortlipts">FRA!#REF!</definedName>
    <definedName name="Shortlitries">FRA!#REF!</definedName>
    <definedName name="Sillariita6ngls">ITA!$L$11</definedName>
    <definedName name="Sillariita6npts">ITA!$G$29</definedName>
    <definedName name="Sillariita6ntries">ITA!$B$29</definedName>
    <definedName name="sillarita6natt">ITA!$M$11</definedName>
    <definedName name="Simmondsexepts">#REF!</definedName>
    <definedName name="Simmondsexetries">#REF!</definedName>
    <definedName name="Simpson_Danieljamespts">#REF!</definedName>
    <definedName name="Simpson_Danieljamestries">#REF!</definedName>
    <definedName name="Simpsonjoepts">#REF!</definedName>
    <definedName name="Simpsonjoetries">#REF!</definedName>
    <definedName name="Simpsonwaspts">#REF!</definedName>
    <definedName name="Simpsonwastries">#REF!</definedName>
    <definedName name="Sincklereng6npts">ENG!$G$29</definedName>
    <definedName name="Sincklereng6ntries">ENG!$B$29</definedName>
    <definedName name="Sincklerharpts">ENG!#REF!</definedName>
    <definedName name="Sincklerhartries">ENG!#REF!</definedName>
    <definedName name="Sinclairjebbpts">FRA!#REF!</definedName>
    <definedName name="Sinclairjebbtries">FRA!#REF!</definedName>
    <definedName name="Singeng6npts">ENG!$G$40</definedName>
    <definedName name="Singeng6ntries">ENG!$B$40</definedName>
    <definedName name="Sinotisinotipts">IRE!#REF!</definedName>
    <definedName name="Sinotisinotitries">IRE!#REF!</definedName>
    <definedName name="Sioleipts">#REF!</definedName>
    <definedName name="Sioleitries">#REF!</definedName>
    <definedName name="Sisidavidpts">#REF!</definedName>
    <definedName name="Sisidavidtries">#REF!</definedName>
    <definedName name="skeldonscointpts">SCO!$H$31</definedName>
    <definedName name="skeldonscointtries">SCO!$C$31</definedName>
    <definedName name="Skeldonscopts">SCO!$G$31</definedName>
    <definedName name="Skeldonscotries">SCO!$B$31</definedName>
    <definedName name="Skinnerexepts">#REF!</definedName>
    <definedName name="Skinnerexetries">#REF!</definedName>
    <definedName name="Skivingtongeorgeli">FRA!#REF!</definedName>
    <definedName name="Skivingtongeorgepts">FRA!#REF!</definedName>
    <definedName name="Skivingtongeorgetries">FRA!#REF!</definedName>
    <definedName name="Skusebatpts">#REF!</definedName>
    <definedName name="Skusebattries">#REF!</definedName>
    <definedName name="sladeatt">#REF!</definedName>
    <definedName name="Sladeexepts">#REF!</definedName>
    <definedName name="Sladeexetries">#REF!</definedName>
    <definedName name="sladegoals">#REF!</definedName>
    <definedName name="Sladehenrypts">#REF!</definedName>
    <definedName name="Slaterpts">#REF!</definedName>
    <definedName name="Slaterptscorrect">#REF!</definedName>
    <definedName name="slatertries">#REF!</definedName>
    <definedName name="Slatertriescorrect">#REF!</definedName>
    <definedName name="Sloanharrypts">ENG!#REF!</definedName>
    <definedName name="Sloanharrytries">ENG!#REF!</definedName>
    <definedName name="smitheng6natt">ENG!#REF!</definedName>
    <definedName name="Smitheng6ngls">ENG!#REF!</definedName>
    <definedName name="Smitheng6npts">ENG!$G$31</definedName>
    <definedName name="Smitheng6ntries">ENG!$B$31</definedName>
    <definedName name="smithengyearatt">ENG!#REF!</definedName>
    <definedName name="Smithengyeargls">ENG!#REF!</definedName>
    <definedName name="smithleeatt">IRE!#REF!</definedName>
    <definedName name="Smithleegoals">IRE!#REF!</definedName>
    <definedName name="Smithleepts">IRE!#REF!</definedName>
    <definedName name="Smithleipts">#REF!</definedName>
    <definedName name="Smithleitries">#REF!</definedName>
    <definedName name="Smithnewtries">IRE!#REF!</definedName>
    <definedName name="Smithsampts">ENG!#REF!</definedName>
    <definedName name="Smithsamtries">ENG!#REF!</definedName>
    <definedName name="Smithsarpts">#REF!</definedName>
    <definedName name="Smithsartries">#REF!</definedName>
    <definedName name="snowillwal6natt">WAL!$M$12</definedName>
    <definedName name="Snowsillwal6ngls">WAL!$L$12</definedName>
    <definedName name="socinonewatt">IRE!#REF!</definedName>
    <definedName name="socinonewgoals">IRE!#REF!</definedName>
    <definedName name="Socinonewpts">IRE!#REF!</definedName>
    <definedName name="Socinonewtries">IRE!#REF!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tedmanolliepts">#REF!</definedName>
    <definedName name="Stedmanollietrie">#REF!</definedName>
    <definedName name="Steelelipts">FRA!#REF!</definedName>
    <definedName name="Steelelitries">FRA!#REF!</definedName>
    <definedName name="Steenson">#REF!</definedName>
    <definedName name="steensonatt">#REF!</definedName>
    <definedName name="steensonexepts">#REF!</definedName>
    <definedName name="steensongarethtries">#REF!</definedName>
    <definedName name="Steensongoals">#REF!</definedName>
    <definedName name="Steensonpts">#REF!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phensonjamespts">#REF!</definedName>
    <definedName name="Stephensonjamestries">#REF!</definedName>
    <definedName name="Stephensontompts">ITA!#REF!</definedName>
    <definedName name="Stephensontomtries">ITA!#REF!</definedName>
    <definedName name="Stevensjimmypts">FRA!#REF!</definedName>
    <definedName name="Stevensjimmytries">FRA!#REF!</definedName>
    <definedName name="Stevenslipts">FRA!#REF!</definedName>
    <definedName name="Stevenslitries">FRA!#REF!</definedName>
    <definedName name="Stevensmattpts">#REF!</definedName>
    <definedName name="stevenstries">#REF!</definedName>
    <definedName name="Stookeglotres">#REF!</definedName>
    <definedName name="Stookeglptd">#REF!</definedName>
    <definedName name="Stookepts">#REF!</definedName>
    <definedName name="Stooketries">#REF!</definedName>
    <definedName name="Strainnewpts">IRE!#REF!</definedName>
    <definedName name="Strainnewtries">IRE!#REF!</definedName>
    <definedName name="Streathertimpts">#REF!</definedName>
    <definedName name="Streathertimtries">#REF!</definedName>
    <definedName name="Strettlepts">#REF!</definedName>
    <definedName name="Strettlesarpts">#REF!</definedName>
    <definedName name="Strettlesartries">#REF!</definedName>
    <definedName name="strettletries">#REF!</definedName>
    <definedName name="Stringerpeterpts">#REF!</definedName>
    <definedName name="Stringerpetertries">#REF!</definedName>
    <definedName name="Stuartharpts">ENG!#REF!</definedName>
    <definedName name="Stuarthartries">ENG!#REF!</definedName>
    <definedName name="Sturgessexepts">#REF!</definedName>
    <definedName name="Sturgessexetries">#REF!</definedName>
    <definedName name="suajeremypts">#REF!</definedName>
    <definedName name="suajeremytries">#REF!</definedName>
    <definedName name="Suniulawaspts">#REF!</definedName>
    <definedName name="Suniulawastries">#REF!</definedName>
    <definedName name="Swainstonwapts">#REF!</definedName>
    <definedName name="Swainstonwastries">#REF!</definedName>
    <definedName name="Sweeneyceripts">#REF!</definedName>
    <definedName name="Sweeneyceritries">#REF!</definedName>
    <definedName name="sweeneyexeatt">#REF!</definedName>
    <definedName name="sweeneyexegoals">#REF!</definedName>
    <definedName name="swielharatt">ENG!#REF!</definedName>
    <definedName name="Swielhargoals">ENG!#REF!</definedName>
    <definedName name="Swielharpts">ENG!#REF!</definedName>
    <definedName name="Swielhartries">ENG!#REF!</definedName>
    <definedName name="Symonsandypts">#REF!</definedName>
    <definedName name="Symonsandytries">#REF!</definedName>
    <definedName name="Tagicakibausailosipts">FRA!#REF!</definedName>
    <definedName name="Tagicakibausailositries">FRA!#REF!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#REF!</definedName>
    <definedName name="Taioneexetries">#REF!</definedName>
    <definedName name="Taitalexpts">IRE!#REF!</definedName>
    <definedName name="Taitalextries">IRE!#REF!</definedName>
    <definedName name="Taitmathewpts">#REF!</definedName>
    <definedName name="Taitmathewtries">#REF!</definedName>
    <definedName name="Taitnewpts">IRE!#REF!</definedName>
    <definedName name="Taitnewtris">IRE!#REF!</definedName>
    <definedName name="Taulavasemisipts">#REF!</definedName>
    <definedName name="Taulavasemisitries">#REF!</definedName>
    <definedName name="Taylorduncanpts">#REF!</definedName>
    <definedName name="Taylorduncantries">#REF!</definedName>
    <definedName name="Taylornathanpts">#REF!</definedName>
    <definedName name="Taylornathantries">#REF!</definedName>
    <definedName name="Taylorsalpts">#REF!</definedName>
    <definedName name="Taylorsaltries">#REF!</definedName>
    <definedName name="Taylorsarpts">#REF!</definedName>
    <definedName name="Taylorsartries">#REF!</definedName>
    <definedName name="Taylorwaspts">#REF!</definedName>
    <definedName name="Taylorwastries">#REF!</definedName>
    <definedName name="test">#REF!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Dglopts">#REF!</definedName>
    <definedName name="Thomas_Dglotriews">#REF!</definedName>
    <definedName name="Thomas_Yglopts">#REF!</definedName>
    <definedName name="Thomas_Yglotries">#REF!</definedName>
    <definedName name="thomasagloatt">#REF!</definedName>
    <definedName name="thomasaglogoals">#REF!</definedName>
    <definedName name="Thomasaledglopts">#REF!</definedName>
    <definedName name="Thomasaledglotries">#REF!</definedName>
    <definedName name="Thomasexepts">#REF!</definedName>
    <definedName name="Thomasexetries">#REF!</definedName>
    <definedName name="Thomashaydnpts">#REF!</definedName>
    <definedName name="Thomashaydntries">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#REF!</definedName>
    <definedName name="Thomasmartyntries">#REF!</definedName>
    <definedName name="Thompsoneng6npts">ENG!$G$41</definedName>
    <definedName name="Thompsoneng6ntries">ENG!$B$41</definedName>
    <definedName name="Thompsonnewpts">IRE!#REF!</definedName>
    <definedName name="Thompsonnewtries">IRE!#REF!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msonsco6ntries">SCO!$B$34</definedName>
    <definedName name="Thomsonscointpts">SCO!$H$34</definedName>
    <definedName name="Thomsonscointtries">SCO!$C$34</definedName>
    <definedName name="Thorleyglopts">#REF!</definedName>
    <definedName name="Thorleyglotries">#REF!</definedName>
    <definedName name="Thornleipts">#REF!</definedName>
    <definedName name="Thornleitries">#REF!</definedName>
    <definedName name="Thorperichardpts">#REF!</definedName>
    <definedName name="Thorperichardtries">#REF!</definedName>
    <definedName name="Tiesinewpts">IRE!#REF!</definedName>
    <definedName name="Tiesinewtries">IRE!#REF!</definedName>
    <definedName name="Tikoirotumaharpts">ENG!#REF!</definedName>
    <definedName name="Tikoirotumahartries">ENG!#REF!</definedName>
    <definedName name="Tincknelljamespts">#REF!</definedName>
    <definedName name="Tincknelljamestries">#REF!</definedName>
    <definedName name="tindallgloatt">#REF!</definedName>
    <definedName name="tindallglogoals">#REF!</definedName>
    <definedName name="Tindallmikepts">#REF!</definedName>
    <definedName name="Tindallmiketries">#REF!</definedName>
    <definedName name="Tipunanewpts">IRE!#REF!</definedName>
    <definedName name="Tipunanewtries">IRE!#REF!</definedName>
    <definedName name="Tomaszczyknewpts">IRE!#REF!</definedName>
    <definedName name="Tomaszczyknewtries">IRE!#REF!</definedName>
    <definedName name="Tomesnewpts">IRE!#REF!</definedName>
    <definedName name="Tomesnewtries">IRE!#REF!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WAL6NPTS">WAL!$G$35</definedName>
    <definedName name="TompkinsWAL6NTRIES">WAL!$B$35</definedName>
    <definedName name="Townsendexepts">#REF!</definedName>
    <definedName name="Townsendexetries">#REF!</definedName>
    <definedName name="Trayfootharpts">ENG!#REF!</definedName>
    <definedName name="Trayfoothartries">ENG!#REF!</definedName>
    <definedName name="Treadwellire6npts">IRE!#REF!</definedName>
    <definedName name="Treadwellire6ntries">IRE!#REF!</definedName>
    <definedName name="tremoulierefra6natt">FRA!$M$11</definedName>
    <definedName name="Tremoulierefra6ngls">FRA!$L$11</definedName>
    <definedName name="Tremoulierefra6npts">FRA!$G$42</definedName>
    <definedName name="Tremoulierefra6ntries">FRA!$B$42</definedName>
    <definedName name="Trevettnathanpts">#REF!</definedName>
    <definedName name="Trevettnathantries">#REF!</definedName>
    <definedName name="Treviranuspts">FRA!#REF!</definedName>
    <definedName name="Treviranustries">FRA!#REF!</definedName>
    <definedName name="Trinderglopts">#REF!</definedName>
    <definedName name="Trinderhenrypts">#REF!</definedName>
    <definedName name="Trinderpts">#REF!</definedName>
    <definedName name="trindertries">#REF!</definedName>
    <definedName name="Trindertriestries">#REF!</definedName>
    <definedName name="Tualanorpts">ITA!#REF!</definedName>
    <definedName name="TualaNORTRIES">ITA!#REF!</definedName>
    <definedName name="Tuilagi__Alesananewgoals">IRE!#REF!</definedName>
    <definedName name="Tuilagi_Alesananewpts">IRE!#REF!</definedName>
    <definedName name="Tuilagi_Alesananewtries">IRE!#REF!</definedName>
    <definedName name="Tuilagi_Aniteleanewpts">IRE!#REF!</definedName>
    <definedName name="Tuilagi_Aniteleanewtries">IRE!#REF!</definedName>
    <definedName name="tuilagialesananewatt">IRE!#REF!</definedName>
    <definedName name="Tuilagimanupts">#REF!</definedName>
    <definedName name="Tuilagimanutries">#REF!</definedName>
    <definedName name="Tuitupousampts">#REF!</definedName>
    <definedName name="Tuitupousamtries">#REF!</definedName>
    <definedName name="Turaniita6npts">ITA!$G$33</definedName>
    <definedName name="Turaniita6ntries">ITA!$B$33</definedName>
    <definedName name="Turner_Hallharpts">ENG!#REF!</definedName>
    <definedName name="Turner_Hallhartries">ENG!#REF!</definedName>
    <definedName name="twelvetreesatt">#REF!</definedName>
    <definedName name="Twelvetreesglopts">#REF!</definedName>
    <definedName name="Twelvetreesglotries">#REF!</definedName>
    <definedName name="twelvetreesgoals">#REF!</definedName>
    <definedName name="Twelvetreespts">#REF!</definedName>
    <definedName name="Twelvetreestries">#REF!</definedName>
    <definedName name="Twomeyharpts">ENG!#REF!</definedName>
    <definedName name="Twomeyhartries">ENG!#REF!</definedName>
    <definedName name="Vainikoloexepts">#REF!</definedName>
    <definedName name="Vainikoloexetries">#REF!</definedName>
    <definedName name="Vainikolopts">#REF!</definedName>
    <definedName name="Vainikolotries">#REF!</definedName>
    <definedName name="van_der_Flierire6npts">IRE!#REF!</definedName>
    <definedName name="van_der_Flierire6ntries">IRE!#REF!</definedName>
    <definedName name="van_der_Merwe6nscopts">SCO!$G$36</definedName>
    <definedName name="van_der_Merwesco6ntries">SCO!$B$36</definedName>
    <definedName name="van_Velzegjpts">ITA!#REF!</definedName>
    <definedName name="van_Velzegjtries">ITA!#REF!</definedName>
    <definedName name="Varndelltompts">#REF!</definedName>
    <definedName name="Varndelltom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nathanpts">#REF!</definedName>
    <definedName name="Vellanathantries">#REF!</definedName>
    <definedName name="Verbakelnorpts">ITA!#REF!</definedName>
    <definedName name="Verbakelnortries">ITA!#REF!</definedName>
    <definedName name="Vickersnewpts">IRE!#REF!</definedName>
    <definedName name="Vickersnewtries">IRE!#REF!</definedName>
    <definedName name="Villierefra6npts">FRA!$G$33</definedName>
    <definedName name="Villierefra6ntries">FRA!$B$33</definedName>
    <definedName name="Vunipola_Bsarpts">#REF!</definedName>
    <definedName name="Vunipola_Bsartrie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Wadepts">#REF!</definedName>
    <definedName name="wadetries">#REF!</definedName>
    <definedName name="Wadewaspts">#REF!</definedName>
    <definedName name="Wadewastries">#REF!</definedName>
    <definedName name="Waldoucknorpts">ITA!#REF!</definedName>
    <definedName name="Waldoucknortries">ITA!#REF!</definedName>
    <definedName name="Waldromexepts">#REF!</definedName>
    <definedName name="Waldromexetries">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charliehqtries">ENG!#REF!</definedName>
    <definedName name="Walkercharliepts">ENG!#REF!</definedName>
    <definedName name="Wallacelukepts">ENG!#REF!</definedName>
    <definedName name="Wallaceluketries">ENG!#REF!</definedName>
    <definedName name="wallerethanpts">ITA!#REF!</definedName>
    <definedName name="wallerethantries">ITA!#REF!</definedName>
    <definedName name="Warddavepts">ENG!#REF!</definedName>
    <definedName name="warddavetries">ENG!#REF!</definedName>
    <definedName name="Wardeng6npts">ENG!$G$43</definedName>
    <definedName name="Wardeng6ntries">ENG!$B$43</definedName>
    <definedName name="warwickatt">#REF!</definedName>
    <definedName name="warwickgoals">#REF!</definedName>
    <definedName name="Warwickpaulpts">#REF!</definedName>
    <definedName name="Warwickpaultries">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sellsco6npts">SCO!$G$35</definedName>
    <definedName name="Wassellsco6ntries">SCO!$B$35</definedName>
    <definedName name="Waterswelpts">#REF!</definedName>
    <definedName name="Watersweltries">#REF!</definedName>
    <definedName name="Watsonanthonypts">#REF!</definedName>
    <definedName name="Watsonanthonytries">#REF!</definedName>
    <definedName name="Webberpts">#REF!</definedName>
    <definedName name="Webberrobtries">#REF!</definedName>
    <definedName name="Webbertries">#REF!</definedName>
    <definedName name="Weepuwelshpts">#REF!</definedName>
    <definedName name="Weepuwelshtries">#REF!</definedName>
    <definedName name="Weirsco6natt">SCO!#REF!</definedName>
    <definedName name="Weirsco6ngoals">SCO!#REF!</definedName>
    <definedName name="Welchdamianpts">#REF!</definedName>
    <definedName name="Welchdamiantries">#REF!</definedName>
    <definedName name="Welchexepts">#REF!</definedName>
    <definedName name="Welchexetries">#REF!</definedName>
    <definedName name="Welchwillpts">IRE!#REF!</definedName>
    <definedName name="Welchwilltries">IRE!#REF!</definedName>
    <definedName name="Wellsharrypts">#REF!</definedName>
    <definedName name="Wellsharrytries">#REF!</definedName>
    <definedName name="Westbenpts">#REF!</definedName>
    <definedName name="Westbentries">#REF!</definedName>
    <definedName name="Whiteexepts">#REF!</definedName>
    <definedName name="Whiteheadchrispts">#REF!</definedName>
    <definedName name="Whiteheadchristries">#REF!</definedName>
    <definedName name="Whitepts">#REF!</definedName>
    <definedName name="Whitesco6npts">SCO!#REF!</definedName>
    <definedName name="Whitesco6ntries">SCO!#REF!</definedName>
    <definedName name="whitetrie">#REF!</definedName>
    <definedName name="Whittenpts">#REF!</definedName>
    <definedName name="Whittentrie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kinswal6natt">WAL!$M$13</definedName>
    <definedName name="Wilkinswal6ngls">WAL!$L$13</definedName>
    <definedName name="Wilkinswal6npts">WAL!$G$39</definedName>
    <definedName name="Wilkinswal6ntries">WAL!$B$39</definedName>
    <definedName name="Willemsefra6npts">FRA!$G$34</definedName>
    <definedName name="Willemsefra6ntries">FRA!$B$34</definedName>
    <definedName name="Williamsbenpts">#REF!</definedName>
    <definedName name="Williamsbentries">#REF!</definedName>
    <definedName name="Williamsleipts">#REF!</definedName>
    <definedName name="Williamsleitries">#REF!</definedName>
    <definedName name="Williamsmikepts">#REF!</definedName>
    <definedName name="Williamsmiketries">#REF!</definedName>
    <definedName name="Williamsmiketriescorrect">#REF!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tompts">ENG!#REF!</definedName>
    <definedName name="Williamstomtries">ENG!#REF!</definedName>
    <definedName name="Williamstomtriescorrect">ENG!#REF!</definedName>
    <definedName name="Wilson_Markpts">IRE!#REF!</definedName>
    <definedName name="Wilson_Marktries">IRE!#REF!</definedName>
    <definedName name="Wilson_Snewpts">IRE!#REF!</definedName>
    <definedName name="Wilson_Snewtries">IRE!#REF!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ITA!#REF!</definedName>
    <definedName name="Wilsonjamesgoals">ITA!#REF!</definedName>
    <definedName name="Wilsonjamesnorpts">ITA!#REF!</definedName>
    <definedName name="Wilsonjamespts">ITA!#REF!</definedName>
    <definedName name="Wilsonjamesptscorrect">ITA!#REF!</definedName>
    <definedName name="wilsonjamestries">ITA!#REF!</definedName>
    <definedName name="Wilsonjamestriescorrect">ITA!#REF!</definedName>
    <definedName name="Wittynewpts">IRE!#REF!</definedName>
    <definedName name="Wittynewtries">IRE!#REF!</definedName>
    <definedName name="Woodburnollypts">#REF!</definedName>
    <definedName name="woodburnollytries">#REF!</definedName>
    <definedName name="Woodglopts">#REF!</definedName>
    <definedName name="Woodglotries">#REF!</definedName>
    <definedName name="Woodtompts">ITA!#REF!</definedName>
    <definedName name="Woodtomptscorrect">ITA!#REF!</definedName>
    <definedName name="woodtomtries">ITA!#REF!</definedName>
    <definedName name="Woodtomtriescorrect">ITA!#REF!</definedName>
    <definedName name="worcesterpentries">#REF!</definedName>
    <definedName name="worcesterpentriespts">#REF!</definedName>
    <definedName name="Wrayjacksonpts">#REF!</definedName>
    <definedName name="Wrayjacksontries">#REF!</definedName>
    <definedName name="Wrightsco6npts">SCO!$G$38</definedName>
    <definedName name="Wrightsco6ntries">SCO!$B$38</definedName>
    <definedName name="wrightscointpts">SCO!$H$38</definedName>
    <definedName name="wrightscointrtries">SCO!$C$38</definedName>
    <definedName name="Wylespts">#REF!</definedName>
    <definedName name="wylestries">#REF!</definedName>
    <definedName name="Yappwaspts">#REF!</definedName>
    <definedName name="Yappwastries">#REF!</definedName>
    <definedName name="Yardeharpts">ENG!#REF!</definedName>
    <definedName name="Yardehartries">ENG!#REF!</definedName>
    <definedName name="Yardepts">FRA!#REF!</definedName>
    <definedName name="yardetries">FRA!#REF!</definedName>
    <definedName name="Yeandlejackpts">#REF!</definedName>
    <definedName name="Yeandlejacktries">#REF!</definedName>
    <definedName name="Yorkchrispts">IRE!#REF!</definedName>
    <definedName name="Yorkchristries">IRE!#REF!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4" l="1"/>
  <c r="H91" i="4"/>
  <c r="G91" i="4"/>
  <c r="J91" i="4" s="1"/>
  <c r="D91" i="4"/>
  <c r="C91" i="4"/>
  <c r="B91" i="4"/>
  <c r="E91" i="4" s="1"/>
  <c r="J90" i="4"/>
  <c r="E90" i="4"/>
  <c r="J64" i="4"/>
  <c r="E63" i="4"/>
  <c r="J89" i="4"/>
  <c r="E89" i="4"/>
  <c r="J53" i="4"/>
  <c r="E51" i="4"/>
  <c r="J78" i="4"/>
  <c r="E77" i="4"/>
  <c r="J49" i="4"/>
  <c r="E59" i="4"/>
  <c r="J52" i="4"/>
  <c r="E62" i="4"/>
  <c r="J79" i="4"/>
  <c r="E88" i="4"/>
  <c r="J61" i="4"/>
  <c r="E58" i="4"/>
  <c r="J72" i="4"/>
  <c r="E76" i="4"/>
  <c r="J50" i="4"/>
  <c r="E49" i="4"/>
  <c r="J88" i="4"/>
  <c r="E87" i="4"/>
  <c r="J87" i="4"/>
  <c r="E86" i="4"/>
  <c r="J86" i="4"/>
  <c r="E85" i="4"/>
  <c r="J71" i="4"/>
  <c r="E70" i="4"/>
  <c r="J63" i="4"/>
  <c r="E61" i="4"/>
  <c r="J55" i="4"/>
  <c r="E52" i="4"/>
  <c r="J60" i="4"/>
  <c r="E57" i="4"/>
  <c r="J70" i="4"/>
  <c r="E69" i="4"/>
  <c r="J69" i="4"/>
  <c r="E68" i="4"/>
  <c r="J68" i="4"/>
  <c r="E67" i="4"/>
  <c r="J77" i="4"/>
  <c r="E75" i="4"/>
  <c r="J54" i="4"/>
  <c r="E84" i="4"/>
  <c r="J85" i="4"/>
  <c r="E83" i="4"/>
  <c r="J66" i="4"/>
  <c r="E65" i="4"/>
  <c r="J76" i="4"/>
  <c r="E74" i="4"/>
  <c r="J59" i="4"/>
  <c r="E56" i="4"/>
  <c r="J58" i="4"/>
  <c r="E55" i="4"/>
  <c r="J75" i="4"/>
  <c r="E73" i="4"/>
  <c r="J84" i="4"/>
  <c r="E82" i="4"/>
  <c r="J51" i="4"/>
  <c r="E50" i="4"/>
  <c r="J57" i="4"/>
  <c r="E54" i="4"/>
  <c r="J83" i="4"/>
  <c r="E81" i="4"/>
  <c r="J82" i="4"/>
  <c r="E80" i="4"/>
  <c r="J81" i="4"/>
  <c r="E79" i="4"/>
  <c r="J65" i="4"/>
  <c r="E64" i="4"/>
  <c r="J62" i="4"/>
  <c r="E60" i="4"/>
  <c r="J67" i="4"/>
  <c r="E66" i="4"/>
  <c r="J56" i="4"/>
  <c r="E53" i="4"/>
  <c r="J80" i="4"/>
  <c r="E78" i="4"/>
  <c r="J74" i="4"/>
  <c r="E72" i="4"/>
  <c r="J73" i="4"/>
  <c r="E71" i="4"/>
  <c r="K30" i="30"/>
  <c r="K29" i="30"/>
  <c r="K24" i="30"/>
  <c r="K23" i="30"/>
  <c r="K22" i="30"/>
  <c r="K25" i="30"/>
  <c r="K21" i="30"/>
  <c r="K28" i="30"/>
  <c r="K27" i="30"/>
  <c r="K26" i="30"/>
  <c r="K20" i="30"/>
  <c r="K19" i="30"/>
  <c r="K18" i="30"/>
  <c r="K17" i="30"/>
  <c r="K15" i="30"/>
  <c r="K16" i="30"/>
  <c r="K14" i="30"/>
  <c r="K13" i="30"/>
  <c r="K12" i="30"/>
  <c r="K11" i="30"/>
  <c r="K10" i="30"/>
  <c r="K9" i="30"/>
  <c r="K8" i="30"/>
  <c r="K7" i="30"/>
  <c r="K6" i="30"/>
  <c r="K5" i="30"/>
  <c r="K4" i="30"/>
  <c r="I73" i="28"/>
  <c r="H73" i="28"/>
  <c r="G73" i="28"/>
  <c r="D73" i="28"/>
  <c r="C73" i="28"/>
  <c r="B73" i="28"/>
  <c r="E73" i="28" s="1"/>
  <c r="J40" i="28"/>
  <c r="E40" i="28"/>
  <c r="J52" i="28"/>
  <c r="E52" i="28"/>
  <c r="J44" i="28"/>
  <c r="E42" i="28"/>
  <c r="J54" i="28"/>
  <c r="E72" i="28"/>
  <c r="J72" i="28"/>
  <c r="E71" i="28"/>
  <c r="J65" i="28"/>
  <c r="E64" i="28"/>
  <c r="J71" i="28"/>
  <c r="E70" i="28"/>
  <c r="J60" i="28"/>
  <c r="E59" i="28"/>
  <c r="J51" i="28"/>
  <c r="E51" i="28"/>
  <c r="J59" i="28"/>
  <c r="E58" i="28"/>
  <c r="J64" i="28"/>
  <c r="E63" i="28"/>
  <c r="J63" i="28"/>
  <c r="E62" i="28"/>
  <c r="J50" i="28"/>
  <c r="E50" i="28"/>
  <c r="J58" i="28"/>
  <c r="E57" i="28"/>
  <c r="J62" i="28"/>
  <c r="E61" i="28"/>
  <c r="J70" i="28"/>
  <c r="E69" i="28"/>
  <c r="J61" i="28"/>
  <c r="E60" i="28"/>
  <c r="J69" i="28"/>
  <c r="E68" i="28"/>
  <c r="J43" i="28"/>
  <c r="E41" i="28"/>
  <c r="J68" i="28"/>
  <c r="E67" i="28"/>
  <c r="J41" i="28"/>
  <c r="E45" i="28"/>
  <c r="J49" i="28"/>
  <c r="E49" i="28"/>
  <c r="J53" i="28"/>
  <c r="E53" i="28"/>
  <c r="J48" i="28"/>
  <c r="E48" i="28"/>
  <c r="J57" i="28"/>
  <c r="E56" i="28"/>
  <c r="J42" i="28"/>
  <c r="E44" i="28"/>
  <c r="J67" i="28"/>
  <c r="E66" i="28"/>
  <c r="J46" i="28"/>
  <c r="E43" i="28"/>
  <c r="J45" i="28"/>
  <c r="E47" i="28"/>
  <c r="J47" i="28"/>
  <c r="E46" i="28"/>
  <c r="J56" i="28"/>
  <c r="E55" i="28"/>
  <c r="J55" i="28"/>
  <c r="E54" i="28"/>
  <c r="J66" i="28"/>
  <c r="E65" i="28"/>
  <c r="J73" i="28" l="1"/>
  <c r="I90" i="6" l="1"/>
  <c r="H90" i="6"/>
  <c r="G90" i="6"/>
  <c r="J90" i="6" s="1"/>
  <c r="D90" i="6"/>
  <c r="C90" i="6"/>
  <c r="B90" i="6"/>
  <c r="E90" i="6" s="1"/>
  <c r="J64" i="6"/>
  <c r="J62" i="6"/>
  <c r="E61" i="6"/>
  <c r="J50" i="6"/>
  <c r="E60" i="6"/>
  <c r="J89" i="6"/>
  <c r="E89" i="6"/>
  <c r="J72" i="6"/>
  <c r="E70" i="6"/>
  <c r="J88" i="6"/>
  <c r="E88" i="6"/>
  <c r="J49" i="6"/>
  <c r="E48" i="6"/>
  <c r="E87" i="6"/>
  <c r="J87" i="6"/>
  <c r="E86" i="6"/>
  <c r="J86" i="6"/>
  <c r="E85" i="6"/>
  <c r="J71" i="6"/>
  <c r="E69" i="6"/>
  <c r="J53" i="6"/>
  <c r="E51" i="6"/>
  <c r="J57" i="6"/>
  <c r="E55" i="6"/>
  <c r="J85" i="6"/>
  <c r="E84" i="6"/>
  <c r="J56" i="6"/>
  <c r="E54" i="6"/>
  <c r="J84" i="6"/>
  <c r="E83" i="6"/>
  <c r="J83" i="6"/>
  <c r="E82" i="6"/>
  <c r="J70" i="6"/>
  <c r="E68" i="6"/>
  <c r="J61" i="6"/>
  <c r="E59" i="6"/>
  <c r="J60" i="6"/>
  <c r="E58" i="6"/>
  <c r="J59" i="6"/>
  <c r="E57" i="6"/>
  <c r="J52" i="6"/>
  <c r="E50" i="6"/>
  <c r="J69" i="6"/>
  <c r="E67" i="6"/>
  <c r="J58" i="6"/>
  <c r="E56" i="6"/>
  <c r="J68" i="6"/>
  <c r="E66" i="6"/>
  <c r="J82" i="6"/>
  <c r="E81" i="6"/>
  <c r="J55" i="6"/>
  <c r="E53" i="6"/>
  <c r="J81" i="6"/>
  <c r="E80" i="6"/>
  <c r="J48" i="6"/>
  <c r="E65" i="6"/>
  <c r="J67" i="6"/>
  <c r="E64" i="6"/>
  <c r="J80" i="6"/>
  <c r="E79" i="6"/>
  <c r="J54" i="6"/>
  <c r="E52" i="6"/>
  <c r="J79" i="6"/>
  <c r="E78" i="6"/>
  <c r="J78" i="6"/>
  <c r="E77" i="6"/>
  <c r="J66" i="6"/>
  <c r="E63" i="6"/>
  <c r="J51" i="6"/>
  <c r="E49" i="6"/>
  <c r="J65" i="6"/>
  <c r="E62" i="6"/>
  <c r="J77" i="6"/>
  <c r="E76" i="6"/>
  <c r="J76" i="6"/>
  <c r="E75" i="6"/>
  <c r="J75" i="6"/>
  <c r="E74" i="6"/>
  <c r="J74" i="6"/>
  <c r="E73" i="6"/>
  <c r="J73" i="6"/>
  <c r="E72" i="6"/>
  <c r="I45" i="6"/>
  <c r="H45" i="6"/>
  <c r="G45" i="6"/>
  <c r="D45" i="6"/>
  <c r="C45" i="6"/>
  <c r="B45" i="6"/>
  <c r="L7" i="24"/>
  <c r="J21" i="23"/>
  <c r="E21" i="23"/>
  <c r="J28" i="16"/>
  <c r="E28" i="16"/>
  <c r="E37" i="6"/>
  <c r="E45" i="6" l="1"/>
  <c r="J45" i="6"/>
  <c r="J44" i="6"/>
  <c r="J8" i="23"/>
  <c r="E8" i="23"/>
  <c r="J23" i="6"/>
  <c r="E23" i="6"/>
  <c r="I81" i="21"/>
  <c r="D81" i="21"/>
  <c r="I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3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E3" i="21"/>
  <c r="D40" i="21"/>
  <c r="I85" i="27"/>
  <c r="D85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J9" i="27"/>
  <c r="J8" i="27"/>
  <c r="J7" i="27"/>
  <c r="J6" i="27"/>
  <c r="J5" i="27"/>
  <c r="J4" i="27"/>
  <c r="J3" i="27"/>
  <c r="I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D42" i="27"/>
  <c r="I75" i="29"/>
  <c r="H75" i="29"/>
  <c r="G75" i="29"/>
  <c r="J75" i="29" s="1"/>
  <c r="D75" i="29"/>
  <c r="C75" i="29"/>
  <c r="B75" i="29"/>
  <c r="J74" i="29"/>
  <c r="E74" i="29"/>
  <c r="J73" i="29"/>
  <c r="E73" i="29"/>
  <c r="J49" i="29"/>
  <c r="E48" i="29"/>
  <c r="J45" i="29"/>
  <c r="E44" i="29"/>
  <c r="J72" i="29"/>
  <c r="E72" i="29"/>
  <c r="J71" i="29"/>
  <c r="E71" i="29"/>
  <c r="J70" i="29"/>
  <c r="E70" i="29"/>
  <c r="J69" i="29"/>
  <c r="E69" i="29"/>
  <c r="J56" i="29"/>
  <c r="E55" i="29"/>
  <c r="J68" i="29"/>
  <c r="E68" i="29"/>
  <c r="J48" i="29"/>
  <c r="E47" i="29"/>
  <c r="J44" i="29"/>
  <c r="E43" i="29"/>
  <c r="J43" i="29"/>
  <c r="E42" i="29"/>
  <c r="J67" i="29"/>
  <c r="E67" i="29"/>
  <c r="J66" i="29"/>
  <c r="E66" i="29"/>
  <c r="J47" i="29"/>
  <c r="E46" i="29"/>
  <c r="J65" i="29"/>
  <c r="E65" i="29"/>
  <c r="J54" i="29"/>
  <c r="E52" i="29"/>
  <c r="J42" i="29"/>
  <c r="E41" i="29"/>
  <c r="J64" i="29"/>
  <c r="E64" i="29"/>
  <c r="J46" i="29"/>
  <c r="E45" i="29"/>
  <c r="J63" i="29"/>
  <c r="E63" i="29"/>
  <c r="J50" i="29"/>
  <c r="E54" i="29"/>
  <c r="J53" i="29"/>
  <c r="E62" i="29"/>
  <c r="J41" i="29"/>
  <c r="E51" i="29"/>
  <c r="J62" i="29"/>
  <c r="E61" i="29"/>
  <c r="J61" i="29"/>
  <c r="E60" i="29"/>
  <c r="J55" i="29"/>
  <c r="E53" i="29"/>
  <c r="J60" i="29"/>
  <c r="E59" i="29"/>
  <c r="J52" i="29"/>
  <c r="E50" i="29"/>
  <c r="J59" i="29"/>
  <c r="E58" i="29"/>
  <c r="J58" i="29"/>
  <c r="E57" i="29"/>
  <c r="J51" i="29"/>
  <c r="E49" i="29"/>
  <c r="J57" i="29"/>
  <c r="E56" i="29"/>
  <c r="J29" i="29"/>
  <c r="E29" i="29"/>
  <c r="J32" i="29"/>
  <c r="E32" i="29"/>
  <c r="J31" i="29"/>
  <c r="E31" i="29"/>
  <c r="J23" i="29"/>
  <c r="E23" i="29"/>
  <c r="J22" i="29"/>
  <c r="E22" i="29"/>
  <c r="J20" i="29"/>
  <c r="E20" i="29"/>
  <c r="J17" i="29"/>
  <c r="E17" i="29"/>
  <c r="J12" i="29"/>
  <c r="E12" i="29"/>
  <c r="J13" i="29"/>
  <c r="E13" i="29"/>
  <c r="J11" i="29"/>
  <c r="E11" i="29"/>
  <c r="E75" i="29" l="1"/>
  <c r="I40" i="16"/>
  <c r="J39" i="16"/>
  <c r="J38" i="16"/>
  <c r="J37" i="16"/>
  <c r="J36" i="16"/>
  <c r="J35" i="16"/>
  <c r="J34" i="16"/>
  <c r="J33" i="16"/>
  <c r="J32" i="16"/>
  <c r="J31" i="16"/>
  <c r="J30" i="16"/>
  <c r="J29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J4" i="16"/>
  <c r="J3" i="16"/>
  <c r="E39" i="16"/>
  <c r="E38" i="16"/>
  <c r="E37" i="16"/>
  <c r="E36" i="16"/>
  <c r="E35" i="16"/>
  <c r="E34" i="16"/>
  <c r="E33" i="16"/>
  <c r="E32" i="16"/>
  <c r="E31" i="16"/>
  <c r="E30" i="16"/>
  <c r="E29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D40" i="16"/>
  <c r="J31" i="28"/>
  <c r="J30" i="28"/>
  <c r="E31" i="28"/>
  <c r="E30" i="28"/>
  <c r="J22" i="28"/>
  <c r="J21" i="28"/>
  <c r="E22" i="28"/>
  <c r="E21" i="28"/>
  <c r="J5" i="28"/>
  <c r="E5" i="28"/>
  <c r="I36" i="28"/>
  <c r="J35" i="28"/>
  <c r="J34" i="28"/>
  <c r="J33" i="28"/>
  <c r="J32" i="28"/>
  <c r="J29" i="28"/>
  <c r="J28" i="28"/>
  <c r="J27" i="28"/>
  <c r="J26" i="28"/>
  <c r="J25" i="28"/>
  <c r="J24" i="28"/>
  <c r="J23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J4" i="28"/>
  <c r="J3" i="28"/>
  <c r="E35" i="28"/>
  <c r="E34" i="28"/>
  <c r="E33" i="28"/>
  <c r="E32" i="28"/>
  <c r="E29" i="28"/>
  <c r="E28" i="28"/>
  <c r="E27" i="28"/>
  <c r="E26" i="28"/>
  <c r="E25" i="28"/>
  <c r="E24" i="28"/>
  <c r="E23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4" i="28"/>
  <c r="E3" i="28"/>
  <c r="D36" i="28"/>
  <c r="G73" i="24"/>
  <c r="F73" i="24"/>
  <c r="H73" i="24" s="1"/>
  <c r="C73" i="24"/>
  <c r="B73" i="24"/>
  <c r="H72" i="24"/>
  <c r="D72" i="24"/>
  <c r="H54" i="24"/>
  <c r="D71" i="24"/>
  <c r="H71" i="24"/>
  <c r="D70" i="24"/>
  <c r="H70" i="24"/>
  <c r="D69" i="24"/>
  <c r="H69" i="24"/>
  <c r="D68" i="24"/>
  <c r="H56" i="24"/>
  <c r="D54" i="24"/>
  <c r="H53" i="24"/>
  <c r="D52" i="24"/>
  <c r="H68" i="24"/>
  <c r="D67" i="24"/>
  <c r="H67" i="24"/>
  <c r="D66" i="24"/>
  <c r="H41" i="24"/>
  <c r="D40" i="24"/>
  <c r="H52" i="24"/>
  <c r="D51" i="24"/>
  <c r="H47" i="24"/>
  <c r="D50" i="24"/>
  <c r="H40" i="24"/>
  <c r="D41" i="24"/>
  <c r="H66" i="24"/>
  <c r="D65" i="24"/>
  <c r="H44" i="24"/>
  <c r="D44" i="24"/>
  <c r="H65" i="24"/>
  <c r="D64" i="24"/>
  <c r="H64" i="24"/>
  <c r="D63" i="24"/>
  <c r="H51" i="24"/>
  <c r="D49" i="24"/>
  <c r="H63" i="24"/>
  <c r="D62" i="24"/>
  <c r="H43" i="24"/>
  <c r="D42" i="24"/>
  <c r="H50" i="24"/>
  <c r="D48" i="24"/>
  <c r="H62" i="24"/>
  <c r="D61" i="24"/>
  <c r="H61" i="24"/>
  <c r="D60" i="24"/>
  <c r="H60" i="24"/>
  <c r="D59" i="24"/>
  <c r="H59" i="24"/>
  <c r="D58" i="24"/>
  <c r="H49" i="24"/>
  <c r="D47" i="24"/>
  <c r="H58" i="24"/>
  <c r="D57" i="24"/>
  <c r="H42" i="24"/>
  <c r="D43" i="24"/>
  <c r="H45" i="24"/>
  <c r="D45" i="24"/>
  <c r="H46" i="24"/>
  <c r="D56" i="24"/>
  <c r="H48" i="24"/>
  <c r="D46" i="24"/>
  <c r="H57" i="24"/>
  <c r="D55" i="24"/>
  <c r="H55" i="24"/>
  <c r="D53" i="24"/>
  <c r="H28" i="24"/>
  <c r="D28" i="24"/>
  <c r="D73" i="24" l="1"/>
  <c r="H22" i="24" l="1"/>
  <c r="D22" i="24"/>
  <c r="H20" i="24"/>
  <c r="H19" i="24"/>
  <c r="D20" i="24"/>
  <c r="D19" i="24"/>
  <c r="H17" i="24"/>
  <c r="D17" i="24"/>
  <c r="H14" i="24"/>
  <c r="H13" i="24"/>
  <c r="H12" i="24"/>
  <c r="H11" i="24"/>
  <c r="D14" i="24"/>
  <c r="D13" i="24"/>
  <c r="D12" i="24"/>
  <c r="D11" i="24"/>
  <c r="H9" i="24"/>
  <c r="D9" i="24"/>
  <c r="I75" i="9"/>
  <c r="D75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I37" i="9"/>
  <c r="D37" i="9"/>
  <c r="J43" i="6"/>
  <c r="J42" i="6"/>
  <c r="J41" i="6"/>
  <c r="J40" i="6"/>
  <c r="J39" i="6"/>
  <c r="J38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E43" i="6"/>
  <c r="E42" i="6"/>
  <c r="E41" i="6"/>
  <c r="E40" i="6"/>
  <c r="E39" i="6"/>
  <c r="E38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7" i="23"/>
  <c r="J6" i="23"/>
  <c r="J4" i="23"/>
  <c r="J3" i="23"/>
  <c r="I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7" i="23"/>
  <c r="E6" i="23"/>
  <c r="E4" i="23"/>
  <c r="E3" i="23"/>
  <c r="D37" i="23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I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D45" i="4"/>
  <c r="I73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J10" i="26"/>
  <c r="J9" i="26"/>
  <c r="J8" i="26"/>
  <c r="J7" i="26"/>
  <c r="J6" i="26"/>
  <c r="J5" i="26"/>
  <c r="J4" i="26"/>
  <c r="J3" i="26"/>
  <c r="I36" i="26"/>
  <c r="D73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D36" i="26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J9" i="25"/>
  <c r="J8" i="25"/>
  <c r="J7" i="25"/>
  <c r="J6" i="25"/>
  <c r="J5" i="25"/>
  <c r="J4" i="25"/>
  <c r="J3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N10" i="25"/>
  <c r="I71" i="25"/>
  <c r="I35" i="25"/>
  <c r="D71" i="25"/>
  <c r="D35" i="25"/>
  <c r="H71" i="25"/>
  <c r="G71" i="25"/>
  <c r="C71" i="25"/>
  <c r="B71" i="25"/>
  <c r="J70" i="25"/>
  <c r="E70" i="25"/>
  <c r="J49" i="25"/>
  <c r="E48" i="25"/>
  <c r="J69" i="25"/>
  <c r="E69" i="25"/>
  <c r="J68" i="25"/>
  <c r="E68" i="25"/>
  <c r="J67" i="25"/>
  <c r="E67" i="25"/>
  <c r="J66" i="25"/>
  <c r="E66" i="25"/>
  <c r="J43" i="25"/>
  <c r="E47" i="25"/>
  <c r="J48" i="25"/>
  <c r="E46" i="25"/>
  <c r="J42" i="25"/>
  <c r="E41" i="25"/>
  <c r="J47" i="25"/>
  <c r="E45" i="25"/>
  <c r="J65" i="25"/>
  <c r="E65" i="25"/>
  <c r="J64" i="25"/>
  <c r="E64" i="25"/>
  <c r="J63" i="25"/>
  <c r="E63" i="25"/>
  <c r="J62" i="25"/>
  <c r="E62" i="25"/>
  <c r="J46" i="25"/>
  <c r="E44" i="25"/>
  <c r="J61" i="25"/>
  <c r="E61" i="25"/>
  <c r="J53" i="25"/>
  <c r="E60" i="25"/>
  <c r="J60" i="25"/>
  <c r="E59" i="25"/>
  <c r="J59" i="25"/>
  <c r="E58" i="25"/>
  <c r="J58" i="25"/>
  <c r="E57" i="25"/>
  <c r="J57" i="25"/>
  <c r="E56" i="25"/>
  <c r="J56" i="25"/>
  <c r="E55" i="25"/>
  <c r="J55" i="25"/>
  <c r="E54" i="25"/>
  <c r="J45" i="25"/>
  <c r="E43" i="25"/>
  <c r="J44" i="25"/>
  <c r="E42" i="25"/>
  <c r="E53" i="25"/>
  <c r="J54" i="25"/>
  <c r="E52" i="25"/>
  <c r="F120" i="30" l="1"/>
  <c r="C107" i="30"/>
  <c r="O4" i="24" l="1"/>
  <c r="N7" i="28"/>
  <c r="Q6" i="28"/>
  <c r="H73" i="26"/>
  <c r="G73" i="26"/>
  <c r="C73" i="26"/>
  <c r="B73" i="26"/>
  <c r="J72" i="26"/>
  <c r="E72" i="26"/>
  <c r="J71" i="26"/>
  <c r="E71" i="26"/>
  <c r="J70" i="26"/>
  <c r="E70" i="26"/>
  <c r="J69" i="26"/>
  <c r="E69" i="26"/>
  <c r="J68" i="26"/>
  <c r="E68" i="26"/>
  <c r="J67" i="26"/>
  <c r="E67" i="26"/>
  <c r="J66" i="26"/>
  <c r="E66" i="26"/>
  <c r="J57" i="26"/>
  <c r="E57" i="26"/>
  <c r="J48" i="26"/>
  <c r="E46" i="26"/>
  <c r="J65" i="26"/>
  <c r="E65" i="26"/>
  <c r="J64" i="26"/>
  <c r="E64" i="26"/>
  <c r="J63" i="26"/>
  <c r="E63" i="26"/>
  <c r="J56" i="26"/>
  <c r="E56" i="26"/>
  <c r="J62" i="26"/>
  <c r="E62" i="26"/>
  <c r="J47" i="26"/>
  <c r="E45" i="26"/>
  <c r="J61" i="26"/>
  <c r="E61" i="26"/>
  <c r="J55" i="26"/>
  <c r="E55" i="26"/>
  <c r="J54" i="26"/>
  <c r="E54" i="26"/>
  <c r="E53" i="26"/>
  <c r="J46" i="26"/>
  <c r="E44" i="26"/>
  <c r="J53" i="26"/>
  <c r="E52" i="26"/>
  <c r="J60" i="26"/>
  <c r="E60" i="26"/>
  <c r="H75" i="23"/>
  <c r="G75" i="23"/>
  <c r="C75" i="23"/>
  <c r="B75" i="23"/>
  <c r="J46" i="23"/>
  <c r="E45" i="23"/>
  <c r="J68" i="23"/>
  <c r="E67" i="23"/>
  <c r="J43" i="23"/>
  <c r="J52" i="23"/>
  <c r="E49" i="23"/>
  <c r="J67" i="23"/>
  <c r="E66" i="23"/>
  <c r="J66" i="23"/>
  <c r="E65" i="23"/>
  <c r="J65" i="23"/>
  <c r="E64" i="23"/>
  <c r="J64" i="23"/>
  <c r="E63" i="23"/>
  <c r="J51" i="23"/>
  <c r="E48" i="23"/>
  <c r="J48" i="23"/>
  <c r="E62" i="23"/>
  <c r="J63" i="23"/>
  <c r="E61" i="23"/>
  <c r="J50" i="23"/>
  <c r="E47" i="23"/>
  <c r="J62" i="23"/>
  <c r="E60" i="23"/>
  <c r="J61" i="23"/>
  <c r="E59" i="23"/>
  <c r="J41" i="23"/>
  <c r="E41" i="23"/>
  <c r="J74" i="23"/>
  <c r="E73" i="23"/>
  <c r="J60" i="23"/>
  <c r="E58" i="23"/>
  <c r="J55" i="23"/>
  <c r="E57" i="23"/>
  <c r="J45" i="23"/>
  <c r="E44" i="23"/>
  <c r="J73" i="23"/>
  <c r="E72" i="23"/>
  <c r="J72" i="23"/>
  <c r="E71" i="23"/>
  <c r="J71" i="23"/>
  <c r="E70" i="23"/>
  <c r="J44" i="23"/>
  <c r="E43" i="23"/>
  <c r="J49" i="23"/>
  <c r="E46" i="23"/>
  <c r="J70" i="23"/>
  <c r="E69" i="23"/>
  <c r="J59" i="23"/>
  <c r="E54" i="23"/>
  <c r="J58" i="23"/>
  <c r="E53" i="23"/>
  <c r="J57" i="23"/>
  <c r="E52" i="23"/>
  <c r="H81" i="21"/>
  <c r="G81" i="21"/>
  <c r="C81" i="21"/>
  <c r="B81" i="21"/>
  <c r="J54" i="21"/>
  <c r="E80" i="21"/>
  <c r="J80" i="21"/>
  <c r="E79" i="21"/>
  <c r="J79" i="21"/>
  <c r="E78" i="21"/>
  <c r="J78" i="21"/>
  <c r="E77" i="21"/>
  <c r="J77" i="21"/>
  <c r="E76" i="21"/>
  <c r="E75" i="21"/>
  <c r="J76" i="21"/>
  <c r="E74" i="21"/>
  <c r="J75" i="21"/>
  <c r="E73" i="21"/>
  <c r="J49" i="21"/>
  <c r="E47" i="21"/>
  <c r="J74" i="21"/>
  <c r="E72" i="21"/>
  <c r="J73" i="21"/>
  <c r="E71" i="21"/>
  <c r="J48" i="21"/>
  <c r="E46" i="21"/>
  <c r="J72" i="21"/>
  <c r="E70" i="21"/>
  <c r="J71" i="21"/>
  <c r="E69" i="21"/>
  <c r="J70" i="21"/>
  <c r="E68" i="21"/>
  <c r="J69" i="21"/>
  <c r="E67" i="21"/>
  <c r="J68" i="21"/>
  <c r="E66" i="21"/>
  <c r="J67" i="21"/>
  <c r="E65" i="21"/>
  <c r="J66" i="21"/>
  <c r="E64" i="21"/>
  <c r="J53" i="21"/>
  <c r="E52" i="21"/>
  <c r="J47" i="21"/>
  <c r="E45" i="21"/>
  <c r="J52" i="21"/>
  <c r="E51" i="21"/>
  <c r="J65" i="21"/>
  <c r="E63" i="21"/>
  <c r="J64" i="21"/>
  <c r="E62" i="21"/>
  <c r="J63" i="21"/>
  <c r="E61" i="21"/>
  <c r="J62" i="21"/>
  <c r="E60" i="21"/>
  <c r="J61" i="21"/>
  <c r="E59" i="21"/>
  <c r="J60" i="21"/>
  <c r="E58" i="21"/>
  <c r="J59" i="21"/>
  <c r="E57" i="21"/>
  <c r="J58" i="21"/>
  <c r="E56" i="21"/>
  <c r="J51" i="21"/>
  <c r="E50" i="21"/>
  <c r="J57" i="21"/>
  <c r="E55" i="21"/>
  <c r="E49" i="21"/>
  <c r="N5" i="4"/>
  <c r="Q4" i="9"/>
  <c r="H75" i="9"/>
  <c r="G75" i="9"/>
  <c r="C75" i="9"/>
  <c r="B75" i="9"/>
  <c r="J74" i="9"/>
  <c r="E74" i="9"/>
  <c r="J73" i="9"/>
  <c r="E73" i="9"/>
  <c r="J72" i="9"/>
  <c r="E72" i="9"/>
  <c r="J50" i="9"/>
  <c r="E49" i="9"/>
  <c r="J49" i="9"/>
  <c r="E48" i="9"/>
  <c r="J71" i="9"/>
  <c r="E71" i="9"/>
  <c r="J70" i="9"/>
  <c r="E70" i="9"/>
  <c r="E47" i="9"/>
  <c r="J69" i="9"/>
  <c r="E69" i="9"/>
  <c r="J68" i="9"/>
  <c r="E68" i="9"/>
  <c r="J47" i="9"/>
  <c r="E67" i="9"/>
  <c r="J67" i="9"/>
  <c r="E66" i="9"/>
  <c r="J66" i="9"/>
  <c r="E65" i="9"/>
  <c r="J65" i="9"/>
  <c r="E64" i="9"/>
  <c r="J64" i="9"/>
  <c r="E63" i="9"/>
  <c r="J63" i="9"/>
  <c r="E62" i="9"/>
  <c r="J62" i="9"/>
  <c r="E61" i="9"/>
  <c r="J61" i="9"/>
  <c r="E60" i="9"/>
  <c r="J60" i="9"/>
  <c r="E59" i="9"/>
  <c r="J59" i="9"/>
  <c r="E58" i="9"/>
  <c r="J58" i="9"/>
  <c r="E57" i="9"/>
  <c r="J57" i="9"/>
  <c r="E56" i="9"/>
  <c r="J56" i="9"/>
  <c r="E55" i="9"/>
  <c r="J55" i="9"/>
  <c r="E54" i="9"/>
  <c r="J54" i="9"/>
  <c r="E53" i="9"/>
  <c r="J53" i="9"/>
  <c r="E52" i="9"/>
  <c r="J52" i="9"/>
  <c r="E51" i="9"/>
  <c r="J48" i="9"/>
  <c r="E46" i="9"/>
  <c r="J51" i="9"/>
  <c r="E50" i="9"/>
  <c r="H85" i="27"/>
  <c r="G85" i="27"/>
  <c r="C85" i="27"/>
  <c r="B85" i="27"/>
  <c r="J84" i="27"/>
  <c r="E84" i="27"/>
  <c r="J83" i="27"/>
  <c r="E83" i="27"/>
  <c r="J82" i="27"/>
  <c r="E82" i="27"/>
  <c r="J81" i="27"/>
  <c r="E81" i="27"/>
  <c r="J80" i="27"/>
  <c r="E80" i="27"/>
  <c r="J47" i="27"/>
  <c r="E46" i="27"/>
  <c r="J79" i="27"/>
  <c r="E79" i="27"/>
  <c r="J52" i="27"/>
  <c r="E51" i="27"/>
  <c r="J78" i="27"/>
  <c r="E78" i="27"/>
  <c r="J77" i="27"/>
  <c r="E77" i="27"/>
  <c r="J76" i="27"/>
  <c r="E76" i="27"/>
  <c r="J75" i="27"/>
  <c r="E75" i="27"/>
  <c r="J74" i="27"/>
  <c r="E74" i="27"/>
  <c r="J73" i="27"/>
  <c r="E73" i="27"/>
  <c r="J72" i="27"/>
  <c r="E72" i="27"/>
  <c r="J71" i="27"/>
  <c r="E71" i="27"/>
  <c r="J70" i="27"/>
  <c r="E70" i="27"/>
  <c r="J69" i="27"/>
  <c r="E69" i="27"/>
  <c r="J68" i="27"/>
  <c r="E68" i="27"/>
  <c r="J67" i="27"/>
  <c r="E67" i="27"/>
  <c r="J66" i="27"/>
  <c r="E66" i="27"/>
  <c r="J65" i="27"/>
  <c r="E65" i="27"/>
  <c r="J64" i="27"/>
  <c r="E64" i="27"/>
  <c r="J63" i="27"/>
  <c r="E63" i="27"/>
  <c r="J53" i="27"/>
  <c r="E62" i="27"/>
  <c r="J62" i="27"/>
  <c r="E61" i="27"/>
  <c r="J61" i="27"/>
  <c r="E60" i="27"/>
  <c r="J60" i="27"/>
  <c r="E59" i="27"/>
  <c r="E58" i="27"/>
  <c r="J59" i="27"/>
  <c r="E57" i="27"/>
  <c r="J58" i="27"/>
  <c r="E56" i="27"/>
  <c r="J57" i="27"/>
  <c r="E55" i="27"/>
  <c r="J81" i="21" l="1"/>
  <c r="E81" i="21"/>
  <c r="E75" i="9"/>
  <c r="Q5" i="21" l="1"/>
  <c r="Q4" i="27"/>
  <c r="N7" i="27"/>
  <c r="H81" i="16"/>
  <c r="G81" i="16"/>
  <c r="C81" i="16"/>
  <c r="B81" i="16"/>
  <c r="J80" i="16"/>
  <c r="E80" i="16"/>
  <c r="J56" i="16"/>
  <c r="E54" i="16"/>
  <c r="J79" i="16"/>
  <c r="E79" i="16"/>
  <c r="J55" i="16"/>
  <c r="E53" i="16"/>
  <c r="J54" i="16"/>
  <c r="E52" i="16"/>
  <c r="J53" i="16"/>
  <c r="E51" i="16"/>
  <c r="J78" i="16"/>
  <c r="E78" i="16"/>
  <c r="J77" i="16"/>
  <c r="E77" i="16"/>
  <c r="J49" i="16"/>
  <c r="E47" i="16"/>
  <c r="J76" i="16"/>
  <c r="E76" i="16"/>
  <c r="J75" i="16"/>
  <c r="E75" i="16"/>
  <c r="J74" i="16"/>
  <c r="E74" i="16"/>
  <c r="J44" i="16"/>
  <c r="E73" i="16"/>
  <c r="J73" i="16"/>
  <c r="E72" i="16"/>
  <c r="J72" i="16"/>
  <c r="E71" i="16"/>
  <c r="J71" i="16"/>
  <c r="E70" i="16"/>
  <c r="J70" i="16"/>
  <c r="E69" i="16"/>
  <c r="J69" i="16"/>
  <c r="E68" i="16"/>
  <c r="J68" i="16"/>
  <c r="E67" i="16"/>
  <c r="J67" i="16"/>
  <c r="E66" i="16"/>
  <c r="J66" i="16"/>
  <c r="E65" i="16"/>
  <c r="J46" i="16"/>
  <c r="E45" i="16"/>
  <c r="J48" i="16"/>
  <c r="E50" i="16"/>
  <c r="J52" i="16"/>
  <c r="E49" i="16"/>
  <c r="J65" i="16"/>
  <c r="E64" i="16"/>
  <c r="J51" i="16"/>
  <c r="E48" i="16"/>
  <c r="J64" i="16"/>
  <c r="E63" i="16"/>
  <c r="J63" i="16"/>
  <c r="E62" i="16"/>
  <c r="J62" i="16"/>
  <c r="E61" i="16"/>
  <c r="J61" i="16"/>
  <c r="E60" i="16"/>
  <c r="J60" i="16"/>
  <c r="E59" i="16"/>
  <c r="J59" i="16"/>
  <c r="E58" i="16"/>
  <c r="J58" i="16"/>
  <c r="E57" i="16"/>
  <c r="J57" i="16"/>
  <c r="E56" i="16"/>
  <c r="G87" i="8"/>
  <c r="F87" i="8"/>
  <c r="C87" i="8"/>
  <c r="B87" i="8"/>
  <c r="H86" i="8"/>
  <c r="D86" i="8"/>
  <c r="H85" i="8"/>
  <c r="D85" i="8"/>
  <c r="H64" i="8"/>
  <c r="D62" i="8"/>
  <c r="H84" i="8"/>
  <c r="D84" i="8"/>
  <c r="H52" i="8"/>
  <c r="D61" i="8"/>
  <c r="H63" i="8"/>
  <c r="D60" i="8"/>
  <c r="H83" i="8"/>
  <c r="D83" i="8"/>
  <c r="H50" i="8"/>
  <c r="D49" i="8"/>
  <c r="H82" i="8"/>
  <c r="D82" i="8"/>
  <c r="H65" i="8"/>
  <c r="D81" i="8"/>
  <c r="H48" i="8"/>
  <c r="D80" i="8"/>
  <c r="H81" i="8"/>
  <c r="D79" i="8"/>
  <c r="H62" i="8"/>
  <c r="D59" i="8"/>
  <c r="H80" i="8"/>
  <c r="D78" i="8"/>
  <c r="H79" i="8"/>
  <c r="D77" i="8"/>
  <c r="H78" i="8"/>
  <c r="D76" i="8"/>
  <c r="H77" i="8"/>
  <c r="D75" i="8"/>
  <c r="H76" i="8"/>
  <c r="D74" i="8"/>
  <c r="H75" i="8"/>
  <c r="D73" i="8"/>
  <c r="H47" i="8"/>
  <c r="D47" i="8"/>
  <c r="H74" i="8"/>
  <c r="D72" i="8"/>
  <c r="H73" i="8"/>
  <c r="D71" i="8"/>
  <c r="H61" i="8"/>
  <c r="D58" i="8"/>
  <c r="H72" i="8"/>
  <c r="D70" i="8"/>
  <c r="H49" i="8"/>
  <c r="D48" i="8"/>
  <c r="H71" i="8"/>
  <c r="D69" i="8"/>
  <c r="H70" i="8"/>
  <c r="D68" i="8"/>
  <c r="H60" i="8"/>
  <c r="D57" i="8"/>
  <c r="H59" i="8"/>
  <c r="D56" i="8"/>
  <c r="H58" i="8"/>
  <c r="D55" i="8"/>
  <c r="H57" i="8"/>
  <c r="D54" i="8"/>
  <c r="H56" i="8"/>
  <c r="D53" i="8"/>
  <c r="H55" i="8"/>
  <c r="D52" i="8"/>
  <c r="H53" i="8"/>
  <c r="D67" i="8"/>
  <c r="H69" i="8"/>
  <c r="D66" i="8"/>
  <c r="H68" i="8"/>
  <c r="D65" i="8"/>
  <c r="H67" i="8"/>
  <c r="D64" i="8"/>
  <c r="H51" i="8"/>
  <c r="D51" i="8"/>
  <c r="H66" i="8"/>
  <c r="D63" i="8"/>
  <c r="H54" i="8"/>
  <c r="H87" i="8" s="1"/>
  <c r="D50" i="8"/>
  <c r="H35" i="24"/>
  <c r="H34" i="24"/>
  <c r="H33" i="24"/>
  <c r="H32" i="24"/>
  <c r="H31" i="24"/>
  <c r="H30" i="24"/>
  <c r="H29" i="24"/>
  <c r="H27" i="24"/>
  <c r="H26" i="24"/>
  <c r="H25" i="24"/>
  <c r="H24" i="24"/>
  <c r="H23" i="24"/>
  <c r="H21" i="24"/>
  <c r="H18" i="24"/>
  <c r="H16" i="24"/>
  <c r="H15" i="24"/>
  <c r="H10" i="24"/>
  <c r="H8" i="24"/>
  <c r="H7" i="24"/>
  <c r="H6" i="24"/>
  <c r="H5" i="24"/>
  <c r="H4" i="24"/>
  <c r="H3" i="24"/>
  <c r="F36" i="24"/>
  <c r="D35" i="24"/>
  <c r="D34" i="24"/>
  <c r="D33" i="24"/>
  <c r="D32" i="24"/>
  <c r="D31" i="24"/>
  <c r="D30" i="24"/>
  <c r="D29" i="24"/>
  <c r="D27" i="24"/>
  <c r="D26" i="24"/>
  <c r="D25" i="24"/>
  <c r="D24" i="24"/>
  <c r="D23" i="24"/>
  <c r="D21" i="24"/>
  <c r="D18" i="24"/>
  <c r="D16" i="24"/>
  <c r="D15" i="24"/>
  <c r="D10" i="24"/>
  <c r="D8" i="24"/>
  <c r="D7" i="24"/>
  <c r="D6" i="24"/>
  <c r="D5" i="24"/>
  <c r="D4" i="24"/>
  <c r="D3" i="24"/>
  <c r="B36" i="24"/>
  <c r="J81" i="16" l="1"/>
  <c r="E81" i="16"/>
  <c r="D87" i="8"/>
  <c r="Q5" i="25" l="1"/>
  <c r="N5" i="25"/>
  <c r="L6" i="8"/>
  <c r="O5" i="24"/>
  <c r="Q6" i="29" l="1"/>
  <c r="Q4" i="29"/>
  <c r="N5" i="29"/>
  <c r="N4" i="29"/>
  <c r="N12" i="29"/>
  <c r="N11" i="29"/>
  <c r="J19" i="29"/>
  <c r="E19" i="29"/>
  <c r="N13" i="29"/>
  <c r="H37" i="29"/>
  <c r="C37" i="29"/>
  <c r="N5" i="26" l="1"/>
  <c r="N6" i="29"/>
  <c r="I37" i="29"/>
  <c r="G37" i="29"/>
  <c r="D37" i="29"/>
  <c r="B37" i="29"/>
  <c r="J36" i="29"/>
  <c r="E36" i="29"/>
  <c r="J35" i="29"/>
  <c r="E35" i="29"/>
  <c r="J34" i="29"/>
  <c r="E34" i="29"/>
  <c r="J33" i="29"/>
  <c r="E33" i="29"/>
  <c r="J30" i="29"/>
  <c r="E30" i="29"/>
  <c r="J28" i="29"/>
  <c r="E28" i="29"/>
  <c r="J27" i="29"/>
  <c r="E27" i="29"/>
  <c r="J26" i="29"/>
  <c r="E26" i="29"/>
  <c r="J25" i="29"/>
  <c r="E25" i="29"/>
  <c r="J24" i="29"/>
  <c r="E24" i="29"/>
  <c r="J21" i="29"/>
  <c r="E21" i="29"/>
  <c r="J18" i="29"/>
  <c r="E18" i="29"/>
  <c r="J16" i="29"/>
  <c r="E16" i="29"/>
  <c r="J15" i="29"/>
  <c r="E15" i="29"/>
  <c r="J14" i="29"/>
  <c r="E14" i="29"/>
  <c r="J10" i="29"/>
  <c r="E10" i="29"/>
  <c r="J9" i="29"/>
  <c r="E9" i="29"/>
  <c r="J8" i="29"/>
  <c r="E8" i="29"/>
  <c r="J7" i="29"/>
  <c r="E7" i="29"/>
  <c r="J6" i="29"/>
  <c r="E6" i="29"/>
  <c r="J5" i="29"/>
  <c r="E5" i="29"/>
  <c r="J4" i="29"/>
  <c r="E4" i="29"/>
  <c r="J3" i="29"/>
  <c r="E3" i="29"/>
  <c r="L6" i="24"/>
  <c r="J37" i="29" l="1"/>
  <c r="E37" i="29"/>
  <c r="H37" i="23" l="1"/>
  <c r="G37" i="23"/>
  <c r="C37" i="23"/>
  <c r="B37" i="23"/>
  <c r="N5" i="27"/>
  <c r="N13" i="27"/>
  <c r="N6" i="28"/>
  <c r="N15" i="28"/>
  <c r="N16" i="28"/>
  <c r="N14" i="28"/>
  <c r="N8" i="28"/>
  <c r="N5" i="28"/>
  <c r="N12" i="27"/>
  <c r="N4" i="27"/>
  <c r="G42" i="27"/>
  <c r="J42" i="27" s="1"/>
  <c r="B42" i="27"/>
  <c r="E42" i="27" s="1"/>
  <c r="G35" i="25"/>
  <c r="B35" i="25"/>
  <c r="E35" i="25" s="1"/>
  <c r="G36" i="28"/>
  <c r="B36" i="28"/>
  <c r="N13" i="28"/>
  <c r="N14" i="27"/>
  <c r="N10" i="26"/>
  <c r="G36" i="26"/>
  <c r="B36" i="26"/>
  <c r="H36" i="28"/>
  <c r="C36" i="28"/>
  <c r="N4" i="28"/>
  <c r="H42" i="27"/>
  <c r="C42" i="27"/>
  <c r="N6" i="27"/>
  <c r="H36" i="26"/>
  <c r="C36" i="26"/>
  <c r="N4" i="26"/>
  <c r="L5" i="24"/>
  <c r="H35" i="25"/>
  <c r="C35" i="25"/>
  <c r="N4" i="25"/>
  <c r="G36" i="24"/>
  <c r="H36" i="24" s="1"/>
  <c r="C36" i="24"/>
  <c r="D36" i="24" s="1"/>
  <c r="L4" i="24"/>
  <c r="F51" i="22"/>
  <c r="C44" i="22"/>
  <c r="J16" i="22"/>
  <c r="I16" i="22"/>
  <c r="J15" i="22"/>
  <c r="I15" i="22"/>
  <c r="K15" i="22" s="1"/>
  <c r="L14" i="8"/>
  <c r="L12" i="8"/>
  <c r="L4" i="8"/>
  <c r="L7" i="8"/>
  <c r="F71" i="22"/>
  <c r="C68" i="22"/>
  <c r="F35" i="22"/>
  <c r="C34" i="22"/>
  <c r="Q4" i="6"/>
  <c r="F44" i="22"/>
  <c r="C37" i="22"/>
  <c r="F61" i="22"/>
  <c r="C54" i="22"/>
  <c r="F39" i="22"/>
  <c r="C30" i="22"/>
  <c r="F25" i="22"/>
  <c r="C19" i="22"/>
  <c r="F40" i="22"/>
  <c r="C32" i="22"/>
  <c r="Q7" i="4"/>
  <c r="F69" i="22"/>
  <c r="C63" i="22"/>
  <c r="F68" i="22"/>
  <c r="C62" i="22"/>
  <c r="F41" i="22"/>
  <c r="C33" i="22"/>
  <c r="J17" i="22"/>
  <c r="I17" i="22"/>
  <c r="N10" i="9"/>
  <c r="N4" i="9"/>
  <c r="F72" i="22"/>
  <c r="C69" i="22"/>
  <c r="F16" i="22"/>
  <c r="C10" i="22"/>
  <c r="F36" i="22"/>
  <c r="C58" i="22"/>
  <c r="H38" i="8"/>
  <c r="D38" i="8"/>
  <c r="F64" i="22"/>
  <c r="C57" i="22"/>
  <c r="C15" i="22"/>
  <c r="F24" i="22"/>
  <c r="C18" i="22"/>
  <c r="F62" i="22"/>
  <c r="C55" i="22"/>
  <c r="F53" i="22"/>
  <c r="C46" i="22"/>
  <c r="Q5" i="16"/>
  <c r="F54" i="22"/>
  <c r="C47" i="22"/>
  <c r="F18" i="22"/>
  <c r="C12" i="22"/>
  <c r="F33" i="22"/>
  <c r="C28" i="22"/>
  <c r="J10" i="22"/>
  <c r="I10" i="22"/>
  <c r="N12" i="4"/>
  <c r="N4" i="4"/>
  <c r="F14" i="22"/>
  <c r="C66" i="22"/>
  <c r="F66" i="22"/>
  <c r="C60" i="22"/>
  <c r="F7" i="22"/>
  <c r="C5" i="22"/>
  <c r="F48" i="22"/>
  <c r="C41" i="22"/>
  <c r="F27" i="22"/>
  <c r="C21" i="22"/>
  <c r="F19" i="22"/>
  <c r="C13" i="22"/>
  <c r="F8" i="22"/>
  <c r="C6" i="22"/>
  <c r="F9" i="22"/>
  <c r="C7" i="22"/>
  <c r="F28" i="22"/>
  <c r="C22" i="22"/>
  <c r="F10" i="22"/>
  <c r="C67" i="22"/>
  <c r="F26" i="22"/>
  <c r="C20" i="22"/>
  <c r="F67" i="22"/>
  <c r="C61" i="22"/>
  <c r="J14" i="22"/>
  <c r="I14" i="22"/>
  <c r="N11" i="21"/>
  <c r="N4" i="21"/>
  <c r="F34" i="22"/>
  <c r="C31" i="22"/>
  <c r="F59" i="22"/>
  <c r="C52" i="22"/>
  <c r="F23" i="22"/>
  <c r="C17" i="22"/>
  <c r="F20" i="22"/>
  <c r="C14" i="22"/>
  <c r="F21" i="22"/>
  <c r="F58" i="22"/>
  <c r="C51" i="22"/>
  <c r="F50" i="22"/>
  <c r="C43" i="22"/>
  <c r="F6" i="22"/>
  <c r="C4" i="22"/>
  <c r="F60" i="22"/>
  <c r="C53" i="22"/>
  <c r="J4" i="22"/>
  <c r="I4" i="22"/>
  <c r="F11" i="22"/>
  <c r="C71" i="22"/>
  <c r="N11" i="9"/>
  <c r="N5" i="9"/>
  <c r="J5" i="22"/>
  <c r="I5" i="22"/>
  <c r="J8" i="22"/>
  <c r="I8" i="22"/>
  <c r="N11" i="6"/>
  <c r="N10" i="6"/>
  <c r="N5" i="6"/>
  <c r="N4" i="6"/>
  <c r="F5" i="22"/>
  <c r="C27" i="22"/>
  <c r="F12" i="22"/>
  <c r="C65" i="22"/>
  <c r="F22" i="22"/>
  <c r="C16" i="22"/>
  <c r="F17" i="22"/>
  <c r="C11" i="22"/>
  <c r="F63" i="22"/>
  <c r="C56" i="22"/>
  <c r="F52" i="22"/>
  <c r="C45" i="22"/>
  <c r="F47" i="22"/>
  <c r="C40" i="22"/>
  <c r="J12" i="22"/>
  <c r="I12" i="22"/>
  <c r="J13" i="22"/>
  <c r="I13" i="22"/>
  <c r="N13" i="21"/>
  <c r="N12" i="21"/>
  <c r="N6" i="21"/>
  <c r="N5" i="21"/>
  <c r="F70" i="22"/>
  <c r="C72" i="22"/>
  <c r="F56" i="22"/>
  <c r="C49" i="22"/>
  <c r="F31" i="22"/>
  <c r="C25" i="22"/>
  <c r="F57" i="22"/>
  <c r="C50" i="22"/>
  <c r="F29" i="22"/>
  <c r="C23" i="22"/>
  <c r="J11" i="22"/>
  <c r="I11" i="22"/>
  <c r="L13" i="8"/>
  <c r="L5" i="8"/>
  <c r="F49" i="22"/>
  <c r="C42" i="22"/>
  <c r="F45" i="22"/>
  <c r="C38" i="22"/>
  <c r="F37" i="22"/>
  <c r="C64" i="22"/>
  <c r="F43" i="22"/>
  <c r="C36" i="22"/>
  <c r="H10" i="8"/>
  <c r="D10" i="8"/>
  <c r="J6" i="22"/>
  <c r="I6" i="22"/>
  <c r="J9" i="22"/>
  <c r="I9" i="22"/>
  <c r="N13" i="4"/>
  <c r="N6" i="4"/>
  <c r="N14" i="4"/>
  <c r="N7" i="4"/>
  <c r="J7" i="22"/>
  <c r="I7" i="22"/>
  <c r="F32" i="22"/>
  <c r="C70" i="22"/>
  <c r="F4" i="22"/>
  <c r="C26" i="22"/>
  <c r="F65" i="22"/>
  <c r="C59" i="22"/>
  <c r="F38" i="22"/>
  <c r="C29" i="22"/>
  <c r="F55" i="22"/>
  <c r="C48" i="22"/>
  <c r="F46" i="22"/>
  <c r="C39" i="22"/>
  <c r="F42" i="22"/>
  <c r="C35" i="22"/>
  <c r="F15" i="22"/>
  <c r="C9" i="22"/>
  <c r="F13" i="22"/>
  <c r="C8" i="22"/>
  <c r="F30" i="22"/>
  <c r="C24" i="22"/>
  <c r="N5" i="16"/>
  <c r="N4" i="16"/>
  <c r="N10" i="16"/>
  <c r="H3" i="8"/>
  <c r="H4" i="8"/>
  <c r="H5" i="8"/>
  <c r="H6" i="8"/>
  <c r="H7" i="8"/>
  <c r="H8" i="8"/>
  <c r="H9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9" i="8"/>
  <c r="H40" i="8"/>
  <c r="H41" i="8"/>
  <c r="H42" i="8"/>
  <c r="G43" i="8"/>
  <c r="F43" i="8"/>
  <c r="D27" i="8"/>
  <c r="D35" i="8"/>
  <c r="D37" i="8"/>
  <c r="D13" i="8"/>
  <c r="D17" i="8"/>
  <c r="D4" i="8"/>
  <c r="D20" i="8"/>
  <c r="D23" i="8"/>
  <c r="D16" i="8"/>
  <c r="D28" i="8"/>
  <c r="D24" i="8"/>
  <c r="D25" i="8"/>
  <c r="D29" i="8"/>
  <c r="D42" i="8"/>
  <c r="D41" i="8"/>
  <c r="D19" i="8"/>
  <c r="D31" i="8"/>
  <c r="D26" i="8"/>
  <c r="D34" i="8"/>
  <c r="D33" i="8"/>
  <c r="D39" i="8"/>
  <c r="D11" i="8"/>
  <c r="D21" i="8"/>
  <c r="D9" i="8"/>
  <c r="D6" i="8"/>
  <c r="D5" i="8"/>
  <c r="D15" i="8"/>
  <c r="D7" i="8"/>
  <c r="D18" i="8"/>
  <c r="D30" i="8"/>
  <c r="D36" i="8"/>
  <c r="D32" i="8"/>
  <c r="D14" i="8"/>
  <c r="D3" i="8"/>
  <c r="D12" i="8"/>
  <c r="D8" i="8"/>
  <c r="D40" i="8"/>
  <c r="D22" i="8"/>
  <c r="C43" i="8"/>
  <c r="B43" i="8"/>
  <c r="H45" i="4"/>
  <c r="G45" i="4"/>
  <c r="J45" i="4" s="1"/>
  <c r="C45" i="4"/>
  <c r="B45" i="4"/>
  <c r="E45" i="4" s="1"/>
  <c r="H40" i="16"/>
  <c r="G40" i="16"/>
  <c r="C40" i="16"/>
  <c r="B40" i="16"/>
  <c r="H37" i="9"/>
  <c r="G37" i="9"/>
  <c r="C37" i="9"/>
  <c r="B37" i="9"/>
  <c r="E37" i="9" s="1"/>
  <c r="H40" i="21"/>
  <c r="G40" i="21"/>
  <c r="C40" i="21"/>
  <c r="B40" i="21"/>
  <c r="E40" i="21" s="1"/>
  <c r="E40" i="16" l="1"/>
  <c r="J37" i="23"/>
  <c r="E37" i="23"/>
  <c r="J40" i="21"/>
  <c r="J40" i="16"/>
  <c r="E36" i="28"/>
  <c r="J36" i="28"/>
  <c r="J37" i="9"/>
  <c r="J36" i="26"/>
  <c r="J35" i="25"/>
  <c r="E36" i="26"/>
  <c r="K16" i="22"/>
  <c r="K10" i="22"/>
  <c r="K4" i="22"/>
  <c r="K8" i="22"/>
  <c r="K5" i="22"/>
  <c r="K9" i="22"/>
  <c r="K14" i="22"/>
  <c r="K11" i="22"/>
  <c r="K12" i="22"/>
  <c r="D43" i="8"/>
  <c r="H43" i="8"/>
  <c r="K13" i="22"/>
  <c r="K17" i="22"/>
  <c r="K6" i="22"/>
  <c r="K7" i="22"/>
  <c r="C73" i="22"/>
  <c r="F73" i="22"/>
</calcChain>
</file>

<file path=xl/sharedStrings.xml><?xml version="1.0" encoding="utf-8"?>
<sst xmlns="http://schemas.openxmlformats.org/spreadsheetml/2006/main" count="3473" uniqueCount="717">
  <si>
    <t>TRIES</t>
  </si>
  <si>
    <t>Tot</t>
  </si>
  <si>
    <t>POINTS</t>
  </si>
  <si>
    <t>TOTALS</t>
  </si>
  <si>
    <t>George</t>
  </si>
  <si>
    <t>Att</t>
  </si>
  <si>
    <t>%</t>
  </si>
  <si>
    <t>Ordered</t>
  </si>
  <si>
    <t>-</t>
  </si>
  <si>
    <t xml:space="preserve"> </t>
  </si>
  <si>
    <t>Murphy</t>
  </si>
  <si>
    <t>© Hillsport Media Ltd</t>
  </si>
  <si>
    <t>INT</t>
  </si>
  <si>
    <t>Last Match</t>
  </si>
  <si>
    <t>SIX NATIONS</t>
  </si>
  <si>
    <t>6N</t>
  </si>
  <si>
    <t>ALL TESTS</t>
  </si>
  <si>
    <t>Seq</t>
  </si>
  <si>
    <t>Gls</t>
  </si>
  <si>
    <t>Thomas</t>
  </si>
  <si>
    <t>IRE</t>
  </si>
  <si>
    <t>ENG</t>
  </si>
  <si>
    <t>SCO</t>
  </si>
  <si>
    <t>ITA</t>
  </si>
  <si>
    <t>WAL</t>
  </si>
  <si>
    <t>NAT</t>
  </si>
  <si>
    <t>GLS</t>
  </si>
  <si>
    <t>ATT</t>
  </si>
  <si>
    <t>FRA</t>
  </si>
  <si>
    <t>Lloyd</t>
  </si>
  <si>
    <t>GOAL-KICKERS*</t>
  </si>
  <si>
    <t>Nelson</t>
  </si>
  <si>
    <t>Smith M</t>
  </si>
  <si>
    <t>Wright</t>
  </si>
  <si>
    <t>2022 SIX NATIONS SCORERS</t>
  </si>
  <si>
    <t>ENGLAND 2022 SCORERS</t>
  </si>
  <si>
    <t>FRANCE 2022 SCORERS</t>
  </si>
  <si>
    <t>IRELAND 2022 SCORERS</t>
  </si>
  <si>
    <t>ITALY 2022 SCORERS</t>
  </si>
  <si>
    <t>SCOTLAND 2022 SCORERS</t>
  </si>
  <si>
    <t>WALES 2022 SCORERS</t>
  </si>
  <si>
    <t>*Qual 5 attempts</t>
  </si>
  <si>
    <t>Skeldon</t>
  </si>
  <si>
    <t>Konkel</t>
  </si>
  <si>
    <t>Law</t>
  </si>
  <si>
    <t>Thomson</t>
  </si>
  <si>
    <t>Gaffney</t>
  </si>
  <si>
    <t>Wills</t>
  </si>
  <si>
    <t>Rollie</t>
  </si>
  <si>
    <t>Aldcroft</t>
  </si>
  <si>
    <t>Beckett</t>
  </si>
  <si>
    <t>Bern</t>
  </si>
  <si>
    <t>Botterman</t>
  </si>
  <si>
    <t>Brown</t>
  </si>
  <si>
    <t>Burnfield</t>
  </si>
  <si>
    <t>Campbell</t>
  </si>
  <si>
    <t>Cleall B</t>
  </si>
  <si>
    <t>Cleall P</t>
  </si>
  <si>
    <t>Cokayne</t>
  </si>
  <si>
    <t>Cornborough</t>
  </si>
  <si>
    <t>Davies</t>
  </si>
  <si>
    <t>Fleetwood</t>
  </si>
  <si>
    <t>Galligan</t>
  </si>
  <si>
    <t>Harper</t>
  </si>
  <si>
    <t>Hunter</t>
  </si>
  <si>
    <t>Kabeya</t>
  </si>
  <si>
    <t>Matthews</t>
  </si>
  <si>
    <t>Millar-Mills</t>
  </si>
  <si>
    <t>Muir</t>
  </si>
  <si>
    <t>Powell</t>
  </si>
  <si>
    <t>Ward</t>
  </si>
  <si>
    <t>Aitchison</t>
  </si>
  <si>
    <t>Breach</t>
  </si>
  <si>
    <t>Cowell</t>
  </si>
  <si>
    <t>Dow</t>
  </si>
  <si>
    <t>Harrison</t>
  </si>
  <si>
    <t>Hunt</t>
  </si>
  <si>
    <t>Infante</t>
  </si>
  <si>
    <t>Kildunne</t>
  </si>
  <si>
    <t>McKenna</t>
  </si>
  <si>
    <t>Packer L</t>
  </si>
  <si>
    <t>Packer M</t>
  </si>
  <si>
    <t>Reed</t>
  </si>
  <si>
    <t>Rowland</t>
  </si>
  <si>
    <t>Scarratt</t>
  </si>
  <si>
    <t>Sing</t>
  </si>
  <si>
    <t>Tuima</t>
  </si>
  <si>
    <t>Thompson</t>
  </si>
  <si>
    <t>Wyrwas</t>
  </si>
  <si>
    <t>Annery</t>
  </si>
  <si>
    <t>Banet</t>
  </si>
  <si>
    <t>Bernadou</t>
  </si>
  <si>
    <t>Berthoumeu</t>
  </si>
  <si>
    <t>Boulard E</t>
  </si>
  <si>
    <t>Castel</t>
  </si>
  <si>
    <t>Chambon</t>
  </si>
  <si>
    <t>Deshaye</t>
  </si>
  <si>
    <t>Diallo</t>
  </si>
  <si>
    <t>Domain</t>
  </si>
  <si>
    <t>Drouin</t>
  </si>
  <si>
    <t>Escudero</t>
  </si>
  <si>
    <t>Fall</t>
  </si>
  <si>
    <t>Feleu</t>
  </si>
  <si>
    <t>Ferer</t>
  </si>
  <si>
    <t>Filopon</t>
  </si>
  <si>
    <t>Forlani</t>
  </si>
  <si>
    <t>Gros</t>
  </si>
  <si>
    <t>Hermet</t>
  </si>
  <si>
    <t>Jacquet</t>
  </si>
  <si>
    <t>Joyeux</t>
  </si>
  <si>
    <t>Khalfaoui</t>
  </si>
  <si>
    <t>Lindelauf</t>
  </si>
  <si>
    <t>Llorens</t>
  </si>
  <si>
    <t>Mayans</t>
  </si>
  <si>
    <t>Menager R</t>
  </si>
  <si>
    <t>Menager M</t>
  </si>
  <si>
    <t>Murie</t>
  </si>
  <si>
    <t>N'Diaye</t>
  </si>
  <si>
    <t>Peyronnet</t>
  </si>
  <si>
    <t>Sansus</t>
  </si>
  <si>
    <t>Sochat</t>
  </si>
  <si>
    <t>Touye</t>
  </si>
  <si>
    <t>Traoré</t>
  </si>
  <si>
    <t>Vernier</t>
  </si>
  <si>
    <t>McQuade</t>
  </si>
  <si>
    <t>O'Dwyer</t>
  </si>
  <si>
    <t>Pearse</t>
  </si>
  <si>
    <t>Djougang</t>
  </si>
  <si>
    <t>Haney</t>
  </si>
  <si>
    <t>Boles</t>
  </si>
  <si>
    <t>Hooban</t>
  </si>
  <si>
    <t>Jones</t>
  </si>
  <si>
    <t>Fryday</t>
  </si>
  <si>
    <t>Monaghan</t>
  </si>
  <si>
    <t>McDermott</t>
  </si>
  <si>
    <t>McGann</t>
  </si>
  <si>
    <t>Moore</t>
  </si>
  <si>
    <t>Wall</t>
  </si>
  <si>
    <t>Wafer</t>
  </si>
  <si>
    <t>Hogan</t>
  </si>
  <si>
    <t>McMahon</t>
  </si>
  <si>
    <t>O’Leary</t>
  </si>
  <si>
    <t>O’Connor</t>
  </si>
  <si>
    <t>Reilly</t>
  </si>
  <si>
    <t>Hughes</t>
  </si>
  <si>
    <t>Cronin</t>
  </si>
  <si>
    <t>Caughey</t>
  </si>
  <si>
    <t>Breen</t>
  </si>
  <si>
    <t>Flood</t>
  </si>
  <si>
    <t>Claffey</t>
  </si>
  <si>
    <t>Higgins</t>
  </si>
  <si>
    <t>Mulhall</t>
  </si>
  <si>
    <t>Parsons</t>
  </si>
  <si>
    <t>Doyle</t>
  </si>
  <si>
    <t>Behan</t>
  </si>
  <si>
    <t>Considine</t>
  </si>
  <si>
    <t>Scuffil-McCabe</t>
  </si>
  <si>
    <t>Irwin</t>
  </si>
  <si>
    <t>Arrighetti</t>
  </si>
  <si>
    <t>Barattin</t>
  </si>
  <si>
    <t>Bettoni</t>
  </si>
  <si>
    <t>Barro</t>
  </si>
  <si>
    <t>Cipolla</t>
  </si>
  <si>
    <t>D'Inca'</t>
  </si>
  <si>
    <t>Duca</t>
  </si>
  <si>
    <t>Fedrighi</t>
  </si>
  <si>
    <t>Frangipani</t>
  </si>
  <si>
    <t>Franco</t>
  </si>
  <si>
    <t>Furlan</t>
  </si>
  <si>
    <t>Gai</t>
  </si>
  <si>
    <t>Giordano</t>
  </si>
  <si>
    <t>Granzotto</t>
  </si>
  <si>
    <t>Locatelli</t>
  </si>
  <si>
    <t>Madia</t>
  </si>
  <si>
    <t>Magatti</t>
  </si>
  <si>
    <t>Margotti</t>
  </si>
  <si>
    <t>Maris</t>
  </si>
  <si>
    <t>Merlo</t>
  </si>
  <si>
    <t>Muzzo</t>
  </si>
  <si>
    <t>Ostuni Minuzzi</t>
  </si>
  <si>
    <t>Rigoni</t>
  </si>
  <si>
    <t>Sberna</t>
  </si>
  <si>
    <t>Seye</t>
  </si>
  <si>
    <t>Sillari</t>
  </si>
  <si>
    <t>Stecca</t>
  </si>
  <si>
    <t>Stefan</t>
  </si>
  <si>
    <t>Tounesi</t>
  </si>
  <si>
    <t>Turani</t>
  </si>
  <si>
    <t>Stevanin</t>
  </si>
  <si>
    <t>Vecchini</t>
  </si>
  <si>
    <t>Veronese</t>
  </si>
  <si>
    <t>Bartlett</t>
  </si>
  <si>
    <t>Belisle</t>
  </si>
  <si>
    <t>Bonar</t>
  </si>
  <si>
    <t>Cockburn</t>
  </si>
  <si>
    <t>Dougan</t>
  </si>
  <si>
    <t>Donaldson</t>
  </si>
  <si>
    <t>Evans</t>
  </si>
  <si>
    <t>Gallagher</t>
  </si>
  <si>
    <t>Grant</t>
  </si>
  <si>
    <t>Malcolm</t>
  </si>
  <si>
    <t>Mattinson</t>
  </si>
  <si>
    <t>Maxwell</t>
  </si>
  <si>
    <t>McDonald</t>
  </si>
  <si>
    <t>McLachlan</t>
  </si>
  <si>
    <t>McMillan</t>
  </si>
  <si>
    <t>Musgrove</t>
  </si>
  <si>
    <t>Muzambe</t>
  </si>
  <si>
    <t>O'Donnell</t>
  </si>
  <si>
    <t>Orr</t>
  </si>
  <si>
    <t>Rettie</t>
  </si>
  <si>
    <t>Smih H</t>
  </si>
  <si>
    <t>Wassell</t>
  </si>
  <si>
    <t>Wilson</t>
  </si>
  <si>
    <t>Young</t>
  </si>
  <si>
    <t>Lillicrap</t>
  </si>
  <si>
    <t>Butchers</t>
  </si>
  <si>
    <t>Callender</t>
  </si>
  <si>
    <t>Crabb</t>
  </si>
  <si>
    <t>Hope</t>
  </si>
  <si>
    <t>Fleming</t>
  </si>
  <si>
    <t>Hale</t>
  </si>
  <si>
    <t>Harries</t>
  </si>
  <si>
    <t>John</t>
  </si>
  <si>
    <t>Johnes</t>
  </si>
  <si>
    <t>Jones K</t>
  </si>
  <si>
    <t>Lewis B</t>
  </si>
  <si>
    <t>Podpadec</t>
  </si>
  <si>
    <t>Phillips</t>
  </si>
  <si>
    <t>Pyrs</t>
  </si>
  <si>
    <t>Rose</t>
  </si>
  <si>
    <t>Scoble</t>
  </si>
  <si>
    <t>Tuipulotu</t>
  </si>
  <si>
    <t>Bevan</t>
  </si>
  <si>
    <t>Hennessy</t>
  </si>
  <si>
    <t>Jones H</t>
  </si>
  <si>
    <t>Keight</t>
  </si>
  <si>
    <t>Lewis C</t>
  </si>
  <si>
    <t>Lake</t>
  </si>
  <si>
    <t>Lewis F</t>
  </si>
  <si>
    <t>Neumann</t>
  </si>
  <si>
    <t>Norkett</t>
  </si>
  <si>
    <t>Swords</t>
  </si>
  <si>
    <t>Snowsill</t>
  </si>
  <si>
    <t>Terry</t>
  </si>
  <si>
    <t>Wilkins</t>
  </si>
  <si>
    <t>Joyce</t>
  </si>
  <si>
    <t>Rollie C</t>
  </si>
  <si>
    <t>Cowell H</t>
  </si>
  <si>
    <t>Dow A</t>
  </si>
  <si>
    <t>Infante L</t>
  </si>
  <si>
    <t>Aitchison H</t>
  </si>
  <si>
    <t>Powell C</t>
  </si>
  <si>
    <t>Scarratt E</t>
  </si>
  <si>
    <t>Rowland H</t>
  </si>
  <si>
    <t>Nelson H</t>
  </si>
  <si>
    <t>Crowe</t>
  </si>
  <si>
    <t>Crowe A-L</t>
  </si>
  <si>
    <t>Cronin N</t>
  </si>
  <si>
    <t>Djougang L</t>
  </si>
  <si>
    <t>Flood S</t>
  </si>
  <si>
    <t>Phillips C</t>
  </si>
  <si>
    <t>Joyce J</t>
  </si>
  <si>
    <t>Rose D</t>
  </si>
  <si>
    <t>Wilkins R</t>
  </si>
  <si>
    <t>Snowsill E</t>
  </si>
  <si>
    <t>Wilkins E</t>
  </si>
  <si>
    <t>Fall M</t>
  </si>
  <si>
    <t>Gros E</t>
  </si>
  <si>
    <t>Murie L</t>
  </si>
  <si>
    <t>Jacquet C</t>
  </si>
  <si>
    <t>Drouin C</t>
  </si>
  <si>
    <t>Tremouliere</t>
  </si>
  <si>
    <t>Tremouliere J</t>
  </si>
  <si>
    <t>Sillari M</t>
  </si>
  <si>
    <t>Llorens M</t>
  </si>
  <si>
    <t>Sansus L</t>
  </si>
  <si>
    <t>Floriani A</t>
  </si>
  <si>
    <t>Joyeux C</t>
  </si>
  <si>
    <t>Boudaud</t>
  </si>
  <si>
    <t>Boulard</t>
  </si>
  <si>
    <t>Higgins E</t>
  </si>
  <si>
    <t>Harries S</t>
  </si>
  <si>
    <t>Bevan K</t>
  </si>
  <si>
    <t>Skeldon L</t>
  </si>
  <si>
    <t>Lloyd R</t>
  </si>
  <si>
    <t>McKenna S</t>
  </si>
  <si>
    <t>Thompson L</t>
  </si>
  <si>
    <t>Davies L</t>
  </si>
  <si>
    <t>Brown S</t>
  </si>
  <si>
    <t>Matthews A</t>
  </si>
  <si>
    <t>Fleetwood V</t>
  </si>
  <si>
    <t>Bern S</t>
  </si>
  <si>
    <t>Sing E</t>
  </si>
  <si>
    <t>Harrison Z</t>
  </si>
  <si>
    <t>Ward A</t>
  </si>
  <si>
    <t>Breach J</t>
  </si>
  <si>
    <t>Hunter S</t>
  </si>
  <si>
    <t>Hermet G</t>
  </si>
  <si>
    <t>Mulhall L</t>
  </si>
  <si>
    <t>Jones N</t>
  </si>
  <si>
    <t>O'Dwyer K</t>
  </si>
  <si>
    <t>Penalty Tries</t>
  </si>
  <si>
    <t>Bettoni M</t>
  </si>
  <si>
    <t>Rigoni B</t>
  </si>
  <si>
    <t>Rigoni M</t>
  </si>
  <si>
    <t>Capomaggi</t>
  </si>
  <si>
    <t>Boujard</t>
  </si>
  <si>
    <t>Boujard C</t>
  </si>
  <si>
    <t>Turani S</t>
  </si>
  <si>
    <t>Wassell E</t>
  </si>
  <si>
    <t>Botterman H</t>
  </si>
  <si>
    <t>Kildunne E</t>
  </si>
  <si>
    <t>Barattin S</t>
  </si>
  <si>
    <t>Deshaye A</t>
  </si>
  <si>
    <t>Breen E</t>
  </si>
  <si>
    <t>O'Connor H</t>
  </si>
  <si>
    <t>O'Connor</t>
  </si>
  <si>
    <t>Gallagher E</t>
  </si>
  <si>
    <t>at end of tournament</t>
  </si>
  <si>
    <t>FIJI 2022 SCORERS</t>
  </si>
  <si>
    <t>Radiniyavuni</t>
  </si>
  <si>
    <t>Bese</t>
  </si>
  <si>
    <t>Naikore</t>
  </si>
  <si>
    <t>JAPAN 2022 SCORERS</t>
  </si>
  <si>
    <t>Saito</t>
  </si>
  <si>
    <t>Furuta</t>
  </si>
  <si>
    <t>Nagai</t>
  </si>
  <si>
    <t>Hirayama</t>
  </si>
  <si>
    <t>AUSTRALIA 2022 SCORERS</t>
  </si>
  <si>
    <t>Parry</t>
  </si>
  <si>
    <t>Patu</t>
  </si>
  <si>
    <t>Piliae-Rasabale</t>
  </si>
  <si>
    <t>Cramer</t>
  </si>
  <si>
    <t>Matarugu</t>
  </si>
  <si>
    <t>Talakai</t>
  </si>
  <si>
    <t>Hosokawa</t>
  </si>
  <si>
    <t>Otsuka</t>
  </si>
  <si>
    <t>CANADA 2022 SCORERS</t>
  </si>
  <si>
    <t>PAC</t>
  </si>
  <si>
    <t>DeMerchant</t>
  </si>
  <si>
    <t>Holtkamp</t>
  </si>
  <si>
    <t>Buisa</t>
  </si>
  <si>
    <t>Perry</t>
  </si>
  <si>
    <t>De Goede</t>
  </si>
  <si>
    <t>PACIFIC FOUR</t>
  </si>
  <si>
    <t>USA 2022 SCORERS</t>
  </si>
  <si>
    <t>Taufoou</t>
  </si>
  <si>
    <t>Hawkins</t>
  </si>
  <si>
    <t>NEW ZEALAND 2022 SCORERS</t>
  </si>
  <si>
    <t>Leti-L'iga</t>
  </si>
  <si>
    <t>Olsen-Baker</t>
  </si>
  <si>
    <t>Cocksedge</t>
  </si>
  <si>
    <t>Rogers</t>
  </si>
  <si>
    <t>Cantorna</t>
  </si>
  <si>
    <t>Friedrichs</t>
  </si>
  <si>
    <t>Roos</t>
  </si>
  <si>
    <t>Tui</t>
  </si>
  <si>
    <t>Demant</t>
  </si>
  <si>
    <t>Tubic</t>
  </si>
  <si>
    <t>Ellis</t>
  </si>
  <si>
    <t>Pelletier</t>
  </si>
  <si>
    <t>Tuttosi</t>
  </si>
  <si>
    <t>Wickliffe</t>
  </si>
  <si>
    <t>Marino-Tauhinu</t>
  </si>
  <si>
    <t>Reynolds</t>
  </si>
  <si>
    <t>Holmes</t>
  </si>
  <si>
    <t>Brunt</t>
  </si>
  <si>
    <t>Foster</t>
  </si>
  <si>
    <t>Delaiwau</t>
  </si>
  <si>
    <t>OC</t>
  </si>
  <si>
    <t>Lomani</t>
  </si>
  <si>
    <t>Coates</t>
  </si>
  <si>
    <t>Laqeretabua</t>
  </si>
  <si>
    <t>Milina</t>
  </si>
  <si>
    <t>Natura</t>
  </si>
  <si>
    <t>Ofakimalino</t>
  </si>
  <si>
    <t>Rokouono</t>
  </si>
  <si>
    <t>Rubuti</t>
  </si>
  <si>
    <t>Senikarivi</t>
  </si>
  <si>
    <t>Tagabale</t>
  </si>
  <si>
    <t>Vasuturaga</t>
  </si>
  <si>
    <t>Vonosere</t>
  </si>
  <si>
    <t>Waisega</t>
  </si>
  <si>
    <t>Vosadrau</t>
  </si>
  <si>
    <t>Tawake</t>
  </si>
  <si>
    <t>Masi</t>
  </si>
  <si>
    <t>Marama</t>
  </si>
  <si>
    <t>Kunagale</t>
  </si>
  <si>
    <t>Lutumaibau</t>
  </si>
  <si>
    <t>Nabura</t>
  </si>
  <si>
    <t>Arei</t>
  </si>
  <si>
    <t>Ravato</t>
  </si>
  <si>
    <t>Mirini</t>
  </si>
  <si>
    <t>Yamamoto</t>
  </si>
  <si>
    <t>SOUTH AFRICA 2022 SCORERS</t>
  </si>
  <si>
    <t>WC</t>
  </si>
  <si>
    <t>Farries</t>
  </si>
  <si>
    <t>Kaljuvee</t>
  </si>
  <si>
    <t>Miller</t>
  </si>
  <si>
    <t>Malinga</t>
  </si>
  <si>
    <t>Namba</t>
  </si>
  <si>
    <t>Botes</t>
  </si>
  <si>
    <t>Mabenge</t>
  </si>
  <si>
    <t>RAC</t>
  </si>
  <si>
    <t>Mpupha</t>
  </si>
  <si>
    <t>Gwala</t>
  </si>
  <si>
    <t>Solontsi</t>
  </si>
  <si>
    <t>Dumke</t>
  </si>
  <si>
    <t>Mcatshulwa</t>
  </si>
  <si>
    <t>Kinsey</t>
  </si>
  <si>
    <t>Ngwevu</t>
  </si>
  <si>
    <t>Jordaan</t>
  </si>
  <si>
    <t>RUGBY AFRICA</t>
  </si>
  <si>
    <t>Mathe</t>
  </si>
  <si>
    <t>Ntoyanto</t>
  </si>
  <si>
    <t>Lavemai</t>
  </si>
  <si>
    <t>Imakugi</t>
  </si>
  <si>
    <t>Dalton</t>
  </si>
  <si>
    <t>Deely</t>
  </si>
  <si>
    <t>O'Brien</t>
  </si>
  <si>
    <t>Connor</t>
  </si>
  <si>
    <t>Ngan-Woo</t>
  </si>
  <si>
    <t>du Plessis</t>
  </si>
  <si>
    <t>Duck</t>
  </si>
  <si>
    <t>McKenzie</t>
  </si>
  <si>
    <t>Terita</t>
  </si>
  <si>
    <t>Matsuda</t>
  </si>
  <si>
    <t>Nagura</t>
  </si>
  <si>
    <t>Kato</t>
  </si>
  <si>
    <t>Kelter</t>
  </si>
  <si>
    <t>Forteza</t>
  </si>
  <si>
    <t>Washington</t>
  </si>
  <si>
    <t>Talei Bonte</t>
  </si>
  <si>
    <t>Kahele</t>
  </si>
  <si>
    <t>Mataltoga</t>
  </si>
  <si>
    <t>Waters</t>
  </si>
  <si>
    <t>Benson</t>
  </si>
  <si>
    <t>Jacoby</t>
  </si>
  <si>
    <t>Clapp</t>
  </si>
  <si>
    <t>Cairns</t>
  </si>
  <si>
    <t>Henrich</t>
  </si>
  <si>
    <t>Haungatou</t>
  </si>
  <si>
    <t>Ashenbrucker</t>
  </si>
  <si>
    <t>Perris-Redding</t>
  </si>
  <si>
    <t>Kronish</t>
  </si>
  <si>
    <t>Hayward</t>
  </si>
  <si>
    <t>Kitlinski</t>
  </si>
  <si>
    <t>Matyas</t>
  </si>
  <si>
    <t>Howard</t>
  </si>
  <si>
    <t>Zackary</t>
  </si>
  <si>
    <t>Treder</t>
  </si>
  <si>
    <t>Sommer</t>
  </si>
  <si>
    <t>Learned</t>
  </si>
  <si>
    <t>Bizer</t>
  </si>
  <si>
    <t>James</t>
  </si>
  <si>
    <t>Ortiz</t>
  </si>
  <si>
    <t>Ehrecke</t>
  </si>
  <si>
    <t>Hamdan</t>
  </si>
  <si>
    <t>Lin</t>
  </si>
  <si>
    <t>Feury</t>
  </si>
  <si>
    <t>Johnson K</t>
  </si>
  <si>
    <t>Johnson R</t>
  </si>
  <si>
    <t>MacDonald</t>
  </si>
  <si>
    <t>Nakoci</t>
  </si>
  <si>
    <t>Sokoiwasa</t>
  </si>
  <si>
    <t>Beukeboom</t>
  </si>
  <si>
    <t>Boag</t>
  </si>
  <si>
    <t>Tessier</t>
  </si>
  <si>
    <t>Corrigan</t>
  </si>
  <si>
    <t>Holly</t>
  </si>
  <si>
    <t>Kassil</t>
  </si>
  <si>
    <t>Alarie</t>
  </si>
  <si>
    <t>Taylor</t>
  </si>
  <si>
    <t>Senft</t>
  </si>
  <si>
    <t>Schell</t>
  </si>
  <si>
    <t>Paquin</t>
  </si>
  <si>
    <t>Russell</t>
  </si>
  <si>
    <t>Thibaut</t>
  </si>
  <si>
    <t>Menin</t>
  </si>
  <si>
    <t>Fuamba</t>
  </si>
  <si>
    <t>Poulin</t>
  </si>
  <si>
    <t>Svoboda</t>
  </si>
  <si>
    <t>Lachance</t>
  </si>
  <si>
    <t>de Goede</t>
  </si>
  <si>
    <t>Woodman</t>
  </si>
  <si>
    <t>Fluhler</t>
  </si>
  <si>
    <t>Hirini</t>
  </si>
  <si>
    <t>Delamere</t>
  </si>
  <si>
    <t>Sadaka</t>
  </si>
  <si>
    <t>KICKERS*</t>
  </si>
  <si>
    <t>RSA</t>
  </si>
  <si>
    <t>JPN</t>
  </si>
  <si>
    <t>NZL</t>
  </si>
  <si>
    <t>AUS</t>
  </si>
  <si>
    <t>FIJ</t>
  </si>
  <si>
    <t>CAN</t>
  </si>
  <si>
    <t>USA</t>
  </si>
  <si>
    <t>TOTAL</t>
  </si>
  <si>
    <t>2021 WORLD CUP SCORERS</t>
  </si>
  <si>
    <t>Batibasaga</t>
  </si>
  <si>
    <t>Chancellor</t>
  </si>
  <si>
    <t>Cheatham</t>
  </si>
  <si>
    <t>Hamilton</t>
  </si>
  <si>
    <t>Karpani</t>
  </si>
  <si>
    <t>Kemp</t>
  </si>
  <si>
    <t>Lafai</t>
  </si>
  <si>
    <t>Leaney</t>
  </si>
  <si>
    <t>Leonard</t>
  </si>
  <si>
    <t>Masters</t>
  </si>
  <si>
    <t>Morgan</t>
  </si>
  <si>
    <t>Naden</t>
  </si>
  <si>
    <t>Naiqama</t>
  </si>
  <si>
    <t>O'Gorman</t>
  </si>
  <si>
    <t>Palu</t>
  </si>
  <si>
    <t>Pomare</t>
  </si>
  <si>
    <t>Robinson</t>
  </si>
  <si>
    <t>Schuck</t>
  </si>
  <si>
    <t>Stewart</t>
  </si>
  <si>
    <t>Williams</t>
  </si>
  <si>
    <t>Wong</t>
  </si>
  <si>
    <t>WORLD CUP</t>
  </si>
  <si>
    <t>*ALL TESTS</t>
  </si>
  <si>
    <t>*Complete Info on attempts in Oceania Cup unavailable</t>
  </si>
  <si>
    <t>n/a</t>
  </si>
  <si>
    <t xml:space="preserve"> WC</t>
  </si>
  <si>
    <t>Abe</t>
  </si>
  <si>
    <t>Anoku</t>
  </si>
  <si>
    <t>ito</t>
  </si>
  <si>
    <t>Kawamura</t>
  </si>
  <si>
    <t>Kitano</t>
  </si>
  <si>
    <t>Komaki</t>
  </si>
  <si>
    <t>Korai</t>
  </si>
  <si>
    <t>Minami</t>
  </si>
  <si>
    <t>Nagata I</t>
  </si>
  <si>
    <t>Nagata N</t>
  </si>
  <si>
    <t>Nakayama</t>
  </si>
  <si>
    <t>Sato</t>
  </si>
  <si>
    <t>Suzuki M</t>
  </si>
  <si>
    <t>Suzuki A</t>
  </si>
  <si>
    <t>Takano</t>
  </si>
  <si>
    <t>Tamai</t>
  </si>
  <si>
    <t>Taniguchi</t>
  </si>
  <si>
    <t>Tsukui</t>
  </si>
  <si>
    <t>Yoshimura</t>
  </si>
  <si>
    <t>Bayler</t>
  </si>
  <si>
    <t>Bremner A</t>
  </si>
  <si>
    <t>Bremner C</t>
  </si>
  <si>
    <t>Fitzpatrick</t>
  </si>
  <si>
    <t>Kalounivale</t>
  </si>
  <si>
    <t>Love</t>
  </si>
  <si>
    <t>McMenamin</t>
  </si>
  <si>
    <t>Mikaele-Tu'u</t>
  </si>
  <si>
    <t>Murray</t>
  </si>
  <si>
    <t>Ponsonby</t>
  </si>
  <si>
    <t>Rule</t>
  </si>
  <si>
    <t>Simon</t>
  </si>
  <si>
    <t>Tangen-Wainohu</t>
  </si>
  <si>
    <t>Taumata</t>
  </si>
  <si>
    <t>Booi</t>
  </si>
  <si>
    <t>Charlie</t>
  </si>
  <si>
    <t>Cilliers</t>
  </si>
  <si>
    <t>Gunter</t>
  </si>
  <si>
    <t>Hele</t>
  </si>
  <si>
    <t>Jacobs</t>
  </si>
  <si>
    <t>Janse v Rensburg</t>
  </si>
  <si>
    <t>Latsha</t>
  </si>
  <si>
    <t>Makua</t>
  </si>
  <si>
    <t>Mazibukwana</t>
  </si>
  <si>
    <t>Mkiva</t>
  </si>
  <si>
    <t>Mkhari</t>
  </si>
  <si>
    <t>Ngxingolo</t>
  </si>
  <si>
    <t>Potgieter</t>
  </si>
  <si>
    <t>Qawe, Chumisa</t>
  </si>
  <si>
    <t>Qawe, Chuma</t>
  </si>
  <si>
    <t>Tose</t>
  </si>
  <si>
    <t>Webb</t>
  </si>
  <si>
    <t>Grisez</t>
  </si>
  <si>
    <t>Donu</t>
  </si>
  <si>
    <t>Cavuru</t>
  </si>
  <si>
    <t>Queyroi</t>
  </si>
  <si>
    <t>Emily Tuttosi</t>
  </si>
  <si>
    <t>Portia Woodman</t>
  </si>
  <si>
    <t>Amy Cokayne</t>
  </si>
  <si>
    <t>Aura Muzzo</t>
  </si>
  <si>
    <t>Bienne Terita</t>
  </si>
  <si>
    <t>Brianna Miller</t>
  </si>
  <si>
    <t>Laure Sansus</t>
  </si>
  <si>
    <t>Lydia Thompson</t>
  </si>
  <si>
    <t>Megan Gaffney</t>
  </si>
  <si>
    <t>Ruby Tui</t>
  </si>
  <si>
    <t>Abbie Ward</t>
  </si>
  <si>
    <t>Abby Dow</t>
  </si>
  <si>
    <t>Alisha Butchers</t>
  </si>
  <si>
    <t>Alowesi Nakoci</t>
  </si>
  <si>
    <t>Awhina Tangen-Wainohu</t>
  </si>
  <si>
    <t>Caroline Drouin</t>
  </si>
  <si>
    <t>Connie Powell</t>
  </si>
  <si>
    <t>Emilie Boulard</t>
  </si>
  <si>
    <t>Gabrielle Vernier</t>
  </si>
  <si>
    <t>Hallie Taufoou</t>
  </si>
  <si>
    <t>Helena Rowland</t>
  </si>
  <si>
    <t>Ivania Wong</t>
  </si>
  <si>
    <t>Jenny Kronish</t>
  </si>
  <si>
    <t>Joanah Ngan-Woo</t>
  </si>
  <si>
    <t>Joanna Grisez</t>
  </si>
  <si>
    <t>Kayleigh Powell</t>
  </si>
  <si>
    <t>Lana Skeldon</t>
  </si>
  <si>
    <t>Leanne Infante</t>
  </si>
  <si>
    <t>Claudia Macdonald</t>
  </si>
  <si>
    <t>Emily Scarratt</t>
  </si>
  <si>
    <t xml:space="preserve">Laure Sansus </t>
  </si>
  <si>
    <t xml:space="preserve">Ruby Tui </t>
  </si>
  <si>
    <t xml:space="preserve">Emily Scarratt </t>
  </si>
  <si>
    <t>Nomawethu Mabenge</t>
  </si>
  <si>
    <t>Sesenieli Donu</t>
  </si>
  <si>
    <t>Lavena Cavuru</t>
  </si>
  <si>
    <t>Zoe Aldcroft</t>
  </si>
  <si>
    <t>Vittoria Ostuni Minuzzi</t>
  </si>
  <si>
    <t>Maria Magatti</t>
  </si>
  <si>
    <t>Maki Takano</t>
  </si>
  <si>
    <t>Paige Farries</t>
  </si>
  <si>
    <t>Mikiela Nelson</t>
  </si>
  <si>
    <t>Lina Queyroi</t>
  </si>
  <si>
    <t xml:space="preserve">Connie Powell </t>
  </si>
  <si>
    <t>Elinor Snowsill</t>
  </si>
  <si>
    <t xml:space="preserve">Hallie Taufoou </t>
  </si>
  <si>
    <t>Zoe Harrison</t>
  </si>
  <si>
    <t>Renee Holmes</t>
  </si>
  <si>
    <t>Kendra Cocksedge</t>
  </si>
  <si>
    <t>Arabella McKenzie</t>
  </si>
  <si>
    <t>Michela Sillari</t>
  </si>
  <si>
    <t>Sophie De Goede</t>
  </si>
  <si>
    <t>Keira Bevan</t>
  </si>
  <si>
    <t xml:space="preserve">Ayasa Otsuka </t>
  </si>
  <si>
    <t>Hazel Tubic</t>
  </si>
  <si>
    <t>Helen Nelson</t>
  </si>
  <si>
    <t>Zenay Jordaan</t>
  </si>
  <si>
    <t>Gabriella Cantorna</t>
  </si>
  <si>
    <t xml:space="preserve">Keira Bevan </t>
  </si>
  <si>
    <t>Detiveaux</t>
  </si>
  <si>
    <t>Naisewa</t>
  </si>
  <si>
    <t>Ashley Marsters</t>
  </si>
  <si>
    <t>Lori Cramer</t>
  </si>
  <si>
    <t>Joanna Kitlinski</t>
  </si>
  <si>
    <t>Alev Kelter</t>
  </si>
  <si>
    <t>Elizabeth Cairns</t>
  </si>
  <si>
    <t>Jennine Detiveaux</t>
  </si>
  <si>
    <t>Megumi Abe</t>
  </si>
  <si>
    <t>Hinano Nagura</t>
  </si>
  <si>
    <t>Komachi Imakugi</t>
  </si>
  <si>
    <t>Gaelle Hermet</t>
  </si>
  <si>
    <t xml:space="preserve">Elisa Giordano </t>
  </si>
  <si>
    <t>Elisa Giordano</t>
  </si>
  <si>
    <t>Sara Kaljuvee</t>
  </si>
  <si>
    <t>Ffion Lewis</t>
  </si>
  <si>
    <t>Sioned Harries</t>
  </si>
  <si>
    <t>Chelsea Bremner</t>
  </si>
  <si>
    <t>Sylvia Brunt</t>
  </si>
  <si>
    <t>Maia Roos</t>
  </si>
  <si>
    <t>Theresa Fitzpatrick</t>
  </si>
  <si>
    <t>Krystal Murray</t>
  </si>
  <si>
    <t>Ruahei Demant</t>
  </si>
  <si>
    <t xml:space="preserve">Ruahei Demant </t>
  </si>
  <si>
    <t>Ilisapeci Delaiwau</t>
  </si>
  <si>
    <t>Akanisi Sokoiwasa</t>
  </si>
  <si>
    <t>Karalini Naisewa</t>
  </si>
  <si>
    <t>Zintle Mpupha</t>
  </si>
  <si>
    <t>Aseza Hele</t>
  </si>
  <si>
    <t>*Min 5 attempts</t>
  </si>
  <si>
    <t>Iliseva Batibasaga</t>
  </si>
  <si>
    <t>Ayesha Leti-L'iga</t>
  </si>
  <si>
    <t>Sarah Hirini</t>
  </si>
  <si>
    <t>Liana Mikaele-Tu'u</t>
  </si>
  <si>
    <t>Renee Wickliffe</t>
  </si>
  <si>
    <t>Marine Menager</t>
  </si>
  <si>
    <t>Melissande Llorens</t>
  </si>
  <si>
    <t>Maelle Filopon</t>
  </si>
  <si>
    <t>Emeline Gros</t>
  </si>
  <si>
    <t>Celia Domain</t>
  </si>
  <si>
    <t>Jessy Tremouliere</t>
  </si>
  <si>
    <t>Kyoko Hosokawa</t>
  </si>
  <si>
    <t>Ayasa Otsuka</t>
  </si>
  <si>
    <t>Melissa Bettoni</t>
  </si>
  <si>
    <t>Alex Tessier</t>
  </si>
  <si>
    <t>Olivia DeMerchant</t>
  </si>
  <si>
    <t>Anais Holly</t>
  </si>
  <si>
    <t>Kate Zackary</t>
  </si>
  <si>
    <t xml:space="preserve">Kate Zackary </t>
  </si>
  <si>
    <t>Rosie Galligan</t>
  </si>
  <si>
    <t>Poppy Cleall</t>
  </si>
  <si>
    <t>Shaunagh Brown</t>
  </si>
  <si>
    <t>Marlie Packer</t>
  </si>
  <si>
    <t>Sadia Kabeya</t>
  </si>
  <si>
    <t>Holly Aitchison</t>
  </si>
  <si>
    <t>Laure Touye</t>
  </si>
  <si>
    <t>Amy Rule</t>
  </si>
  <si>
    <t>Luka Connor</t>
  </si>
  <si>
    <t>Alana Bremner</t>
  </si>
  <si>
    <t>Sarah Hunter</t>
  </si>
  <si>
    <t>Alex Matthews</t>
  </si>
  <si>
    <t>Emily Chancellor</t>
  </si>
  <si>
    <t>McKinley Hunt</t>
  </si>
  <si>
    <t>Karen Paquin</t>
  </si>
  <si>
    <t>Alysha Corrigan</t>
  </si>
  <si>
    <t>Tyson Beukeboom</t>
  </si>
  <si>
    <t xml:space="preserve">Stacey Fluhler </t>
  </si>
  <si>
    <t>Stacey Fluhler</t>
  </si>
  <si>
    <t>Romane Menager</t>
  </si>
  <si>
    <t>Bourdon</t>
  </si>
  <si>
    <t>Madoussou Fall</t>
  </si>
  <si>
    <t>Pauline Bourdon</t>
  </si>
  <si>
    <t>Annaelle Deshaye</t>
  </si>
  <si>
    <t>Libbie J v Rensburg</t>
  </si>
  <si>
    <t>Georgia Ponsonby</t>
  </si>
  <si>
    <t>NZl</t>
  </si>
  <si>
    <t>Emily Kildunne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</si>
</sst>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E2AC00"/>
      <name val="Calibri"/>
      <family val="2"/>
      <scheme val="minor"/>
    </font>
    <font>
      <b/>
      <sz val="11"/>
      <color rgb="FFE2AC00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1"/>
      <color rgb="FFFFCF37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b/>
      <sz val="12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C0504D"/>
      <name val="Calibri"/>
      <family val="2"/>
      <scheme val="minor"/>
    </font>
    <font>
      <b/>
      <sz val="11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sz val="8"/>
      <color theme="1"/>
      <name val="Calibri"/>
      <family val="2"/>
    </font>
    <font>
      <sz val="11"/>
      <color rgb="FF00206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theme="6" tint="0.5999938962981048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94">
    <xf numFmtId="0" fontId="0" fillId="0" borderId="0" xfId="0"/>
    <xf numFmtId="0" fontId="8" fillId="6" borderId="4" xfId="0" applyFont="1" applyFill="1" applyBorder="1" applyAlignment="1">
      <alignment horizontal="right" vertical="center" wrapText="1"/>
    </xf>
    <xf numFmtId="0" fontId="8" fillId="0" borderId="0" xfId="0" applyFont="1"/>
    <xf numFmtId="0" fontId="13" fillId="8" borderId="0" xfId="0" applyFont="1" applyFill="1" applyAlignment="1">
      <alignment vertical="center"/>
    </xf>
    <xf numFmtId="14" fontId="15" fillId="8" borderId="3" xfId="0" applyNumberFormat="1" applyFont="1" applyFill="1" applyBorder="1" applyAlignment="1">
      <alignment horizontal="left" vertical="center" wrapText="1"/>
    </xf>
    <xf numFmtId="0" fontId="6" fillId="8" borderId="0" xfId="0" applyFont="1" applyFill="1"/>
    <xf numFmtId="0" fontId="0" fillId="8" borderId="0" xfId="0" applyFill="1"/>
    <xf numFmtId="0" fontId="0" fillId="0" borderId="8" xfId="0" applyBorder="1"/>
    <xf numFmtId="0" fontId="9" fillId="8" borderId="0" xfId="0" applyFont="1" applyFill="1" applyAlignment="1">
      <alignment vertical="center" wrapText="1"/>
    </xf>
    <xf numFmtId="0" fontId="8" fillId="8" borderId="0" xfId="0" applyFont="1" applyFill="1" applyAlignment="1">
      <alignment horizontal="right" vertical="center" wrapText="1"/>
    </xf>
    <xf numFmtId="0" fontId="6" fillId="0" borderId="0" xfId="0" applyFont="1"/>
    <xf numFmtId="0" fontId="6" fillId="0" borderId="8" xfId="0" applyFont="1" applyBorder="1"/>
    <xf numFmtId="1" fontId="14" fillId="8" borderId="0" xfId="0" applyNumberFormat="1" applyFont="1" applyFill="1" applyAlignment="1">
      <alignment horizontal="right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3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right" vertical="center" wrapText="1"/>
    </xf>
    <xf numFmtId="0" fontId="18" fillId="7" borderId="4" xfId="0" applyFont="1" applyFill="1" applyBorder="1" applyAlignment="1">
      <alignment horizontal="right" vertical="center" wrapText="1"/>
    </xf>
    <xf numFmtId="0" fontId="19" fillId="7" borderId="4" xfId="0" applyFont="1" applyFill="1" applyBorder="1" applyAlignment="1">
      <alignment horizontal="right" vertical="center" wrapText="1"/>
    </xf>
    <xf numFmtId="0" fontId="19" fillId="9" borderId="4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right" vertical="center" wrapText="1"/>
    </xf>
    <xf numFmtId="0" fontId="16" fillId="8" borderId="0" xfId="0" applyFont="1" applyFill="1" applyAlignment="1">
      <alignment horizontal="right" vertical="center" wrapText="1"/>
    </xf>
    <xf numFmtId="0" fontId="14" fillId="8" borderId="0" xfId="0" applyFont="1" applyFill="1" applyAlignment="1">
      <alignment horizontal="right" vertical="center" wrapText="1"/>
    </xf>
    <xf numFmtId="0" fontId="14" fillId="8" borderId="0" xfId="0" applyFont="1" applyFill="1" applyAlignment="1">
      <alignment vertical="center" wrapText="1"/>
    </xf>
    <xf numFmtId="1" fontId="16" fillId="8" borderId="0" xfId="0" applyNumberFormat="1" applyFont="1" applyFill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1" fontId="9" fillId="8" borderId="0" xfId="0" applyNumberFormat="1" applyFont="1" applyFill="1" applyAlignment="1">
      <alignment horizontal="right" vertical="center" wrapText="1"/>
    </xf>
    <xf numFmtId="0" fontId="16" fillId="8" borderId="0" xfId="0" applyFont="1" applyFill="1" applyAlignment="1">
      <alignment vertical="center" wrapText="1"/>
    </xf>
    <xf numFmtId="0" fontId="20" fillId="8" borderId="0" xfId="0" applyFont="1" applyFill="1" applyAlignment="1">
      <alignment horizontal="right" vertical="center" wrapText="1"/>
    </xf>
    <xf numFmtId="1" fontId="20" fillId="8" borderId="0" xfId="0" applyNumberFormat="1" applyFont="1" applyFill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1" fontId="14" fillId="2" borderId="4" xfId="0" applyNumberFormat="1" applyFont="1" applyFill="1" applyBorder="1" applyAlignment="1">
      <alignment horizontal="right" vertical="center" wrapText="1"/>
    </xf>
    <xf numFmtId="0" fontId="14" fillId="5" borderId="3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horizontal="right" vertical="center" wrapText="1"/>
    </xf>
    <xf numFmtId="1" fontId="14" fillId="5" borderId="4" xfId="0" applyNumberFormat="1" applyFont="1" applyFill="1" applyBorder="1" applyAlignment="1">
      <alignment horizontal="right" vertical="center" wrapText="1"/>
    </xf>
    <xf numFmtId="0" fontId="14" fillId="4" borderId="3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right" vertical="center" wrapText="1"/>
    </xf>
    <xf numFmtId="0" fontId="14" fillId="9" borderId="3" xfId="0" applyFont="1" applyFill="1" applyBorder="1" applyAlignment="1">
      <alignment vertical="center" wrapText="1"/>
    </xf>
    <xf numFmtId="0" fontId="14" fillId="9" borderId="4" xfId="0" applyFont="1" applyFill="1" applyBorder="1" applyAlignment="1">
      <alignment horizontal="right" vertical="center" wrapText="1"/>
    </xf>
    <xf numFmtId="1" fontId="14" fillId="4" borderId="4" xfId="0" applyNumberFormat="1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right" vertical="center" wrapText="1"/>
    </xf>
    <xf numFmtId="1" fontId="14" fillId="3" borderId="4" xfId="0" applyNumberFormat="1" applyFont="1" applyFill="1" applyBorder="1" applyAlignment="1">
      <alignment horizontal="right" vertical="center" wrapText="1"/>
    </xf>
    <xf numFmtId="0" fontId="2" fillId="8" borderId="0" xfId="0" applyFont="1" applyFill="1" applyAlignment="1">
      <alignment horizontal="center" vertical="center" wrapText="1"/>
    </xf>
    <xf numFmtId="0" fontId="15" fillId="0" borderId="0" xfId="0" applyFont="1"/>
    <xf numFmtId="0" fontId="9" fillId="7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vertical="center" wrapText="1"/>
    </xf>
    <xf numFmtId="0" fontId="4" fillId="11" borderId="2" xfId="0" applyFont="1" applyFill="1" applyBorder="1" applyAlignment="1">
      <alignment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24" fillId="0" borderId="0" xfId="0" applyFont="1"/>
    <xf numFmtId="0" fontId="23" fillId="8" borderId="0" xfId="0" applyFont="1" applyFill="1" applyAlignment="1">
      <alignment vertical="center"/>
    </xf>
    <xf numFmtId="0" fontId="5" fillId="0" borderId="0" xfId="0" applyFont="1"/>
    <xf numFmtId="0" fontId="9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14" fillId="11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9" fillId="8" borderId="4" xfId="0" applyFont="1" applyFill="1" applyBorder="1" applyAlignment="1">
      <alignment horizontal="right" vertical="center" wrapText="1"/>
    </xf>
    <xf numFmtId="1" fontId="14" fillId="7" borderId="4" xfId="0" applyNumberFormat="1" applyFont="1" applyFill="1" applyBorder="1" applyAlignment="1">
      <alignment horizontal="right" vertical="center" wrapText="1"/>
    </xf>
    <xf numFmtId="14" fontId="9" fillId="7" borderId="1" xfId="0" applyNumberFormat="1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horizontal="right" vertical="center" wrapText="1"/>
    </xf>
    <xf numFmtId="1" fontId="10" fillId="8" borderId="4" xfId="0" applyNumberFormat="1" applyFont="1" applyFill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right" vertical="center" wrapText="1"/>
    </xf>
    <xf numFmtId="0" fontId="19" fillId="4" borderId="4" xfId="0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1" fillId="7" borderId="4" xfId="0" applyFont="1" applyFill="1" applyBorder="1" applyAlignment="1">
      <alignment horizontal="right" vertical="center" wrapText="1"/>
    </xf>
    <xf numFmtId="0" fontId="9" fillId="8" borderId="2" xfId="0" applyFont="1" applyFill="1" applyBorder="1" applyAlignment="1">
      <alignment horizontal="right" vertical="center" wrapText="1"/>
    </xf>
    <xf numFmtId="0" fontId="14" fillId="7" borderId="2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horizontal="right" vertical="center" wrapText="1"/>
    </xf>
    <xf numFmtId="0" fontId="19" fillId="7" borderId="2" xfId="0" applyFont="1" applyFill="1" applyBorder="1" applyAlignment="1">
      <alignment horizontal="right" vertical="center" wrapText="1"/>
    </xf>
    <xf numFmtId="0" fontId="14" fillId="7" borderId="2" xfId="0" applyFont="1" applyFill="1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right" vertical="center" wrapText="1"/>
    </xf>
    <xf numFmtId="14" fontId="9" fillId="6" borderId="4" xfId="0" applyNumberFormat="1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9" fillId="4" borderId="2" xfId="0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9" fillId="9" borderId="2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vertical="center" wrapText="1"/>
    </xf>
    <xf numFmtId="0" fontId="14" fillId="9" borderId="2" xfId="0" applyFont="1" applyFill="1" applyBorder="1" applyAlignment="1">
      <alignment vertical="center" wrapText="1"/>
    </xf>
    <xf numFmtId="0" fontId="14" fillId="9" borderId="2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horizontal="right" vertical="center" wrapText="1"/>
    </xf>
    <xf numFmtId="0" fontId="26" fillId="4" borderId="4" xfId="0" applyFont="1" applyFill="1" applyBorder="1" applyAlignment="1">
      <alignment horizontal="right" vertical="center" wrapText="1"/>
    </xf>
    <xf numFmtId="0" fontId="27" fillId="9" borderId="4" xfId="0" applyFont="1" applyFill="1" applyBorder="1" applyAlignment="1">
      <alignment horizontal="right" vertical="center" wrapText="1"/>
    </xf>
    <xf numFmtId="0" fontId="19" fillId="3" borderId="2" xfId="0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right" vertical="center" wrapText="1"/>
    </xf>
    <xf numFmtId="0" fontId="7" fillId="7" borderId="2" xfId="0" applyFont="1" applyFill="1" applyBorder="1" applyAlignment="1">
      <alignment vertical="center" wrapText="1"/>
    </xf>
    <xf numFmtId="0" fontId="14" fillId="11" borderId="4" xfId="0" applyFont="1" applyFill="1" applyBorder="1" applyAlignment="1">
      <alignment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left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/>
    <xf numFmtId="14" fontId="4" fillId="8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25" fillId="8" borderId="0" xfId="0" applyFont="1" applyFill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right" vertical="center" wrapText="1"/>
    </xf>
    <xf numFmtId="0" fontId="29" fillId="7" borderId="4" xfId="0" applyFont="1" applyFill="1" applyBorder="1" applyAlignment="1">
      <alignment horizontal="right" vertical="center" wrapText="1"/>
    </xf>
    <xf numFmtId="0" fontId="18" fillId="8" borderId="2" xfId="0" applyFont="1" applyFill="1" applyBorder="1" applyAlignment="1">
      <alignment horizontal="right" vertical="center" wrapText="1"/>
    </xf>
    <xf numFmtId="0" fontId="18" fillId="8" borderId="4" xfId="0" applyFont="1" applyFill="1" applyBorder="1" applyAlignment="1">
      <alignment horizontal="right" vertical="center" wrapText="1"/>
    </xf>
    <xf numFmtId="0" fontId="1" fillId="0" borderId="0" xfId="0" applyFont="1"/>
    <xf numFmtId="0" fontId="30" fillId="8" borderId="2" xfId="0" applyFont="1" applyFill="1" applyBorder="1" applyAlignment="1">
      <alignment horizontal="right" vertical="center" wrapText="1"/>
    </xf>
    <xf numFmtId="0" fontId="30" fillId="8" borderId="4" xfId="0" applyFont="1" applyFill="1" applyBorder="1" applyAlignment="1">
      <alignment horizontal="right" vertical="center" wrapText="1"/>
    </xf>
    <xf numFmtId="0" fontId="29" fillId="5" borderId="2" xfId="0" applyFont="1" applyFill="1" applyBorder="1" applyAlignment="1">
      <alignment horizontal="righ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right" vertical="center" wrapText="1"/>
    </xf>
    <xf numFmtId="0" fontId="28" fillId="5" borderId="2" xfId="0" applyFont="1" applyFill="1" applyBorder="1" applyAlignment="1">
      <alignment horizontal="right" vertical="center" wrapText="1"/>
    </xf>
    <xf numFmtId="0" fontId="28" fillId="5" borderId="4" xfId="0" applyFont="1" applyFill="1" applyBorder="1" applyAlignment="1">
      <alignment vertical="center" wrapText="1"/>
    </xf>
    <xf numFmtId="0" fontId="31" fillId="7" borderId="2" xfId="0" applyFont="1" applyFill="1" applyBorder="1" applyAlignment="1">
      <alignment horizontal="right" vertical="center" wrapText="1"/>
    </xf>
    <xf numFmtId="0" fontId="31" fillId="7" borderId="4" xfId="0" applyFont="1" applyFill="1" applyBorder="1" applyAlignment="1">
      <alignment horizontal="right" vertical="center" wrapText="1"/>
    </xf>
    <xf numFmtId="0" fontId="32" fillId="2" borderId="2" xfId="0" applyFont="1" applyFill="1" applyBorder="1" applyAlignment="1">
      <alignment horizontal="right" vertical="center" wrapText="1"/>
    </xf>
    <xf numFmtId="0" fontId="32" fillId="2" borderId="4" xfId="0" applyFont="1" applyFill="1" applyBorder="1" applyAlignment="1">
      <alignment horizontal="right" vertical="center" wrapText="1"/>
    </xf>
    <xf numFmtId="0" fontId="32" fillId="7" borderId="2" xfId="0" applyFont="1" applyFill="1" applyBorder="1" applyAlignment="1">
      <alignment horizontal="right" vertical="center" wrapText="1"/>
    </xf>
    <xf numFmtId="0" fontId="32" fillId="7" borderId="4" xfId="0" applyFont="1" applyFill="1" applyBorder="1" applyAlignment="1">
      <alignment horizontal="right" vertical="center" wrapText="1"/>
    </xf>
    <xf numFmtId="0" fontId="0" fillId="8" borderId="13" xfId="0" applyFill="1" applyBorder="1" applyAlignment="1">
      <alignment vertical="center" wrapText="1"/>
    </xf>
    <xf numFmtId="0" fontId="14" fillId="3" borderId="1" xfId="0" applyFont="1" applyFill="1" applyBorder="1"/>
    <xf numFmtId="0" fontId="33" fillId="7" borderId="4" xfId="0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left" vertical="center" wrapText="1"/>
    </xf>
    <xf numFmtId="0" fontId="12" fillId="8" borderId="0" xfId="0" applyFont="1" applyFill="1"/>
    <xf numFmtId="0" fontId="15" fillId="8" borderId="0" xfId="0" applyFont="1" applyFill="1"/>
    <xf numFmtId="0" fontId="29" fillId="8" borderId="0" xfId="0" applyFont="1" applyFill="1" applyAlignment="1">
      <alignment horizontal="right" vertical="center" wrapText="1"/>
    </xf>
    <xf numFmtId="0" fontId="28" fillId="8" borderId="0" xfId="0" applyFont="1" applyFill="1" applyAlignment="1">
      <alignment horizontal="right" vertical="center" wrapText="1"/>
    </xf>
    <xf numFmtId="0" fontId="31" fillId="8" borderId="0" xfId="0" applyFont="1" applyFill="1" applyAlignment="1">
      <alignment horizontal="right" vertical="center" wrapText="1"/>
    </xf>
    <xf numFmtId="0" fontId="21" fillId="8" borderId="13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9" fillId="8" borderId="3" xfId="0" applyFont="1" applyFill="1" applyBorder="1" applyAlignment="1">
      <alignment vertical="center" wrapText="1"/>
    </xf>
    <xf numFmtId="1" fontId="9" fillId="8" borderId="4" xfId="0" applyNumberFormat="1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34" fillId="8" borderId="1" xfId="0" applyFont="1" applyFill="1" applyBorder="1"/>
    <xf numFmtId="0" fontId="20" fillId="13" borderId="2" xfId="0" applyFont="1" applyFill="1" applyBorder="1" applyAlignment="1">
      <alignment vertical="center" wrapText="1"/>
    </xf>
    <xf numFmtId="0" fontId="9" fillId="13" borderId="2" xfId="0" applyFont="1" applyFill="1" applyBorder="1" applyAlignment="1">
      <alignment horizontal="right" vertical="center" wrapText="1"/>
    </xf>
    <xf numFmtId="0" fontId="20" fillId="13" borderId="4" xfId="0" applyFont="1" applyFill="1" applyBorder="1" applyAlignment="1">
      <alignment vertical="center" wrapText="1"/>
    </xf>
    <xf numFmtId="0" fontId="9" fillId="13" borderId="4" xfId="0" applyFont="1" applyFill="1" applyBorder="1" applyAlignment="1">
      <alignment horizontal="right" vertical="center" wrapText="1"/>
    </xf>
    <xf numFmtId="0" fontId="20" fillId="13" borderId="3" xfId="0" applyFont="1" applyFill="1" applyBorder="1" applyAlignment="1">
      <alignment vertical="center" wrapText="1"/>
    </xf>
    <xf numFmtId="0" fontId="20" fillId="13" borderId="1" xfId="0" applyFont="1" applyFill="1" applyBorder="1" applyAlignment="1">
      <alignment vertical="center" wrapText="1"/>
    </xf>
    <xf numFmtId="0" fontId="30" fillId="13" borderId="2" xfId="0" applyFont="1" applyFill="1" applyBorder="1" applyAlignment="1">
      <alignment horizontal="right" vertical="center" wrapText="1"/>
    </xf>
    <xf numFmtId="0" fontId="30" fillId="13" borderId="4" xfId="0" applyFont="1" applyFill="1" applyBorder="1" applyAlignment="1">
      <alignment horizontal="right" vertical="center" wrapText="1"/>
    </xf>
    <xf numFmtId="14" fontId="35" fillId="12" borderId="3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14" fontId="37" fillId="8" borderId="3" xfId="0" applyNumberFormat="1" applyFont="1" applyFill="1" applyBorder="1" applyAlignment="1">
      <alignment horizontal="left" vertical="center" wrapText="1"/>
    </xf>
    <xf numFmtId="0" fontId="36" fillId="6" borderId="2" xfId="0" applyFont="1" applyFill="1" applyBorder="1" applyAlignment="1">
      <alignment vertical="center" wrapText="1"/>
    </xf>
    <xf numFmtId="0" fontId="36" fillId="6" borderId="4" xfId="0" applyFont="1" applyFill="1" applyBorder="1" applyAlignment="1">
      <alignment vertical="center" wrapText="1"/>
    </xf>
    <xf numFmtId="0" fontId="36" fillId="4" borderId="2" xfId="0" applyFont="1" applyFill="1" applyBorder="1" applyAlignment="1">
      <alignment vertical="center" wrapText="1"/>
    </xf>
    <xf numFmtId="0" fontId="30" fillId="4" borderId="2" xfId="0" applyFont="1" applyFill="1" applyBorder="1" applyAlignment="1">
      <alignment horizontal="right" vertical="center" wrapText="1"/>
    </xf>
    <xf numFmtId="0" fontId="36" fillId="4" borderId="4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horizontal="right" vertical="center" wrapText="1"/>
    </xf>
    <xf numFmtId="14" fontId="34" fillId="4" borderId="3" xfId="0" applyNumberFormat="1" applyFont="1" applyFill="1" applyBorder="1" applyAlignment="1">
      <alignment horizontal="left" vertical="center" wrapText="1"/>
    </xf>
    <xf numFmtId="0" fontId="39" fillId="14" borderId="1" xfId="0" applyFont="1" applyFill="1" applyBorder="1" applyAlignment="1">
      <alignment vertical="center" wrapText="1"/>
    </xf>
    <xf numFmtId="0" fontId="39" fillId="14" borderId="3" xfId="0" applyFont="1" applyFill="1" applyBorder="1" applyAlignment="1">
      <alignment vertical="center" wrapText="1"/>
    </xf>
    <xf numFmtId="0" fontId="30" fillId="14" borderId="2" xfId="0" applyFont="1" applyFill="1" applyBorder="1" applyAlignment="1">
      <alignment horizontal="right" vertical="center" wrapText="1"/>
    </xf>
    <xf numFmtId="0" fontId="30" fillId="14" borderId="4" xfId="0" applyFont="1" applyFill="1" applyBorder="1" applyAlignment="1">
      <alignment horizontal="right" vertical="center" wrapText="1"/>
    </xf>
    <xf numFmtId="0" fontId="39" fillId="14" borderId="2" xfId="0" applyFont="1" applyFill="1" applyBorder="1" applyAlignment="1">
      <alignment horizontal="right" vertical="center" wrapText="1"/>
    </xf>
    <xf numFmtId="0" fontId="39" fillId="14" borderId="4" xfId="0" applyFont="1" applyFill="1" applyBorder="1" applyAlignment="1">
      <alignment horizontal="right" vertical="center" wrapText="1"/>
    </xf>
    <xf numFmtId="0" fontId="36" fillId="14" borderId="2" xfId="0" applyFont="1" applyFill="1" applyBorder="1" applyAlignment="1">
      <alignment vertical="center" wrapText="1"/>
    </xf>
    <xf numFmtId="0" fontId="36" fillId="14" borderId="4" xfId="0" applyFont="1" applyFill="1" applyBorder="1" applyAlignment="1">
      <alignment vertical="center" wrapText="1"/>
    </xf>
    <xf numFmtId="14" fontId="40" fillId="14" borderId="3" xfId="0" applyNumberFormat="1" applyFont="1" applyFill="1" applyBorder="1" applyAlignment="1">
      <alignment horizontal="left" vertical="center" wrapText="1"/>
    </xf>
    <xf numFmtId="1" fontId="39" fillId="14" borderId="4" xfId="0" applyNumberFormat="1" applyFont="1" applyFill="1" applyBorder="1" applyAlignment="1">
      <alignment horizontal="right" vertical="center" wrapText="1"/>
    </xf>
    <xf numFmtId="0" fontId="40" fillId="14" borderId="1" xfId="0" applyFont="1" applyFill="1" applyBorder="1"/>
    <xf numFmtId="0" fontId="41" fillId="6" borderId="2" xfId="0" applyFont="1" applyFill="1" applyBorder="1" applyAlignment="1">
      <alignment horizontal="right" vertical="center" wrapText="1"/>
    </xf>
    <xf numFmtId="0" fontId="41" fillId="6" borderId="4" xfId="0" applyFont="1" applyFill="1" applyBorder="1" applyAlignment="1">
      <alignment horizontal="right" vertical="center" wrapText="1"/>
    </xf>
    <xf numFmtId="0" fontId="36" fillId="12" borderId="2" xfId="0" applyFont="1" applyFill="1" applyBorder="1" applyAlignment="1">
      <alignment vertical="center" wrapText="1"/>
    </xf>
    <xf numFmtId="0" fontId="36" fillId="12" borderId="4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vertical="center" wrapText="1"/>
    </xf>
    <xf numFmtId="0" fontId="36" fillId="13" borderId="4" xfId="0" applyFont="1" applyFill="1" applyBorder="1" applyAlignment="1">
      <alignment vertical="center" wrapText="1"/>
    </xf>
    <xf numFmtId="0" fontId="41" fillId="12" borderId="2" xfId="0" applyFont="1" applyFill="1" applyBorder="1" applyAlignment="1">
      <alignment horizontal="right" vertical="center" wrapText="1"/>
    </xf>
    <xf numFmtId="0" fontId="41" fillId="12" borderId="4" xfId="0" applyFont="1" applyFill="1" applyBorder="1" applyAlignment="1">
      <alignment horizontal="right" vertical="center" wrapText="1"/>
    </xf>
    <xf numFmtId="0" fontId="39" fillId="14" borderId="0" xfId="0" applyFont="1" applyFill="1"/>
    <xf numFmtId="1" fontId="39" fillId="14" borderId="0" xfId="0" applyNumberFormat="1" applyFont="1" applyFill="1"/>
    <xf numFmtId="0" fontId="39" fillId="14" borderId="11" xfId="0" applyFont="1" applyFill="1" applyBorder="1"/>
    <xf numFmtId="0" fontId="39" fillId="14" borderId="12" xfId="0" applyFont="1" applyFill="1" applyBorder="1"/>
    <xf numFmtId="1" fontId="39" fillId="14" borderId="12" xfId="0" applyNumberFormat="1" applyFont="1" applyFill="1" applyBorder="1"/>
    <xf numFmtId="0" fontId="39" fillId="14" borderId="2" xfId="0" applyFont="1" applyFill="1" applyBorder="1"/>
    <xf numFmtId="1" fontId="39" fillId="14" borderId="2" xfId="0" applyNumberFormat="1" applyFont="1" applyFill="1" applyBorder="1"/>
    <xf numFmtId="0" fontId="11" fillId="8" borderId="2" xfId="0" applyFont="1" applyFill="1" applyBorder="1" applyAlignment="1">
      <alignment horizontal="right" vertical="center" wrapText="1"/>
    </xf>
    <xf numFmtId="0" fontId="11" fillId="8" borderId="4" xfId="0" applyFont="1" applyFill="1" applyBorder="1" applyAlignment="1">
      <alignment horizontal="right" vertical="center" wrapText="1"/>
    </xf>
    <xf numFmtId="0" fontId="14" fillId="15" borderId="1" xfId="0" applyFont="1" applyFill="1" applyBorder="1" applyAlignment="1">
      <alignment vertical="center" wrapText="1"/>
    </xf>
    <xf numFmtId="0" fontId="14" fillId="15" borderId="3" xfId="0" applyFont="1" applyFill="1" applyBorder="1" applyAlignment="1">
      <alignment vertical="center" wrapText="1"/>
    </xf>
    <xf numFmtId="0" fontId="14" fillId="15" borderId="2" xfId="0" applyFont="1" applyFill="1" applyBorder="1" applyAlignment="1">
      <alignment horizontal="right" vertical="center" wrapText="1"/>
    </xf>
    <xf numFmtId="0" fontId="14" fillId="15" borderId="4" xfId="0" applyFont="1" applyFill="1" applyBorder="1" applyAlignment="1">
      <alignment horizontal="right" vertical="center" wrapText="1"/>
    </xf>
    <xf numFmtId="0" fontId="42" fillId="15" borderId="2" xfId="0" applyFont="1" applyFill="1" applyBorder="1" applyAlignment="1">
      <alignment horizontal="right" vertical="center" wrapText="1"/>
    </xf>
    <xf numFmtId="0" fontId="42" fillId="15" borderId="4" xfId="0" applyFont="1" applyFill="1" applyBorder="1" applyAlignment="1">
      <alignment horizontal="right" vertical="center" wrapText="1"/>
    </xf>
    <xf numFmtId="14" fontId="6" fillId="15" borderId="3" xfId="0" applyNumberFormat="1" applyFont="1" applyFill="1" applyBorder="1" applyAlignment="1">
      <alignment horizontal="left" vertical="center" wrapText="1"/>
    </xf>
    <xf numFmtId="1" fontId="14" fillId="15" borderId="4" xfId="0" applyNumberFormat="1" applyFont="1" applyFill="1" applyBorder="1" applyAlignment="1">
      <alignment horizontal="right" vertical="center" wrapText="1"/>
    </xf>
    <xf numFmtId="0" fontId="6" fillId="15" borderId="1" xfId="0" applyFont="1" applyFill="1" applyBorder="1"/>
    <xf numFmtId="0" fontId="14" fillId="7" borderId="1" xfId="0" applyFont="1" applyFill="1" applyBorder="1" applyAlignment="1">
      <alignment vertical="center" wrapText="1"/>
    </xf>
    <xf numFmtId="0" fontId="32" fillId="3" borderId="3" xfId="0" applyFont="1" applyFill="1" applyBorder="1" applyAlignment="1">
      <alignment vertical="center" wrapText="1"/>
    </xf>
    <xf numFmtId="14" fontId="44" fillId="3" borderId="3" xfId="0" applyNumberFormat="1" applyFont="1" applyFill="1" applyBorder="1" applyAlignment="1">
      <alignment horizontal="left" vertical="center" wrapText="1"/>
    </xf>
    <xf numFmtId="0" fontId="32" fillId="3" borderId="4" xfId="0" applyFont="1" applyFill="1" applyBorder="1" applyAlignment="1">
      <alignment horizontal="right" vertical="center" wrapText="1"/>
    </xf>
    <xf numFmtId="1" fontId="32" fillId="3" borderId="4" xfId="0" applyNumberFormat="1" applyFont="1" applyFill="1" applyBorder="1" applyAlignment="1">
      <alignment horizontal="right" vertical="center" wrapText="1"/>
    </xf>
    <xf numFmtId="0" fontId="44" fillId="3" borderId="1" xfId="0" applyFont="1" applyFill="1" applyBorder="1"/>
    <xf numFmtId="0" fontId="45" fillId="15" borderId="2" xfId="0" applyFont="1" applyFill="1" applyBorder="1" applyAlignment="1">
      <alignment horizontal="right" vertical="center" wrapText="1"/>
    </xf>
    <xf numFmtId="0" fontId="45" fillId="15" borderId="4" xfId="0" applyFont="1" applyFill="1" applyBorder="1" applyAlignment="1">
      <alignment vertical="center" wrapText="1"/>
    </xf>
    <xf numFmtId="0" fontId="45" fillId="7" borderId="2" xfId="0" applyFont="1" applyFill="1" applyBorder="1" applyAlignment="1">
      <alignment horizontal="right" vertical="center" wrapText="1"/>
    </xf>
    <xf numFmtId="0" fontId="45" fillId="7" borderId="4" xfId="0" applyFont="1" applyFill="1" applyBorder="1" applyAlignment="1">
      <alignment vertical="center" wrapText="1"/>
    </xf>
    <xf numFmtId="0" fontId="45" fillId="7" borderId="2" xfId="0" applyFont="1" applyFill="1" applyBorder="1" applyAlignment="1">
      <alignment vertical="center" wrapText="1"/>
    </xf>
    <xf numFmtId="0" fontId="47" fillId="12" borderId="1" xfId="0" applyFont="1" applyFill="1" applyBorder="1" applyAlignment="1">
      <alignment vertical="center" wrapText="1"/>
    </xf>
    <xf numFmtId="0" fontId="47" fillId="12" borderId="3" xfId="0" applyFont="1" applyFill="1" applyBorder="1" applyAlignment="1">
      <alignment vertical="center" wrapText="1"/>
    </xf>
    <xf numFmtId="0" fontId="47" fillId="12" borderId="4" xfId="0" applyFont="1" applyFill="1" applyBorder="1" applyAlignment="1">
      <alignment horizontal="right" vertical="center" wrapText="1"/>
    </xf>
    <xf numFmtId="1" fontId="47" fillId="12" borderId="4" xfId="0" applyNumberFormat="1" applyFont="1" applyFill="1" applyBorder="1" applyAlignment="1">
      <alignment horizontal="right" vertical="center" wrapText="1"/>
    </xf>
    <xf numFmtId="0" fontId="48" fillId="12" borderId="1" xfId="0" applyFont="1" applyFill="1" applyBorder="1"/>
    <xf numFmtId="0" fontId="47" fillId="12" borderId="1" xfId="0" applyFont="1" applyFill="1" applyBorder="1" applyAlignment="1">
      <alignment horizontal="right" vertical="center" wrapText="1"/>
    </xf>
    <xf numFmtId="0" fontId="47" fillId="12" borderId="2" xfId="0" applyFont="1" applyFill="1" applyBorder="1" applyAlignment="1">
      <alignment horizontal="right" vertical="center" wrapText="1"/>
    </xf>
    <xf numFmtId="0" fontId="51" fillId="4" borderId="1" xfId="0" applyFont="1" applyFill="1" applyBorder="1" applyAlignment="1">
      <alignment vertical="center" wrapText="1"/>
    </xf>
    <xf numFmtId="0" fontId="51" fillId="4" borderId="3" xfId="0" applyFont="1" applyFill="1" applyBorder="1" applyAlignment="1">
      <alignment vertical="center" wrapText="1"/>
    </xf>
    <xf numFmtId="0" fontId="51" fillId="4" borderId="4" xfId="0" applyFont="1" applyFill="1" applyBorder="1" applyAlignment="1">
      <alignment horizontal="right" vertical="center" wrapText="1"/>
    </xf>
    <xf numFmtId="1" fontId="51" fillId="4" borderId="4" xfId="0" applyNumberFormat="1" applyFont="1" applyFill="1" applyBorder="1" applyAlignment="1">
      <alignment horizontal="right" vertical="center" wrapText="1"/>
    </xf>
    <xf numFmtId="0" fontId="52" fillId="4" borderId="1" xfId="0" applyFont="1" applyFill="1" applyBorder="1"/>
    <xf numFmtId="0" fontId="51" fillId="4" borderId="2" xfId="0" applyFont="1" applyFill="1" applyBorder="1" applyAlignment="1">
      <alignment horizontal="right" vertical="center" wrapText="1"/>
    </xf>
    <xf numFmtId="0" fontId="54" fillId="4" borderId="1" xfId="0" applyFont="1" applyFill="1" applyBorder="1" applyAlignment="1">
      <alignment vertical="center" wrapText="1"/>
    </xf>
    <xf numFmtId="0" fontId="54" fillId="4" borderId="3" xfId="0" applyFont="1" applyFill="1" applyBorder="1" applyAlignment="1">
      <alignment vertical="center" wrapText="1"/>
    </xf>
    <xf numFmtId="0" fontId="54" fillId="4" borderId="4" xfId="0" applyFont="1" applyFill="1" applyBorder="1" applyAlignment="1">
      <alignment horizontal="right" vertical="center" wrapText="1"/>
    </xf>
    <xf numFmtId="1" fontId="54" fillId="4" borderId="4" xfId="0" applyNumberFormat="1" applyFont="1" applyFill="1" applyBorder="1" applyAlignment="1">
      <alignment horizontal="right" vertical="center" wrapText="1"/>
    </xf>
    <xf numFmtId="0" fontId="14" fillId="5" borderId="2" xfId="0" applyFont="1" applyFill="1" applyBorder="1" applyAlignment="1">
      <alignment horizontal="right" vertical="center" wrapText="1"/>
    </xf>
    <xf numFmtId="0" fontId="32" fillId="3" borderId="2" xfId="0" applyFont="1" applyFill="1" applyBorder="1" applyAlignment="1">
      <alignment horizontal="right" vertical="center" wrapText="1"/>
    </xf>
    <xf numFmtId="0" fontId="14" fillId="6" borderId="2" xfId="0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right" vertical="center" wrapText="1"/>
    </xf>
    <xf numFmtId="14" fontId="0" fillId="0" borderId="0" xfId="0" applyNumberFormat="1" applyAlignment="1">
      <alignment horizontal="left"/>
    </xf>
    <xf numFmtId="0" fontId="4" fillId="7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14" fontId="14" fillId="7" borderId="3" xfId="0" applyNumberFormat="1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/>
    </xf>
    <xf numFmtId="0" fontId="55" fillId="0" borderId="0" xfId="0" applyFont="1"/>
    <xf numFmtId="0" fontId="20" fillId="12" borderId="4" xfId="0" applyFont="1" applyFill="1" applyBorder="1" applyAlignment="1">
      <alignment horizontal="right" vertical="center" wrapText="1"/>
    </xf>
    <xf numFmtId="0" fontId="20" fillId="12" borderId="2" xfId="0" applyFont="1" applyFill="1" applyBorder="1" applyAlignment="1">
      <alignment horizontal="right" vertical="center" wrapText="1"/>
    </xf>
    <xf numFmtId="0" fontId="20" fillId="13" borderId="2" xfId="0" applyFont="1" applyFill="1" applyBorder="1" applyAlignment="1">
      <alignment horizontal="right" vertical="center" wrapText="1"/>
    </xf>
    <xf numFmtId="0" fontId="20" fillId="13" borderId="4" xfId="0" applyFont="1" applyFill="1" applyBorder="1" applyAlignment="1">
      <alignment horizontal="right" vertical="center" wrapText="1"/>
    </xf>
    <xf numFmtId="14" fontId="56" fillId="16" borderId="3" xfId="0" applyNumberFormat="1" applyFont="1" applyFill="1" applyBorder="1" applyAlignment="1">
      <alignment horizontal="left" vertical="center" wrapText="1"/>
    </xf>
    <xf numFmtId="0" fontId="57" fillId="3" borderId="2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 wrapText="1"/>
    </xf>
    <xf numFmtId="0" fontId="57" fillId="7" borderId="2" xfId="0" applyFont="1" applyFill="1" applyBorder="1" applyAlignment="1">
      <alignment horizontal="right" vertical="center" wrapText="1"/>
    </xf>
    <xf numFmtId="0" fontId="57" fillId="7" borderId="4" xfId="0" applyFont="1" applyFill="1" applyBorder="1" applyAlignment="1">
      <alignment horizontal="right" vertical="center" wrapText="1"/>
    </xf>
    <xf numFmtId="0" fontId="57" fillId="8" borderId="4" xfId="0" applyFont="1" applyFill="1" applyBorder="1" applyAlignment="1">
      <alignment horizontal="right" vertical="center" wrapText="1"/>
    </xf>
    <xf numFmtId="0" fontId="57" fillId="8" borderId="2" xfId="0" applyFont="1" applyFill="1" applyBorder="1" applyAlignment="1">
      <alignment horizontal="right" vertical="center" wrapText="1"/>
    </xf>
    <xf numFmtId="0" fontId="9" fillId="8" borderId="1" xfId="0" applyFont="1" applyFill="1" applyBorder="1"/>
    <xf numFmtId="0" fontId="57" fillId="4" borderId="2" xfId="0" applyFont="1" applyFill="1" applyBorder="1" applyAlignment="1">
      <alignment horizontal="right" vertical="center" wrapText="1"/>
    </xf>
    <xf numFmtId="0" fontId="57" fillId="4" borderId="4" xfId="0" applyFont="1" applyFill="1" applyBorder="1" applyAlignment="1">
      <alignment horizontal="right" vertical="center" wrapText="1"/>
    </xf>
    <xf numFmtId="0" fontId="57" fillId="5" borderId="2" xfId="0" applyFont="1" applyFill="1" applyBorder="1" applyAlignment="1">
      <alignment horizontal="right" vertical="center" wrapText="1"/>
    </xf>
    <xf numFmtId="0" fontId="57" fillId="5" borderId="4" xfId="0" applyFont="1" applyFill="1" applyBorder="1" applyAlignment="1">
      <alignment vertical="center" wrapText="1"/>
    </xf>
    <xf numFmtId="0" fontId="58" fillId="0" borderId="0" xfId="0" applyFont="1"/>
    <xf numFmtId="0" fontId="57" fillId="8" borderId="2" xfId="0" applyFont="1" applyFill="1" applyBorder="1" applyAlignment="1">
      <alignment vertical="center" wrapText="1"/>
    </xf>
    <xf numFmtId="0" fontId="57" fillId="8" borderId="4" xfId="0" applyFont="1" applyFill="1" applyBorder="1" applyAlignment="1">
      <alignment vertical="center" wrapText="1"/>
    </xf>
    <xf numFmtId="0" fontId="59" fillId="6" borderId="2" xfId="0" applyFont="1" applyFill="1" applyBorder="1" applyAlignment="1">
      <alignment vertical="center" wrapText="1"/>
    </xf>
    <xf numFmtId="0" fontId="59" fillId="6" borderId="4" xfId="0" applyFont="1" applyFill="1" applyBorder="1" applyAlignment="1">
      <alignment vertical="center" wrapText="1"/>
    </xf>
    <xf numFmtId="0" fontId="57" fillId="14" borderId="2" xfId="0" applyFont="1" applyFill="1" applyBorder="1" applyAlignment="1">
      <alignment horizontal="right" vertical="center" wrapText="1"/>
    </xf>
    <xf numFmtId="0" fontId="57" fillId="14" borderId="4" xfId="0" applyFont="1" applyFill="1" applyBorder="1" applyAlignment="1">
      <alignment horizontal="right" vertical="center" wrapText="1"/>
    </xf>
    <xf numFmtId="0" fontId="59" fillId="6" borderId="2" xfId="0" applyFont="1" applyFill="1" applyBorder="1" applyAlignment="1">
      <alignment horizontal="right" vertical="center" wrapText="1"/>
    </xf>
    <xf numFmtId="0" fontId="59" fillId="6" borderId="4" xfId="0" applyFont="1" applyFill="1" applyBorder="1" applyAlignment="1">
      <alignment horizontal="right" vertical="center" wrapText="1"/>
    </xf>
    <xf numFmtId="0" fontId="57" fillId="9" borderId="2" xfId="0" applyFont="1" applyFill="1" applyBorder="1" applyAlignment="1">
      <alignment horizontal="right" vertical="center" wrapText="1"/>
    </xf>
    <xf numFmtId="0" fontId="57" fillId="9" borderId="4" xfId="0" applyFont="1" applyFill="1" applyBorder="1" applyAlignment="1">
      <alignment horizontal="right" vertical="center" wrapText="1"/>
    </xf>
    <xf numFmtId="0" fontId="57" fillId="15" borderId="2" xfId="0" applyFont="1" applyFill="1" applyBorder="1" applyAlignment="1">
      <alignment horizontal="right" vertical="center" wrapText="1"/>
    </xf>
    <xf numFmtId="0" fontId="57" fillId="15" borderId="4" xfId="0" applyFont="1" applyFill="1" applyBorder="1" applyAlignment="1">
      <alignment vertical="center" wrapText="1"/>
    </xf>
    <xf numFmtId="0" fontId="57" fillId="7" borderId="4" xfId="0" applyFont="1" applyFill="1" applyBorder="1" applyAlignment="1">
      <alignment vertical="center" wrapText="1"/>
    </xf>
    <xf numFmtId="0" fontId="57" fillId="7" borderId="2" xfId="0" applyFont="1" applyFill="1" applyBorder="1" applyAlignment="1">
      <alignment vertical="center" wrapText="1"/>
    </xf>
    <xf numFmtId="0" fontId="57" fillId="8" borderId="0" xfId="0" applyFont="1" applyFill="1" applyAlignment="1">
      <alignment vertical="center" wrapText="1"/>
    </xf>
    <xf numFmtId="0" fontId="45" fillId="8" borderId="0" xfId="0" applyFont="1" applyFill="1" applyAlignment="1">
      <alignment vertical="center" wrapText="1"/>
    </xf>
    <xf numFmtId="0" fontId="42" fillId="8" borderId="0" xfId="0" applyFont="1" applyFill="1" applyAlignment="1">
      <alignment horizontal="right" vertical="center" wrapText="1"/>
    </xf>
    <xf numFmtId="0" fontId="32" fillId="8" borderId="0" xfId="0" applyFont="1" applyFill="1" applyAlignment="1">
      <alignment horizontal="right" vertical="center" wrapText="1"/>
    </xf>
    <xf numFmtId="0" fontId="60" fillId="7" borderId="3" xfId="0" applyFont="1" applyFill="1" applyBorder="1" applyAlignment="1">
      <alignment vertical="center" wrapText="1"/>
    </xf>
    <xf numFmtId="0" fontId="61" fillId="7" borderId="3" xfId="0" applyFont="1" applyFill="1" applyBorder="1" applyAlignment="1">
      <alignment vertical="center" wrapText="1"/>
    </xf>
    <xf numFmtId="0" fontId="62" fillId="7" borderId="3" xfId="0" applyFont="1" applyFill="1" applyBorder="1" applyAlignment="1">
      <alignment vertical="center" wrapText="1"/>
    </xf>
    <xf numFmtId="0" fontId="62" fillId="11" borderId="3" xfId="0" applyFont="1" applyFill="1" applyBorder="1" applyAlignment="1">
      <alignment vertical="center" wrapText="1"/>
    </xf>
    <xf numFmtId="0" fontId="60" fillId="11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right" vertical="center" wrapText="1"/>
    </xf>
    <xf numFmtId="0" fontId="20" fillId="9" borderId="4" xfId="0" applyFont="1" applyFill="1" applyBorder="1" applyAlignment="1">
      <alignment horizontal="right" vertical="center" wrapText="1"/>
    </xf>
    <xf numFmtId="0" fontId="20" fillId="8" borderId="4" xfId="0" applyFont="1" applyFill="1" applyBorder="1" applyAlignment="1">
      <alignment horizontal="right" vertical="center" wrapText="1"/>
    </xf>
    <xf numFmtId="0" fontId="20" fillId="7" borderId="4" xfId="0" applyFont="1" applyFill="1" applyBorder="1" applyAlignment="1">
      <alignment horizontal="right" vertical="center" wrapText="1"/>
    </xf>
    <xf numFmtId="0" fontId="63" fillId="7" borderId="4" xfId="0" applyFont="1" applyFill="1" applyBorder="1" applyAlignment="1">
      <alignment horizontal="center" vertical="center" wrapText="1"/>
    </xf>
    <xf numFmtId="0" fontId="64" fillId="8" borderId="0" xfId="0" applyFont="1" applyFill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vertical="center" wrapText="1"/>
    </xf>
    <xf numFmtId="0" fontId="0" fillId="0" borderId="0" xfId="0"/>
    <xf numFmtId="0" fontId="46" fillId="12" borderId="11" xfId="0" applyFont="1" applyFill="1" applyBorder="1" applyAlignment="1">
      <alignment horizontal="left" vertical="center"/>
    </xf>
    <xf numFmtId="0" fontId="46" fillId="12" borderId="12" xfId="0" applyFont="1" applyFill="1" applyBorder="1" applyAlignment="1">
      <alignment horizontal="left" vertical="center"/>
    </xf>
    <xf numFmtId="0" fontId="46" fillId="12" borderId="2" xfId="0" applyFont="1" applyFill="1" applyBorder="1" applyAlignment="1">
      <alignment horizontal="left" vertical="center"/>
    </xf>
    <xf numFmtId="0" fontId="47" fillId="12" borderId="7" xfId="0" applyFont="1" applyFill="1" applyBorder="1" applyAlignment="1">
      <alignment horizontal="left" vertical="center" wrapText="1"/>
    </xf>
    <xf numFmtId="0" fontId="47" fillId="12" borderId="3" xfId="0" applyFont="1" applyFill="1" applyBorder="1" applyAlignment="1">
      <alignment horizontal="left" vertical="center" wrapText="1"/>
    </xf>
    <xf numFmtId="0" fontId="36" fillId="8" borderId="7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49" fillId="16" borderId="7" xfId="0" applyFont="1" applyFill="1" applyBorder="1" applyAlignment="1">
      <alignment horizontal="left" vertical="center" wrapText="1"/>
    </xf>
    <xf numFmtId="0" fontId="49" fillId="16" borderId="3" xfId="0" applyFont="1" applyFill="1" applyBorder="1" applyAlignment="1">
      <alignment horizontal="left" vertical="center" wrapText="1"/>
    </xf>
    <xf numFmtId="0" fontId="43" fillId="3" borderId="11" xfId="0" applyFont="1" applyFill="1" applyBorder="1" applyAlignment="1">
      <alignment horizontal="left" vertical="center"/>
    </xf>
    <xf numFmtId="0" fontId="43" fillId="3" borderId="12" xfId="0" applyFont="1" applyFill="1" applyBorder="1" applyAlignment="1">
      <alignment horizontal="left" vertical="center"/>
    </xf>
    <xf numFmtId="0" fontId="43" fillId="3" borderId="2" xfId="0" applyFont="1" applyFill="1" applyBorder="1" applyAlignment="1">
      <alignment horizontal="left" vertical="center"/>
    </xf>
    <xf numFmtId="0" fontId="32" fillId="3" borderId="7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53" fillId="4" borderId="9" xfId="0" applyFont="1" applyFill="1" applyBorder="1" applyAlignment="1">
      <alignment horizontal="left" vertical="center"/>
    </xf>
    <xf numFmtId="0" fontId="53" fillId="4" borderId="8" xfId="0" applyFont="1" applyFill="1" applyBorder="1" applyAlignment="1">
      <alignment horizontal="left" vertical="center"/>
    </xf>
    <xf numFmtId="0" fontId="53" fillId="4" borderId="6" xfId="0" applyFont="1" applyFill="1" applyBorder="1" applyAlignment="1">
      <alignment horizontal="left" vertical="center"/>
    </xf>
    <xf numFmtId="0" fontId="54" fillId="4" borderId="7" xfId="0" applyFont="1" applyFill="1" applyBorder="1" applyAlignment="1">
      <alignment horizontal="left" vertical="center" wrapText="1"/>
    </xf>
    <xf numFmtId="0" fontId="54" fillId="4" borderId="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0" fillId="8" borderId="7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38" fillId="14" borderId="11" xfId="0" applyFont="1" applyFill="1" applyBorder="1" applyAlignment="1">
      <alignment horizontal="left" vertical="center"/>
    </xf>
    <xf numFmtId="0" fontId="38" fillId="14" borderId="12" xfId="0" applyFont="1" applyFill="1" applyBorder="1" applyAlignment="1">
      <alignment horizontal="left" vertical="center"/>
    </xf>
    <xf numFmtId="0" fontId="38" fillId="14" borderId="2" xfId="0" applyFont="1" applyFill="1" applyBorder="1" applyAlignment="1">
      <alignment horizontal="left" vertical="center"/>
    </xf>
    <xf numFmtId="0" fontId="39" fillId="14" borderId="7" xfId="0" applyFont="1" applyFill="1" applyBorder="1" applyAlignment="1">
      <alignment horizontal="left" vertical="center" wrapText="1"/>
    </xf>
    <xf numFmtId="0" fontId="39" fillId="14" borderId="3" xfId="0" applyFont="1" applyFill="1" applyBorder="1" applyAlignment="1">
      <alignment horizontal="left" vertical="center" wrapText="1"/>
    </xf>
    <xf numFmtId="0" fontId="15" fillId="8" borderId="8" xfId="0" applyFont="1" applyFill="1" applyBorder="1" applyAlignment="1">
      <alignment vertical="center" wrapText="1"/>
    </xf>
    <xf numFmtId="0" fontId="0" fillId="0" borderId="8" xfId="0" applyBorder="1"/>
    <xf numFmtId="0" fontId="7" fillId="4" borderId="9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15" borderId="7" xfId="0" applyFont="1" applyFill="1" applyBorder="1" applyAlignment="1">
      <alignment horizontal="left" vertical="center" wrapText="1"/>
    </xf>
    <xf numFmtId="0" fontId="14" fillId="15" borderId="3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/>
    </xf>
    <xf numFmtId="0" fontId="7" fillId="15" borderId="12" xfId="0" applyFont="1" applyFill="1" applyBorder="1" applyAlignment="1">
      <alignment horizontal="left" vertical="center"/>
    </xf>
    <xf numFmtId="0" fontId="7" fillId="15" borderId="2" xfId="0" applyFont="1" applyFill="1" applyBorder="1" applyAlignment="1">
      <alignment horizontal="left" vertical="center"/>
    </xf>
    <xf numFmtId="0" fontId="50" fillId="4" borderId="11" xfId="0" applyFont="1" applyFill="1" applyBorder="1" applyAlignment="1">
      <alignment horizontal="left" vertical="center"/>
    </xf>
    <xf numFmtId="0" fontId="50" fillId="4" borderId="12" xfId="0" applyFont="1" applyFill="1" applyBorder="1" applyAlignment="1">
      <alignment horizontal="left" vertical="center"/>
    </xf>
    <xf numFmtId="0" fontId="50" fillId="4" borderId="2" xfId="0" applyFont="1" applyFill="1" applyBorder="1" applyAlignment="1">
      <alignment horizontal="left" vertical="center"/>
    </xf>
    <xf numFmtId="0" fontId="51" fillId="4" borderId="7" xfId="0" applyFont="1" applyFill="1" applyBorder="1" applyAlignment="1">
      <alignment horizontal="left" vertical="center" wrapText="1"/>
    </xf>
    <xf numFmtId="0" fontId="51" fillId="4" borderId="3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E2AC00"/>
      <color rgb="FFC09200"/>
      <color rgb="FFBC8F00"/>
      <color rgb="FFC0504D"/>
      <color rgb="FFA03A7C"/>
      <color rgb="FFFFCF37"/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workbookViewId="0">
      <pane ySplit="3" topLeftCell="A4" activePane="bottomLeft" state="frozen"/>
      <selection pane="bottomLeft" activeCell="P27" sqref="P27"/>
    </sheetView>
  </sheetViews>
  <sheetFormatPr defaultRowHeight="14.3" x14ac:dyDescent="0.25"/>
  <cols>
    <col min="1" max="1" width="16.75" customWidth="1"/>
    <col min="2" max="3" width="5.75" customWidth="1"/>
    <col min="4" max="4" width="16.75" customWidth="1"/>
    <col min="5" max="6" width="5.75" customWidth="1"/>
    <col min="7" max="7" width="16.75" customWidth="1"/>
    <col min="8" max="11" width="5.75" customWidth="1"/>
  </cols>
  <sheetData>
    <row r="1" spans="1:11" x14ac:dyDescent="0.25">
      <c r="A1" s="2" t="s">
        <v>34</v>
      </c>
      <c r="B1" s="2"/>
    </row>
    <row r="2" spans="1:11" ht="14.95" thickBot="1" x14ac:dyDescent="0.3">
      <c r="A2" t="s">
        <v>319</v>
      </c>
    </row>
    <row r="3" spans="1:11" ht="14.95" customHeight="1" thickBot="1" x14ac:dyDescent="0.3">
      <c r="A3" s="61" t="s">
        <v>0</v>
      </c>
      <c r="B3" s="107" t="s">
        <v>25</v>
      </c>
      <c r="C3" s="52" t="s">
        <v>9</v>
      </c>
      <c r="D3" s="51" t="s">
        <v>2</v>
      </c>
      <c r="E3" s="51" t="s">
        <v>25</v>
      </c>
      <c r="F3" s="54" t="s">
        <v>9</v>
      </c>
      <c r="G3" s="68" t="s">
        <v>30</v>
      </c>
      <c r="H3" s="109" t="s">
        <v>25</v>
      </c>
      <c r="I3" s="60" t="s">
        <v>26</v>
      </c>
      <c r="J3" s="60" t="s">
        <v>27</v>
      </c>
      <c r="K3" s="60" t="s">
        <v>6</v>
      </c>
    </row>
    <row r="4" spans="1:11" ht="14.95" customHeight="1" thickBot="1" x14ac:dyDescent="0.3">
      <c r="A4" s="14" t="s">
        <v>276</v>
      </c>
      <c r="B4" s="13" t="s">
        <v>28</v>
      </c>
      <c r="C4" s="53">
        <f>Sansusfra6ntries</f>
        <v>6</v>
      </c>
      <c r="D4" s="62" t="s">
        <v>253</v>
      </c>
      <c r="E4" s="108" t="s">
        <v>21</v>
      </c>
      <c r="F4" s="55">
        <f>Scarrattengpts</f>
        <v>39</v>
      </c>
      <c r="G4" s="14" t="s">
        <v>274</v>
      </c>
      <c r="H4" s="13" t="s">
        <v>23</v>
      </c>
      <c r="I4" s="15">
        <f>Sillariita6ngls</f>
        <v>8</v>
      </c>
      <c r="J4" s="15">
        <f>sillarita6natt</f>
        <v>8</v>
      </c>
      <c r="K4" s="67">
        <f t="shared" ref="K4:K17" si="0">SUM(I4/J4)*100</f>
        <v>100</v>
      </c>
    </row>
    <row r="5" spans="1:11" ht="14.95" customHeight="1" thickBot="1" x14ac:dyDescent="0.3">
      <c r="A5" s="14" t="s">
        <v>292</v>
      </c>
      <c r="B5" s="13" t="s">
        <v>21</v>
      </c>
      <c r="C5" s="53">
        <f>Berneng6ntries</f>
        <v>5</v>
      </c>
      <c r="D5" s="62" t="s">
        <v>273</v>
      </c>
      <c r="E5" s="108" t="s">
        <v>28</v>
      </c>
      <c r="F5" s="55">
        <f>Tremoulierefra6npts</f>
        <v>32</v>
      </c>
      <c r="G5" s="14" t="s">
        <v>273</v>
      </c>
      <c r="H5" s="13" t="s">
        <v>28</v>
      </c>
      <c r="I5" s="15">
        <f>Tremoulierefra6ngls</f>
        <v>11</v>
      </c>
      <c r="J5" s="15">
        <f>tremoulierefra6natt</f>
        <v>12</v>
      </c>
      <c r="K5" s="67">
        <f t="shared" si="0"/>
        <v>91.666666666666657</v>
      </c>
    </row>
    <row r="6" spans="1:11" ht="14.95" customHeight="1" thickBot="1" x14ac:dyDescent="0.3">
      <c r="A6" s="14" t="s">
        <v>288</v>
      </c>
      <c r="B6" s="13" t="s">
        <v>21</v>
      </c>
      <c r="C6" s="53">
        <f>Davieseng6ntries</f>
        <v>5</v>
      </c>
      <c r="D6" s="62" t="s">
        <v>276</v>
      </c>
      <c r="E6" s="108" t="s">
        <v>28</v>
      </c>
      <c r="F6" s="55">
        <f>Sansusfra6npts</f>
        <v>30</v>
      </c>
      <c r="G6" s="14" t="s">
        <v>253</v>
      </c>
      <c r="H6" s="13" t="s">
        <v>21</v>
      </c>
      <c r="I6" s="15">
        <f>Scarratteng6ngls</f>
        <v>14</v>
      </c>
      <c r="J6" s="15">
        <f>scarratteng6natt</f>
        <v>19</v>
      </c>
      <c r="K6" s="67">
        <f t="shared" si="0"/>
        <v>73.68421052631578</v>
      </c>
    </row>
    <row r="7" spans="1:11" ht="14.95" customHeight="1" thickBot="1" x14ac:dyDescent="0.3">
      <c r="A7" s="14" t="s">
        <v>287</v>
      </c>
      <c r="B7" s="13" t="s">
        <v>21</v>
      </c>
      <c r="C7" s="53">
        <f>Thompsoneng6ntries</f>
        <v>5</v>
      </c>
      <c r="D7" s="62" t="s">
        <v>292</v>
      </c>
      <c r="E7" s="108" t="s">
        <v>21</v>
      </c>
      <c r="F7" s="55">
        <f>Berneng6npts</f>
        <v>25</v>
      </c>
      <c r="G7" s="14" t="s">
        <v>255</v>
      </c>
      <c r="H7" s="13" t="s">
        <v>22</v>
      </c>
      <c r="I7" s="15">
        <f>Nelsonsco6ngls</f>
        <v>9</v>
      </c>
      <c r="J7" s="15">
        <f>nelsonsco6nAtt</f>
        <v>14</v>
      </c>
      <c r="K7" s="67">
        <f t="shared" si="0"/>
        <v>64.285714285714292</v>
      </c>
    </row>
    <row r="8" spans="1:11" ht="14.95" customHeight="1" thickBot="1" x14ac:dyDescent="0.3">
      <c r="A8" s="14" t="s">
        <v>81</v>
      </c>
      <c r="B8" s="13" t="s">
        <v>21</v>
      </c>
      <c r="C8" s="53">
        <f>Packer_Mengtries</f>
        <v>4</v>
      </c>
      <c r="D8" s="62" t="s">
        <v>288</v>
      </c>
      <c r="E8" s="108" t="s">
        <v>21</v>
      </c>
      <c r="F8" s="55">
        <f>Davieseng6npts</f>
        <v>25</v>
      </c>
      <c r="G8" s="14" t="s">
        <v>271</v>
      </c>
      <c r="H8" s="13" t="s">
        <v>28</v>
      </c>
      <c r="I8" s="15">
        <f>Drouinfra6ngls</f>
        <v>8</v>
      </c>
      <c r="J8" s="15">
        <f>drouinfra6natt</f>
        <v>14</v>
      </c>
      <c r="K8" s="67">
        <f t="shared" si="0"/>
        <v>57.142857142857139</v>
      </c>
    </row>
    <row r="9" spans="1:11" ht="14.95" customHeight="1" thickBot="1" x14ac:dyDescent="0.3">
      <c r="A9" s="14" t="s">
        <v>57</v>
      </c>
      <c r="B9" s="13" t="s">
        <v>21</v>
      </c>
      <c r="C9" s="53">
        <f>Cleall_Penftries</f>
        <v>3</v>
      </c>
      <c r="D9" s="62" t="s">
        <v>287</v>
      </c>
      <c r="E9" s="108" t="s">
        <v>21</v>
      </c>
      <c r="F9" s="55">
        <f>Thompsoneng6npts</f>
        <v>25</v>
      </c>
      <c r="G9" s="14" t="s">
        <v>254</v>
      </c>
      <c r="H9" s="13" t="s">
        <v>21</v>
      </c>
      <c r="I9" s="15">
        <f>Rowlandeng6ngls</f>
        <v>5</v>
      </c>
      <c r="J9" s="15">
        <f>rowlandeng6natt</f>
        <v>9</v>
      </c>
      <c r="K9" s="67">
        <f t="shared" si="0"/>
        <v>55.555555555555557</v>
      </c>
    </row>
    <row r="10" spans="1:11" ht="14.95" customHeight="1" thickBot="1" x14ac:dyDescent="0.3">
      <c r="A10" s="14" t="s">
        <v>303</v>
      </c>
      <c r="B10" s="13" t="s">
        <v>23</v>
      </c>
      <c r="C10" s="53">
        <f>Bettoniita6ntries</f>
        <v>2</v>
      </c>
      <c r="D10" s="62" t="s">
        <v>255</v>
      </c>
      <c r="E10" s="108" t="s">
        <v>22</v>
      </c>
      <c r="F10" s="55">
        <f>Nelsonsco6npts</f>
        <v>24</v>
      </c>
      <c r="G10" s="14" t="s">
        <v>294</v>
      </c>
      <c r="H10" s="13" t="s">
        <v>21</v>
      </c>
      <c r="I10" s="15">
        <f>Harrisoneng6ngls</f>
        <v>9</v>
      </c>
      <c r="J10" s="15">
        <f>harrisoneng6natt</f>
        <v>18</v>
      </c>
      <c r="K10" s="67">
        <f t="shared" si="0"/>
        <v>50</v>
      </c>
    </row>
    <row r="11" spans="1:11" ht="14.95" customHeight="1" thickBot="1" x14ac:dyDescent="0.3">
      <c r="A11" s="14" t="s">
        <v>93</v>
      </c>
      <c r="B11" s="13" t="s">
        <v>28</v>
      </c>
      <c r="C11" s="53">
        <f>Boulard_Efra6ntries</f>
        <v>2</v>
      </c>
      <c r="D11" s="62" t="s">
        <v>274</v>
      </c>
      <c r="E11" s="108" t="s">
        <v>23</v>
      </c>
      <c r="F11" s="55">
        <f>Sillariita6npts</f>
        <v>21</v>
      </c>
      <c r="G11" s="14" t="s">
        <v>258</v>
      </c>
      <c r="H11" s="13" t="s">
        <v>20</v>
      </c>
      <c r="I11" s="15">
        <f>Croninire6ngls</f>
        <v>3</v>
      </c>
      <c r="J11" s="15">
        <f>Croninire6npts</f>
        <v>6</v>
      </c>
      <c r="K11" s="67">
        <f t="shared" si="0"/>
        <v>50</v>
      </c>
    </row>
    <row r="12" spans="1:11" ht="14.95" customHeight="1" thickBot="1" x14ac:dyDescent="0.3">
      <c r="A12" s="14" t="s">
        <v>296</v>
      </c>
      <c r="B12" s="13" t="s">
        <v>21</v>
      </c>
      <c r="C12" s="53">
        <f>Dombrandteng6ntries</f>
        <v>2</v>
      </c>
      <c r="D12" s="62" t="s">
        <v>271</v>
      </c>
      <c r="E12" s="108" t="s">
        <v>28</v>
      </c>
      <c r="F12" s="55">
        <f>Drouinfra6npts</f>
        <v>20</v>
      </c>
      <c r="G12" s="14" t="s">
        <v>266</v>
      </c>
      <c r="H12" s="13" t="s">
        <v>24</v>
      </c>
      <c r="I12" s="15">
        <f>Wilkinswal6ngls</f>
        <v>2</v>
      </c>
      <c r="J12" s="15">
        <f>wilkinswal6natt</f>
        <v>5</v>
      </c>
      <c r="K12" s="67">
        <f t="shared" si="0"/>
        <v>40</v>
      </c>
    </row>
    <row r="13" spans="1:11" ht="14.95" customHeight="1" thickBot="1" x14ac:dyDescent="0.3">
      <c r="A13" s="14" t="s">
        <v>289</v>
      </c>
      <c r="B13" s="13" t="s">
        <v>21</v>
      </c>
      <c r="C13" s="53">
        <f>browneng6ntries</f>
        <v>2</v>
      </c>
      <c r="D13" s="62" t="s">
        <v>81</v>
      </c>
      <c r="E13" s="108" t="s">
        <v>21</v>
      </c>
      <c r="F13" s="55">
        <f>Packer_Mengpts</f>
        <v>20</v>
      </c>
      <c r="G13" s="14" t="s">
        <v>265</v>
      </c>
      <c r="H13" s="13" t="s">
        <v>24</v>
      </c>
      <c r="I13" s="15">
        <f>Snowsillwal6ngls</f>
        <v>0</v>
      </c>
      <c r="J13" s="15">
        <f>snowillwal6natt</f>
        <v>5</v>
      </c>
      <c r="K13" s="67">
        <f t="shared" si="0"/>
        <v>0</v>
      </c>
    </row>
    <row r="14" spans="1:11" ht="14.95" customHeight="1" thickBot="1" x14ac:dyDescent="0.3">
      <c r="A14" s="14" t="s">
        <v>282</v>
      </c>
      <c r="B14" s="13" t="s">
        <v>24</v>
      </c>
      <c r="C14" s="53">
        <f>Harrieswal6ntries</f>
        <v>2</v>
      </c>
      <c r="D14" s="62" t="s">
        <v>294</v>
      </c>
      <c r="E14" s="108" t="s">
        <v>21</v>
      </c>
      <c r="F14" s="55">
        <f>Harrisoneng6npts</f>
        <v>18</v>
      </c>
      <c r="G14" s="14" t="s">
        <v>283</v>
      </c>
      <c r="H14" s="13" t="s">
        <v>24</v>
      </c>
      <c r="I14" s="15">
        <f>Bevanwal6ngls</f>
        <v>4</v>
      </c>
      <c r="J14" s="140">
        <f>bevanwal6natt</f>
        <v>3</v>
      </c>
      <c r="K14" s="67">
        <f t="shared" si="0"/>
        <v>133.33333333333331</v>
      </c>
    </row>
    <row r="15" spans="1:11" ht="14.95" customHeight="1" thickBot="1" x14ac:dyDescent="0.3">
      <c r="A15" s="14" t="s">
        <v>281</v>
      </c>
      <c r="B15" s="13" t="s">
        <v>20</v>
      </c>
      <c r="C15" s="53">
        <f>Higginsire6ntries</f>
        <v>2</v>
      </c>
      <c r="D15" s="62" t="s">
        <v>57</v>
      </c>
      <c r="E15" s="108" t="s">
        <v>21</v>
      </c>
      <c r="F15" s="55">
        <f>Cleall_Pengpts</f>
        <v>15</v>
      </c>
      <c r="G15" s="14" t="s">
        <v>315</v>
      </c>
      <c r="H15" s="13" t="s">
        <v>20</v>
      </c>
      <c r="I15" s="15">
        <f>Breenire6ngls</f>
        <v>1</v>
      </c>
      <c r="J15" s="140">
        <f>Breenire6natt</f>
        <v>2</v>
      </c>
      <c r="K15" s="67">
        <f t="shared" si="0"/>
        <v>50</v>
      </c>
    </row>
    <row r="16" spans="1:11" ht="14.95" customHeight="1" thickBot="1" x14ac:dyDescent="0.3">
      <c r="A16" s="14" t="s">
        <v>270</v>
      </c>
      <c r="B16" s="13" t="s">
        <v>28</v>
      </c>
      <c r="C16" s="53">
        <f>Jacquetfra6ntries</f>
        <v>2</v>
      </c>
      <c r="D16" s="62" t="s">
        <v>303</v>
      </c>
      <c r="E16" s="108" t="s">
        <v>23</v>
      </c>
      <c r="F16" s="55">
        <f>Bettoniita6npts</f>
        <v>10</v>
      </c>
      <c r="G16" s="14" t="s">
        <v>316</v>
      </c>
      <c r="H16" s="13" t="s">
        <v>20</v>
      </c>
      <c r="I16" s="15">
        <f>O_Connorire6ngls</f>
        <v>1</v>
      </c>
      <c r="J16" s="140">
        <f>O_Connorire6natt</f>
        <v>2</v>
      </c>
      <c r="K16" s="67">
        <f t="shared" si="0"/>
        <v>50</v>
      </c>
    </row>
    <row r="17" spans="1:11" ht="14.95" customHeight="1" thickBot="1" x14ac:dyDescent="0.3">
      <c r="A17" s="14" t="s">
        <v>225</v>
      </c>
      <c r="B17" s="13" t="s">
        <v>24</v>
      </c>
      <c r="C17" s="53">
        <f>Jones_Kwal6ntries</f>
        <v>2</v>
      </c>
      <c r="D17" s="62" t="s">
        <v>93</v>
      </c>
      <c r="E17" s="108" t="s">
        <v>28</v>
      </c>
      <c r="F17" s="55">
        <f>Boulard_Efra6npts</f>
        <v>10</v>
      </c>
      <c r="G17" s="14" t="s">
        <v>304</v>
      </c>
      <c r="H17" s="13" t="s">
        <v>23</v>
      </c>
      <c r="I17" s="15">
        <f>Rigoniita6ngls</f>
        <v>1</v>
      </c>
      <c r="J17" s="140">
        <f>rigoniia6natt</f>
        <v>2</v>
      </c>
      <c r="K17" s="67">
        <f t="shared" si="0"/>
        <v>50</v>
      </c>
    </row>
    <row r="18" spans="1:11" ht="14.95" customHeight="1" thickBot="1" x14ac:dyDescent="0.3">
      <c r="A18" s="14" t="s">
        <v>300</v>
      </c>
      <c r="B18" s="13" t="s">
        <v>20</v>
      </c>
      <c r="C18" s="53">
        <f>Hansenire6nries</f>
        <v>2</v>
      </c>
      <c r="D18" s="62" t="s">
        <v>296</v>
      </c>
      <c r="E18" s="108" t="s">
        <v>21</v>
      </c>
      <c r="F18" s="55">
        <f>Dombrandteng6npts</f>
        <v>10</v>
      </c>
      <c r="G18" s="113" t="s">
        <v>41</v>
      </c>
      <c r="H18" s="7"/>
    </row>
    <row r="19" spans="1:11" ht="14.95" customHeight="1" thickBot="1" x14ac:dyDescent="0.3">
      <c r="A19" s="14" t="s">
        <v>312</v>
      </c>
      <c r="B19" s="13" t="s">
        <v>21</v>
      </c>
      <c r="C19" s="53">
        <f>Kildunneeng6ntries</f>
        <v>2</v>
      </c>
      <c r="D19" s="62" t="s">
        <v>289</v>
      </c>
      <c r="E19" s="108" t="s">
        <v>21</v>
      </c>
      <c r="F19" s="55">
        <f>browneng6npts</f>
        <v>10</v>
      </c>
    </row>
    <row r="20" spans="1:11" ht="14.95" customHeight="1" thickBot="1" x14ac:dyDescent="0.3">
      <c r="A20" s="14" t="s">
        <v>285</v>
      </c>
      <c r="B20" s="13" t="s">
        <v>22</v>
      </c>
      <c r="C20" s="53">
        <f>Lloydscpo6ntries</f>
        <v>2</v>
      </c>
      <c r="D20" s="62" t="s">
        <v>282</v>
      </c>
      <c r="E20" s="108" t="s">
        <v>24</v>
      </c>
      <c r="F20" s="55">
        <f>Harrieswal6npts</f>
        <v>10</v>
      </c>
    </row>
    <row r="21" spans="1:11" ht="14.95" customHeight="1" thickBot="1" x14ac:dyDescent="0.3">
      <c r="A21" s="14" t="s">
        <v>290</v>
      </c>
      <c r="B21" s="13" t="s">
        <v>21</v>
      </c>
      <c r="C21" s="53">
        <f>Sincklereng6ntries</f>
        <v>2</v>
      </c>
      <c r="D21" s="62" t="s">
        <v>281</v>
      </c>
      <c r="E21" s="108" t="s">
        <v>20</v>
      </c>
      <c r="F21" s="55">
        <f>Higginsire6npts</f>
        <v>10</v>
      </c>
    </row>
    <row r="22" spans="1:11" ht="14.95" customHeight="1" thickBot="1" x14ac:dyDescent="0.3">
      <c r="A22" s="14" t="s">
        <v>286</v>
      </c>
      <c r="B22" s="13" t="s">
        <v>21</v>
      </c>
      <c r="C22" s="53">
        <f>McKennaeng6ntries</f>
        <v>2</v>
      </c>
      <c r="D22" s="62" t="s">
        <v>270</v>
      </c>
      <c r="E22" s="108" t="s">
        <v>28</v>
      </c>
      <c r="F22" s="55">
        <f>Jacquetfra6npts</f>
        <v>10</v>
      </c>
    </row>
    <row r="23" spans="1:11" ht="14.95" customHeight="1" thickBot="1" x14ac:dyDescent="0.3">
      <c r="A23" s="14" t="s">
        <v>261</v>
      </c>
      <c r="B23" s="13" t="s">
        <v>24</v>
      </c>
      <c r="C23" s="53">
        <f>Phillipswal6ntries</f>
        <v>2</v>
      </c>
      <c r="D23" s="62" t="s">
        <v>225</v>
      </c>
      <c r="E23" s="108" t="s">
        <v>24</v>
      </c>
      <c r="F23" s="55">
        <f>Jones_Kwal6npts</f>
        <v>10</v>
      </c>
    </row>
    <row r="24" spans="1:11" ht="14.95" customHeight="1" thickBot="1" x14ac:dyDescent="0.3">
      <c r="A24" s="14" t="s">
        <v>247</v>
      </c>
      <c r="B24" s="13" t="s">
        <v>22</v>
      </c>
      <c r="C24" s="53">
        <f>Penalty_Triessco6ntries</f>
        <v>2</v>
      </c>
      <c r="D24" s="62" t="s">
        <v>300</v>
      </c>
      <c r="E24" s="108" t="s">
        <v>20</v>
      </c>
      <c r="F24" s="55">
        <f>Hansenire6npts</f>
        <v>10</v>
      </c>
    </row>
    <row r="25" spans="1:11" ht="14.95" customHeight="1" thickBot="1" x14ac:dyDescent="0.3">
      <c r="A25" s="14" t="s">
        <v>263</v>
      </c>
      <c r="B25" s="13" t="s">
        <v>24</v>
      </c>
      <c r="C25" s="53">
        <f>Rose6nwaltries</f>
        <v>2</v>
      </c>
      <c r="D25" s="62" t="s">
        <v>312</v>
      </c>
      <c r="E25" s="108" t="s">
        <v>21</v>
      </c>
      <c r="F25" s="55">
        <f>Kildunneeng6npts</f>
        <v>10</v>
      </c>
    </row>
    <row r="26" spans="1:11" ht="14.95" customHeight="1" thickBot="1" x14ac:dyDescent="0.3">
      <c r="A26" s="14" t="s">
        <v>253</v>
      </c>
      <c r="B26" s="13" t="s">
        <v>21</v>
      </c>
      <c r="C26" s="53">
        <f>Scarrattengtries</f>
        <v>2</v>
      </c>
      <c r="D26" s="62" t="s">
        <v>285</v>
      </c>
      <c r="E26" s="108" t="s">
        <v>22</v>
      </c>
      <c r="F26" s="55">
        <f>Lloydscointpts</f>
        <v>10</v>
      </c>
    </row>
    <row r="27" spans="1:11" ht="14.95" customHeight="1" thickBot="1" x14ac:dyDescent="0.3">
      <c r="A27" s="14" t="s">
        <v>273</v>
      </c>
      <c r="B27" s="13" t="s">
        <v>28</v>
      </c>
      <c r="C27" s="53">
        <f>Tremoulierefra6ntries</f>
        <v>2</v>
      </c>
      <c r="D27" s="62" t="s">
        <v>290</v>
      </c>
      <c r="E27" s="108" t="s">
        <v>21</v>
      </c>
      <c r="F27" s="55">
        <f>Sincklereng6npts</f>
        <v>10</v>
      </c>
    </row>
    <row r="28" spans="1:11" ht="14.95" customHeight="1" thickBot="1" x14ac:dyDescent="0.3">
      <c r="A28" s="14" t="s">
        <v>295</v>
      </c>
      <c r="B28" s="13" t="s">
        <v>21</v>
      </c>
      <c r="C28" s="53">
        <f>Wardeng6ntries</f>
        <v>2</v>
      </c>
      <c r="D28" s="62" t="s">
        <v>286</v>
      </c>
      <c r="E28" s="108" t="s">
        <v>21</v>
      </c>
      <c r="F28" s="55">
        <f>McKennaeng6npts</f>
        <v>10</v>
      </c>
    </row>
    <row r="29" spans="1:11" ht="14.95" customHeight="1" thickBot="1" x14ac:dyDescent="0.3">
      <c r="A29" s="14" t="s">
        <v>251</v>
      </c>
      <c r="B29" s="13" t="s">
        <v>21</v>
      </c>
      <c r="C29" s="53">
        <f>Aitchisonengtries</f>
        <v>1</v>
      </c>
      <c r="D29" s="62" t="s">
        <v>261</v>
      </c>
      <c r="E29" s="108" t="s">
        <v>24</v>
      </c>
      <c r="F29" s="55">
        <f>Phillipswal6npts</f>
        <v>10</v>
      </c>
    </row>
    <row r="30" spans="1:11" ht="14.95" customHeight="1" thickBot="1" x14ac:dyDescent="0.3">
      <c r="A30" s="14" t="s">
        <v>313</v>
      </c>
      <c r="B30" s="13" t="s">
        <v>23</v>
      </c>
      <c r="C30" s="53">
        <f>Barattinitatries</f>
        <v>1</v>
      </c>
      <c r="D30" s="62" t="s">
        <v>247</v>
      </c>
      <c r="E30" s="108" t="s">
        <v>22</v>
      </c>
      <c r="F30" s="55">
        <f>Penalty_Triessco6npts</f>
        <v>10</v>
      </c>
    </row>
    <row r="31" spans="1:11" ht="14.95" customHeight="1" thickBot="1" x14ac:dyDescent="0.3">
      <c r="A31" s="14" t="s">
        <v>283</v>
      </c>
      <c r="B31" s="13" t="s">
        <v>24</v>
      </c>
      <c r="C31" s="53">
        <f>AdamsWAL6NTRIES</f>
        <v>1</v>
      </c>
      <c r="D31" s="62" t="s">
        <v>263</v>
      </c>
      <c r="E31" s="108" t="s">
        <v>24</v>
      </c>
      <c r="F31" s="55">
        <f>Rosewal6npts</f>
        <v>10</v>
      </c>
    </row>
    <row r="32" spans="1:11" ht="14.95" customHeight="1" thickBot="1" x14ac:dyDescent="0.3">
      <c r="A32" s="14" t="s">
        <v>311</v>
      </c>
      <c r="B32" s="13" t="s">
        <v>21</v>
      </c>
      <c r="C32" s="53">
        <f>Dalyeng6ntries</f>
        <v>1</v>
      </c>
      <c r="D32" s="62" t="s">
        <v>254</v>
      </c>
      <c r="E32" s="108" t="s">
        <v>21</v>
      </c>
      <c r="F32" s="55">
        <f>Rowlandengpts</f>
        <v>10</v>
      </c>
    </row>
    <row r="33" spans="1:6" ht="14.95" customHeight="1" thickBot="1" x14ac:dyDescent="0.3">
      <c r="A33" s="14" t="s">
        <v>308</v>
      </c>
      <c r="B33" s="13" t="s">
        <v>28</v>
      </c>
      <c r="C33" s="53">
        <f>Boujardfra6ntries</f>
        <v>1</v>
      </c>
      <c r="D33" s="62" t="s">
        <v>295</v>
      </c>
      <c r="E33" s="108" t="s">
        <v>21</v>
      </c>
      <c r="F33" s="55">
        <f>Wardeng6npts</f>
        <v>10</v>
      </c>
    </row>
    <row r="34" spans="1:6" ht="14.95" customHeight="1" thickBot="1" x14ac:dyDescent="0.3">
      <c r="A34" s="14" t="s">
        <v>315</v>
      </c>
      <c r="B34" s="13" t="s">
        <v>20</v>
      </c>
      <c r="C34" s="53">
        <f>Bairdire6ntries</f>
        <v>1</v>
      </c>
      <c r="D34" s="62" t="s">
        <v>283</v>
      </c>
      <c r="E34" s="108" t="s">
        <v>24</v>
      </c>
      <c r="F34" s="55">
        <f>AdamsWAL6NPTS</f>
        <v>9</v>
      </c>
    </row>
    <row r="35" spans="1:6" ht="14.95" customHeight="1" thickBot="1" x14ac:dyDescent="0.3">
      <c r="A35" s="14" t="s">
        <v>248</v>
      </c>
      <c r="B35" s="13" t="s">
        <v>21</v>
      </c>
      <c r="C35" s="53">
        <f>Cowellengtries</f>
        <v>1</v>
      </c>
      <c r="D35" s="62" t="s">
        <v>315</v>
      </c>
      <c r="E35" s="108" t="s">
        <v>20</v>
      </c>
      <c r="F35" s="55">
        <f>Bairdire6npts</f>
        <v>7</v>
      </c>
    </row>
    <row r="36" spans="1:6" ht="14.95" customHeight="1" thickBot="1" x14ac:dyDescent="0.3">
      <c r="A36" s="14" t="s">
        <v>257</v>
      </c>
      <c r="B36" s="13" t="s">
        <v>20</v>
      </c>
      <c r="C36" s="53">
        <f>Croweire6ntries</f>
        <v>1</v>
      </c>
      <c r="D36" s="62" t="s">
        <v>302</v>
      </c>
      <c r="E36" s="108" t="s">
        <v>20</v>
      </c>
      <c r="F36" s="55">
        <f>Penalty_Triesire6npts</f>
        <v>7</v>
      </c>
    </row>
    <row r="37" spans="1:6" ht="14.95" customHeight="1" thickBot="1" x14ac:dyDescent="0.3">
      <c r="A37" s="14" t="s">
        <v>314</v>
      </c>
      <c r="B37" s="13" t="s">
        <v>28</v>
      </c>
      <c r="C37" s="53">
        <f>Fickoufra6ntries</f>
        <v>1</v>
      </c>
      <c r="D37" s="62" t="s">
        <v>258</v>
      </c>
      <c r="E37" s="108" t="s">
        <v>20</v>
      </c>
      <c r="F37" s="55">
        <f>Croninire6npts</f>
        <v>6</v>
      </c>
    </row>
    <row r="38" spans="1:6" ht="14.95" customHeight="1" thickBot="1" x14ac:dyDescent="0.3">
      <c r="A38" s="14" t="s">
        <v>259</v>
      </c>
      <c r="B38" s="13" t="s">
        <v>20</v>
      </c>
      <c r="C38" s="53">
        <f>Conanire6ntries</f>
        <v>1</v>
      </c>
      <c r="D38" s="62" t="s">
        <v>251</v>
      </c>
      <c r="E38" s="108" t="s">
        <v>21</v>
      </c>
      <c r="F38" s="55">
        <f>Aitchisonengpts</f>
        <v>5</v>
      </c>
    </row>
    <row r="39" spans="1:6" ht="14.95" customHeight="1" thickBot="1" x14ac:dyDescent="0.3">
      <c r="A39" s="14" t="s">
        <v>249</v>
      </c>
      <c r="B39" s="13" t="s">
        <v>21</v>
      </c>
      <c r="C39" s="53">
        <f>Dowengtries</f>
        <v>1</v>
      </c>
      <c r="D39" s="62" t="s">
        <v>313</v>
      </c>
      <c r="E39" s="108" t="s">
        <v>23</v>
      </c>
      <c r="F39" s="55">
        <f>Barattinitapts</f>
        <v>5</v>
      </c>
    </row>
    <row r="40" spans="1:6" ht="14.95" customHeight="1" thickBot="1" x14ac:dyDescent="0.3">
      <c r="A40" s="14" t="s">
        <v>267</v>
      </c>
      <c r="B40" s="13" t="s">
        <v>28</v>
      </c>
      <c r="C40" s="53">
        <f>Jelonchfra6ntries</f>
        <v>1</v>
      </c>
      <c r="D40" s="62" t="s">
        <v>311</v>
      </c>
      <c r="E40" s="108" t="s">
        <v>21</v>
      </c>
      <c r="F40" s="55">
        <f>Dalyeng6npts</f>
        <v>5</v>
      </c>
    </row>
    <row r="41" spans="1:6" ht="14.95" customHeight="1" thickBot="1" x14ac:dyDescent="0.3">
      <c r="A41" s="14" t="s">
        <v>291</v>
      </c>
      <c r="B41" s="13" t="s">
        <v>21</v>
      </c>
      <c r="C41" s="53">
        <f>Fleetwoodeng6ntries</f>
        <v>1</v>
      </c>
      <c r="D41" s="62" t="s">
        <v>308</v>
      </c>
      <c r="E41" s="108" t="s">
        <v>28</v>
      </c>
      <c r="F41" s="55">
        <f>Boujardfra6npts</f>
        <v>5</v>
      </c>
    </row>
    <row r="42" spans="1:6" ht="14.95" customHeight="1" thickBot="1" x14ac:dyDescent="0.3">
      <c r="A42" s="14" t="s">
        <v>260</v>
      </c>
      <c r="B42" s="13" t="s">
        <v>20</v>
      </c>
      <c r="C42" s="53">
        <f>Conwayire6ntries</f>
        <v>1</v>
      </c>
      <c r="D42" s="62" t="s">
        <v>248</v>
      </c>
      <c r="E42" s="108" t="s">
        <v>21</v>
      </c>
      <c r="F42" s="55">
        <f>Cowellengpts</f>
        <v>5</v>
      </c>
    </row>
    <row r="43" spans="1:6" ht="14.95" customHeight="1" thickBot="1" x14ac:dyDescent="0.3">
      <c r="A43" s="14" t="s">
        <v>277</v>
      </c>
      <c r="B43" s="13" t="s">
        <v>28</v>
      </c>
      <c r="C43" s="53">
        <f>Forlanifra6ntries</f>
        <v>1</v>
      </c>
      <c r="D43" s="62" t="s">
        <v>257</v>
      </c>
      <c r="E43" s="108" t="s">
        <v>20</v>
      </c>
      <c r="F43" s="55">
        <f>Croweire6npts</f>
        <v>5</v>
      </c>
    </row>
    <row r="44" spans="1:6" ht="14.95" customHeight="1" thickBot="1" x14ac:dyDescent="0.3">
      <c r="A44" s="14" t="s">
        <v>318</v>
      </c>
      <c r="B44" s="13" t="s">
        <v>22</v>
      </c>
      <c r="C44" s="53">
        <f>HarrisSCO6NTRIES</f>
        <v>1</v>
      </c>
      <c r="D44" s="62" t="s">
        <v>314</v>
      </c>
      <c r="E44" s="108" t="s">
        <v>28</v>
      </c>
      <c r="F44" s="55">
        <f>Fickoufra6npts</f>
        <v>5</v>
      </c>
    </row>
    <row r="45" spans="1:6" ht="14.95" customHeight="1" thickBot="1" x14ac:dyDescent="0.3">
      <c r="A45" s="14" t="s">
        <v>268</v>
      </c>
      <c r="B45" s="13" t="s">
        <v>28</v>
      </c>
      <c r="C45" s="53">
        <f>Penaudfra6ntries</f>
        <v>1</v>
      </c>
      <c r="D45" s="62" t="s">
        <v>259</v>
      </c>
      <c r="E45" s="108" t="s">
        <v>20</v>
      </c>
      <c r="F45" s="55">
        <f>Conanire6npts</f>
        <v>5</v>
      </c>
    </row>
    <row r="46" spans="1:6" ht="14.95" customHeight="1" thickBot="1" x14ac:dyDescent="0.3">
      <c r="A46" s="14" t="s">
        <v>298</v>
      </c>
      <c r="B46" s="13" t="s">
        <v>28</v>
      </c>
      <c r="C46" s="53">
        <f>Hermetfra6ntries</f>
        <v>1</v>
      </c>
      <c r="D46" s="62" t="s">
        <v>249</v>
      </c>
      <c r="E46" s="108" t="s">
        <v>21</v>
      </c>
      <c r="F46" s="55">
        <f>Dowengpts</f>
        <v>5</v>
      </c>
    </row>
    <row r="47" spans="1:6" ht="14.95" customHeight="1" thickBot="1" x14ac:dyDescent="0.3">
      <c r="A47" s="14" t="s">
        <v>297</v>
      </c>
      <c r="B47" s="13" t="s">
        <v>21</v>
      </c>
      <c r="C47" s="53">
        <f>Huntereng6ntries</f>
        <v>1</v>
      </c>
      <c r="D47" s="62" t="s">
        <v>267</v>
      </c>
      <c r="E47" s="108" t="s">
        <v>28</v>
      </c>
      <c r="F47" s="55">
        <f>Jelonchfra6npts</f>
        <v>5</v>
      </c>
    </row>
    <row r="48" spans="1:6" ht="14.95" customHeight="1" thickBot="1" x14ac:dyDescent="0.3">
      <c r="A48" s="14" t="s">
        <v>250</v>
      </c>
      <c r="B48" s="13" t="s">
        <v>21</v>
      </c>
      <c r="C48" s="53">
        <f>Infanteengtries</f>
        <v>1</v>
      </c>
      <c r="D48" s="62" t="s">
        <v>291</v>
      </c>
      <c r="E48" s="108" t="s">
        <v>21</v>
      </c>
      <c r="F48" s="55">
        <f>Fleetwoodeng6npts</f>
        <v>5</v>
      </c>
    </row>
    <row r="49" spans="1:6" ht="14.95" customHeight="1" thickBot="1" x14ac:dyDescent="0.3">
      <c r="A49" s="14" t="s">
        <v>235</v>
      </c>
      <c r="B49" s="13" t="s">
        <v>24</v>
      </c>
      <c r="C49" s="53">
        <f>Franciswal6ntries</f>
        <v>1</v>
      </c>
      <c r="D49" s="62" t="s">
        <v>260</v>
      </c>
      <c r="E49" s="108" t="s">
        <v>20</v>
      </c>
      <c r="F49" s="55">
        <f>Conwayire6npts</f>
        <v>5</v>
      </c>
    </row>
    <row r="50" spans="1:6" ht="14.95" customHeight="1" thickBot="1" x14ac:dyDescent="0.3">
      <c r="A50" s="14" t="s">
        <v>262</v>
      </c>
      <c r="B50" s="13" t="s">
        <v>24</v>
      </c>
      <c r="C50" s="53">
        <f>HardyWAL6NTRIES</f>
        <v>1</v>
      </c>
      <c r="D50" s="62" t="s">
        <v>277</v>
      </c>
      <c r="E50" s="108" t="s">
        <v>28</v>
      </c>
      <c r="F50" s="55">
        <f>Forlanifra6npts</f>
        <v>5</v>
      </c>
    </row>
    <row r="51" spans="1:6" ht="14.95" customHeight="1" thickBot="1" x14ac:dyDescent="0.3">
      <c r="A51" s="14" t="s">
        <v>278</v>
      </c>
      <c r="B51" s="13" t="s">
        <v>28</v>
      </c>
      <c r="C51" s="53">
        <f>Joyeuxfra6ntries</f>
        <v>1</v>
      </c>
      <c r="D51" s="62" t="s">
        <v>318</v>
      </c>
      <c r="E51" s="108" t="s">
        <v>22</v>
      </c>
      <c r="F51" s="55">
        <f>HarrisSCO6NPTS</f>
        <v>5</v>
      </c>
    </row>
    <row r="52" spans="1:6" ht="14.95" customHeight="1" thickBot="1" x14ac:dyDescent="0.3">
      <c r="A52" s="14" t="s">
        <v>239</v>
      </c>
      <c r="B52" s="13" t="s">
        <v>24</v>
      </c>
      <c r="C52" s="53">
        <f>Lewis_Fwal6ntries</f>
        <v>1</v>
      </c>
      <c r="D52" s="62" t="s">
        <v>268</v>
      </c>
      <c r="E52" s="108" t="s">
        <v>28</v>
      </c>
      <c r="F52" s="55">
        <f>Penaudfra6npts</f>
        <v>5</v>
      </c>
    </row>
    <row r="53" spans="1:6" ht="14.95" customHeight="1" thickBot="1" x14ac:dyDescent="0.3">
      <c r="A53" s="14" t="s">
        <v>275</v>
      </c>
      <c r="B53" s="13" t="s">
        <v>28</v>
      </c>
      <c r="C53" s="53">
        <f>Llorensfra6ntries</f>
        <v>1</v>
      </c>
      <c r="D53" s="62" t="s">
        <v>298</v>
      </c>
      <c r="E53" s="108" t="s">
        <v>28</v>
      </c>
      <c r="F53" s="55">
        <f>Hermetfra6npts</f>
        <v>5</v>
      </c>
    </row>
    <row r="54" spans="1:6" ht="14.95" customHeight="1" thickBot="1" x14ac:dyDescent="0.3">
      <c r="A54" s="14" t="s">
        <v>114</v>
      </c>
      <c r="B54" s="13" t="s">
        <v>28</v>
      </c>
      <c r="C54" s="53">
        <f>Villierefra6ntries</f>
        <v>1</v>
      </c>
      <c r="D54" s="62" t="s">
        <v>297</v>
      </c>
      <c r="E54" s="108" t="s">
        <v>21</v>
      </c>
      <c r="F54" s="55">
        <f>Huntereng6npts</f>
        <v>5</v>
      </c>
    </row>
    <row r="55" spans="1:6" ht="14.95" customHeight="1" thickBot="1" x14ac:dyDescent="0.3">
      <c r="A55" s="14" t="s">
        <v>299</v>
      </c>
      <c r="B55" s="13" t="s">
        <v>20</v>
      </c>
      <c r="C55" s="53">
        <f>Loweire6ntries</f>
        <v>1</v>
      </c>
      <c r="D55" s="62" t="s">
        <v>250</v>
      </c>
      <c r="E55" s="108" t="s">
        <v>21</v>
      </c>
      <c r="F55" s="55">
        <f>Infanteengpts</f>
        <v>5</v>
      </c>
    </row>
    <row r="56" spans="1:6" ht="14.95" customHeight="1" thickBot="1" x14ac:dyDescent="0.3">
      <c r="A56" s="14" t="s">
        <v>269</v>
      </c>
      <c r="B56" s="13" t="s">
        <v>28</v>
      </c>
      <c r="C56" s="53">
        <f>Willemsefra6ntries</f>
        <v>1</v>
      </c>
      <c r="D56" s="62" t="s">
        <v>235</v>
      </c>
      <c r="E56" s="108" t="s">
        <v>24</v>
      </c>
      <c r="F56" s="55">
        <f>Franciswal6npts</f>
        <v>5</v>
      </c>
    </row>
    <row r="57" spans="1:6" ht="14.95" customHeight="1" thickBot="1" x14ac:dyDescent="0.3">
      <c r="A57" s="14" t="s">
        <v>301</v>
      </c>
      <c r="B57" s="13" t="s">
        <v>20</v>
      </c>
      <c r="C57" s="53">
        <f>O_Mahonyire6ntries</f>
        <v>1</v>
      </c>
      <c r="D57" s="62" t="s">
        <v>262</v>
      </c>
      <c r="E57" s="108" t="s">
        <v>24</v>
      </c>
      <c r="F57" s="55">
        <f>HardyWAL6NPTS</f>
        <v>5</v>
      </c>
    </row>
    <row r="58" spans="1:6" ht="14.95" customHeight="1" thickBot="1" x14ac:dyDescent="0.3">
      <c r="A58" s="14" t="s">
        <v>302</v>
      </c>
      <c r="B58" s="13" t="s">
        <v>20</v>
      </c>
      <c r="C58" s="53">
        <f>Penalty_Triesire6ntries</f>
        <v>1</v>
      </c>
      <c r="D58" s="62" t="s">
        <v>278</v>
      </c>
      <c r="E58" s="108" t="s">
        <v>28</v>
      </c>
      <c r="F58" s="55">
        <f>Joyeuxfra6npts</f>
        <v>5</v>
      </c>
    </row>
    <row r="59" spans="1:6" ht="14.95" customHeight="1" thickBot="1" x14ac:dyDescent="0.3">
      <c r="A59" s="14" t="s">
        <v>252</v>
      </c>
      <c r="B59" s="13" t="s">
        <v>21</v>
      </c>
      <c r="C59" s="53">
        <f>Powellengtries</f>
        <v>1</v>
      </c>
      <c r="D59" s="62" t="s">
        <v>239</v>
      </c>
      <c r="E59" s="108" t="s">
        <v>24</v>
      </c>
      <c r="F59" s="55">
        <f>Lewis_Fwal6npts</f>
        <v>5</v>
      </c>
    </row>
    <row r="60" spans="1:6" ht="14.95" customHeight="1" thickBot="1" x14ac:dyDescent="0.3">
      <c r="A60" s="14" t="s">
        <v>293</v>
      </c>
      <c r="B60" s="13" t="s">
        <v>21</v>
      </c>
      <c r="C60" s="53">
        <f>Singeng6ntries</f>
        <v>1</v>
      </c>
      <c r="D60" s="62" t="s">
        <v>275</v>
      </c>
      <c r="E60" s="108" t="s">
        <v>28</v>
      </c>
      <c r="F60" s="55">
        <f>Llorensfra6npts</f>
        <v>5</v>
      </c>
    </row>
    <row r="61" spans="1:6" ht="14.95" customHeight="1" thickBot="1" x14ac:dyDescent="0.3">
      <c r="A61" s="14" t="s">
        <v>284</v>
      </c>
      <c r="B61" s="13" t="s">
        <v>22</v>
      </c>
      <c r="C61" s="53">
        <f>Skeldonscotries</f>
        <v>1</v>
      </c>
      <c r="D61" s="62" t="s">
        <v>114</v>
      </c>
      <c r="E61" s="108" t="s">
        <v>28</v>
      </c>
      <c r="F61" s="55">
        <f>Villierefra6npts</f>
        <v>5</v>
      </c>
    </row>
    <row r="62" spans="1:6" ht="14.95" customHeight="1" thickBot="1" x14ac:dyDescent="0.3">
      <c r="A62" s="14" t="s">
        <v>309</v>
      </c>
      <c r="B62" s="13" t="s">
        <v>23</v>
      </c>
      <c r="C62" s="53">
        <f>Turaniita6ntries</f>
        <v>1</v>
      </c>
      <c r="D62" s="62" t="s">
        <v>299</v>
      </c>
      <c r="E62" s="108" t="s">
        <v>20</v>
      </c>
      <c r="F62" s="55">
        <f>Loweire6npts</f>
        <v>5</v>
      </c>
    </row>
    <row r="63" spans="1:6" ht="14.95" customHeight="1" thickBot="1" x14ac:dyDescent="0.3">
      <c r="A63" s="14" t="s">
        <v>310</v>
      </c>
      <c r="B63" s="13" t="s">
        <v>22</v>
      </c>
      <c r="C63" s="53">
        <f>Wassellsco6ntries</f>
        <v>1</v>
      </c>
      <c r="D63" s="62" t="s">
        <v>269</v>
      </c>
      <c r="E63" s="108" t="s">
        <v>28</v>
      </c>
      <c r="F63" s="55">
        <f>Willemsefra6npts</f>
        <v>5</v>
      </c>
    </row>
    <row r="64" spans="1:6" ht="14.95" customHeight="1" thickBot="1" x14ac:dyDescent="0.3">
      <c r="A64" s="14" t="s">
        <v>258</v>
      </c>
      <c r="B64" s="13" t="s">
        <v>20</v>
      </c>
      <c r="C64" s="53">
        <f>Croninire6ntries</f>
        <v>0</v>
      </c>
      <c r="D64" s="62" t="s">
        <v>301</v>
      </c>
      <c r="E64" s="108" t="s">
        <v>20</v>
      </c>
      <c r="F64" s="55">
        <f>O_Mahonyire6npts</f>
        <v>5</v>
      </c>
    </row>
    <row r="65" spans="1:6" ht="14.95" customHeight="1" thickBot="1" x14ac:dyDescent="0.3">
      <c r="A65" s="14" t="s">
        <v>271</v>
      </c>
      <c r="B65" s="13" t="s">
        <v>28</v>
      </c>
      <c r="C65" s="53">
        <f>Drouinfra6ntries</f>
        <v>0</v>
      </c>
      <c r="D65" s="62" t="s">
        <v>252</v>
      </c>
      <c r="E65" s="108" t="s">
        <v>21</v>
      </c>
      <c r="F65" s="55">
        <f>Powellengpts</f>
        <v>5</v>
      </c>
    </row>
    <row r="66" spans="1:6" ht="14.95" customHeight="1" thickBot="1" x14ac:dyDescent="0.3">
      <c r="A66" s="14" t="s">
        <v>294</v>
      </c>
      <c r="B66" s="13" t="s">
        <v>21</v>
      </c>
      <c r="C66" s="53">
        <f>Harrisoneng6ntries</f>
        <v>0</v>
      </c>
      <c r="D66" s="62" t="s">
        <v>293</v>
      </c>
      <c r="E66" s="108" t="s">
        <v>21</v>
      </c>
      <c r="F66" s="55">
        <f>Singeng6npts</f>
        <v>5</v>
      </c>
    </row>
    <row r="67" spans="1:6" ht="14.95" customHeight="1" thickBot="1" x14ac:dyDescent="0.3">
      <c r="A67" s="14" t="s">
        <v>255</v>
      </c>
      <c r="B67" s="13" t="s">
        <v>22</v>
      </c>
      <c r="C67" s="53">
        <f>Nelsonsco6ntries</f>
        <v>0</v>
      </c>
      <c r="D67" s="62" t="s">
        <v>284</v>
      </c>
      <c r="E67" s="108" t="s">
        <v>22</v>
      </c>
      <c r="F67" s="55">
        <f>Skeldonscopts</f>
        <v>5</v>
      </c>
    </row>
    <row r="68" spans="1:6" ht="14.95" customHeight="1" thickBot="1" x14ac:dyDescent="0.3">
      <c r="A68" s="14" t="s">
        <v>316</v>
      </c>
      <c r="B68" s="13" t="s">
        <v>20</v>
      </c>
      <c r="C68" s="53">
        <f>O’Connorire6ntries</f>
        <v>0</v>
      </c>
      <c r="D68" s="62" t="s">
        <v>309</v>
      </c>
      <c r="E68" s="108" t="s">
        <v>23</v>
      </c>
      <c r="F68" s="55">
        <f>Turaniita6npts</f>
        <v>5</v>
      </c>
    </row>
    <row r="69" spans="1:6" ht="14.95" customHeight="1" thickBot="1" x14ac:dyDescent="0.3">
      <c r="A69" s="14" t="s">
        <v>304</v>
      </c>
      <c r="B69" s="13" t="s">
        <v>23</v>
      </c>
      <c r="C69" s="53">
        <f>Rigoniita6ntries</f>
        <v>0</v>
      </c>
      <c r="D69" s="62" t="s">
        <v>310</v>
      </c>
      <c r="E69" s="108" t="s">
        <v>22</v>
      </c>
      <c r="F69" s="55">
        <f>Wassellsco6npts</f>
        <v>5</v>
      </c>
    </row>
    <row r="70" spans="1:6" ht="14.95" customHeight="1" thickBot="1" x14ac:dyDescent="0.3">
      <c r="A70" s="14" t="s">
        <v>254</v>
      </c>
      <c r="B70" s="13" t="s">
        <v>21</v>
      </c>
      <c r="C70" s="53">
        <f>Rowlandengtries</f>
        <v>0</v>
      </c>
      <c r="D70" s="62" t="s">
        <v>264</v>
      </c>
      <c r="E70" s="108" t="s">
        <v>24</v>
      </c>
      <c r="F70" s="55">
        <f>Wilkinswal6npts</f>
        <v>5</v>
      </c>
    </row>
    <row r="71" spans="1:6" ht="14.95" customHeight="1" thickBot="1" x14ac:dyDescent="0.3">
      <c r="A71" s="14" t="s">
        <v>274</v>
      </c>
      <c r="B71" s="13" t="s">
        <v>23</v>
      </c>
      <c r="C71" s="53">
        <f>Sillariita6ntries</f>
        <v>0</v>
      </c>
      <c r="D71" s="62" t="s">
        <v>316</v>
      </c>
      <c r="E71" s="108" t="s">
        <v>20</v>
      </c>
      <c r="F71" s="55">
        <f>O’Connorire6npts</f>
        <v>3</v>
      </c>
    </row>
    <row r="72" spans="1:6" ht="14.95" customHeight="1" thickBot="1" x14ac:dyDescent="0.3">
      <c r="A72" s="14" t="s">
        <v>245</v>
      </c>
      <c r="B72" s="13" t="s">
        <v>24</v>
      </c>
      <c r="C72" s="53">
        <f>Wilkinswal6ntries</f>
        <v>0</v>
      </c>
      <c r="D72" s="62" t="s">
        <v>305</v>
      </c>
      <c r="E72" s="108" t="s">
        <v>23</v>
      </c>
      <c r="F72" s="55">
        <f>Rigoniita6npts</f>
        <v>3</v>
      </c>
    </row>
    <row r="73" spans="1:6" ht="14.95" customHeight="1" x14ac:dyDescent="0.25">
      <c r="C73">
        <f>SUM(C4:C72)</f>
        <v>101</v>
      </c>
      <c r="F73">
        <f>SUM(F4:F72)</f>
        <v>674</v>
      </c>
    </row>
    <row r="74" spans="1:6" ht="14.95" customHeight="1" x14ac:dyDescent="0.25">
      <c r="A74" s="124" t="s">
        <v>11</v>
      </c>
    </row>
    <row r="75" spans="1:6" ht="14.95" customHeight="1" x14ac:dyDescent="0.25"/>
    <row r="76" spans="1:6" ht="14.95" customHeight="1" x14ac:dyDescent="0.25"/>
    <row r="77" spans="1:6" ht="14.95" customHeight="1" x14ac:dyDescent="0.25"/>
    <row r="78" spans="1:6" ht="14.95" customHeight="1" x14ac:dyDescent="0.25"/>
    <row r="79" spans="1:6" ht="14.95" customHeight="1" x14ac:dyDescent="0.25"/>
    <row r="80" spans="1:6" ht="14.95" customHeight="1" x14ac:dyDescent="0.25"/>
    <row r="81" ht="14.95" customHeight="1" x14ac:dyDescent="0.25"/>
    <row r="82" ht="14.95" customHeight="1" x14ac:dyDescent="0.25"/>
    <row r="83" ht="14.95" customHeight="1" x14ac:dyDescent="0.25"/>
  </sheetData>
  <sortState xmlns:xlrd2="http://schemas.microsoft.com/office/spreadsheetml/2017/richdata2" ref="G4:K17">
    <sortCondition sortBy="fontColor" ref="J4:J17" dxfId="2"/>
    <sortCondition descending="1" ref="K4:K17"/>
    <sortCondition descending="1" ref="J4:J17"/>
    <sortCondition ref="G4:G1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4FE2-89A8-4139-83A2-19D2BACED38C}">
  <dimension ref="A1:Q74"/>
  <sheetViews>
    <sheetView topLeftCell="A32" workbookViewId="0">
      <selection activeCell="P7" sqref="P7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6.5" customWidth="1"/>
    <col min="10" max="16" width="5.75" customWidth="1"/>
  </cols>
  <sheetData>
    <row r="1" spans="1:16" ht="17" thickBot="1" x14ac:dyDescent="0.3">
      <c r="A1" s="339" t="s">
        <v>324</v>
      </c>
      <c r="B1" s="340"/>
      <c r="C1" s="340"/>
      <c r="D1" s="340"/>
      <c r="E1" s="340"/>
      <c r="F1" s="340"/>
      <c r="G1" s="340"/>
      <c r="H1" s="341"/>
      <c r="I1" s="365" t="s">
        <v>16</v>
      </c>
      <c r="J1" s="309">
        <v>2022</v>
      </c>
      <c r="K1" s="310"/>
      <c r="L1" s="311"/>
      <c r="M1" s="309" t="s">
        <v>13</v>
      </c>
      <c r="N1" s="310"/>
      <c r="O1" s="311"/>
      <c r="P1" s="315" t="s">
        <v>17</v>
      </c>
    </row>
    <row r="2" spans="1:16" ht="14.95" thickBot="1" x14ac:dyDescent="0.3">
      <c r="A2" s="72" t="s">
        <v>0</v>
      </c>
      <c r="B2" s="280" t="s">
        <v>525</v>
      </c>
      <c r="C2" s="125" t="s">
        <v>12</v>
      </c>
      <c r="D2" s="78" t="s">
        <v>1</v>
      </c>
      <c r="E2" s="152" t="s">
        <v>2</v>
      </c>
      <c r="F2" s="282" t="s">
        <v>525</v>
      </c>
      <c r="G2" s="251" t="s">
        <v>12</v>
      </c>
      <c r="H2" s="153" t="s">
        <v>1</v>
      </c>
      <c r="I2" s="366"/>
      <c r="J2" s="312"/>
      <c r="K2" s="313"/>
      <c r="L2" s="314"/>
      <c r="M2" s="312"/>
      <c r="N2" s="313"/>
      <c r="O2" s="314"/>
      <c r="P2" s="316"/>
    </row>
    <row r="3" spans="1:16" ht="14.95" thickBot="1" x14ac:dyDescent="0.3">
      <c r="A3" s="69" t="s">
        <v>526</v>
      </c>
      <c r="B3" s="281">
        <v>1</v>
      </c>
      <c r="C3" s="126">
        <v>0</v>
      </c>
      <c r="D3" s="66">
        <f>SUM(B3:C3)</f>
        <v>1</v>
      </c>
      <c r="E3" s="154" t="s">
        <v>526</v>
      </c>
      <c r="F3" s="283">
        <v>5</v>
      </c>
      <c r="G3" s="252">
        <v>0</v>
      </c>
      <c r="H3" s="31">
        <f>SUM(F3:G3)</f>
        <v>5</v>
      </c>
      <c r="I3" s="4"/>
      <c r="J3" s="31" t="s">
        <v>18</v>
      </c>
      <c r="K3" s="31" t="s">
        <v>5</v>
      </c>
      <c r="L3" s="31" t="s">
        <v>6</v>
      </c>
      <c r="M3" s="84" t="s">
        <v>18</v>
      </c>
      <c r="N3" s="31" t="s">
        <v>5</v>
      </c>
      <c r="O3" s="31" t="s">
        <v>6</v>
      </c>
      <c r="P3" s="1"/>
    </row>
    <row r="4" spans="1:16" ht="14.95" thickBot="1" x14ac:dyDescent="0.3">
      <c r="A4" s="69" t="s">
        <v>527</v>
      </c>
      <c r="B4" s="281">
        <v>0</v>
      </c>
      <c r="C4" s="126">
        <v>0</v>
      </c>
      <c r="D4" s="66">
        <f t="shared" ref="D4:D36" si="0">SUM(B4:C4)</f>
        <v>0</v>
      </c>
      <c r="E4" s="154" t="s">
        <v>527</v>
      </c>
      <c r="F4" s="283">
        <v>0</v>
      </c>
      <c r="G4" s="252">
        <v>0</v>
      </c>
      <c r="H4" s="31">
        <f t="shared" ref="H4:H36" si="1">SUM(F4:G4)</f>
        <v>0</v>
      </c>
      <c r="I4" s="69" t="s">
        <v>328</v>
      </c>
      <c r="J4" s="70">
        <v>4</v>
      </c>
      <c r="K4" s="70">
        <v>4</v>
      </c>
      <c r="L4" s="71">
        <f t="shared" ref="L4:L5" si="2">SUM(J4/K4)*100</f>
        <v>100</v>
      </c>
      <c r="M4" s="70">
        <v>1</v>
      </c>
      <c r="N4" s="70">
        <v>1</v>
      </c>
      <c r="O4" s="71">
        <f t="shared" ref="O4" si="3">SUM(M4/N4)*100</f>
        <v>100</v>
      </c>
      <c r="P4" s="157">
        <v>4</v>
      </c>
    </row>
    <row r="5" spans="1:16" ht="14.95" customHeight="1" thickBot="1" x14ac:dyDescent="0.3">
      <c r="A5" s="69" t="s">
        <v>326</v>
      </c>
      <c r="B5" s="281">
        <v>0</v>
      </c>
      <c r="C5" s="126">
        <v>1</v>
      </c>
      <c r="D5" s="66">
        <f t="shared" si="0"/>
        <v>1</v>
      </c>
      <c r="E5" s="155" t="s">
        <v>326</v>
      </c>
      <c r="F5" s="283">
        <v>0</v>
      </c>
      <c r="G5" s="252">
        <v>5</v>
      </c>
      <c r="H5" s="31">
        <f t="shared" si="1"/>
        <v>5</v>
      </c>
      <c r="I5" s="69" t="s">
        <v>337</v>
      </c>
      <c r="J5" s="70">
        <v>7</v>
      </c>
      <c r="K5" s="70">
        <v>18</v>
      </c>
      <c r="L5" s="71">
        <f t="shared" si="2"/>
        <v>38.888888888888893</v>
      </c>
      <c r="M5" s="70">
        <v>1</v>
      </c>
      <c r="N5" s="70">
        <v>2</v>
      </c>
      <c r="O5" s="71">
        <f t="shared" ref="O5" si="4">SUM(M5/N5)*100</f>
        <v>50</v>
      </c>
      <c r="P5" s="157">
        <v>1</v>
      </c>
    </row>
    <row r="6" spans="1:16" ht="14.95" thickBot="1" x14ac:dyDescent="0.3">
      <c r="A6" s="69" t="s">
        <v>328</v>
      </c>
      <c r="B6" s="281">
        <v>0</v>
      </c>
      <c r="C6" s="126">
        <v>0</v>
      </c>
      <c r="D6" s="66">
        <f t="shared" si="0"/>
        <v>0</v>
      </c>
      <c r="E6" s="155" t="s">
        <v>328</v>
      </c>
      <c r="F6" s="283">
        <v>0</v>
      </c>
      <c r="G6" s="252">
        <v>8</v>
      </c>
      <c r="H6" s="31">
        <f t="shared" si="1"/>
        <v>8</v>
      </c>
      <c r="I6" s="69" t="s">
        <v>394</v>
      </c>
      <c r="J6" s="70">
        <v>2</v>
      </c>
      <c r="K6" s="70">
        <v>4</v>
      </c>
      <c r="L6" s="71">
        <f t="shared" ref="L6" si="5">SUM(J6/K6)*100</f>
        <v>50</v>
      </c>
      <c r="M6" s="70" t="s">
        <v>8</v>
      </c>
      <c r="N6" s="70" t="s">
        <v>8</v>
      </c>
      <c r="O6" s="71" t="s">
        <v>8</v>
      </c>
      <c r="P6" s="157">
        <v>-1</v>
      </c>
    </row>
    <row r="7" spans="1:16" ht="14.95" thickBot="1" x14ac:dyDescent="0.3">
      <c r="A7" s="69" t="s">
        <v>336</v>
      </c>
      <c r="B7" s="281">
        <v>1</v>
      </c>
      <c r="C7" s="126">
        <v>1</v>
      </c>
      <c r="D7" s="66">
        <f t="shared" si="0"/>
        <v>2</v>
      </c>
      <c r="E7" s="155" t="s">
        <v>336</v>
      </c>
      <c r="F7" s="283">
        <v>5</v>
      </c>
      <c r="G7" s="252">
        <v>5</v>
      </c>
      <c r="H7" s="31">
        <f t="shared" si="1"/>
        <v>10</v>
      </c>
      <c r="I7" s="69" t="s">
        <v>417</v>
      </c>
      <c r="J7" s="70">
        <v>1</v>
      </c>
      <c r="K7" s="70">
        <v>1</v>
      </c>
      <c r="L7" s="71">
        <f t="shared" ref="L7" si="6">SUM(J7/K7)*100</f>
        <v>100</v>
      </c>
      <c r="M7" s="70">
        <v>1</v>
      </c>
      <c r="N7" s="70">
        <v>1</v>
      </c>
      <c r="O7" s="71">
        <v>100</v>
      </c>
      <c r="P7" s="157">
        <v>1</v>
      </c>
    </row>
    <row r="8" spans="1:16" ht="17" thickBot="1" x14ac:dyDescent="0.3">
      <c r="A8" s="69" t="s">
        <v>417</v>
      </c>
      <c r="B8" s="281">
        <v>1</v>
      </c>
      <c r="C8" s="126">
        <v>1</v>
      </c>
      <c r="D8" s="66">
        <f t="shared" si="0"/>
        <v>2</v>
      </c>
      <c r="E8" s="155" t="s">
        <v>417</v>
      </c>
      <c r="F8" s="283">
        <v>7</v>
      </c>
      <c r="G8" s="252">
        <v>5</v>
      </c>
      <c r="H8" s="31">
        <f t="shared" si="1"/>
        <v>12</v>
      </c>
      <c r="I8" s="326" t="s">
        <v>521</v>
      </c>
      <c r="J8" s="309">
        <v>2022</v>
      </c>
      <c r="K8" s="310"/>
      <c r="L8" s="311"/>
      <c r="M8" s="118"/>
      <c r="N8" s="118"/>
      <c r="O8" s="118"/>
    </row>
    <row r="9" spans="1:16" ht="14.95" thickBot="1" x14ac:dyDescent="0.3">
      <c r="A9" s="69" t="s">
        <v>528</v>
      </c>
      <c r="B9" s="281">
        <v>0</v>
      </c>
      <c r="C9" s="126">
        <v>0</v>
      </c>
      <c r="D9" s="66">
        <f t="shared" si="0"/>
        <v>0</v>
      </c>
      <c r="E9" s="155" t="s">
        <v>528</v>
      </c>
      <c r="F9" s="283">
        <v>0</v>
      </c>
      <c r="G9" s="252">
        <v>0</v>
      </c>
      <c r="H9" s="31">
        <f t="shared" si="1"/>
        <v>0</v>
      </c>
      <c r="I9" s="327"/>
      <c r="J9" s="312"/>
      <c r="K9" s="313"/>
      <c r="L9" s="314"/>
      <c r="M9" s="63"/>
      <c r="N9" s="63"/>
      <c r="O9" s="63"/>
    </row>
    <row r="10" spans="1:16" ht="14.95" thickBot="1" x14ac:dyDescent="0.3">
      <c r="A10" s="69" t="s">
        <v>429</v>
      </c>
      <c r="B10" s="281">
        <v>0</v>
      </c>
      <c r="C10" s="126">
        <v>1</v>
      </c>
      <c r="D10" s="66">
        <f t="shared" si="0"/>
        <v>1</v>
      </c>
      <c r="E10" s="155" t="s">
        <v>429</v>
      </c>
      <c r="F10" s="283">
        <v>0</v>
      </c>
      <c r="G10" s="252">
        <v>5</v>
      </c>
      <c r="H10" s="31">
        <f t="shared" si="1"/>
        <v>5</v>
      </c>
      <c r="I10" s="267"/>
      <c r="J10" s="31" t="s">
        <v>18</v>
      </c>
      <c r="K10" s="31" t="s">
        <v>5</v>
      </c>
      <c r="L10" s="31" t="s">
        <v>6</v>
      </c>
      <c r="M10" s="63"/>
      <c r="N10" s="63"/>
      <c r="O10" s="63"/>
    </row>
    <row r="11" spans="1:16" ht="14.95" thickBot="1" x14ac:dyDescent="0.3">
      <c r="A11" s="69" t="s">
        <v>529</v>
      </c>
      <c r="B11" s="281">
        <v>0</v>
      </c>
      <c r="C11" s="126">
        <v>0</v>
      </c>
      <c r="D11" s="66">
        <f t="shared" si="0"/>
        <v>0</v>
      </c>
      <c r="E11" s="155" t="s">
        <v>529</v>
      </c>
      <c r="F11" s="283">
        <v>0</v>
      </c>
      <c r="G11" s="252">
        <v>0</v>
      </c>
      <c r="H11" s="31">
        <f t="shared" si="1"/>
        <v>0</v>
      </c>
      <c r="I11" s="69" t="s">
        <v>328</v>
      </c>
      <c r="J11" s="70" t="s">
        <v>8</v>
      </c>
      <c r="K11" s="70" t="s">
        <v>8</v>
      </c>
      <c r="L11" s="71" t="s">
        <v>8</v>
      </c>
      <c r="M11" s="63"/>
      <c r="N11" s="63"/>
      <c r="O11" s="63"/>
    </row>
    <row r="12" spans="1:16" ht="14.95" thickBot="1" x14ac:dyDescent="0.3">
      <c r="A12" s="69" t="s">
        <v>530</v>
      </c>
      <c r="B12" s="281">
        <v>0</v>
      </c>
      <c r="C12" s="126">
        <v>0</v>
      </c>
      <c r="D12" s="66">
        <f t="shared" si="0"/>
        <v>0</v>
      </c>
      <c r="E12" s="155" t="s">
        <v>530</v>
      </c>
      <c r="F12" s="283">
        <v>0</v>
      </c>
      <c r="G12" s="252">
        <v>0</v>
      </c>
      <c r="H12" s="31">
        <f t="shared" si="1"/>
        <v>0</v>
      </c>
      <c r="I12" s="69" t="s">
        <v>337</v>
      </c>
      <c r="J12" s="70">
        <v>1</v>
      </c>
      <c r="K12" s="70">
        <v>5</v>
      </c>
      <c r="L12" s="71">
        <v>20</v>
      </c>
      <c r="M12" s="63"/>
      <c r="N12" s="63"/>
      <c r="O12" s="63"/>
    </row>
    <row r="13" spans="1:16" ht="14.95" thickBot="1" x14ac:dyDescent="0.3">
      <c r="A13" s="69" t="s">
        <v>531</v>
      </c>
      <c r="B13" s="281">
        <v>0</v>
      </c>
      <c r="C13" s="126">
        <v>0</v>
      </c>
      <c r="D13" s="66">
        <f t="shared" si="0"/>
        <v>0</v>
      </c>
      <c r="E13" s="155" t="s">
        <v>531</v>
      </c>
      <c r="F13" s="283">
        <v>0</v>
      </c>
      <c r="G13" s="252">
        <v>0</v>
      </c>
      <c r="H13" s="31">
        <f t="shared" si="1"/>
        <v>0</v>
      </c>
      <c r="I13" s="69" t="s">
        <v>394</v>
      </c>
      <c r="J13" s="70" t="s">
        <v>8</v>
      </c>
      <c r="K13" s="70" t="s">
        <v>8</v>
      </c>
      <c r="L13" s="71" t="s">
        <v>8</v>
      </c>
      <c r="M13" s="63"/>
      <c r="N13" s="63"/>
      <c r="O13" s="63"/>
    </row>
    <row r="14" spans="1:16" ht="14.95" thickBot="1" x14ac:dyDescent="0.3">
      <c r="A14" s="69" t="s">
        <v>532</v>
      </c>
      <c r="B14" s="281">
        <v>0</v>
      </c>
      <c r="C14" s="126">
        <v>0</v>
      </c>
      <c r="D14" s="66">
        <f t="shared" si="0"/>
        <v>0</v>
      </c>
      <c r="E14" s="155" t="s">
        <v>532</v>
      </c>
      <c r="F14" s="283">
        <v>0</v>
      </c>
      <c r="G14" s="252">
        <v>0</v>
      </c>
      <c r="H14" s="31">
        <f t="shared" si="1"/>
        <v>0</v>
      </c>
      <c r="I14" s="69" t="s">
        <v>417</v>
      </c>
      <c r="J14" s="70">
        <v>1</v>
      </c>
      <c r="K14" s="70">
        <v>1</v>
      </c>
      <c r="L14" s="71">
        <v>100</v>
      </c>
    </row>
    <row r="15" spans="1:16" ht="14.95" thickBot="1" x14ac:dyDescent="0.3">
      <c r="A15" s="69" t="s">
        <v>416</v>
      </c>
      <c r="B15" s="281">
        <v>0</v>
      </c>
      <c r="C15" s="126">
        <v>1</v>
      </c>
      <c r="D15" s="66">
        <f t="shared" si="0"/>
        <v>1</v>
      </c>
      <c r="E15" s="155" t="s">
        <v>416</v>
      </c>
      <c r="F15" s="283">
        <v>0</v>
      </c>
      <c r="G15" s="252">
        <v>5</v>
      </c>
      <c r="H15" s="31">
        <f t="shared" si="1"/>
        <v>5</v>
      </c>
    </row>
    <row r="16" spans="1:16" ht="14.95" thickBot="1" x14ac:dyDescent="0.3">
      <c r="A16" s="69" t="s">
        <v>427</v>
      </c>
      <c r="B16" s="281">
        <v>0</v>
      </c>
      <c r="C16" s="126">
        <v>2</v>
      </c>
      <c r="D16" s="66">
        <f t="shared" si="0"/>
        <v>2</v>
      </c>
      <c r="E16" s="155" t="s">
        <v>427</v>
      </c>
      <c r="F16" s="283">
        <v>0</v>
      </c>
      <c r="G16" s="252">
        <v>10</v>
      </c>
      <c r="H16" s="31">
        <f t="shared" si="1"/>
        <v>10</v>
      </c>
    </row>
    <row r="17" spans="1:17" ht="14.95" thickBot="1" x14ac:dyDescent="0.3">
      <c r="A17" s="69" t="s">
        <v>533</v>
      </c>
      <c r="B17" s="281">
        <v>0</v>
      </c>
      <c r="C17" s="126">
        <v>0</v>
      </c>
      <c r="D17" s="66">
        <f t="shared" si="0"/>
        <v>0</v>
      </c>
      <c r="E17" s="155" t="s">
        <v>533</v>
      </c>
      <c r="F17" s="283">
        <v>0</v>
      </c>
      <c r="G17" s="252">
        <v>0</v>
      </c>
      <c r="H17" s="31">
        <f t="shared" si="1"/>
        <v>0</v>
      </c>
    </row>
    <row r="18" spans="1:17" ht="14.95" thickBot="1" x14ac:dyDescent="0.3">
      <c r="A18" s="69" t="s">
        <v>327</v>
      </c>
      <c r="B18" s="281">
        <v>0</v>
      </c>
      <c r="C18" s="126">
        <v>1</v>
      </c>
      <c r="D18" s="66">
        <f t="shared" si="0"/>
        <v>1</v>
      </c>
      <c r="E18" s="155" t="s">
        <v>327</v>
      </c>
      <c r="F18" s="283">
        <v>0</v>
      </c>
      <c r="G18" s="252">
        <v>5</v>
      </c>
      <c r="H18" s="31">
        <f t="shared" si="1"/>
        <v>5</v>
      </c>
    </row>
    <row r="19" spans="1:17" ht="14.95" thickBot="1" x14ac:dyDescent="0.3">
      <c r="A19" s="69" t="s">
        <v>534</v>
      </c>
      <c r="B19" s="281">
        <v>0</v>
      </c>
      <c r="C19" s="126">
        <v>0</v>
      </c>
      <c r="D19" s="66">
        <f t="shared" si="0"/>
        <v>0</v>
      </c>
      <c r="E19" s="155" t="s">
        <v>534</v>
      </c>
      <c r="F19" s="283">
        <v>0</v>
      </c>
      <c r="G19" s="252">
        <v>0</v>
      </c>
      <c r="H19" s="31">
        <f t="shared" si="1"/>
        <v>0</v>
      </c>
    </row>
    <row r="20" spans="1:17" ht="14.95" thickBot="1" x14ac:dyDescent="0.3">
      <c r="A20" s="69" t="s">
        <v>535</v>
      </c>
      <c r="B20" s="281">
        <v>0</v>
      </c>
      <c r="C20" s="126">
        <v>0</v>
      </c>
      <c r="D20" s="66">
        <f t="shared" si="0"/>
        <v>0</v>
      </c>
      <c r="E20" s="155" t="s">
        <v>535</v>
      </c>
      <c r="F20" s="283">
        <v>0</v>
      </c>
      <c r="G20" s="252">
        <v>0</v>
      </c>
      <c r="H20" s="31">
        <f t="shared" si="1"/>
        <v>0</v>
      </c>
    </row>
    <row r="21" spans="1:17" ht="14.95" thickBot="1" x14ac:dyDescent="0.3">
      <c r="A21" s="69" t="s">
        <v>428</v>
      </c>
      <c r="B21" s="281">
        <v>1</v>
      </c>
      <c r="C21" s="126">
        <v>1</v>
      </c>
      <c r="D21" s="66">
        <f t="shared" si="0"/>
        <v>2</v>
      </c>
      <c r="E21" s="155" t="s">
        <v>428</v>
      </c>
      <c r="F21" s="283">
        <v>5</v>
      </c>
      <c r="G21" s="252">
        <v>5</v>
      </c>
      <c r="H21" s="31">
        <f t="shared" si="1"/>
        <v>10</v>
      </c>
    </row>
    <row r="22" spans="1:17" ht="14.95" thickBot="1" x14ac:dyDescent="0.3">
      <c r="A22" s="69" t="s">
        <v>536</v>
      </c>
      <c r="B22" s="281">
        <v>0</v>
      </c>
      <c r="C22" s="126">
        <v>0</v>
      </c>
      <c r="D22" s="66">
        <f t="shared" si="0"/>
        <v>0</v>
      </c>
      <c r="E22" s="155" t="s">
        <v>536</v>
      </c>
      <c r="F22" s="283">
        <v>0</v>
      </c>
      <c r="G22" s="252">
        <v>0</v>
      </c>
      <c r="H22" s="31">
        <f t="shared" si="1"/>
        <v>0</v>
      </c>
      <c r="M22" s="9"/>
      <c r="N22" s="9"/>
      <c r="O22" s="9"/>
      <c r="Q22" s="279"/>
    </row>
    <row r="23" spans="1:17" ht="14.95" thickBot="1" x14ac:dyDescent="0.3">
      <c r="A23" s="69" t="s">
        <v>337</v>
      </c>
      <c r="B23" s="281">
        <v>0</v>
      </c>
      <c r="C23" s="126">
        <v>3</v>
      </c>
      <c r="D23" s="66">
        <f t="shared" si="0"/>
        <v>3</v>
      </c>
      <c r="E23" s="155" t="s">
        <v>337</v>
      </c>
      <c r="F23" s="283">
        <v>3</v>
      </c>
      <c r="G23" s="252">
        <v>28</v>
      </c>
      <c r="H23" s="31">
        <f t="shared" si="1"/>
        <v>31</v>
      </c>
      <c r="M23" s="22"/>
      <c r="N23" s="22"/>
      <c r="O23" s="25"/>
    </row>
    <row r="24" spans="1:17" ht="14.95" thickBot="1" x14ac:dyDescent="0.3">
      <c r="A24" s="69" t="s">
        <v>302</v>
      </c>
      <c r="B24" s="281">
        <v>0</v>
      </c>
      <c r="C24" s="126">
        <v>1</v>
      </c>
      <c r="D24" s="66">
        <f t="shared" si="0"/>
        <v>1</v>
      </c>
      <c r="E24" s="155" t="s">
        <v>302</v>
      </c>
      <c r="F24" s="283">
        <v>0</v>
      </c>
      <c r="G24" s="252">
        <v>7</v>
      </c>
      <c r="H24" s="31">
        <f t="shared" si="1"/>
        <v>7</v>
      </c>
      <c r="M24" s="22"/>
      <c r="N24" s="22"/>
      <c r="O24" s="25"/>
    </row>
    <row r="25" spans="1:17" ht="14.95" thickBot="1" x14ac:dyDescent="0.3">
      <c r="A25" s="69" t="s">
        <v>489</v>
      </c>
      <c r="B25" s="281">
        <v>0</v>
      </c>
      <c r="C25" s="126">
        <v>1</v>
      </c>
      <c r="D25" s="66">
        <f t="shared" si="0"/>
        <v>1</v>
      </c>
      <c r="E25" s="155" t="s">
        <v>489</v>
      </c>
      <c r="F25" s="283">
        <v>0</v>
      </c>
      <c r="G25" s="252">
        <v>5</v>
      </c>
      <c r="H25" s="31">
        <f t="shared" si="1"/>
        <v>5</v>
      </c>
    </row>
    <row r="26" spans="1:17" ht="14.95" thickBot="1" x14ac:dyDescent="0.3">
      <c r="A26" s="69" t="s">
        <v>325</v>
      </c>
      <c r="B26" s="281">
        <v>0</v>
      </c>
      <c r="C26" s="126">
        <v>5</v>
      </c>
      <c r="D26" s="66">
        <f t="shared" si="0"/>
        <v>5</v>
      </c>
      <c r="E26" s="155" t="s">
        <v>325</v>
      </c>
      <c r="F26" s="283">
        <v>0</v>
      </c>
      <c r="G26" s="252">
        <v>25</v>
      </c>
      <c r="H26" s="31">
        <f t="shared" si="1"/>
        <v>25</v>
      </c>
    </row>
    <row r="27" spans="1:17" ht="14.95" thickBot="1" x14ac:dyDescent="0.3">
      <c r="A27" s="69" t="s">
        <v>537</v>
      </c>
      <c r="B27" s="281">
        <v>0</v>
      </c>
      <c r="C27" s="126">
        <v>0</v>
      </c>
      <c r="D27" s="66">
        <f t="shared" si="0"/>
        <v>0</v>
      </c>
      <c r="E27" s="155" t="s">
        <v>537</v>
      </c>
      <c r="F27" s="283">
        <v>0</v>
      </c>
      <c r="G27" s="252">
        <v>0</v>
      </c>
      <c r="H27" s="31">
        <f t="shared" si="1"/>
        <v>0</v>
      </c>
    </row>
    <row r="28" spans="1:17" ht="14.95" thickBot="1" x14ac:dyDescent="0.3">
      <c r="A28" s="69" t="s">
        <v>539</v>
      </c>
      <c r="B28" s="281">
        <v>0</v>
      </c>
      <c r="C28" s="126">
        <v>0</v>
      </c>
      <c r="D28" s="66">
        <f t="shared" si="0"/>
        <v>0</v>
      </c>
      <c r="E28" s="155" t="s">
        <v>539</v>
      </c>
      <c r="F28" s="283">
        <v>0</v>
      </c>
      <c r="G28" s="252">
        <v>0</v>
      </c>
      <c r="H28" s="31">
        <f t="shared" si="1"/>
        <v>0</v>
      </c>
    </row>
    <row r="29" spans="1:17" ht="14.95" thickBot="1" x14ac:dyDescent="0.3">
      <c r="A29" s="69" t="s">
        <v>538</v>
      </c>
      <c r="B29" s="281">
        <v>0</v>
      </c>
      <c r="C29" s="126">
        <v>1</v>
      </c>
      <c r="D29" s="66">
        <f t="shared" si="0"/>
        <v>1</v>
      </c>
      <c r="E29" s="155" t="s">
        <v>538</v>
      </c>
      <c r="F29" s="283">
        <v>0</v>
      </c>
      <c r="G29" s="252">
        <v>5</v>
      </c>
      <c r="H29" s="31">
        <f t="shared" si="1"/>
        <v>5</v>
      </c>
    </row>
    <row r="30" spans="1:17" ht="14.95" customHeight="1" thickBot="1" x14ac:dyDescent="0.3">
      <c r="A30" s="69" t="s">
        <v>540</v>
      </c>
      <c r="B30" s="281">
        <v>1</v>
      </c>
      <c r="C30" s="126">
        <v>0</v>
      </c>
      <c r="D30" s="66">
        <f t="shared" si="0"/>
        <v>1</v>
      </c>
      <c r="E30" s="155" t="s">
        <v>540</v>
      </c>
      <c r="F30" s="283">
        <v>5</v>
      </c>
      <c r="G30" s="252">
        <v>0</v>
      </c>
      <c r="H30" s="31">
        <f t="shared" si="1"/>
        <v>5</v>
      </c>
    </row>
    <row r="31" spans="1:17" ht="14.95" thickBot="1" x14ac:dyDescent="0.3">
      <c r="A31" s="69" t="s">
        <v>541</v>
      </c>
      <c r="B31" s="281">
        <v>0</v>
      </c>
      <c r="C31" s="126">
        <v>0</v>
      </c>
      <c r="D31" s="66">
        <f t="shared" si="0"/>
        <v>0</v>
      </c>
      <c r="E31" s="155" t="s">
        <v>541</v>
      </c>
      <c r="F31" s="283">
        <v>0</v>
      </c>
      <c r="G31" s="252">
        <v>0</v>
      </c>
      <c r="H31" s="31">
        <f t="shared" si="1"/>
        <v>0</v>
      </c>
    </row>
    <row r="32" spans="1:17" ht="14.95" thickBot="1" x14ac:dyDescent="0.3">
      <c r="A32" s="69" t="s">
        <v>542</v>
      </c>
      <c r="B32" s="281">
        <v>0</v>
      </c>
      <c r="C32" s="126">
        <v>0</v>
      </c>
      <c r="D32" s="66">
        <f t="shared" si="0"/>
        <v>0</v>
      </c>
      <c r="E32" s="155" t="s">
        <v>542</v>
      </c>
      <c r="F32" s="283">
        <v>0</v>
      </c>
      <c r="G32" s="252">
        <v>0</v>
      </c>
      <c r="H32" s="31">
        <f t="shared" si="1"/>
        <v>0</v>
      </c>
    </row>
    <row r="33" spans="1:8" ht="14.95" thickBot="1" x14ac:dyDescent="0.3">
      <c r="A33" s="69" t="s">
        <v>543</v>
      </c>
      <c r="B33" s="281">
        <v>0</v>
      </c>
      <c r="C33" s="126">
        <v>0</v>
      </c>
      <c r="D33" s="66">
        <f t="shared" si="0"/>
        <v>0</v>
      </c>
      <c r="E33" s="155" t="s">
        <v>543</v>
      </c>
      <c r="F33" s="283">
        <v>0</v>
      </c>
      <c r="G33" s="252">
        <v>0</v>
      </c>
      <c r="H33" s="31">
        <f t="shared" si="1"/>
        <v>0</v>
      </c>
    </row>
    <row r="34" spans="1:8" ht="14.95" thickBot="1" x14ac:dyDescent="0.3">
      <c r="A34" s="69" t="s">
        <v>394</v>
      </c>
      <c r="B34" s="281">
        <v>0</v>
      </c>
      <c r="C34" s="126">
        <v>0</v>
      </c>
      <c r="D34" s="66">
        <f t="shared" si="0"/>
        <v>0</v>
      </c>
      <c r="E34" s="155" t="s">
        <v>394</v>
      </c>
      <c r="F34" s="283">
        <v>0</v>
      </c>
      <c r="G34" s="252">
        <v>5</v>
      </c>
      <c r="H34" s="31">
        <f t="shared" si="1"/>
        <v>5</v>
      </c>
    </row>
    <row r="35" spans="1:8" ht="14.95" thickBot="1" x14ac:dyDescent="0.3">
      <c r="A35" s="69" t="s">
        <v>544</v>
      </c>
      <c r="B35" s="281">
        <v>0</v>
      </c>
      <c r="C35" s="126">
        <v>0</v>
      </c>
      <c r="D35" s="66">
        <f t="shared" si="0"/>
        <v>0</v>
      </c>
      <c r="E35" s="155" t="s">
        <v>544</v>
      </c>
      <c r="F35" s="283">
        <v>0</v>
      </c>
      <c r="G35" s="252">
        <v>0</v>
      </c>
      <c r="H35" s="31">
        <f t="shared" si="1"/>
        <v>0</v>
      </c>
    </row>
    <row r="36" spans="1:8" ht="14.95" thickBot="1" x14ac:dyDescent="0.3">
      <c r="A36" s="69" t="s">
        <v>3</v>
      </c>
      <c r="B36" s="281">
        <f>SUM(B3:B35)</f>
        <v>5</v>
      </c>
      <c r="C36" s="126">
        <f>SUM(C3:C35)</f>
        <v>20</v>
      </c>
      <c r="D36" s="66">
        <f t="shared" si="0"/>
        <v>25</v>
      </c>
      <c r="E36" s="156" t="s">
        <v>3</v>
      </c>
      <c r="F36" s="282">
        <f>SUM(F3:F35)</f>
        <v>30</v>
      </c>
      <c r="G36" s="251">
        <f>SUM(G3:G35)</f>
        <v>128</v>
      </c>
      <c r="H36" s="153">
        <f t="shared" si="1"/>
        <v>158</v>
      </c>
    </row>
    <row r="37" spans="1:8" ht="16.3" x14ac:dyDescent="0.25">
      <c r="C37" s="57"/>
      <c r="E37" s="3"/>
      <c r="F37" s="3"/>
      <c r="G37" s="58"/>
      <c r="H37" s="3"/>
    </row>
    <row r="38" spans="1:8" ht="17" thickBot="1" x14ac:dyDescent="0.3">
      <c r="A38" t="s">
        <v>7</v>
      </c>
      <c r="C38" s="57"/>
      <c r="E38" s="3"/>
      <c r="F38" s="3"/>
      <c r="G38" s="58"/>
      <c r="H38" s="3"/>
    </row>
    <row r="39" spans="1:8" ht="14.95" thickBot="1" x14ac:dyDescent="0.3">
      <c r="A39" s="72" t="s">
        <v>0</v>
      </c>
      <c r="B39" s="280" t="s">
        <v>525</v>
      </c>
      <c r="C39" s="125" t="s">
        <v>12</v>
      </c>
      <c r="D39" s="78" t="s">
        <v>1</v>
      </c>
      <c r="E39" s="152" t="s">
        <v>2</v>
      </c>
      <c r="F39" s="282" t="s">
        <v>525</v>
      </c>
      <c r="G39" s="251" t="s">
        <v>12</v>
      </c>
      <c r="H39" s="153" t="s">
        <v>1</v>
      </c>
    </row>
    <row r="40" spans="1:8" ht="14.95" thickBot="1" x14ac:dyDescent="0.3">
      <c r="A40" s="69" t="s">
        <v>325</v>
      </c>
      <c r="B40" s="281">
        <v>0</v>
      </c>
      <c r="C40" s="126">
        <v>5</v>
      </c>
      <c r="D40" s="66">
        <f t="shared" ref="D40:D73" si="7">SUM(B40:C40)</f>
        <v>5</v>
      </c>
      <c r="E40" s="154" t="s">
        <v>337</v>
      </c>
      <c r="F40" s="283">
        <v>3</v>
      </c>
      <c r="G40" s="252">
        <v>28</v>
      </c>
      <c r="H40" s="31">
        <f t="shared" ref="H40:H72" si="8">SUM(F40:G40)</f>
        <v>31</v>
      </c>
    </row>
    <row r="41" spans="1:8" ht="14.95" thickBot="1" x14ac:dyDescent="0.3">
      <c r="A41" s="69" t="s">
        <v>337</v>
      </c>
      <c r="B41" s="281">
        <v>0</v>
      </c>
      <c r="C41" s="126">
        <v>3</v>
      </c>
      <c r="D41" s="66">
        <f t="shared" si="7"/>
        <v>3</v>
      </c>
      <c r="E41" s="154" t="s">
        <v>325</v>
      </c>
      <c r="F41" s="283">
        <v>0</v>
      </c>
      <c r="G41" s="252">
        <v>25</v>
      </c>
      <c r="H41" s="31">
        <f t="shared" si="8"/>
        <v>25</v>
      </c>
    </row>
    <row r="42" spans="1:8" ht="14.95" thickBot="1" x14ac:dyDescent="0.3">
      <c r="A42" s="69" t="s">
        <v>427</v>
      </c>
      <c r="B42" s="281">
        <v>0</v>
      </c>
      <c r="C42" s="126">
        <v>2</v>
      </c>
      <c r="D42" s="66">
        <f t="shared" si="7"/>
        <v>2</v>
      </c>
      <c r="E42" s="155" t="s">
        <v>417</v>
      </c>
      <c r="F42" s="283">
        <v>7</v>
      </c>
      <c r="G42" s="252">
        <v>5</v>
      </c>
      <c r="H42" s="31">
        <f t="shared" si="8"/>
        <v>12</v>
      </c>
    </row>
    <row r="43" spans="1:8" ht="14.95" thickBot="1" x14ac:dyDescent="0.3">
      <c r="A43" s="69" t="s">
        <v>417</v>
      </c>
      <c r="B43" s="281">
        <v>1</v>
      </c>
      <c r="C43" s="126">
        <v>1</v>
      </c>
      <c r="D43" s="66">
        <f t="shared" si="7"/>
        <v>2</v>
      </c>
      <c r="E43" s="155" t="s">
        <v>427</v>
      </c>
      <c r="F43" s="283">
        <v>0</v>
      </c>
      <c r="G43" s="252">
        <v>10</v>
      </c>
      <c r="H43" s="31">
        <f t="shared" si="8"/>
        <v>10</v>
      </c>
    </row>
    <row r="44" spans="1:8" ht="14.95" thickBot="1" x14ac:dyDescent="0.3">
      <c r="A44" s="69" t="s">
        <v>428</v>
      </c>
      <c r="B44" s="281">
        <v>1</v>
      </c>
      <c r="C44" s="126">
        <v>1</v>
      </c>
      <c r="D44" s="66">
        <f t="shared" si="7"/>
        <v>2</v>
      </c>
      <c r="E44" s="155" t="s">
        <v>428</v>
      </c>
      <c r="F44" s="283">
        <v>5</v>
      </c>
      <c r="G44" s="252">
        <v>5</v>
      </c>
      <c r="H44" s="31">
        <f t="shared" si="8"/>
        <v>10</v>
      </c>
    </row>
    <row r="45" spans="1:8" ht="14.95" thickBot="1" x14ac:dyDescent="0.3">
      <c r="A45" s="69" t="s">
        <v>336</v>
      </c>
      <c r="B45" s="281">
        <v>1</v>
      </c>
      <c r="C45" s="126">
        <v>1</v>
      </c>
      <c r="D45" s="66">
        <f t="shared" si="7"/>
        <v>2</v>
      </c>
      <c r="E45" s="155" t="s">
        <v>336</v>
      </c>
      <c r="F45" s="283">
        <v>5</v>
      </c>
      <c r="G45" s="252">
        <v>5</v>
      </c>
      <c r="H45" s="31">
        <f t="shared" si="8"/>
        <v>10</v>
      </c>
    </row>
    <row r="46" spans="1:8" ht="14.95" thickBot="1" x14ac:dyDescent="0.3">
      <c r="A46" s="69" t="s">
        <v>326</v>
      </c>
      <c r="B46" s="281">
        <v>0</v>
      </c>
      <c r="C46" s="126">
        <v>1</v>
      </c>
      <c r="D46" s="66">
        <f t="shared" si="7"/>
        <v>1</v>
      </c>
      <c r="E46" s="155" t="s">
        <v>328</v>
      </c>
      <c r="F46" s="283">
        <v>0</v>
      </c>
      <c r="G46" s="252">
        <v>8</v>
      </c>
      <c r="H46" s="31">
        <f t="shared" si="8"/>
        <v>8</v>
      </c>
    </row>
    <row r="47" spans="1:8" ht="14.95" thickBot="1" x14ac:dyDescent="0.3">
      <c r="A47" s="69" t="s">
        <v>429</v>
      </c>
      <c r="B47" s="281">
        <v>0</v>
      </c>
      <c r="C47" s="126">
        <v>1</v>
      </c>
      <c r="D47" s="66">
        <f t="shared" si="7"/>
        <v>1</v>
      </c>
      <c r="E47" s="155" t="s">
        <v>302</v>
      </c>
      <c r="F47" s="283">
        <v>0</v>
      </c>
      <c r="G47" s="252">
        <v>7</v>
      </c>
      <c r="H47" s="31">
        <f t="shared" si="8"/>
        <v>7</v>
      </c>
    </row>
    <row r="48" spans="1:8" ht="14.95" thickBot="1" x14ac:dyDescent="0.3">
      <c r="A48" s="69" t="s">
        <v>416</v>
      </c>
      <c r="B48" s="281">
        <v>0</v>
      </c>
      <c r="C48" s="126">
        <v>1</v>
      </c>
      <c r="D48" s="66">
        <f t="shared" si="7"/>
        <v>1</v>
      </c>
      <c r="E48" s="155" t="s">
        <v>326</v>
      </c>
      <c r="F48" s="283">
        <v>0</v>
      </c>
      <c r="G48" s="252">
        <v>5</v>
      </c>
      <c r="H48" s="31">
        <f t="shared" si="8"/>
        <v>5</v>
      </c>
    </row>
    <row r="49" spans="1:8" ht="14.95" thickBot="1" x14ac:dyDescent="0.3">
      <c r="A49" s="69" t="s">
        <v>327</v>
      </c>
      <c r="B49" s="281">
        <v>0</v>
      </c>
      <c r="C49" s="126">
        <v>1</v>
      </c>
      <c r="D49" s="66">
        <f t="shared" si="7"/>
        <v>1</v>
      </c>
      <c r="E49" s="155" t="s">
        <v>429</v>
      </c>
      <c r="F49" s="283">
        <v>0</v>
      </c>
      <c r="G49" s="252">
        <v>5</v>
      </c>
      <c r="H49" s="31">
        <f t="shared" si="8"/>
        <v>5</v>
      </c>
    </row>
    <row r="50" spans="1:8" ht="14.95" thickBot="1" x14ac:dyDescent="0.3">
      <c r="A50" s="69" t="s">
        <v>302</v>
      </c>
      <c r="B50" s="281">
        <v>0</v>
      </c>
      <c r="C50" s="126">
        <v>1</v>
      </c>
      <c r="D50" s="66">
        <f t="shared" si="7"/>
        <v>1</v>
      </c>
      <c r="E50" s="155" t="s">
        <v>416</v>
      </c>
      <c r="F50" s="283">
        <v>0</v>
      </c>
      <c r="G50" s="252">
        <v>5</v>
      </c>
      <c r="H50" s="31">
        <f t="shared" si="8"/>
        <v>5</v>
      </c>
    </row>
    <row r="51" spans="1:8" ht="14.95" thickBot="1" x14ac:dyDescent="0.3">
      <c r="A51" s="69" t="s">
        <v>489</v>
      </c>
      <c r="B51" s="281">
        <v>0</v>
      </c>
      <c r="C51" s="126">
        <v>1</v>
      </c>
      <c r="D51" s="66">
        <f t="shared" si="7"/>
        <v>1</v>
      </c>
      <c r="E51" s="155" t="s">
        <v>327</v>
      </c>
      <c r="F51" s="283">
        <v>0</v>
      </c>
      <c r="G51" s="252">
        <v>5</v>
      </c>
      <c r="H51" s="31">
        <f t="shared" si="8"/>
        <v>5</v>
      </c>
    </row>
    <row r="52" spans="1:8" ht="14.95" thickBot="1" x14ac:dyDescent="0.3">
      <c r="A52" s="69" t="s">
        <v>538</v>
      </c>
      <c r="B52" s="281">
        <v>0</v>
      </c>
      <c r="C52" s="126">
        <v>1</v>
      </c>
      <c r="D52" s="66">
        <f t="shared" si="7"/>
        <v>1</v>
      </c>
      <c r="E52" s="155" t="s">
        <v>489</v>
      </c>
      <c r="F52" s="283">
        <v>0</v>
      </c>
      <c r="G52" s="252">
        <v>5</v>
      </c>
      <c r="H52" s="31">
        <f t="shared" si="8"/>
        <v>5</v>
      </c>
    </row>
    <row r="53" spans="1:8" ht="14.95" thickBot="1" x14ac:dyDescent="0.3">
      <c r="A53" s="69" t="s">
        <v>526</v>
      </c>
      <c r="B53" s="281">
        <v>1</v>
      </c>
      <c r="C53" s="126">
        <v>0</v>
      </c>
      <c r="D53" s="66">
        <f t="shared" si="7"/>
        <v>1</v>
      </c>
      <c r="E53" s="155" t="s">
        <v>538</v>
      </c>
      <c r="F53" s="283">
        <v>0</v>
      </c>
      <c r="G53" s="252">
        <v>5</v>
      </c>
      <c r="H53" s="31">
        <f t="shared" si="8"/>
        <v>5</v>
      </c>
    </row>
    <row r="54" spans="1:8" ht="14.95" thickBot="1" x14ac:dyDescent="0.3">
      <c r="A54" s="69" t="s">
        <v>540</v>
      </c>
      <c r="B54" s="281">
        <v>1</v>
      </c>
      <c r="C54" s="126">
        <v>0</v>
      </c>
      <c r="D54" s="66">
        <f t="shared" si="7"/>
        <v>1</v>
      </c>
      <c r="E54" s="155" t="s">
        <v>394</v>
      </c>
      <c r="F54" s="283">
        <v>0</v>
      </c>
      <c r="G54" s="252">
        <v>5</v>
      </c>
      <c r="H54" s="31">
        <f t="shared" si="8"/>
        <v>5</v>
      </c>
    </row>
    <row r="55" spans="1:8" ht="14.95" thickBot="1" x14ac:dyDescent="0.3">
      <c r="A55" s="69" t="s">
        <v>527</v>
      </c>
      <c r="B55" s="281">
        <v>0</v>
      </c>
      <c r="C55" s="126">
        <v>0</v>
      </c>
      <c r="D55" s="66">
        <f t="shared" si="7"/>
        <v>0</v>
      </c>
      <c r="E55" s="155" t="s">
        <v>526</v>
      </c>
      <c r="F55" s="283">
        <v>5</v>
      </c>
      <c r="G55" s="252">
        <v>0</v>
      </c>
      <c r="H55" s="31">
        <f t="shared" si="8"/>
        <v>5</v>
      </c>
    </row>
    <row r="56" spans="1:8" ht="14.95" thickBot="1" x14ac:dyDescent="0.3">
      <c r="A56" s="69" t="s">
        <v>328</v>
      </c>
      <c r="B56" s="281">
        <v>0</v>
      </c>
      <c r="C56" s="126">
        <v>0</v>
      </c>
      <c r="D56" s="66">
        <f t="shared" si="7"/>
        <v>0</v>
      </c>
      <c r="E56" s="155" t="s">
        <v>540</v>
      </c>
      <c r="F56" s="283">
        <v>5</v>
      </c>
      <c r="G56" s="252">
        <v>0</v>
      </c>
      <c r="H56" s="31">
        <f t="shared" si="8"/>
        <v>5</v>
      </c>
    </row>
    <row r="57" spans="1:8" ht="14.95" thickBot="1" x14ac:dyDescent="0.3">
      <c r="A57" s="69" t="s">
        <v>528</v>
      </c>
      <c r="B57" s="281">
        <v>0</v>
      </c>
      <c r="C57" s="126">
        <v>0</v>
      </c>
      <c r="D57" s="66">
        <f t="shared" si="7"/>
        <v>0</v>
      </c>
      <c r="E57" s="155" t="s">
        <v>527</v>
      </c>
      <c r="F57" s="283">
        <v>0</v>
      </c>
      <c r="G57" s="252">
        <v>0</v>
      </c>
      <c r="H57" s="31">
        <f t="shared" si="8"/>
        <v>0</v>
      </c>
    </row>
    <row r="58" spans="1:8" ht="14.95" thickBot="1" x14ac:dyDescent="0.3">
      <c r="A58" s="69" t="s">
        <v>529</v>
      </c>
      <c r="B58" s="281">
        <v>0</v>
      </c>
      <c r="C58" s="126">
        <v>0</v>
      </c>
      <c r="D58" s="66">
        <f t="shared" si="7"/>
        <v>0</v>
      </c>
      <c r="E58" s="155" t="s">
        <v>528</v>
      </c>
      <c r="F58" s="283">
        <v>0</v>
      </c>
      <c r="G58" s="252">
        <v>0</v>
      </c>
      <c r="H58" s="31">
        <f t="shared" si="8"/>
        <v>0</v>
      </c>
    </row>
    <row r="59" spans="1:8" ht="14.95" thickBot="1" x14ac:dyDescent="0.3">
      <c r="A59" s="69" t="s">
        <v>530</v>
      </c>
      <c r="B59" s="281">
        <v>0</v>
      </c>
      <c r="C59" s="126">
        <v>0</v>
      </c>
      <c r="D59" s="66">
        <f t="shared" si="7"/>
        <v>0</v>
      </c>
      <c r="E59" s="155" t="s">
        <v>529</v>
      </c>
      <c r="F59" s="283">
        <v>0</v>
      </c>
      <c r="G59" s="252">
        <v>0</v>
      </c>
      <c r="H59" s="31">
        <f t="shared" si="8"/>
        <v>0</v>
      </c>
    </row>
    <row r="60" spans="1:8" ht="14.95" thickBot="1" x14ac:dyDescent="0.3">
      <c r="A60" s="69" t="s">
        <v>531</v>
      </c>
      <c r="B60" s="281">
        <v>0</v>
      </c>
      <c r="C60" s="126">
        <v>0</v>
      </c>
      <c r="D60" s="66">
        <f t="shared" si="7"/>
        <v>0</v>
      </c>
      <c r="E60" s="155" t="s">
        <v>530</v>
      </c>
      <c r="F60" s="283">
        <v>0</v>
      </c>
      <c r="G60" s="252">
        <v>0</v>
      </c>
      <c r="H60" s="31">
        <f t="shared" si="8"/>
        <v>0</v>
      </c>
    </row>
    <row r="61" spans="1:8" ht="14.95" thickBot="1" x14ac:dyDescent="0.3">
      <c r="A61" s="69" t="s">
        <v>532</v>
      </c>
      <c r="B61" s="281">
        <v>0</v>
      </c>
      <c r="C61" s="126">
        <v>0</v>
      </c>
      <c r="D61" s="66">
        <f t="shared" si="7"/>
        <v>0</v>
      </c>
      <c r="E61" s="155" t="s">
        <v>531</v>
      </c>
      <c r="F61" s="283">
        <v>0</v>
      </c>
      <c r="G61" s="252">
        <v>0</v>
      </c>
      <c r="H61" s="31">
        <f t="shared" si="8"/>
        <v>0</v>
      </c>
    </row>
    <row r="62" spans="1:8" ht="14.95" thickBot="1" x14ac:dyDescent="0.3">
      <c r="A62" s="69" t="s">
        <v>533</v>
      </c>
      <c r="B62" s="281">
        <v>0</v>
      </c>
      <c r="C62" s="126">
        <v>0</v>
      </c>
      <c r="D62" s="66">
        <f t="shared" si="7"/>
        <v>0</v>
      </c>
      <c r="E62" s="155" t="s">
        <v>532</v>
      </c>
      <c r="F62" s="283">
        <v>0</v>
      </c>
      <c r="G62" s="252">
        <v>0</v>
      </c>
      <c r="H62" s="31">
        <f t="shared" si="8"/>
        <v>0</v>
      </c>
    </row>
    <row r="63" spans="1:8" ht="14.95" thickBot="1" x14ac:dyDescent="0.3">
      <c r="A63" s="69" t="s">
        <v>534</v>
      </c>
      <c r="B63" s="281">
        <v>0</v>
      </c>
      <c r="C63" s="126">
        <v>0</v>
      </c>
      <c r="D63" s="66">
        <f t="shared" si="7"/>
        <v>0</v>
      </c>
      <c r="E63" s="155" t="s">
        <v>533</v>
      </c>
      <c r="F63" s="283">
        <v>0</v>
      </c>
      <c r="G63" s="252">
        <v>0</v>
      </c>
      <c r="H63" s="31">
        <f t="shared" si="8"/>
        <v>0</v>
      </c>
    </row>
    <row r="64" spans="1:8" ht="14.95" thickBot="1" x14ac:dyDescent="0.3">
      <c r="A64" s="69" t="s">
        <v>535</v>
      </c>
      <c r="B64" s="281">
        <v>0</v>
      </c>
      <c r="C64" s="126">
        <v>0</v>
      </c>
      <c r="D64" s="66">
        <f t="shared" si="7"/>
        <v>0</v>
      </c>
      <c r="E64" s="155" t="s">
        <v>534</v>
      </c>
      <c r="F64" s="283">
        <v>0</v>
      </c>
      <c r="G64" s="252">
        <v>0</v>
      </c>
      <c r="H64" s="31">
        <f t="shared" si="8"/>
        <v>0</v>
      </c>
    </row>
    <row r="65" spans="1:8" ht="14.95" thickBot="1" x14ac:dyDescent="0.3">
      <c r="A65" s="69" t="s">
        <v>536</v>
      </c>
      <c r="B65" s="281">
        <v>0</v>
      </c>
      <c r="C65" s="126">
        <v>0</v>
      </c>
      <c r="D65" s="66">
        <f t="shared" si="7"/>
        <v>0</v>
      </c>
      <c r="E65" s="155" t="s">
        <v>535</v>
      </c>
      <c r="F65" s="283">
        <v>0</v>
      </c>
      <c r="G65" s="252">
        <v>0</v>
      </c>
      <c r="H65" s="31">
        <f t="shared" si="8"/>
        <v>0</v>
      </c>
    </row>
    <row r="66" spans="1:8" ht="14.95" thickBot="1" x14ac:dyDescent="0.3">
      <c r="A66" s="69" t="s">
        <v>537</v>
      </c>
      <c r="B66" s="281">
        <v>0</v>
      </c>
      <c r="C66" s="126">
        <v>0</v>
      </c>
      <c r="D66" s="66">
        <f t="shared" si="7"/>
        <v>0</v>
      </c>
      <c r="E66" s="155" t="s">
        <v>536</v>
      </c>
      <c r="F66" s="283">
        <v>0</v>
      </c>
      <c r="G66" s="252">
        <v>0</v>
      </c>
      <c r="H66" s="31">
        <f t="shared" si="8"/>
        <v>0</v>
      </c>
    </row>
    <row r="67" spans="1:8" ht="14.95" thickBot="1" x14ac:dyDescent="0.3">
      <c r="A67" s="69" t="s">
        <v>539</v>
      </c>
      <c r="B67" s="281">
        <v>0</v>
      </c>
      <c r="C67" s="126">
        <v>0</v>
      </c>
      <c r="D67" s="66">
        <f t="shared" si="7"/>
        <v>0</v>
      </c>
      <c r="E67" s="155" t="s">
        <v>537</v>
      </c>
      <c r="F67" s="283">
        <v>0</v>
      </c>
      <c r="G67" s="252">
        <v>0</v>
      </c>
      <c r="H67" s="31">
        <f t="shared" si="8"/>
        <v>0</v>
      </c>
    </row>
    <row r="68" spans="1:8" ht="14.95" thickBot="1" x14ac:dyDescent="0.3">
      <c r="A68" s="69" t="s">
        <v>541</v>
      </c>
      <c r="B68" s="281">
        <v>0</v>
      </c>
      <c r="C68" s="126">
        <v>0</v>
      </c>
      <c r="D68" s="66">
        <f t="shared" si="7"/>
        <v>0</v>
      </c>
      <c r="E68" s="155" t="s">
        <v>539</v>
      </c>
      <c r="F68" s="283">
        <v>0</v>
      </c>
      <c r="G68" s="252">
        <v>0</v>
      </c>
      <c r="H68" s="31">
        <f t="shared" si="8"/>
        <v>0</v>
      </c>
    </row>
    <row r="69" spans="1:8" ht="14.95" thickBot="1" x14ac:dyDescent="0.3">
      <c r="A69" s="69" t="s">
        <v>542</v>
      </c>
      <c r="B69" s="281">
        <v>0</v>
      </c>
      <c r="C69" s="126">
        <v>0</v>
      </c>
      <c r="D69" s="66">
        <f t="shared" si="7"/>
        <v>0</v>
      </c>
      <c r="E69" s="155" t="s">
        <v>541</v>
      </c>
      <c r="F69" s="283">
        <v>0</v>
      </c>
      <c r="G69" s="252">
        <v>0</v>
      </c>
      <c r="H69" s="31">
        <f t="shared" si="8"/>
        <v>0</v>
      </c>
    </row>
    <row r="70" spans="1:8" ht="14.95" thickBot="1" x14ac:dyDescent="0.3">
      <c r="A70" s="69" t="s">
        <v>543</v>
      </c>
      <c r="B70" s="281">
        <v>0</v>
      </c>
      <c r="C70" s="126">
        <v>0</v>
      </c>
      <c r="D70" s="66">
        <f t="shared" si="7"/>
        <v>0</v>
      </c>
      <c r="E70" s="155" t="s">
        <v>542</v>
      </c>
      <c r="F70" s="283">
        <v>0</v>
      </c>
      <c r="G70" s="252">
        <v>0</v>
      </c>
      <c r="H70" s="31">
        <f t="shared" si="8"/>
        <v>0</v>
      </c>
    </row>
    <row r="71" spans="1:8" ht="14.95" thickBot="1" x14ac:dyDescent="0.3">
      <c r="A71" s="69" t="s">
        <v>394</v>
      </c>
      <c r="B71" s="281">
        <v>0</v>
      </c>
      <c r="C71" s="126">
        <v>0</v>
      </c>
      <c r="D71" s="66">
        <f t="shared" si="7"/>
        <v>0</v>
      </c>
      <c r="E71" s="155" t="s">
        <v>543</v>
      </c>
      <c r="F71" s="283">
        <v>0</v>
      </c>
      <c r="G71" s="252">
        <v>0</v>
      </c>
      <c r="H71" s="31">
        <f t="shared" si="8"/>
        <v>0</v>
      </c>
    </row>
    <row r="72" spans="1:8" ht="14.95" thickBot="1" x14ac:dyDescent="0.3">
      <c r="A72" s="69" t="s">
        <v>544</v>
      </c>
      <c r="B72" s="281">
        <v>0</v>
      </c>
      <c r="C72" s="126">
        <v>0</v>
      </c>
      <c r="D72" s="66">
        <f t="shared" si="7"/>
        <v>0</v>
      </c>
      <c r="E72" s="155" t="s">
        <v>544</v>
      </c>
      <c r="F72" s="283">
        <v>0</v>
      </c>
      <c r="G72" s="252">
        <v>0</v>
      </c>
      <c r="H72" s="31">
        <f t="shared" si="8"/>
        <v>0</v>
      </c>
    </row>
    <row r="73" spans="1:8" ht="14.95" thickBot="1" x14ac:dyDescent="0.3">
      <c r="A73" s="69" t="s">
        <v>3</v>
      </c>
      <c r="B73" s="281">
        <f>SUM(B40:B72)</f>
        <v>5</v>
      </c>
      <c r="C73" s="126">
        <f>SUM(C40:C72)</f>
        <v>20</v>
      </c>
      <c r="D73" s="66">
        <f t="shared" si="7"/>
        <v>25</v>
      </c>
      <c r="E73" s="156" t="s">
        <v>3</v>
      </c>
      <c r="F73" s="282">
        <f>SUM(F40:F72)</f>
        <v>30</v>
      </c>
      <c r="G73" s="251">
        <f>SUM(G40:G72)</f>
        <v>128</v>
      </c>
      <c r="H73" s="153">
        <f t="shared" ref="H73" si="9">SUM(F73:G73)</f>
        <v>158</v>
      </c>
    </row>
    <row r="74" spans="1:8" x14ac:dyDescent="0.25">
      <c r="A74" s="317" t="s">
        <v>11</v>
      </c>
      <c r="B74" s="317"/>
      <c r="C74" s="318"/>
    </row>
  </sheetData>
  <sortState xmlns:xlrd2="http://schemas.microsoft.com/office/spreadsheetml/2017/richdata2" ref="E40:H72">
    <sortCondition descending="1" ref="H40:H72"/>
  </sortState>
  <mergeCells count="8">
    <mergeCell ref="A74:C74"/>
    <mergeCell ref="P1:P2"/>
    <mergeCell ref="A1:H1"/>
    <mergeCell ref="I1:I2"/>
    <mergeCell ref="J1:L2"/>
    <mergeCell ref="M1:O2"/>
    <mergeCell ref="I8:I9"/>
    <mergeCell ref="J8:L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7E44-2CA9-4E2D-BE09-A8C65F52308C}">
  <dimension ref="A1:R75"/>
  <sheetViews>
    <sheetView workbookViewId="0">
      <selection activeCell="Y21" sqref="Y21"/>
    </sheetView>
  </sheetViews>
  <sheetFormatPr defaultRowHeight="14.3" x14ac:dyDescent="0.25"/>
  <cols>
    <col min="1" max="1" width="16.5" customWidth="1"/>
    <col min="2" max="5" width="4.5" customWidth="1"/>
    <col min="6" max="6" width="16.5" customWidth="1"/>
    <col min="7" max="10" width="4.5" customWidth="1"/>
    <col min="11" max="11" width="16.5" customWidth="1"/>
    <col min="12" max="18" width="5.75" customWidth="1"/>
  </cols>
  <sheetData>
    <row r="1" spans="1:18" ht="17" thickBot="1" x14ac:dyDescent="0.3">
      <c r="A1" s="367" t="s">
        <v>349</v>
      </c>
      <c r="B1" s="368"/>
      <c r="C1" s="368"/>
      <c r="D1" s="368"/>
      <c r="E1" s="368"/>
      <c r="F1" s="368"/>
      <c r="G1" s="368"/>
      <c r="H1" s="368"/>
      <c r="I1" s="368"/>
      <c r="J1" s="369"/>
      <c r="K1" s="370" t="s">
        <v>16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</row>
    <row r="2" spans="1:18" ht="14.95" thickBot="1" x14ac:dyDescent="0.3">
      <c r="A2" s="184" t="s">
        <v>0</v>
      </c>
      <c r="B2" s="190" t="s">
        <v>339</v>
      </c>
      <c r="C2" s="186" t="s">
        <v>12</v>
      </c>
      <c r="D2" s="284" t="s">
        <v>396</v>
      </c>
      <c r="E2" s="188" t="s">
        <v>1</v>
      </c>
      <c r="F2" s="168" t="s">
        <v>2</v>
      </c>
      <c r="G2" s="177" t="s">
        <v>339</v>
      </c>
      <c r="H2" s="195" t="s">
        <v>12</v>
      </c>
      <c r="I2" s="286" t="s">
        <v>396</v>
      </c>
      <c r="J2" s="153" t="s">
        <v>1</v>
      </c>
      <c r="K2" s="371"/>
      <c r="L2" s="312"/>
      <c r="M2" s="313"/>
      <c r="N2" s="314"/>
      <c r="O2" s="312"/>
      <c r="P2" s="313"/>
      <c r="Q2" s="314"/>
      <c r="R2" s="316"/>
    </row>
    <row r="3" spans="1:18" ht="14.95" thickBot="1" x14ac:dyDescent="0.3">
      <c r="A3" s="185" t="s">
        <v>545</v>
      </c>
      <c r="B3" s="191">
        <v>0</v>
      </c>
      <c r="C3" s="187">
        <v>0</v>
      </c>
      <c r="D3" s="285">
        <v>0</v>
      </c>
      <c r="E3" s="189">
        <f>SUM(B3:D3)</f>
        <v>0</v>
      </c>
      <c r="F3" s="169" t="s">
        <v>545</v>
      </c>
      <c r="G3" s="178">
        <v>0</v>
      </c>
      <c r="H3" s="196">
        <v>0</v>
      </c>
      <c r="I3" s="287">
        <v>0</v>
      </c>
      <c r="J3" s="31">
        <f>SUM(G3:I3)</f>
        <v>0</v>
      </c>
      <c r="K3" s="192"/>
      <c r="L3" s="31" t="s">
        <v>18</v>
      </c>
      <c r="M3" s="31" t="s">
        <v>5</v>
      </c>
      <c r="N3" s="31" t="s">
        <v>6</v>
      </c>
      <c r="O3" s="84" t="s">
        <v>18</v>
      </c>
      <c r="P3" s="31" t="s">
        <v>5</v>
      </c>
      <c r="Q3" s="31" t="s">
        <v>6</v>
      </c>
      <c r="R3" s="1"/>
    </row>
    <row r="4" spans="1:18" ht="14.95" thickBot="1" x14ac:dyDescent="0.3">
      <c r="A4" s="185" t="s">
        <v>546</v>
      </c>
      <c r="B4" s="191">
        <v>1</v>
      </c>
      <c r="C4" s="187">
        <v>0</v>
      </c>
      <c r="D4" s="285">
        <v>1</v>
      </c>
      <c r="E4" s="189">
        <f t="shared" ref="E4:E36" si="0">SUM(B4:D4)</f>
        <v>2</v>
      </c>
      <c r="F4" s="170" t="s">
        <v>546</v>
      </c>
      <c r="G4" s="178">
        <v>5</v>
      </c>
      <c r="H4" s="196">
        <v>0</v>
      </c>
      <c r="I4" s="287">
        <v>5</v>
      </c>
      <c r="J4" s="31">
        <f t="shared" ref="J4:J36" si="1">SUM(G4:I4)</f>
        <v>10</v>
      </c>
      <c r="K4" s="185" t="s">
        <v>352</v>
      </c>
      <c r="L4" s="189">
        <v>10</v>
      </c>
      <c r="M4" s="189">
        <v>15</v>
      </c>
      <c r="N4" s="193">
        <f t="shared" ref="N4:N8" si="2">SUM(L4/M4)*100</f>
        <v>66.666666666666657</v>
      </c>
      <c r="O4" s="189" t="s">
        <v>8</v>
      </c>
      <c r="P4" s="189" t="s">
        <v>8</v>
      </c>
      <c r="Q4" s="193" t="s">
        <v>8</v>
      </c>
      <c r="R4" s="194">
        <v>8</v>
      </c>
    </row>
    <row r="5" spans="1:18" ht="14.95" thickBot="1" x14ac:dyDescent="0.3">
      <c r="A5" s="185" t="s">
        <v>547</v>
      </c>
      <c r="B5" s="191">
        <v>1</v>
      </c>
      <c r="C5" s="187">
        <v>0</v>
      </c>
      <c r="D5" s="285">
        <v>1</v>
      </c>
      <c r="E5" s="189">
        <f t="shared" si="0"/>
        <v>2</v>
      </c>
      <c r="F5" s="170" t="s">
        <v>547</v>
      </c>
      <c r="G5" s="178">
        <v>5</v>
      </c>
      <c r="H5" s="196">
        <v>0</v>
      </c>
      <c r="I5" s="287">
        <v>5</v>
      </c>
      <c r="J5" s="31">
        <f>SUM(G5:I5)</f>
        <v>10</v>
      </c>
      <c r="K5" s="203" t="s">
        <v>358</v>
      </c>
      <c r="L5" s="203">
        <v>15</v>
      </c>
      <c r="M5" s="203">
        <v>27</v>
      </c>
      <c r="N5" s="204">
        <f t="shared" si="2"/>
        <v>55.555555555555557</v>
      </c>
      <c r="O5" s="189" t="s">
        <v>8</v>
      </c>
      <c r="P5" s="189" t="s">
        <v>8</v>
      </c>
      <c r="Q5" s="193" t="s">
        <v>8</v>
      </c>
      <c r="R5" s="203">
        <v>2</v>
      </c>
    </row>
    <row r="6" spans="1:18" ht="14.95" thickBot="1" x14ac:dyDescent="0.3">
      <c r="A6" s="185" t="s">
        <v>367</v>
      </c>
      <c r="B6" s="191">
        <v>1</v>
      </c>
      <c r="C6" s="187">
        <v>0</v>
      </c>
      <c r="D6" s="285">
        <v>2</v>
      </c>
      <c r="E6" s="189">
        <f t="shared" si="0"/>
        <v>3</v>
      </c>
      <c r="F6" s="170" t="s">
        <v>367</v>
      </c>
      <c r="G6" s="178">
        <v>5</v>
      </c>
      <c r="H6" s="196">
        <v>0</v>
      </c>
      <c r="I6" s="287">
        <v>10</v>
      </c>
      <c r="J6" s="31">
        <f t="shared" si="1"/>
        <v>15</v>
      </c>
      <c r="K6" s="203" t="s">
        <v>366</v>
      </c>
      <c r="L6" s="203">
        <v>20</v>
      </c>
      <c r="M6" s="203">
        <v>39</v>
      </c>
      <c r="N6" s="204">
        <f t="shared" si="2"/>
        <v>51.282051282051277</v>
      </c>
      <c r="O6" s="189">
        <v>2</v>
      </c>
      <c r="P6" s="189">
        <v>6</v>
      </c>
      <c r="Q6" s="193">
        <f t="shared" ref="Q6" si="3">SUM(O6/P6)*100</f>
        <v>33.333333333333329</v>
      </c>
      <c r="R6" s="203">
        <v>-4</v>
      </c>
    </row>
    <row r="7" spans="1:18" ht="14.95" thickBot="1" x14ac:dyDescent="0.3">
      <c r="A7" s="185" t="s">
        <v>352</v>
      </c>
      <c r="B7" s="191">
        <v>0</v>
      </c>
      <c r="C7" s="187">
        <v>3</v>
      </c>
      <c r="D7" s="285">
        <v>0</v>
      </c>
      <c r="E7" s="189">
        <f t="shared" si="0"/>
        <v>3</v>
      </c>
      <c r="F7" s="170" t="s">
        <v>352</v>
      </c>
      <c r="G7" s="178">
        <v>3</v>
      </c>
      <c r="H7" s="196">
        <v>31</v>
      </c>
      <c r="I7" s="287">
        <v>2</v>
      </c>
      <c r="J7" s="31">
        <f t="shared" si="1"/>
        <v>36</v>
      </c>
      <c r="K7" s="203" t="s">
        <v>364</v>
      </c>
      <c r="L7" s="203">
        <v>1</v>
      </c>
      <c r="M7" s="203">
        <v>1</v>
      </c>
      <c r="N7" s="204">
        <f t="shared" si="2"/>
        <v>100</v>
      </c>
      <c r="O7" s="189" t="s">
        <v>8</v>
      </c>
      <c r="P7" s="189" t="s">
        <v>8</v>
      </c>
      <c r="Q7" s="193" t="s">
        <v>8</v>
      </c>
      <c r="R7" s="203">
        <v>1</v>
      </c>
    </row>
    <row r="8" spans="1:18" ht="14.95" thickBot="1" x14ac:dyDescent="0.3">
      <c r="A8" s="185" t="s">
        <v>421</v>
      </c>
      <c r="B8" s="191">
        <v>0</v>
      </c>
      <c r="C8" s="187">
        <v>3</v>
      </c>
      <c r="D8" s="285">
        <v>2</v>
      </c>
      <c r="E8" s="189">
        <f t="shared" si="0"/>
        <v>5</v>
      </c>
      <c r="F8" s="170" t="s">
        <v>421</v>
      </c>
      <c r="G8" s="178">
        <v>0</v>
      </c>
      <c r="H8" s="196">
        <v>15</v>
      </c>
      <c r="I8" s="287">
        <v>10</v>
      </c>
      <c r="J8" s="31">
        <f t="shared" si="1"/>
        <v>25</v>
      </c>
      <c r="K8" s="205" t="s">
        <v>359</v>
      </c>
      <c r="L8" s="206">
        <v>5</v>
      </c>
      <c r="M8" s="206">
        <v>11</v>
      </c>
      <c r="N8" s="207">
        <f t="shared" si="2"/>
        <v>45.454545454545453</v>
      </c>
      <c r="O8" s="189" t="s">
        <v>8</v>
      </c>
      <c r="P8" s="189" t="s">
        <v>8</v>
      </c>
      <c r="Q8" s="193" t="s">
        <v>8</v>
      </c>
      <c r="R8" s="208">
        <v>-4</v>
      </c>
    </row>
    <row r="9" spans="1:18" ht="17" thickBot="1" x14ac:dyDescent="0.3">
      <c r="A9" s="185" t="s">
        <v>488</v>
      </c>
      <c r="B9" s="191">
        <v>0</v>
      </c>
      <c r="C9" s="187">
        <v>0</v>
      </c>
      <c r="D9" s="285">
        <v>0</v>
      </c>
      <c r="E9" s="189">
        <f t="shared" si="0"/>
        <v>0</v>
      </c>
      <c r="F9" s="170" t="s">
        <v>488</v>
      </c>
      <c r="G9" s="178">
        <v>0</v>
      </c>
      <c r="H9" s="196">
        <v>0</v>
      </c>
      <c r="I9" s="287">
        <v>0</v>
      </c>
      <c r="J9" s="31">
        <f t="shared" si="1"/>
        <v>0</v>
      </c>
      <c r="K9" s="138" t="s">
        <v>9</v>
      </c>
      <c r="O9" s="64"/>
      <c r="P9" s="118"/>
      <c r="Q9" s="118"/>
    </row>
    <row r="10" spans="1:18" ht="17" thickBot="1" x14ac:dyDescent="0.3">
      <c r="A10" s="185" t="s">
        <v>358</v>
      </c>
      <c r="B10" s="191">
        <v>0</v>
      </c>
      <c r="C10" s="187">
        <v>2</v>
      </c>
      <c r="D10" s="285">
        <v>2</v>
      </c>
      <c r="E10" s="189">
        <f t="shared" si="0"/>
        <v>4</v>
      </c>
      <c r="F10" s="170" t="s">
        <v>358</v>
      </c>
      <c r="G10" s="178">
        <v>4</v>
      </c>
      <c r="H10" s="196">
        <v>17</v>
      </c>
      <c r="I10" s="287">
        <v>31</v>
      </c>
      <c r="J10" s="31">
        <f t="shared" si="1"/>
        <v>52</v>
      </c>
      <c r="K10" s="324" t="s">
        <v>345</v>
      </c>
      <c r="L10" s="309">
        <v>2022</v>
      </c>
      <c r="M10" s="310"/>
      <c r="N10" s="311"/>
      <c r="O10" s="118"/>
      <c r="P10" s="118"/>
      <c r="Q10" s="118"/>
    </row>
    <row r="11" spans="1:18" ht="14.95" thickBot="1" x14ac:dyDescent="0.3">
      <c r="A11" s="185" t="s">
        <v>423</v>
      </c>
      <c r="B11" s="191">
        <v>0</v>
      </c>
      <c r="C11" s="187">
        <v>2</v>
      </c>
      <c r="D11" s="285">
        <v>0</v>
      </c>
      <c r="E11" s="189">
        <f t="shared" si="0"/>
        <v>2</v>
      </c>
      <c r="F11" s="170" t="s">
        <v>423</v>
      </c>
      <c r="G11" s="178">
        <v>0</v>
      </c>
      <c r="H11" s="196">
        <v>10</v>
      </c>
      <c r="I11" s="287">
        <v>0</v>
      </c>
      <c r="J11" s="31">
        <f t="shared" si="1"/>
        <v>10</v>
      </c>
      <c r="K11" s="325"/>
      <c r="L11" s="312"/>
      <c r="M11" s="313"/>
      <c r="N11" s="314"/>
      <c r="O11" s="63"/>
      <c r="P11" s="63"/>
      <c r="Q11" s="63"/>
    </row>
    <row r="12" spans="1:18" ht="14.95" thickBot="1" x14ac:dyDescent="0.3">
      <c r="A12" s="185" t="s">
        <v>548</v>
      </c>
      <c r="B12" s="191">
        <v>0</v>
      </c>
      <c r="C12" s="187">
        <v>0</v>
      </c>
      <c r="D12" s="285">
        <v>3</v>
      </c>
      <c r="E12" s="189">
        <f t="shared" si="0"/>
        <v>3</v>
      </c>
      <c r="F12" s="170" t="s">
        <v>548</v>
      </c>
      <c r="G12" s="178">
        <v>0</v>
      </c>
      <c r="H12" s="196">
        <v>0</v>
      </c>
      <c r="I12" s="287">
        <v>15</v>
      </c>
      <c r="J12" s="31">
        <f t="shared" si="1"/>
        <v>15</v>
      </c>
      <c r="K12" s="176"/>
      <c r="L12" s="31" t="s">
        <v>18</v>
      </c>
      <c r="M12" s="31" t="s">
        <v>5</v>
      </c>
      <c r="N12" s="31" t="s">
        <v>6</v>
      </c>
      <c r="O12" s="63"/>
      <c r="P12" s="63"/>
      <c r="Q12" s="63"/>
    </row>
    <row r="13" spans="1:18" ht="14.95" thickBot="1" x14ac:dyDescent="0.3">
      <c r="A13" s="185" t="s">
        <v>486</v>
      </c>
      <c r="B13" s="191">
        <v>0</v>
      </c>
      <c r="C13" s="187">
        <v>1</v>
      </c>
      <c r="D13" s="285">
        <v>2</v>
      </c>
      <c r="E13" s="189">
        <f t="shared" si="0"/>
        <v>3</v>
      </c>
      <c r="F13" s="170" t="s">
        <v>486</v>
      </c>
      <c r="G13" s="178">
        <v>0</v>
      </c>
      <c r="H13" s="196">
        <v>5</v>
      </c>
      <c r="I13" s="287">
        <v>10</v>
      </c>
      <c r="J13" s="31">
        <f t="shared" si="1"/>
        <v>15</v>
      </c>
      <c r="K13" s="185" t="s">
        <v>352</v>
      </c>
      <c r="L13" s="189">
        <v>1</v>
      </c>
      <c r="M13" s="189">
        <v>5</v>
      </c>
      <c r="N13" s="193">
        <f t="shared" ref="N13:N16" si="4">SUM(L13/M13)*100</f>
        <v>20</v>
      </c>
      <c r="O13" s="63"/>
      <c r="P13" s="63"/>
      <c r="Q13" s="63"/>
    </row>
    <row r="14" spans="1:18" ht="14.95" thickBot="1" x14ac:dyDescent="0.3">
      <c r="A14" s="185" t="s">
        <v>487</v>
      </c>
      <c r="B14" s="191">
        <v>0</v>
      </c>
      <c r="C14" s="187">
        <v>1</v>
      </c>
      <c r="D14" s="285">
        <v>2</v>
      </c>
      <c r="E14" s="189">
        <f t="shared" si="0"/>
        <v>3</v>
      </c>
      <c r="F14" s="170" t="s">
        <v>487</v>
      </c>
      <c r="G14" s="178">
        <v>0</v>
      </c>
      <c r="H14" s="196">
        <v>5</v>
      </c>
      <c r="I14" s="287">
        <v>10</v>
      </c>
      <c r="J14" s="31">
        <f t="shared" si="1"/>
        <v>15</v>
      </c>
      <c r="K14" s="203" t="s">
        <v>358</v>
      </c>
      <c r="L14" s="203">
        <v>2</v>
      </c>
      <c r="M14" s="203">
        <v>6</v>
      </c>
      <c r="N14" s="204">
        <f t="shared" si="4"/>
        <v>33.333333333333329</v>
      </c>
      <c r="O14" s="63"/>
      <c r="P14" s="63"/>
      <c r="Q14" s="63"/>
    </row>
    <row r="15" spans="1:18" ht="14.95" thickBot="1" x14ac:dyDescent="0.3">
      <c r="A15" s="185" t="s">
        <v>366</v>
      </c>
      <c r="B15" s="191">
        <v>1</v>
      </c>
      <c r="C15" s="187">
        <v>1</v>
      </c>
      <c r="D15" s="285">
        <v>2</v>
      </c>
      <c r="E15" s="189">
        <f t="shared" si="0"/>
        <v>4</v>
      </c>
      <c r="F15" s="170" t="s">
        <v>366</v>
      </c>
      <c r="G15" s="178">
        <v>7</v>
      </c>
      <c r="H15" s="196">
        <v>19</v>
      </c>
      <c r="I15" s="287">
        <v>35</v>
      </c>
      <c r="J15" s="31">
        <f t="shared" si="1"/>
        <v>61</v>
      </c>
      <c r="K15" s="203" t="s">
        <v>366</v>
      </c>
      <c r="L15" s="203">
        <v>1</v>
      </c>
      <c r="M15" s="203">
        <v>1</v>
      </c>
      <c r="N15" s="204">
        <f t="shared" si="4"/>
        <v>100</v>
      </c>
      <c r="O15" s="63"/>
      <c r="P15" s="63"/>
      <c r="Q15" s="63"/>
    </row>
    <row r="16" spans="1:18" ht="14.95" thickBot="1" x14ac:dyDescent="0.3">
      <c r="A16" s="185" t="s">
        <v>549</v>
      </c>
      <c r="B16" s="191">
        <v>0</v>
      </c>
      <c r="C16" s="187">
        <v>0</v>
      </c>
      <c r="D16" s="285">
        <v>0</v>
      </c>
      <c r="E16" s="189">
        <f t="shared" si="0"/>
        <v>0</v>
      </c>
      <c r="F16" s="170" t="s">
        <v>549</v>
      </c>
      <c r="G16" s="178">
        <v>0</v>
      </c>
      <c r="H16" s="196">
        <v>0</v>
      </c>
      <c r="I16" s="287">
        <v>0</v>
      </c>
      <c r="J16" s="31">
        <f t="shared" si="1"/>
        <v>0</v>
      </c>
      <c r="K16" s="205" t="s">
        <v>359</v>
      </c>
      <c r="L16" s="206">
        <v>5</v>
      </c>
      <c r="M16" s="206">
        <v>7</v>
      </c>
      <c r="N16" s="209">
        <f t="shared" si="4"/>
        <v>71.428571428571431</v>
      </c>
      <c r="O16" s="9"/>
      <c r="P16" s="9"/>
      <c r="Q16" s="9"/>
    </row>
    <row r="17" spans="1:17" ht="14.95" thickBot="1" x14ac:dyDescent="0.3">
      <c r="A17" s="185" t="s">
        <v>350</v>
      </c>
      <c r="B17" s="191">
        <v>5</v>
      </c>
      <c r="C17" s="187">
        <v>2</v>
      </c>
      <c r="D17" s="285">
        <v>3</v>
      </c>
      <c r="E17" s="189">
        <f t="shared" si="0"/>
        <v>10</v>
      </c>
      <c r="F17" s="170" t="s">
        <v>350</v>
      </c>
      <c r="G17" s="178">
        <v>25</v>
      </c>
      <c r="H17" s="196">
        <v>10</v>
      </c>
      <c r="I17" s="287">
        <v>15</v>
      </c>
      <c r="J17" s="31">
        <f t="shared" si="1"/>
        <v>50</v>
      </c>
    </row>
    <row r="18" spans="1:17" ht="14.95" thickBot="1" x14ac:dyDescent="0.3">
      <c r="A18" s="185" t="s">
        <v>550</v>
      </c>
      <c r="B18" s="191">
        <v>0</v>
      </c>
      <c r="C18" s="187">
        <v>0</v>
      </c>
      <c r="D18" s="285">
        <v>0</v>
      </c>
      <c r="E18" s="189">
        <f t="shared" si="0"/>
        <v>0</v>
      </c>
      <c r="F18" s="170" t="s">
        <v>550</v>
      </c>
      <c r="G18" s="178">
        <v>0</v>
      </c>
      <c r="H18" s="196">
        <v>0</v>
      </c>
      <c r="I18" s="287">
        <v>0</v>
      </c>
      <c r="J18" s="31">
        <f t="shared" si="1"/>
        <v>0</v>
      </c>
      <c r="K18" s="326" t="s">
        <v>521</v>
      </c>
      <c r="L18" s="309">
        <v>2022</v>
      </c>
      <c r="M18" s="310"/>
      <c r="N18" s="311"/>
    </row>
    <row r="19" spans="1:17" ht="14.95" thickBot="1" x14ac:dyDescent="0.3">
      <c r="A19" s="185" t="s">
        <v>364</v>
      </c>
      <c r="B19" s="191">
        <v>1</v>
      </c>
      <c r="C19" s="187">
        <v>0</v>
      </c>
      <c r="D19" s="285">
        <v>0</v>
      </c>
      <c r="E19" s="189">
        <f t="shared" si="0"/>
        <v>1</v>
      </c>
      <c r="F19" s="170" t="s">
        <v>364</v>
      </c>
      <c r="G19" s="178">
        <v>5</v>
      </c>
      <c r="H19" s="196">
        <v>2</v>
      </c>
      <c r="I19" s="287">
        <v>0</v>
      </c>
      <c r="J19" s="31">
        <f t="shared" si="1"/>
        <v>7</v>
      </c>
      <c r="K19" s="327"/>
      <c r="L19" s="312"/>
      <c r="M19" s="313"/>
      <c r="N19" s="314"/>
    </row>
    <row r="20" spans="1:17" ht="14.95" thickBot="1" x14ac:dyDescent="0.3">
      <c r="A20" s="185" t="s">
        <v>551</v>
      </c>
      <c r="B20" s="191">
        <v>0</v>
      </c>
      <c r="C20" s="187">
        <v>0</v>
      </c>
      <c r="D20" s="285">
        <v>0</v>
      </c>
      <c r="E20" s="189">
        <f t="shared" si="0"/>
        <v>0</v>
      </c>
      <c r="F20" s="170" t="s">
        <v>551</v>
      </c>
      <c r="G20" s="178">
        <v>0</v>
      </c>
      <c r="H20" s="196">
        <v>0</v>
      </c>
      <c r="I20" s="287">
        <v>0</v>
      </c>
      <c r="J20" s="31">
        <f t="shared" si="1"/>
        <v>0</v>
      </c>
      <c r="K20" s="267"/>
      <c r="L20" s="31" t="s">
        <v>18</v>
      </c>
      <c r="M20" s="31" t="s">
        <v>5</v>
      </c>
      <c r="N20" s="31" t="s">
        <v>6</v>
      </c>
    </row>
    <row r="21" spans="1:17" ht="14.95" thickBot="1" x14ac:dyDescent="0.3">
      <c r="A21" s="185" t="s">
        <v>552</v>
      </c>
      <c r="B21" s="191">
        <v>0</v>
      </c>
      <c r="C21" s="187">
        <v>0</v>
      </c>
      <c r="D21" s="285">
        <v>1</v>
      </c>
      <c r="E21" s="189">
        <f t="shared" si="0"/>
        <v>1</v>
      </c>
      <c r="F21" s="170" t="s">
        <v>552</v>
      </c>
      <c r="G21" s="178">
        <v>0</v>
      </c>
      <c r="H21" s="196">
        <v>0</v>
      </c>
      <c r="I21" s="287">
        <v>5</v>
      </c>
      <c r="J21" s="31">
        <f t="shared" si="1"/>
        <v>5</v>
      </c>
      <c r="K21" s="185" t="s">
        <v>352</v>
      </c>
      <c r="L21" s="189">
        <v>1</v>
      </c>
      <c r="M21" s="189">
        <v>1</v>
      </c>
      <c r="N21" s="193">
        <v>100</v>
      </c>
    </row>
    <row r="22" spans="1:17" ht="14.95" thickBot="1" x14ac:dyDescent="0.3">
      <c r="A22" s="185" t="s">
        <v>553</v>
      </c>
      <c r="B22" s="191">
        <v>0</v>
      </c>
      <c r="C22" s="187">
        <v>0</v>
      </c>
      <c r="D22" s="285">
        <v>2</v>
      </c>
      <c r="E22" s="189">
        <f t="shared" si="0"/>
        <v>2</v>
      </c>
      <c r="F22" s="170" t="s">
        <v>553</v>
      </c>
      <c r="G22" s="178">
        <v>0</v>
      </c>
      <c r="H22" s="196">
        <v>0</v>
      </c>
      <c r="I22" s="287">
        <v>10</v>
      </c>
      <c r="J22" s="31">
        <f t="shared" si="1"/>
        <v>10</v>
      </c>
      <c r="K22" s="203" t="s">
        <v>358</v>
      </c>
      <c r="L22" s="189">
        <v>10</v>
      </c>
      <c r="M22" s="189">
        <v>17</v>
      </c>
      <c r="N22" s="193">
        <v>59</v>
      </c>
    </row>
    <row r="23" spans="1:17" ht="14.95" thickBot="1" x14ac:dyDescent="0.3">
      <c r="A23" s="185" t="s">
        <v>422</v>
      </c>
      <c r="B23" s="191">
        <v>0</v>
      </c>
      <c r="C23" s="187">
        <v>2</v>
      </c>
      <c r="D23" s="285">
        <v>1</v>
      </c>
      <c r="E23" s="189">
        <f t="shared" si="0"/>
        <v>3</v>
      </c>
      <c r="F23" s="170" t="s">
        <v>422</v>
      </c>
      <c r="G23" s="178">
        <v>0</v>
      </c>
      <c r="H23" s="196">
        <v>10</v>
      </c>
      <c r="I23" s="287">
        <v>5</v>
      </c>
      <c r="J23" s="31">
        <f t="shared" si="1"/>
        <v>15</v>
      </c>
      <c r="K23" s="203" t="s">
        <v>366</v>
      </c>
      <c r="L23" s="189">
        <v>12</v>
      </c>
      <c r="M23" s="189">
        <v>25</v>
      </c>
      <c r="N23" s="193">
        <v>53</v>
      </c>
    </row>
    <row r="24" spans="1:17" ht="14.95" thickBot="1" x14ac:dyDescent="0.3">
      <c r="A24" s="185" t="s">
        <v>351</v>
      </c>
      <c r="B24" s="191">
        <v>1</v>
      </c>
      <c r="C24" s="187">
        <v>0</v>
      </c>
      <c r="D24" s="285">
        <v>0</v>
      </c>
      <c r="E24" s="189">
        <f t="shared" si="0"/>
        <v>1</v>
      </c>
      <c r="F24" s="170" t="s">
        <v>351</v>
      </c>
      <c r="G24" s="178">
        <v>5</v>
      </c>
      <c r="H24" s="196">
        <v>0</v>
      </c>
      <c r="I24" s="287">
        <v>0</v>
      </c>
      <c r="J24" s="31">
        <f t="shared" si="1"/>
        <v>5</v>
      </c>
      <c r="K24" s="205" t="s">
        <v>359</v>
      </c>
      <c r="L24" s="189">
        <v>0</v>
      </c>
      <c r="M24" s="189">
        <v>4</v>
      </c>
      <c r="N24" s="193">
        <v>0</v>
      </c>
    </row>
    <row r="25" spans="1:17" ht="14.95" thickBot="1" x14ac:dyDescent="0.3">
      <c r="A25" s="185" t="s">
        <v>554</v>
      </c>
      <c r="B25" s="191">
        <v>0</v>
      </c>
      <c r="C25" s="187">
        <v>0</v>
      </c>
      <c r="D25" s="285">
        <v>1</v>
      </c>
      <c r="E25" s="189">
        <f t="shared" si="0"/>
        <v>1</v>
      </c>
      <c r="F25" s="170" t="s">
        <v>554</v>
      </c>
      <c r="G25" s="178">
        <v>0</v>
      </c>
      <c r="H25" s="196">
        <v>0</v>
      </c>
      <c r="I25" s="287">
        <v>5</v>
      </c>
      <c r="J25" s="31">
        <f t="shared" si="1"/>
        <v>5</v>
      </c>
      <c r="O25" s="9"/>
      <c r="P25" s="9"/>
      <c r="Q25" s="9"/>
    </row>
    <row r="26" spans="1:17" ht="14.95" thickBot="1" x14ac:dyDescent="0.3">
      <c r="A26" s="185" t="s">
        <v>365</v>
      </c>
      <c r="B26" s="191">
        <v>1</v>
      </c>
      <c r="C26" s="187">
        <v>1</v>
      </c>
      <c r="D26" s="285">
        <v>0</v>
      </c>
      <c r="E26" s="189">
        <f t="shared" si="0"/>
        <v>2</v>
      </c>
      <c r="F26" s="170" t="s">
        <v>365</v>
      </c>
      <c r="G26" s="178">
        <v>5</v>
      </c>
      <c r="H26" s="196">
        <v>5</v>
      </c>
      <c r="I26" s="287">
        <v>0</v>
      </c>
      <c r="J26" s="31">
        <f t="shared" si="1"/>
        <v>10</v>
      </c>
      <c r="O26" s="22"/>
      <c r="P26" s="22"/>
      <c r="Q26" s="25"/>
    </row>
    <row r="27" spans="1:17" ht="14.95" thickBot="1" x14ac:dyDescent="0.3">
      <c r="A27" s="185" t="s">
        <v>356</v>
      </c>
      <c r="B27" s="191">
        <v>1</v>
      </c>
      <c r="C27" s="187">
        <v>0</v>
      </c>
      <c r="D27" s="285">
        <v>2</v>
      </c>
      <c r="E27" s="189">
        <f t="shared" si="0"/>
        <v>3</v>
      </c>
      <c r="F27" s="170" t="s">
        <v>356</v>
      </c>
      <c r="G27" s="178">
        <v>5</v>
      </c>
      <c r="H27" s="196">
        <v>0</v>
      </c>
      <c r="I27" s="287">
        <v>10</v>
      </c>
      <c r="J27" s="31">
        <f t="shared" si="1"/>
        <v>15</v>
      </c>
      <c r="O27" s="22"/>
      <c r="P27" s="22"/>
      <c r="Q27" s="25"/>
    </row>
    <row r="28" spans="1:17" ht="14.95" thickBot="1" x14ac:dyDescent="0.3">
      <c r="A28" s="185" t="s">
        <v>555</v>
      </c>
      <c r="B28" s="191">
        <v>0</v>
      </c>
      <c r="C28" s="187">
        <v>0</v>
      </c>
      <c r="D28" s="285">
        <v>2</v>
      </c>
      <c r="E28" s="189">
        <f t="shared" si="0"/>
        <v>2</v>
      </c>
      <c r="F28" s="170" t="s">
        <v>555</v>
      </c>
      <c r="G28" s="178">
        <v>0</v>
      </c>
      <c r="H28" s="196">
        <v>0</v>
      </c>
      <c r="I28" s="287">
        <v>10</v>
      </c>
      <c r="J28" s="31">
        <f t="shared" si="1"/>
        <v>10</v>
      </c>
    </row>
    <row r="29" spans="1:17" ht="14.95" thickBot="1" x14ac:dyDescent="0.3">
      <c r="A29" s="185" t="s">
        <v>556</v>
      </c>
      <c r="B29" s="191">
        <v>0</v>
      </c>
      <c r="C29" s="187">
        <v>0</v>
      </c>
      <c r="D29" s="285">
        <v>0</v>
      </c>
      <c r="E29" s="189">
        <f t="shared" si="0"/>
        <v>0</v>
      </c>
      <c r="F29" s="170" t="s">
        <v>556</v>
      </c>
      <c r="G29" s="178">
        <v>0</v>
      </c>
      <c r="H29" s="196">
        <v>0</v>
      </c>
      <c r="I29" s="287">
        <v>0</v>
      </c>
      <c r="J29" s="31">
        <f t="shared" si="1"/>
        <v>0</v>
      </c>
    </row>
    <row r="30" spans="1:17" ht="14.95" thickBot="1" x14ac:dyDescent="0.3">
      <c r="A30" s="185" t="s">
        <v>557</v>
      </c>
      <c r="B30" s="191">
        <v>0</v>
      </c>
      <c r="C30" s="187">
        <v>0</v>
      </c>
      <c r="D30" s="285">
        <v>1</v>
      </c>
      <c r="E30" s="189">
        <f t="shared" si="0"/>
        <v>1</v>
      </c>
      <c r="F30" s="170" t="s">
        <v>557</v>
      </c>
      <c r="G30" s="178">
        <v>0</v>
      </c>
      <c r="H30" s="196">
        <v>0</v>
      </c>
      <c r="I30" s="287">
        <v>5</v>
      </c>
      <c r="J30" s="31">
        <f t="shared" si="1"/>
        <v>5</v>
      </c>
    </row>
    <row r="31" spans="1:17" ht="14.95" thickBot="1" x14ac:dyDescent="0.3">
      <c r="A31" s="185" t="s">
        <v>558</v>
      </c>
      <c r="B31" s="191">
        <v>0</v>
      </c>
      <c r="C31" s="187">
        <v>0</v>
      </c>
      <c r="D31" s="285">
        <v>0</v>
      </c>
      <c r="E31" s="189">
        <f t="shared" si="0"/>
        <v>0</v>
      </c>
      <c r="F31" s="170" t="s">
        <v>558</v>
      </c>
      <c r="G31" s="178">
        <v>0</v>
      </c>
      <c r="H31" s="196">
        <v>0</v>
      </c>
      <c r="I31" s="287">
        <v>0</v>
      </c>
      <c r="J31" s="31">
        <f t="shared" si="1"/>
        <v>0</v>
      </c>
    </row>
    <row r="32" spans="1:17" ht="14.95" thickBot="1" x14ac:dyDescent="0.3">
      <c r="A32" s="185" t="s">
        <v>359</v>
      </c>
      <c r="B32" s="191">
        <v>0</v>
      </c>
      <c r="C32" s="187">
        <v>0</v>
      </c>
      <c r="D32" s="285">
        <v>0</v>
      </c>
      <c r="E32" s="189">
        <f t="shared" si="0"/>
        <v>0</v>
      </c>
      <c r="F32" s="170" t="s">
        <v>359</v>
      </c>
      <c r="G32" s="178">
        <v>12</v>
      </c>
      <c r="H32" s="196">
        <v>0</v>
      </c>
      <c r="I32" s="287">
        <v>0</v>
      </c>
      <c r="J32" s="31">
        <f t="shared" si="1"/>
        <v>12</v>
      </c>
    </row>
    <row r="33" spans="1:10" ht="14.95" thickBot="1" x14ac:dyDescent="0.3">
      <c r="A33" s="185" t="s">
        <v>357</v>
      </c>
      <c r="B33" s="191">
        <v>2</v>
      </c>
      <c r="C33" s="187">
        <v>1</v>
      </c>
      <c r="D33" s="285">
        <v>5</v>
      </c>
      <c r="E33" s="189">
        <f t="shared" si="0"/>
        <v>8</v>
      </c>
      <c r="F33" s="170" t="s">
        <v>357</v>
      </c>
      <c r="G33" s="178">
        <v>10</v>
      </c>
      <c r="H33" s="196">
        <v>5</v>
      </c>
      <c r="I33" s="287">
        <v>25</v>
      </c>
      <c r="J33" s="31">
        <f t="shared" si="1"/>
        <v>40</v>
      </c>
    </row>
    <row r="34" spans="1:10" ht="14.95" thickBot="1" x14ac:dyDescent="0.3">
      <c r="A34" s="185" t="s">
        <v>363</v>
      </c>
      <c r="B34" s="191">
        <v>1</v>
      </c>
      <c r="C34" s="187">
        <v>0</v>
      </c>
      <c r="D34" s="285">
        <v>2</v>
      </c>
      <c r="E34" s="189">
        <f t="shared" si="0"/>
        <v>3</v>
      </c>
      <c r="F34" s="170" t="s">
        <v>363</v>
      </c>
      <c r="G34" s="178">
        <v>5</v>
      </c>
      <c r="H34" s="196">
        <v>0</v>
      </c>
      <c r="I34" s="287">
        <v>10</v>
      </c>
      <c r="J34" s="31">
        <f t="shared" si="1"/>
        <v>15</v>
      </c>
    </row>
    <row r="35" spans="1:10" ht="14.95" thickBot="1" x14ac:dyDescent="0.3">
      <c r="A35" s="185" t="s">
        <v>485</v>
      </c>
      <c r="B35" s="191">
        <v>0</v>
      </c>
      <c r="C35" s="187">
        <v>7</v>
      </c>
      <c r="D35" s="285">
        <v>7</v>
      </c>
      <c r="E35" s="189">
        <f t="shared" si="0"/>
        <v>14</v>
      </c>
      <c r="F35" s="170" t="s">
        <v>485</v>
      </c>
      <c r="G35" s="178">
        <v>0</v>
      </c>
      <c r="H35" s="196">
        <v>35</v>
      </c>
      <c r="I35" s="287">
        <v>35</v>
      </c>
      <c r="J35" s="31">
        <f t="shared" si="1"/>
        <v>70</v>
      </c>
    </row>
    <row r="36" spans="1:10" ht="14.95" thickBot="1" x14ac:dyDescent="0.3">
      <c r="A36" s="185" t="s">
        <v>3</v>
      </c>
      <c r="B36" s="191">
        <f>SUM(B3:B35)</f>
        <v>16</v>
      </c>
      <c r="C36" s="187">
        <f>SUM(C3:C35)</f>
        <v>26</v>
      </c>
      <c r="D36" s="285">
        <f>SUM(D3:D35)</f>
        <v>44</v>
      </c>
      <c r="E36" s="189">
        <f t="shared" si="0"/>
        <v>86</v>
      </c>
      <c r="F36" s="171" t="s">
        <v>3</v>
      </c>
      <c r="G36" s="177">
        <f>SUM(G3:G35)</f>
        <v>101</v>
      </c>
      <c r="H36" s="195">
        <f>SUM(H3:H35)</f>
        <v>169</v>
      </c>
      <c r="I36" s="286">
        <f>SUM(I3:I35)</f>
        <v>268</v>
      </c>
      <c r="J36" s="153">
        <f t="shared" si="1"/>
        <v>538</v>
      </c>
    </row>
    <row r="37" spans="1:10" ht="16.3" x14ac:dyDescent="0.25">
      <c r="C37" s="57"/>
      <c r="D37" s="57"/>
      <c r="F37" s="3"/>
      <c r="G37" s="3"/>
      <c r="H37" s="58"/>
      <c r="I37" s="58"/>
      <c r="J37" s="3"/>
    </row>
    <row r="38" spans="1:10" ht="17" thickBot="1" x14ac:dyDescent="0.3">
      <c r="A38" t="s">
        <v>7</v>
      </c>
      <c r="C38" s="57"/>
      <c r="D38" s="57"/>
      <c r="F38" s="3"/>
      <c r="G38" s="3"/>
      <c r="H38" s="58"/>
      <c r="I38" s="58"/>
      <c r="J38" s="3"/>
    </row>
    <row r="39" spans="1:10" ht="14.95" thickBot="1" x14ac:dyDescent="0.3">
      <c r="A39" s="184" t="s">
        <v>0</v>
      </c>
      <c r="B39" s="190" t="s">
        <v>339</v>
      </c>
      <c r="C39" s="186" t="s">
        <v>12</v>
      </c>
      <c r="D39" s="284" t="s">
        <v>396</v>
      </c>
      <c r="E39" s="188" t="s">
        <v>1</v>
      </c>
      <c r="F39" s="168" t="s">
        <v>2</v>
      </c>
      <c r="G39" s="177" t="s">
        <v>339</v>
      </c>
      <c r="H39" s="195" t="s">
        <v>12</v>
      </c>
      <c r="I39" s="286" t="s">
        <v>396</v>
      </c>
      <c r="J39" s="153" t="s">
        <v>1</v>
      </c>
    </row>
    <row r="40" spans="1:10" ht="14.95" thickBot="1" x14ac:dyDescent="0.3">
      <c r="A40" s="185" t="s">
        <v>485</v>
      </c>
      <c r="B40" s="191">
        <v>0</v>
      </c>
      <c r="C40" s="187">
        <v>7</v>
      </c>
      <c r="D40" s="285">
        <v>7</v>
      </c>
      <c r="E40" s="189">
        <f>SUM(B40:D40)</f>
        <v>14</v>
      </c>
      <c r="F40" s="169" t="s">
        <v>485</v>
      </c>
      <c r="G40" s="178">
        <v>0</v>
      </c>
      <c r="H40" s="196">
        <v>35</v>
      </c>
      <c r="I40" s="287">
        <v>35</v>
      </c>
      <c r="J40" s="31">
        <f>SUM(G40:I40)</f>
        <v>70</v>
      </c>
    </row>
    <row r="41" spans="1:10" ht="14.95" thickBot="1" x14ac:dyDescent="0.3">
      <c r="A41" s="185" t="s">
        <v>350</v>
      </c>
      <c r="B41" s="191">
        <v>5</v>
      </c>
      <c r="C41" s="187">
        <v>2</v>
      </c>
      <c r="D41" s="285">
        <v>3</v>
      </c>
      <c r="E41" s="189">
        <f>SUM(B41:D41)</f>
        <v>10</v>
      </c>
      <c r="F41" s="170" t="s">
        <v>366</v>
      </c>
      <c r="G41" s="178">
        <v>7</v>
      </c>
      <c r="H41" s="196">
        <v>19</v>
      </c>
      <c r="I41" s="287">
        <v>35</v>
      </c>
      <c r="J41" s="31">
        <f>SUM(G41:I41)</f>
        <v>61</v>
      </c>
    </row>
    <row r="42" spans="1:10" ht="14.95" thickBot="1" x14ac:dyDescent="0.3">
      <c r="A42" s="185" t="s">
        <v>357</v>
      </c>
      <c r="B42" s="191">
        <v>2</v>
      </c>
      <c r="C42" s="187">
        <v>1</v>
      </c>
      <c r="D42" s="285">
        <v>5</v>
      </c>
      <c r="E42" s="189">
        <f>SUM(B42:D42)</f>
        <v>8</v>
      </c>
      <c r="F42" s="170" t="s">
        <v>358</v>
      </c>
      <c r="G42" s="178">
        <v>4</v>
      </c>
      <c r="H42" s="196">
        <v>17</v>
      </c>
      <c r="I42" s="287">
        <v>31</v>
      </c>
      <c r="J42" s="31">
        <f>SUM(G42:I42)</f>
        <v>52</v>
      </c>
    </row>
    <row r="43" spans="1:10" ht="14.95" thickBot="1" x14ac:dyDescent="0.3">
      <c r="A43" s="185" t="s">
        <v>421</v>
      </c>
      <c r="B43" s="191">
        <v>0</v>
      </c>
      <c r="C43" s="187">
        <v>3</v>
      </c>
      <c r="D43" s="285">
        <v>2</v>
      </c>
      <c r="E43" s="189">
        <f>SUM(B43:D43)</f>
        <v>5</v>
      </c>
      <c r="F43" s="170" t="s">
        <v>350</v>
      </c>
      <c r="G43" s="178">
        <v>25</v>
      </c>
      <c r="H43" s="196">
        <v>10</v>
      </c>
      <c r="I43" s="287">
        <v>15</v>
      </c>
      <c r="J43" s="31">
        <f>SUM(G43:I43)</f>
        <v>50</v>
      </c>
    </row>
    <row r="44" spans="1:10" ht="14.95" thickBot="1" x14ac:dyDescent="0.3">
      <c r="A44" s="185" t="s">
        <v>358</v>
      </c>
      <c r="B44" s="191">
        <v>0</v>
      </c>
      <c r="C44" s="187">
        <v>2</v>
      </c>
      <c r="D44" s="285">
        <v>2</v>
      </c>
      <c r="E44" s="189">
        <f>SUM(B44:D44)</f>
        <v>4</v>
      </c>
      <c r="F44" s="170" t="s">
        <v>357</v>
      </c>
      <c r="G44" s="178">
        <v>10</v>
      </c>
      <c r="H44" s="196">
        <v>5</v>
      </c>
      <c r="I44" s="287">
        <v>25</v>
      </c>
      <c r="J44" s="31">
        <f>SUM(G44:I44)</f>
        <v>40</v>
      </c>
    </row>
    <row r="45" spans="1:10" ht="14.95" thickBot="1" x14ac:dyDescent="0.3">
      <c r="A45" s="185" t="s">
        <v>366</v>
      </c>
      <c r="B45" s="191">
        <v>1</v>
      </c>
      <c r="C45" s="187">
        <v>1</v>
      </c>
      <c r="D45" s="285">
        <v>2</v>
      </c>
      <c r="E45" s="189">
        <f>SUM(B45:D45)</f>
        <v>4</v>
      </c>
      <c r="F45" s="170" t="s">
        <v>352</v>
      </c>
      <c r="G45" s="178">
        <v>3</v>
      </c>
      <c r="H45" s="196">
        <v>31</v>
      </c>
      <c r="I45" s="287">
        <v>2</v>
      </c>
      <c r="J45" s="31">
        <f>SUM(G45:I45)</f>
        <v>36</v>
      </c>
    </row>
    <row r="46" spans="1:10" ht="14.95" thickBot="1" x14ac:dyDescent="0.3">
      <c r="A46" s="185" t="s">
        <v>367</v>
      </c>
      <c r="B46" s="191">
        <v>1</v>
      </c>
      <c r="C46" s="187">
        <v>0</v>
      </c>
      <c r="D46" s="285">
        <v>2</v>
      </c>
      <c r="E46" s="189">
        <f>SUM(B46:D46)</f>
        <v>3</v>
      </c>
      <c r="F46" s="170" t="s">
        <v>421</v>
      </c>
      <c r="G46" s="178">
        <v>0</v>
      </c>
      <c r="H46" s="196">
        <v>15</v>
      </c>
      <c r="I46" s="287">
        <v>10</v>
      </c>
      <c r="J46" s="31">
        <f>SUM(G46:I46)</f>
        <v>25</v>
      </c>
    </row>
    <row r="47" spans="1:10" ht="14.95" thickBot="1" x14ac:dyDescent="0.3">
      <c r="A47" s="185" t="s">
        <v>352</v>
      </c>
      <c r="B47" s="191">
        <v>0</v>
      </c>
      <c r="C47" s="187">
        <v>3</v>
      </c>
      <c r="D47" s="285">
        <v>0</v>
      </c>
      <c r="E47" s="189">
        <f>SUM(B47:D47)</f>
        <v>3</v>
      </c>
      <c r="F47" s="170" t="s">
        <v>367</v>
      </c>
      <c r="G47" s="178">
        <v>5</v>
      </c>
      <c r="H47" s="196">
        <v>0</v>
      </c>
      <c r="I47" s="287">
        <v>10</v>
      </c>
      <c r="J47" s="31">
        <f>SUM(G47:I47)</f>
        <v>15</v>
      </c>
    </row>
    <row r="48" spans="1:10" ht="14.95" thickBot="1" x14ac:dyDescent="0.3">
      <c r="A48" s="185" t="s">
        <v>548</v>
      </c>
      <c r="B48" s="191">
        <v>0</v>
      </c>
      <c r="C48" s="187">
        <v>0</v>
      </c>
      <c r="D48" s="285">
        <v>3</v>
      </c>
      <c r="E48" s="189">
        <f>SUM(B48:D48)</f>
        <v>3</v>
      </c>
      <c r="F48" s="170" t="s">
        <v>548</v>
      </c>
      <c r="G48" s="178">
        <v>0</v>
      </c>
      <c r="H48" s="196">
        <v>0</v>
      </c>
      <c r="I48" s="287">
        <v>15</v>
      </c>
      <c r="J48" s="31">
        <f>SUM(G48:I48)</f>
        <v>15</v>
      </c>
    </row>
    <row r="49" spans="1:10" ht="14.95" thickBot="1" x14ac:dyDescent="0.3">
      <c r="A49" s="185" t="s">
        <v>487</v>
      </c>
      <c r="B49" s="191">
        <v>0</v>
      </c>
      <c r="C49" s="187">
        <v>1</v>
      </c>
      <c r="D49" s="285">
        <v>2</v>
      </c>
      <c r="E49" s="189">
        <f>SUM(B49:D49)</f>
        <v>3</v>
      </c>
      <c r="F49" s="170" t="s">
        <v>487</v>
      </c>
      <c r="G49" s="178">
        <v>0</v>
      </c>
      <c r="H49" s="196">
        <v>5</v>
      </c>
      <c r="I49" s="287">
        <v>10</v>
      </c>
      <c r="J49" s="31">
        <f>SUM(G49:I49)</f>
        <v>15</v>
      </c>
    </row>
    <row r="50" spans="1:10" ht="14.95" thickBot="1" x14ac:dyDescent="0.3">
      <c r="A50" s="185" t="s">
        <v>422</v>
      </c>
      <c r="B50" s="191">
        <v>0</v>
      </c>
      <c r="C50" s="187">
        <v>2</v>
      </c>
      <c r="D50" s="285">
        <v>1</v>
      </c>
      <c r="E50" s="189">
        <f>SUM(B50:D50)</f>
        <v>3</v>
      </c>
      <c r="F50" s="170" t="s">
        <v>422</v>
      </c>
      <c r="G50" s="178">
        <v>0</v>
      </c>
      <c r="H50" s="196">
        <v>10</v>
      </c>
      <c r="I50" s="287">
        <v>5</v>
      </c>
      <c r="J50" s="31">
        <f>SUM(G50:I50)</f>
        <v>15</v>
      </c>
    </row>
    <row r="51" spans="1:10" ht="14.95" thickBot="1" x14ac:dyDescent="0.3">
      <c r="A51" s="185" t="s">
        <v>356</v>
      </c>
      <c r="B51" s="191">
        <v>1</v>
      </c>
      <c r="C51" s="187">
        <v>0</v>
      </c>
      <c r="D51" s="285">
        <v>2</v>
      </c>
      <c r="E51" s="189">
        <f>SUM(B51:D51)</f>
        <v>3</v>
      </c>
      <c r="F51" s="170" t="s">
        <v>356</v>
      </c>
      <c r="G51" s="178">
        <v>5</v>
      </c>
      <c r="H51" s="196">
        <v>0</v>
      </c>
      <c r="I51" s="287">
        <v>10</v>
      </c>
      <c r="J51" s="31">
        <f>SUM(G51:I51)</f>
        <v>15</v>
      </c>
    </row>
    <row r="52" spans="1:10" ht="14.95" thickBot="1" x14ac:dyDescent="0.3">
      <c r="A52" s="185" t="s">
        <v>363</v>
      </c>
      <c r="B52" s="191">
        <v>1</v>
      </c>
      <c r="C52" s="187">
        <v>0</v>
      </c>
      <c r="D52" s="285">
        <v>2</v>
      </c>
      <c r="E52" s="189">
        <f>SUM(B52:D52)</f>
        <v>3</v>
      </c>
      <c r="F52" s="170" t="s">
        <v>363</v>
      </c>
      <c r="G52" s="178">
        <v>5</v>
      </c>
      <c r="H52" s="196">
        <v>0</v>
      </c>
      <c r="I52" s="287">
        <v>10</v>
      </c>
      <c r="J52" s="31">
        <f>SUM(G52:I52)</f>
        <v>15</v>
      </c>
    </row>
    <row r="53" spans="1:10" ht="14.95" thickBot="1" x14ac:dyDescent="0.3">
      <c r="A53" s="185" t="s">
        <v>486</v>
      </c>
      <c r="B53" s="191">
        <v>0</v>
      </c>
      <c r="C53" s="187">
        <v>1</v>
      </c>
      <c r="D53" s="285">
        <v>2</v>
      </c>
      <c r="E53" s="189">
        <f>SUM(B53:D53)</f>
        <v>3</v>
      </c>
      <c r="F53" s="170" t="s">
        <v>486</v>
      </c>
      <c r="G53" s="178">
        <v>0</v>
      </c>
      <c r="H53" s="196">
        <v>5</v>
      </c>
      <c r="I53" s="287">
        <v>10</v>
      </c>
      <c r="J53" s="31">
        <f>SUM(G53:I53)</f>
        <v>15</v>
      </c>
    </row>
    <row r="54" spans="1:10" ht="14.95" thickBot="1" x14ac:dyDescent="0.3">
      <c r="A54" s="185" t="s">
        <v>546</v>
      </c>
      <c r="B54" s="191">
        <v>1</v>
      </c>
      <c r="C54" s="187">
        <v>0</v>
      </c>
      <c r="D54" s="285">
        <v>1</v>
      </c>
      <c r="E54" s="189">
        <f>SUM(B54:D54)</f>
        <v>2</v>
      </c>
      <c r="F54" s="170" t="s">
        <v>359</v>
      </c>
      <c r="G54" s="178">
        <v>12</v>
      </c>
      <c r="H54" s="196">
        <v>0</v>
      </c>
      <c r="I54" s="287">
        <v>0</v>
      </c>
      <c r="J54" s="31">
        <f>SUM(G54:I54)</f>
        <v>12</v>
      </c>
    </row>
    <row r="55" spans="1:10" ht="14.95" thickBot="1" x14ac:dyDescent="0.3">
      <c r="A55" s="185" t="s">
        <v>547</v>
      </c>
      <c r="B55" s="191">
        <v>1</v>
      </c>
      <c r="C55" s="187">
        <v>0</v>
      </c>
      <c r="D55" s="285">
        <v>1</v>
      </c>
      <c r="E55" s="189">
        <f>SUM(B55:D55)</f>
        <v>2</v>
      </c>
      <c r="F55" s="170" t="s">
        <v>546</v>
      </c>
      <c r="G55" s="178">
        <v>5</v>
      </c>
      <c r="H55" s="196">
        <v>0</v>
      </c>
      <c r="I55" s="287">
        <v>5</v>
      </c>
      <c r="J55" s="31">
        <f>SUM(G55:I55)</f>
        <v>10</v>
      </c>
    </row>
    <row r="56" spans="1:10" ht="14.95" thickBot="1" x14ac:dyDescent="0.3">
      <c r="A56" s="185" t="s">
        <v>423</v>
      </c>
      <c r="B56" s="191">
        <v>0</v>
      </c>
      <c r="C56" s="187">
        <v>2</v>
      </c>
      <c r="D56" s="285">
        <v>0</v>
      </c>
      <c r="E56" s="189">
        <f>SUM(B56:D56)</f>
        <v>2</v>
      </c>
      <c r="F56" s="170" t="s">
        <v>547</v>
      </c>
      <c r="G56" s="178">
        <v>5</v>
      </c>
      <c r="H56" s="196">
        <v>0</v>
      </c>
      <c r="I56" s="287">
        <v>5</v>
      </c>
      <c r="J56" s="31">
        <f>SUM(G56:I56)</f>
        <v>10</v>
      </c>
    </row>
    <row r="57" spans="1:10" ht="14.95" thickBot="1" x14ac:dyDescent="0.3">
      <c r="A57" s="185" t="s">
        <v>553</v>
      </c>
      <c r="B57" s="191">
        <v>0</v>
      </c>
      <c r="C57" s="187">
        <v>0</v>
      </c>
      <c r="D57" s="285">
        <v>2</v>
      </c>
      <c r="E57" s="189">
        <f>SUM(B57:D57)</f>
        <v>2</v>
      </c>
      <c r="F57" s="170" t="s">
        <v>423</v>
      </c>
      <c r="G57" s="178">
        <v>0</v>
      </c>
      <c r="H57" s="196">
        <v>10</v>
      </c>
      <c r="I57" s="287">
        <v>0</v>
      </c>
      <c r="J57" s="31">
        <f>SUM(G57:I57)</f>
        <v>10</v>
      </c>
    </row>
    <row r="58" spans="1:10" ht="14.95" thickBot="1" x14ac:dyDescent="0.3">
      <c r="A58" s="185" t="s">
        <v>365</v>
      </c>
      <c r="B58" s="191">
        <v>1</v>
      </c>
      <c r="C58" s="187">
        <v>1</v>
      </c>
      <c r="D58" s="285">
        <v>0</v>
      </c>
      <c r="E58" s="189">
        <f>SUM(B58:D58)</f>
        <v>2</v>
      </c>
      <c r="F58" s="170" t="s">
        <v>553</v>
      </c>
      <c r="G58" s="178">
        <v>0</v>
      </c>
      <c r="H58" s="196">
        <v>0</v>
      </c>
      <c r="I58" s="287">
        <v>10</v>
      </c>
      <c r="J58" s="31">
        <f>SUM(G58:I58)</f>
        <v>10</v>
      </c>
    </row>
    <row r="59" spans="1:10" ht="14.95" thickBot="1" x14ac:dyDescent="0.3">
      <c r="A59" s="185" t="s">
        <v>555</v>
      </c>
      <c r="B59" s="191">
        <v>0</v>
      </c>
      <c r="C59" s="187">
        <v>0</v>
      </c>
      <c r="D59" s="285">
        <v>2</v>
      </c>
      <c r="E59" s="189">
        <f>SUM(B59:D59)</f>
        <v>2</v>
      </c>
      <c r="F59" s="170" t="s">
        <v>365</v>
      </c>
      <c r="G59" s="178">
        <v>5</v>
      </c>
      <c r="H59" s="196">
        <v>5</v>
      </c>
      <c r="I59" s="287">
        <v>0</v>
      </c>
      <c r="J59" s="31">
        <f>SUM(G59:I59)</f>
        <v>10</v>
      </c>
    </row>
    <row r="60" spans="1:10" ht="14.95" thickBot="1" x14ac:dyDescent="0.3">
      <c r="A60" s="185" t="s">
        <v>364</v>
      </c>
      <c r="B60" s="191">
        <v>1</v>
      </c>
      <c r="C60" s="187">
        <v>0</v>
      </c>
      <c r="D60" s="285">
        <v>0</v>
      </c>
      <c r="E60" s="189">
        <f>SUM(B60:D60)</f>
        <v>1</v>
      </c>
      <c r="F60" s="170" t="s">
        <v>555</v>
      </c>
      <c r="G60" s="178">
        <v>0</v>
      </c>
      <c r="H60" s="196">
        <v>0</v>
      </c>
      <c r="I60" s="287">
        <v>10</v>
      </c>
      <c r="J60" s="31">
        <f>SUM(G60:I60)</f>
        <v>10</v>
      </c>
    </row>
    <row r="61" spans="1:10" ht="14.95" thickBot="1" x14ac:dyDescent="0.3">
      <c r="A61" s="185" t="s">
        <v>552</v>
      </c>
      <c r="B61" s="191">
        <v>0</v>
      </c>
      <c r="C61" s="187">
        <v>0</v>
      </c>
      <c r="D61" s="285">
        <v>1</v>
      </c>
      <c r="E61" s="189">
        <f>SUM(B61:D61)</f>
        <v>1</v>
      </c>
      <c r="F61" s="170" t="s">
        <v>364</v>
      </c>
      <c r="G61" s="178">
        <v>5</v>
      </c>
      <c r="H61" s="196">
        <v>2</v>
      </c>
      <c r="I61" s="287">
        <v>0</v>
      </c>
      <c r="J61" s="31">
        <f>SUM(G61:I61)</f>
        <v>7</v>
      </c>
    </row>
    <row r="62" spans="1:10" ht="14.95" thickBot="1" x14ac:dyDescent="0.3">
      <c r="A62" s="185" t="s">
        <v>351</v>
      </c>
      <c r="B62" s="191">
        <v>1</v>
      </c>
      <c r="C62" s="187">
        <v>0</v>
      </c>
      <c r="D62" s="285">
        <v>0</v>
      </c>
      <c r="E62" s="189">
        <f>SUM(B62:D62)</f>
        <v>1</v>
      </c>
      <c r="F62" s="170" t="s">
        <v>552</v>
      </c>
      <c r="G62" s="178">
        <v>0</v>
      </c>
      <c r="H62" s="196">
        <v>0</v>
      </c>
      <c r="I62" s="287">
        <v>5</v>
      </c>
      <c r="J62" s="31">
        <f>SUM(G62:I62)</f>
        <v>5</v>
      </c>
    </row>
    <row r="63" spans="1:10" ht="14.95" thickBot="1" x14ac:dyDescent="0.3">
      <c r="A63" s="185" t="s">
        <v>554</v>
      </c>
      <c r="B63" s="191">
        <v>0</v>
      </c>
      <c r="C63" s="187">
        <v>0</v>
      </c>
      <c r="D63" s="285">
        <v>1</v>
      </c>
      <c r="E63" s="189">
        <f>SUM(B63:D63)</f>
        <v>1</v>
      </c>
      <c r="F63" s="170" t="s">
        <v>351</v>
      </c>
      <c r="G63" s="178">
        <v>5</v>
      </c>
      <c r="H63" s="196">
        <v>0</v>
      </c>
      <c r="I63" s="287">
        <v>0</v>
      </c>
      <c r="J63" s="31">
        <f>SUM(G63:I63)</f>
        <v>5</v>
      </c>
    </row>
    <row r="64" spans="1:10" ht="14.95" thickBot="1" x14ac:dyDescent="0.3">
      <c r="A64" s="185" t="s">
        <v>557</v>
      </c>
      <c r="B64" s="191">
        <v>0</v>
      </c>
      <c r="C64" s="187">
        <v>0</v>
      </c>
      <c r="D64" s="285">
        <v>1</v>
      </c>
      <c r="E64" s="189">
        <f>SUM(B64:D64)</f>
        <v>1</v>
      </c>
      <c r="F64" s="170" t="s">
        <v>554</v>
      </c>
      <c r="G64" s="178">
        <v>0</v>
      </c>
      <c r="H64" s="196">
        <v>0</v>
      </c>
      <c r="I64" s="287">
        <v>5</v>
      </c>
      <c r="J64" s="31">
        <f>SUM(G64:I64)</f>
        <v>5</v>
      </c>
    </row>
    <row r="65" spans="1:10" ht="14.95" thickBot="1" x14ac:dyDescent="0.3">
      <c r="A65" s="185" t="s">
        <v>545</v>
      </c>
      <c r="B65" s="191">
        <v>0</v>
      </c>
      <c r="C65" s="187">
        <v>0</v>
      </c>
      <c r="D65" s="285">
        <v>0</v>
      </c>
      <c r="E65" s="189">
        <f>SUM(B65:D65)</f>
        <v>0</v>
      </c>
      <c r="F65" s="170" t="s">
        <v>557</v>
      </c>
      <c r="G65" s="178">
        <v>0</v>
      </c>
      <c r="H65" s="196">
        <v>0</v>
      </c>
      <c r="I65" s="287">
        <v>5</v>
      </c>
      <c r="J65" s="31">
        <f>SUM(G65:I65)</f>
        <v>5</v>
      </c>
    </row>
    <row r="66" spans="1:10" ht="14.95" thickBot="1" x14ac:dyDescent="0.3">
      <c r="A66" s="185" t="s">
        <v>488</v>
      </c>
      <c r="B66" s="191">
        <v>0</v>
      </c>
      <c r="C66" s="187">
        <v>0</v>
      </c>
      <c r="D66" s="285">
        <v>0</v>
      </c>
      <c r="E66" s="189">
        <f>SUM(B66:D66)</f>
        <v>0</v>
      </c>
      <c r="F66" s="170" t="s">
        <v>545</v>
      </c>
      <c r="G66" s="178">
        <v>0</v>
      </c>
      <c r="H66" s="196">
        <v>0</v>
      </c>
      <c r="I66" s="287">
        <v>0</v>
      </c>
      <c r="J66" s="31">
        <f>SUM(G66:I66)</f>
        <v>0</v>
      </c>
    </row>
    <row r="67" spans="1:10" ht="14.95" thickBot="1" x14ac:dyDescent="0.3">
      <c r="A67" s="185" t="s">
        <v>549</v>
      </c>
      <c r="B67" s="191">
        <v>0</v>
      </c>
      <c r="C67" s="187">
        <v>0</v>
      </c>
      <c r="D67" s="285">
        <v>0</v>
      </c>
      <c r="E67" s="189">
        <f>SUM(B67:D67)</f>
        <v>0</v>
      </c>
      <c r="F67" s="170" t="s">
        <v>488</v>
      </c>
      <c r="G67" s="178">
        <v>0</v>
      </c>
      <c r="H67" s="196">
        <v>0</v>
      </c>
      <c r="I67" s="287">
        <v>0</v>
      </c>
      <c r="J67" s="31">
        <f>SUM(G67:I67)</f>
        <v>0</v>
      </c>
    </row>
    <row r="68" spans="1:10" ht="14.95" thickBot="1" x14ac:dyDescent="0.3">
      <c r="A68" s="185" t="s">
        <v>550</v>
      </c>
      <c r="B68" s="191">
        <v>0</v>
      </c>
      <c r="C68" s="187">
        <v>0</v>
      </c>
      <c r="D68" s="285">
        <v>0</v>
      </c>
      <c r="E68" s="189">
        <f>SUM(B68:D68)</f>
        <v>0</v>
      </c>
      <c r="F68" s="170" t="s">
        <v>549</v>
      </c>
      <c r="G68" s="178">
        <v>0</v>
      </c>
      <c r="H68" s="196">
        <v>0</v>
      </c>
      <c r="I68" s="287">
        <v>0</v>
      </c>
      <c r="J68" s="31">
        <f>SUM(G68:I68)</f>
        <v>0</v>
      </c>
    </row>
    <row r="69" spans="1:10" ht="14.95" thickBot="1" x14ac:dyDescent="0.3">
      <c r="A69" s="185" t="s">
        <v>551</v>
      </c>
      <c r="B69" s="191">
        <v>0</v>
      </c>
      <c r="C69" s="187">
        <v>0</v>
      </c>
      <c r="D69" s="285">
        <v>0</v>
      </c>
      <c r="E69" s="189">
        <f>SUM(B69:D69)</f>
        <v>0</v>
      </c>
      <c r="F69" s="170" t="s">
        <v>550</v>
      </c>
      <c r="G69" s="178">
        <v>0</v>
      </c>
      <c r="H69" s="196">
        <v>0</v>
      </c>
      <c r="I69" s="287">
        <v>0</v>
      </c>
      <c r="J69" s="31">
        <f>SUM(G69:I69)</f>
        <v>0</v>
      </c>
    </row>
    <row r="70" spans="1:10" ht="14.95" thickBot="1" x14ac:dyDescent="0.3">
      <c r="A70" s="185" t="s">
        <v>556</v>
      </c>
      <c r="B70" s="191">
        <v>0</v>
      </c>
      <c r="C70" s="187">
        <v>0</v>
      </c>
      <c r="D70" s="285">
        <v>0</v>
      </c>
      <c r="E70" s="189">
        <f>SUM(B70:D70)</f>
        <v>0</v>
      </c>
      <c r="F70" s="170" t="s">
        <v>551</v>
      </c>
      <c r="G70" s="178">
        <v>0</v>
      </c>
      <c r="H70" s="196">
        <v>0</v>
      </c>
      <c r="I70" s="287">
        <v>0</v>
      </c>
      <c r="J70" s="31">
        <f>SUM(G70:I70)</f>
        <v>0</v>
      </c>
    </row>
    <row r="71" spans="1:10" ht="14.95" thickBot="1" x14ac:dyDescent="0.3">
      <c r="A71" s="185" t="s">
        <v>558</v>
      </c>
      <c r="B71" s="191">
        <v>0</v>
      </c>
      <c r="C71" s="187">
        <v>0</v>
      </c>
      <c r="D71" s="285">
        <v>0</v>
      </c>
      <c r="E71" s="189">
        <f>SUM(B71:D71)</f>
        <v>0</v>
      </c>
      <c r="F71" s="170" t="s">
        <v>556</v>
      </c>
      <c r="G71" s="178">
        <v>0</v>
      </c>
      <c r="H71" s="196">
        <v>0</v>
      </c>
      <c r="I71" s="287">
        <v>0</v>
      </c>
      <c r="J71" s="31">
        <f>SUM(G71:I71)</f>
        <v>0</v>
      </c>
    </row>
    <row r="72" spans="1:10" ht="14.95" thickBot="1" x14ac:dyDescent="0.3">
      <c r="A72" s="185" t="s">
        <v>359</v>
      </c>
      <c r="B72" s="191">
        <v>0</v>
      </c>
      <c r="C72" s="187">
        <v>0</v>
      </c>
      <c r="D72" s="285">
        <v>0</v>
      </c>
      <c r="E72" s="189">
        <f>SUM(B72:D72)</f>
        <v>0</v>
      </c>
      <c r="F72" s="170" t="s">
        <v>558</v>
      </c>
      <c r="G72" s="178">
        <v>0</v>
      </c>
      <c r="H72" s="196">
        <v>0</v>
      </c>
      <c r="I72" s="287">
        <v>0</v>
      </c>
      <c r="J72" s="31">
        <f>SUM(G72:I72)</f>
        <v>0</v>
      </c>
    </row>
    <row r="73" spans="1:10" ht="14.95" thickBot="1" x14ac:dyDescent="0.3">
      <c r="A73" s="185" t="s">
        <v>3</v>
      </c>
      <c r="B73" s="191">
        <f>SUM(B40:B72)</f>
        <v>16</v>
      </c>
      <c r="C73" s="187">
        <f>SUM(C40:C72)</f>
        <v>26</v>
      </c>
      <c r="D73" s="285">
        <f>SUM(D40:D72)</f>
        <v>44</v>
      </c>
      <c r="E73" s="189">
        <f t="shared" ref="E73" si="5">SUM(B73:D73)</f>
        <v>86</v>
      </c>
      <c r="F73" s="171" t="s">
        <v>3</v>
      </c>
      <c r="G73" s="177">
        <f>SUM(G40:G72)</f>
        <v>101</v>
      </c>
      <c r="H73" s="195">
        <f>SUM(H40:H72)</f>
        <v>169</v>
      </c>
      <c r="I73" s="286">
        <f>SUM(I40:I72)</f>
        <v>268</v>
      </c>
      <c r="J73" s="153">
        <f t="shared" ref="J73" si="6">SUM(G73:I73)</f>
        <v>538</v>
      </c>
    </row>
    <row r="74" spans="1:10" x14ac:dyDescent="0.25">
      <c r="A74" s="317" t="s">
        <v>11</v>
      </c>
      <c r="B74" s="317"/>
      <c r="C74" s="318"/>
    </row>
    <row r="75" spans="1:10" ht="14.3" customHeight="1" x14ac:dyDescent="0.25"/>
  </sheetData>
  <sortState xmlns:xlrd2="http://schemas.microsoft.com/office/spreadsheetml/2017/richdata2" ref="F40:J72">
    <sortCondition descending="1" ref="J40:J72"/>
  </sortState>
  <mergeCells count="10">
    <mergeCell ref="A74:C74"/>
    <mergeCell ref="O1:Q2"/>
    <mergeCell ref="R1:R2"/>
    <mergeCell ref="K10:K11"/>
    <mergeCell ref="L10:N11"/>
    <mergeCell ref="A1:J1"/>
    <mergeCell ref="K1:K2"/>
    <mergeCell ref="L1:N2"/>
    <mergeCell ref="K18:K19"/>
    <mergeCell ref="L18:N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82"/>
  <sheetViews>
    <sheetView topLeftCell="A38" workbookViewId="0">
      <selection activeCell="P6" sqref="P6"/>
    </sheetView>
  </sheetViews>
  <sheetFormatPr defaultRowHeight="14.3" x14ac:dyDescent="0.25"/>
  <cols>
    <col min="1" max="1" width="16.5" customWidth="1"/>
    <col min="2" max="5" width="4.5" customWidth="1"/>
    <col min="6" max="6" width="16.5" customWidth="1"/>
    <col min="7" max="10" width="4.5" customWidth="1"/>
    <col min="11" max="11" width="15.25" customWidth="1"/>
    <col min="12" max="29" width="5.5" customWidth="1"/>
  </cols>
  <sheetData>
    <row r="1" spans="1:29" ht="14.95" customHeight="1" thickBot="1" x14ac:dyDescent="0.3">
      <c r="A1" s="374" t="s">
        <v>39</v>
      </c>
      <c r="B1" s="375"/>
      <c r="C1" s="375"/>
      <c r="D1" s="375"/>
      <c r="E1" s="375"/>
      <c r="F1" s="375"/>
      <c r="G1" s="375"/>
      <c r="H1" s="375"/>
      <c r="I1" s="375"/>
      <c r="J1" s="376"/>
      <c r="K1" s="377" t="s">
        <v>16</v>
      </c>
      <c r="L1" s="309">
        <v>2022</v>
      </c>
      <c r="M1" s="310"/>
      <c r="N1" s="311"/>
      <c r="O1" s="309" t="s">
        <v>13</v>
      </c>
      <c r="P1" s="310"/>
      <c r="Q1" s="311"/>
      <c r="R1" s="309" t="s">
        <v>17</v>
      </c>
      <c r="S1" s="110"/>
      <c r="T1" s="64"/>
      <c r="U1" s="64"/>
    </row>
    <row r="2" spans="1:29" ht="14.95" customHeight="1" thickBot="1" x14ac:dyDescent="0.3">
      <c r="A2" s="101" t="s">
        <v>0</v>
      </c>
      <c r="B2" s="90" t="s">
        <v>15</v>
      </c>
      <c r="C2" s="91" t="s">
        <v>12</v>
      </c>
      <c r="D2" s="275" t="s">
        <v>396</v>
      </c>
      <c r="E2" s="92" t="s">
        <v>1</v>
      </c>
      <c r="F2" s="99" t="s">
        <v>2</v>
      </c>
      <c r="G2" s="102" t="s">
        <v>15</v>
      </c>
      <c r="H2" s="97" t="s">
        <v>12</v>
      </c>
      <c r="I2" s="288" t="s">
        <v>396</v>
      </c>
      <c r="J2" s="100" t="s">
        <v>1</v>
      </c>
      <c r="K2" s="378"/>
      <c r="L2" s="312"/>
      <c r="M2" s="313"/>
      <c r="N2" s="314"/>
      <c r="O2" s="312"/>
      <c r="P2" s="313"/>
      <c r="Q2" s="314"/>
      <c r="R2" s="312"/>
      <c r="S2" s="110"/>
      <c r="T2" s="64"/>
      <c r="U2" s="64"/>
    </row>
    <row r="3" spans="1:29" ht="14.95" customHeight="1" thickBot="1" x14ac:dyDescent="0.3">
      <c r="A3" s="37" t="s">
        <v>191</v>
      </c>
      <c r="B3" s="73">
        <v>0</v>
      </c>
      <c r="C3" s="74">
        <v>0</v>
      </c>
      <c r="D3" s="276">
        <v>0</v>
      </c>
      <c r="E3" s="38">
        <f>SUM(B3:D3)</f>
        <v>0</v>
      </c>
      <c r="F3" s="39" t="s">
        <v>191</v>
      </c>
      <c r="G3" s="75">
        <v>0</v>
      </c>
      <c r="H3" s="18">
        <v>0</v>
      </c>
      <c r="I3" s="289">
        <v>0</v>
      </c>
      <c r="J3" s="40">
        <f>SUM(G3:I3)</f>
        <v>0</v>
      </c>
      <c r="K3" s="4"/>
      <c r="L3" s="1" t="s">
        <v>18</v>
      </c>
      <c r="M3" s="1" t="s">
        <v>5</v>
      </c>
      <c r="N3" s="1" t="s">
        <v>6</v>
      </c>
      <c r="O3" s="85" t="s">
        <v>18</v>
      </c>
      <c r="P3" s="1" t="s">
        <v>5</v>
      </c>
      <c r="Q3" s="1" t="s">
        <v>6</v>
      </c>
      <c r="R3" s="1"/>
      <c r="S3" s="115"/>
    </row>
    <row r="4" spans="1:29" ht="14.95" customHeight="1" thickBot="1" x14ac:dyDescent="0.3">
      <c r="A4" s="37" t="s">
        <v>192</v>
      </c>
      <c r="B4" s="73">
        <v>0</v>
      </c>
      <c r="C4" s="74">
        <v>0</v>
      </c>
      <c r="D4" s="276">
        <v>0</v>
      </c>
      <c r="E4" s="38">
        <f t="shared" ref="E4:E40" si="0">SUM(B4:D4)</f>
        <v>0</v>
      </c>
      <c r="F4" s="39" t="s">
        <v>192</v>
      </c>
      <c r="G4" s="75">
        <v>0</v>
      </c>
      <c r="H4" s="18">
        <v>0</v>
      </c>
      <c r="I4" s="289">
        <v>0</v>
      </c>
      <c r="J4" s="40">
        <f t="shared" ref="J4:J40" si="1">SUM(G4:I4)</f>
        <v>0</v>
      </c>
      <c r="K4" s="37" t="s">
        <v>44</v>
      </c>
      <c r="L4" s="38">
        <v>5</v>
      </c>
      <c r="M4" s="38">
        <v>9</v>
      </c>
      <c r="N4" s="41">
        <f t="shared" ref="N4:N5" si="2">SUM(L4/M4)*100</f>
        <v>55.555555555555557</v>
      </c>
      <c r="O4" s="38" t="s">
        <v>8</v>
      </c>
      <c r="P4" s="38" t="s">
        <v>8</v>
      </c>
      <c r="Q4" s="41" t="s">
        <v>8</v>
      </c>
      <c r="R4" s="38">
        <v>-1</v>
      </c>
      <c r="S4" s="115"/>
    </row>
    <row r="5" spans="1:29" ht="14.95" customHeight="1" thickBot="1" x14ac:dyDescent="0.3">
      <c r="A5" s="37" t="s">
        <v>193</v>
      </c>
      <c r="B5" s="73">
        <v>0</v>
      </c>
      <c r="C5" s="74">
        <v>0</v>
      </c>
      <c r="D5" s="276">
        <v>0</v>
      </c>
      <c r="E5" s="38">
        <f t="shared" si="0"/>
        <v>0</v>
      </c>
      <c r="F5" s="39" t="s">
        <v>193</v>
      </c>
      <c r="G5" s="75">
        <v>0</v>
      </c>
      <c r="H5" s="18">
        <v>0</v>
      </c>
      <c r="I5" s="289">
        <v>0</v>
      </c>
      <c r="J5" s="40">
        <f t="shared" si="1"/>
        <v>0</v>
      </c>
      <c r="K5" s="37" t="s">
        <v>31</v>
      </c>
      <c r="L5" s="38">
        <v>13</v>
      </c>
      <c r="M5" s="38">
        <v>25</v>
      </c>
      <c r="N5" s="41">
        <f t="shared" si="2"/>
        <v>52</v>
      </c>
      <c r="O5" s="38">
        <v>0</v>
      </c>
      <c r="P5" s="38">
        <v>1</v>
      </c>
      <c r="Q5" s="41">
        <f t="shared" ref="Q5" si="3">SUM(O5/P5)*100</f>
        <v>0</v>
      </c>
      <c r="R5" s="38">
        <v>-6</v>
      </c>
      <c r="S5" s="115"/>
    </row>
    <row r="6" spans="1:29" ht="14.95" customHeight="1" thickBot="1" x14ac:dyDescent="0.3">
      <c r="A6" s="37" t="s">
        <v>55</v>
      </c>
      <c r="B6" s="73">
        <v>0</v>
      </c>
      <c r="C6" s="74">
        <v>0</v>
      </c>
      <c r="D6" s="276">
        <v>0</v>
      </c>
      <c r="E6" s="38">
        <f t="shared" si="0"/>
        <v>0</v>
      </c>
      <c r="F6" s="39" t="s">
        <v>55</v>
      </c>
      <c r="G6" s="75">
        <v>0</v>
      </c>
      <c r="H6" s="18">
        <v>0</v>
      </c>
      <c r="I6" s="289">
        <v>0</v>
      </c>
      <c r="J6" s="40">
        <f t="shared" si="1"/>
        <v>0</v>
      </c>
      <c r="R6" s="7"/>
    </row>
    <row r="7" spans="1:29" ht="14.95" customHeight="1" thickBot="1" x14ac:dyDescent="0.3">
      <c r="A7" s="37" t="s">
        <v>194</v>
      </c>
      <c r="B7" s="73">
        <v>0</v>
      </c>
      <c r="C7" s="74">
        <v>0</v>
      </c>
      <c r="D7" s="276">
        <v>0</v>
      </c>
      <c r="E7" s="38">
        <f t="shared" si="0"/>
        <v>0</v>
      </c>
      <c r="F7" s="39" t="s">
        <v>194</v>
      </c>
      <c r="G7" s="75">
        <v>0</v>
      </c>
      <c r="H7" s="18">
        <v>0</v>
      </c>
      <c r="I7" s="289">
        <v>0</v>
      </c>
      <c r="J7" s="40">
        <f t="shared" si="1"/>
        <v>0</v>
      </c>
      <c r="K7" s="344" t="s">
        <v>14</v>
      </c>
      <c r="L7" s="309">
        <v>2022</v>
      </c>
      <c r="M7" s="310"/>
      <c r="N7" s="311"/>
    </row>
    <row r="8" spans="1:29" ht="14.95" customHeight="1" thickBot="1" x14ac:dyDescent="0.3">
      <c r="A8" s="37" t="s">
        <v>196</v>
      </c>
      <c r="B8" s="73">
        <v>0</v>
      </c>
      <c r="C8" s="74">
        <v>0</v>
      </c>
      <c r="D8" s="276">
        <v>0</v>
      </c>
      <c r="E8" s="38">
        <f t="shared" si="0"/>
        <v>0</v>
      </c>
      <c r="F8" s="39" t="s">
        <v>196</v>
      </c>
      <c r="G8" s="75">
        <v>0</v>
      </c>
      <c r="H8" s="18">
        <v>0</v>
      </c>
      <c r="I8" s="289">
        <v>0</v>
      </c>
      <c r="J8" s="40">
        <f t="shared" si="1"/>
        <v>0</v>
      </c>
      <c r="K8" s="345"/>
      <c r="L8" s="312"/>
      <c r="M8" s="313"/>
      <c r="N8" s="314"/>
    </row>
    <row r="9" spans="1:29" ht="14.95" customHeight="1" thickBot="1" x14ac:dyDescent="0.3">
      <c r="A9" s="37" t="s">
        <v>195</v>
      </c>
      <c r="B9" s="73">
        <v>0</v>
      </c>
      <c r="C9" s="74">
        <v>0</v>
      </c>
      <c r="D9" s="276">
        <v>0</v>
      </c>
      <c r="E9" s="38">
        <f t="shared" si="0"/>
        <v>0</v>
      </c>
      <c r="F9" s="39" t="s">
        <v>195</v>
      </c>
      <c r="G9" s="75">
        <v>0</v>
      </c>
      <c r="H9" s="18">
        <v>0</v>
      </c>
      <c r="I9" s="289">
        <v>0</v>
      </c>
      <c r="J9" s="40">
        <f t="shared" si="1"/>
        <v>0</v>
      </c>
      <c r="K9" s="4"/>
      <c r="L9" s="1" t="s">
        <v>18</v>
      </c>
      <c r="M9" s="1" t="s">
        <v>5</v>
      </c>
      <c r="N9" s="1" t="s">
        <v>6</v>
      </c>
    </row>
    <row r="10" spans="1:29" ht="14.95" customHeight="1" thickBot="1" x14ac:dyDescent="0.3">
      <c r="A10" s="37" t="s">
        <v>197</v>
      </c>
      <c r="B10" s="73">
        <v>0</v>
      </c>
      <c r="C10" s="74">
        <v>0</v>
      </c>
      <c r="D10" s="276">
        <v>0</v>
      </c>
      <c r="E10" s="38">
        <f t="shared" si="0"/>
        <v>0</v>
      </c>
      <c r="F10" s="39" t="s">
        <v>197</v>
      </c>
      <c r="G10" s="75">
        <v>0</v>
      </c>
      <c r="H10" s="18">
        <v>0</v>
      </c>
      <c r="I10" s="289">
        <v>0</v>
      </c>
      <c r="J10" s="40">
        <f t="shared" si="1"/>
        <v>0</v>
      </c>
      <c r="K10" s="37" t="s">
        <v>31</v>
      </c>
      <c r="L10" s="38">
        <v>9</v>
      </c>
      <c r="M10" s="38">
        <v>14</v>
      </c>
      <c r="N10" s="41">
        <f t="shared" ref="N10" si="4">SUM(L10/M10)*100</f>
        <v>64.285714285714292</v>
      </c>
    </row>
    <row r="11" spans="1:29" ht="14.95" customHeight="1" thickBot="1" x14ac:dyDescent="0.3">
      <c r="A11" s="37" t="s">
        <v>46</v>
      </c>
      <c r="B11" s="73">
        <v>0</v>
      </c>
      <c r="C11" s="74">
        <v>2</v>
      </c>
      <c r="D11" s="276">
        <v>2</v>
      </c>
      <c r="E11" s="38">
        <f t="shared" si="0"/>
        <v>4</v>
      </c>
      <c r="F11" s="39" t="s">
        <v>46</v>
      </c>
      <c r="G11" s="75">
        <v>0</v>
      </c>
      <c r="H11" s="18">
        <v>10</v>
      </c>
      <c r="I11" s="289">
        <v>10</v>
      </c>
      <c r="J11" s="40">
        <f t="shared" si="1"/>
        <v>20</v>
      </c>
    </row>
    <row r="12" spans="1:29" ht="14.95" customHeight="1" thickBot="1" x14ac:dyDescent="0.3">
      <c r="A12" s="37" t="s">
        <v>198</v>
      </c>
      <c r="B12" s="73">
        <v>1</v>
      </c>
      <c r="C12" s="74">
        <v>0</v>
      </c>
      <c r="D12" s="276">
        <v>0</v>
      </c>
      <c r="E12" s="38">
        <f t="shared" si="0"/>
        <v>1</v>
      </c>
      <c r="F12" s="39" t="s">
        <v>198</v>
      </c>
      <c r="G12" s="75">
        <v>5</v>
      </c>
      <c r="H12" s="18">
        <v>0</v>
      </c>
      <c r="I12" s="289">
        <v>0</v>
      </c>
      <c r="J12" s="40">
        <f t="shared" si="1"/>
        <v>5</v>
      </c>
      <c r="K12" s="326" t="s">
        <v>521</v>
      </c>
      <c r="L12" s="309">
        <v>2022</v>
      </c>
      <c r="M12" s="310"/>
      <c r="N12" s="311"/>
    </row>
    <row r="13" spans="1:29" ht="14.95" customHeight="1" thickBot="1" x14ac:dyDescent="0.3">
      <c r="A13" s="37" t="s">
        <v>199</v>
      </c>
      <c r="B13" s="73">
        <v>0</v>
      </c>
      <c r="C13" s="74">
        <v>0</v>
      </c>
      <c r="D13" s="276">
        <v>0</v>
      </c>
      <c r="E13" s="38">
        <f t="shared" si="0"/>
        <v>0</v>
      </c>
      <c r="F13" s="39" t="s">
        <v>199</v>
      </c>
      <c r="G13" s="75">
        <v>0</v>
      </c>
      <c r="H13" s="18">
        <v>0</v>
      </c>
      <c r="I13" s="289">
        <v>0</v>
      </c>
      <c r="J13" s="40">
        <f t="shared" si="1"/>
        <v>0</v>
      </c>
      <c r="K13" s="327"/>
      <c r="L13" s="312"/>
      <c r="M13" s="313"/>
      <c r="N13" s="314"/>
    </row>
    <row r="14" spans="1:29" ht="14.95" customHeight="1" thickBot="1" x14ac:dyDescent="0.3">
      <c r="A14" s="37" t="s">
        <v>43</v>
      </c>
      <c r="B14" s="73">
        <v>0</v>
      </c>
      <c r="C14" s="74">
        <v>1</v>
      </c>
      <c r="D14" s="276">
        <v>0</v>
      </c>
      <c r="E14" s="38">
        <f t="shared" si="0"/>
        <v>1</v>
      </c>
      <c r="F14" s="39" t="s">
        <v>43</v>
      </c>
      <c r="G14" s="75">
        <v>0</v>
      </c>
      <c r="H14" s="18">
        <v>5</v>
      </c>
      <c r="I14" s="289">
        <v>0</v>
      </c>
      <c r="J14" s="40">
        <f t="shared" si="1"/>
        <v>5</v>
      </c>
      <c r="K14" s="267"/>
      <c r="L14" s="31" t="s">
        <v>18</v>
      </c>
      <c r="M14" s="31" t="s">
        <v>5</v>
      </c>
      <c r="N14" s="31" t="s">
        <v>6</v>
      </c>
      <c r="S14" s="47"/>
      <c r="T14" s="47"/>
    </row>
    <row r="15" spans="1:29" ht="14.95" customHeight="1" thickBot="1" x14ac:dyDescent="0.3">
      <c r="A15" s="37" t="s">
        <v>44</v>
      </c>
      <c r="B15" s="73">
        <v>0</v>
      </c>
      <c r="C15" s="74">
        <v>1</v>
      </c>
      <c r="D15" s="276">
        <v>0</v>
      </c>
      <c r="E15" s="38">
        <f t="shared" si="0"/>
        <v>1</v>
      </c>
      <c r="F15" s="39" t="s">
        <v>44</v>
      </c>
      <c r="G15" s="75">
        <v>0</v>
      </c>
      <c r="H15" s="18">
        <v>17</v>
      </c>
      <c r="I15" s="289">
        <v>0</v>
      </c>
      <c r="J15" s="40">
        <f t="shared" si="1"/>
        <v>17</v>
      </c>
      <c r="K15" s="37" t="s">
        <v>44</v>
      </c>
      <c r="L15" s="38" t="s">
        <v>8</v>
      </c>
      <c r="M15" s="38" t="s">
        <v>8</v>
      </c>
      <c r="N15" s="41" t="s">
        <v>8</v>
      </c>
      <c r="X15" s="64"/>
      <c r="Y15" s="114"/>
      <c r="Z15" s="114"/>
      <c r="AA15" s="63"/>
      <c r="AB15" s="63"/>
      <c r="AC15" s="63"/>
    </row>
    <row r="16" spans="1:29" ht="14.95" customHeight="1" thickBot="1" x14ac:dyDescent="0.3">
      <c r="A16" s="37" t="s">
        <v>29</v>
      </c>
      <c r="B16" s="73">
        <v>2</v>
      </c>
      <c r="C16" s="74">
        <v>2</v>
      </c>
      <c r="D16" s="276">
        <v>0</v>
      </c>
      <c r="E16" s="38">
        <f t="shared" si="0"/>
        <v>4</v>
      </c>
      <c r="F16" s="39" t="s">
        <v>29</v>
      </c>
      <c r="G16" s="75">
        <v>10</v>
      </c>
      <c r="H16" s="18">
        <v>10</v>
      </c>
      <c r="I16" s="289">
        <v>0</v>
      </c>
      <c r="J16" s="40">
        <f t="shared" si="1"/>
        <v>20</v>
      </c>
      <c r="K16" s="37" t="s">
        <v>31</v>
      </c>
      <c r="L16" s="38">
        <v>0</v>
      </c>
      <c r="M16" s="38">
        <v>6</v>
      </c>
      <c r="N16" s="41">
        <v>0</v>
      </c>
      <c r="X16" s="114"/>
      <c r="Y16" s="114"/>
      <c r="Z16" s="114"/>
      <c r="AA16" s="63"/>
      <c r="AB16" s="63"/>
      <c r="AC16" s="63"/>
    </row>
    <row r="17" spans="1:29" ht="14.95" customHeight="1" thickBot="1" x14ac:dyDescent="0.3">
      <c r="A17" s="37" t="s">
        <v>200</v>
      </c>
      <c r="B17" s="73">
        <v>0</v>
      </c>
      <c r="C17" s="74">
        <v>0</v>
      </c>
      <c r="D17" s="276">
        <v>0</v>
      </c>
      <c r="E17" s="38">
        <f t="shared" si="0"/>
        <v>0</v>
      </c>
      <c r="F17" s="39" t="s">
        <v>200</v>
      </c>
      <c r="G17" s="75">
        <v>0</v>
      </c>
      <c r="H17" s="18">
        <v>0</v>
      </c>
      <c r="I17" s="289">
        <v>0</v>
      </c>
      <c r="J17" s="40">
        <f t="shared" si="1"/>
        <v>0</v>
      </c>
      <c r="X17" s="63"/>
      <c r="Y17" s="63"/>
      <c r="Z17" s="63"/>
      <c r="AA17" s="63"/>
      <c r="AB17" s="63"/>
      <c r="AC17" s="63"/>
    </row>
    <row r="18" spans="1:29" ht="14.95" customHeight="1" thickBot="1" x14ac:dyDescent="0.3">
      <c r="A18" s="37" t="s">
        <v>201</v>
      </c>
      <c r="B18" s="73">
        <v>0</v>
      </c>
      <c r="C18" s="74">
        <v>0</v>
      </c>
      <c r="D18" s="276">
        <v>0</v>
      </c>
      <c r="E18" s="38">
        <f t="shared" si="0"/>
        <v>0</v>
      </c>
      <c r="F18" s="39" t="s">
        <v>201</v>
      </c>
      <c r="G18" s="75">
        <v>0</v>
      </c>
      <c r="H18" s="18">
        <v>0</v>
      </c>
      <c r="I18" s="289">
        <v>0</v>
      </c>
      <c r="J18" s="40">
        <f t="shared" si="1"/>
        <v>0</v>
      </c>
      <c r="X18" s="63"/>
      <c r="Y18" s="63"/>
      <c r="Z18" s="63"/>
      <c r="AA18" s="63"/>
      <c r="AB18" s="63"/>
      <c r="AC18" s="63"/>
    </row>
    <row r="19" spans="1:29" ht="14.95" customHeight="1" thickBot="1" x14ac:dyDescent="0.3">
      <c r="A19" s="37" t="s">
        <v>202</v>
      </c>
      <c r="B19" s="73">
        <v>0</v>
      </c>
      <c r="C19" s="74">
        <v>0</v>
      </c>
      <c r="D19" s="276">
        <v>0</v>
      </c>
      <c r="E19" s="38">
        <f t="shared" si="0"/>
        <v>0</v>
      </c>
      <c r="F19" s="39" t="s">
        <v>202</v>
      </c>
      <c r="G19" s="75">
        <v>0</v>
      </c>
      <c r="H19" s="18">
        <v>0</v>
      </c>
      <c r="I19" s="289">
        <v>0</v>
      </c>
      <c r="J19" s="40">
        <f t="shared" si="1"/>
        <v>0</v>
      </c>
      <c r="X19" s="63"/>
      <c r="Y19" s="63"/>
      <c r="Z19" s="63"/>
      <c r="AA19" s="63"/>
      <c r="AB19" s="63"/>
      <c r="AC19" s="63"/>
    </row>
    <row r="20" spans="1:29" ht="14.95" customHeight="1" thickBot="1" x14ac:dyDescent="0.3">
      <c r="A20" s="37" t="s">
        <v>203</v>
      </c>
      <c r="B20" s="73">
        <v>0</v>
      </c>
      <c r="C20" s="74">
        <v>0</v>
      </c>
      <c r="D20" s="276">
        <v>0</v>
      </c>
      <c r="E20" s="38">
        <f t="shared" si="0"/>
        <v>0</v>
      </c>
      <c r="F20" s="39" t="s">
        <v>203</v>
      </c>
      <c r="G20" s="75">
        <v>0</v>
      </c>
      <c r="H20" s="18">
        <v>0</v>
      </c>
      <c r="I20" s="289">
        <v>0</v>
      </c>
      <c r="J20" s="40">
        <f t="shared" si="1"/>
        <v>0</v>
      </c>
      <c r="X20" s="63"/>
      <c r="Y20" s="63"/>
      <c r="Z20" s="63"/>
      <c r="AA20" s="63"/>
      <c r="AB20" s="63"/>
      <c r="AC20" s="63"/>
    </row>
    <row r="21" spans="1:29" ht="14.95" customHeight="1" thickBot="1" x14ac:dyDescent="0.3">
      <c r="A21" s="37" t="s">
        <v>204</v>
      </c>
      <c r="B21" s="73">
        <v>0</v>
      </c>
      <c r="C21" s="74">
        <v>0</v>
      </c>
      <c r="D21" s="276">
        <v>0</v>
      </c>
      <c r="E21" s="38">
        <f t="shared" si="0"/>
        <v>0</v>
      </c>
      <c r="F21" s="39" t="s">
        <v>204</v>
      </c>
      <c r="G21" s="75">
        <v>0</v>
      </c>
      <c r="H21" s="18">
        <v>0</v>
      </c>
      <c r="I21" s="289">
        <v>0</v>
      </c>
      <c r="J21" s="40">
        <f t="shared" si="1"/>
        <v>0</v>
      </c>
    </row>
    <row r="22" spans="1:29" ht="14.95" customHeight="1" thickBot="1" x14ac:dyDescent="0.3">
      <c r="A22" s="37" t="s">
        <v>205</v>
      </c>
      <c r="B22" s="73">
        <v>0</v>
      </c>
      <c r="C22" s="74">
        <v>0</v>
      </c>
      <c r="D22" s="276">
        <v>0</v>
      </c>
      <c r="E22" s="38">
        <f t="shared" si="0"/>
        <v>0</v>
      </c>
      <c r="F22" s="39" t="s">
        <v>205</v>
      </c>
      <c r="G22" s="75">
        <v>0</v>
      </c>
      <c r="H22" s="18">
        <v>0</v>
      </c>
      <c r="I22" s="289">
        <v>0</v>
      </c>
      <c r="J22" s="40">
        <f t="shared" si="1"/>
        <v>0</v>
      </c>
    </row>
    <row r="23" spans="1:29" ht="14.95" customHeight="1" thickBot="1" x14ac:dyDescent="0.3">
      <c r="A23" s="37" t="s">
        <v>206</v>
      </c>
      <c r="B23" s="73">
        <v>0</v>
      </c>
      <c r="C23" s="74">
        <v>0</v>
      </c>
      <c r="D23" s="276">
        <v>0</v>
      </c>
      <c r="E23" s="38">
        <f t="shared" si="0"/>
        <v>0</v>
      </c>
      <c r="F23" s="39" t="s">
        <v>206</v>
      </c>
      <c r="G23" s="75">
        <v>0</v>
      </c>
      <c r="H23" s="18">
        <v>0</v>
      </c>
      <c r="I23" s="289">
        <v>0</v>
      </c>
      <c r="J23" s="40">
        <f t="shared" si="1"/>
        <v>0</v>
      </c>
    </row>
    <row r="24" spans="1:29" ht="14.95" customHeight="1" thickBot="1" x14ac:dyDescent="0.3">
      <c r="A24" s="37" t="s">
        <v>207</v>
      </c>
      <c r="B24" s="73">
        <v>0</v>
      </c>
      <c r="C24" s="74">
        <v>0</v>
      </c>
      <c r="D24" s="276">
        <v>0</v>
      </c>
      <c r="E24" s="38">
        <f t="shared" si="0"/>
        <v>0</v>
      </c>
      <c r="F24" s="39" t="s">
        <v>207</v>
      </c>
      <c r="G24" s="75">
        <v>0</v>
      </c>
      <c r="H24" s="18">
        <v>0</v>
      </c>
      <c r="I24" s="289">
        <v>0</v>
      </c>
      <c r="J24" s="40">
        <f t="shared" si="1"/>
        <v>0</v>
      </c>
    </row>
    <row r="25" spans="1:29" ht="14.95" customHeight="1" thickBot="1" x14ac:dyDescent="0.3">
      <c r="A25" s="37" t="s">
        <v>31</v>
      </c>
      <c r="B25" s="73">
        <v>0</v>
      </c>
      <c r="C25" s="74">
        <v>0</v>
      </c>
      <c r="D25" s="276">
        <v>0</v>
      </c>
      <c r="E25" s="38">
        <f t="shared" si="0"/>
        <v>0</v>
      </c>
      <c r="F25" s="39" t="s">
        <v>31</v>
      </c>
      <c r="G25" s="75">
        <v>24</v>
      </c>
      <c r="H25" s="18">
        <v>9</v>
      </c>
      <c r="I25" s="289">
        <v>0</v>
      </c>
      <c r="J25" s="40">
        <f t="shared" si="1"/>
        <v>33</v>
      </c>
    </row>
    <row r="26" spans="1:29" ht="14.95" customHeight="1" thickBot="1" x14ac:dyDescent="0.3">
      <c r="A26" s="37" t="s">
        <v>208</v>
      </c>
      <c r="B26" s="73">
        <v>0</v>
      </c>
      <c r="C26" s="74">
        <v>0</v>
      </c>
      <c r="D26" s="276">
        <v>0</v>
      </c>
      <c r="E26" s="38">
        <f t="shared" si="0"/>
        <v>0</v>
      </c>
      <c r="F26" s="39" t="s">
        <v>208</v>
      </c>
      <c r="G26" s="75">
        <v>0</v>
      </c>
      <c r="H26" s="18">
        <v>0</v>
      </c>
      <c r="I26" s="289">
        <v>0</v>
      </c>
      <c r="J26" s="40">
        <f t="shared" si="1"/>
        <v>0</v>
      </c>
    </row>
    <row r="27" spans="1:29" ht="14.95" customHeight="1" thickBot="1" x14ac:dyDescent="0.3">
      <c r="A27" s="37" t="s">
        <v>209</v>
      </c>
      <c r="B27" s="73">
        <v>0</v>
      </c>
      <c r="C27" s="74">
        <v>0</v>
      </c>
      <c r="D27" s="276">
        <v>0</v>
      </c>
      <c r="E27" s="38">
        <f t="shared" si="0"/>
        <v>0</v>
      </c>
      <c r="F27" s="39" t="s">
        <v>209</v>
      </c>
      <c r="G27" s="75">
        <v>0</v>
      </c>
      <c r="H27" s="18">
        <v>0</v>
      </c>
      <c r="I27" s="289">
        <v>0</v>
      </c>
      <c r="J27" s="40">
        <f t="shared" si="1"/>
        <v>0</v>
      </c>
    </row>
    <row r="28" spans="1:29" ht="14.95" customHeight="1" thickBot="1" x14ac:dyDescent="0.3">
      <c r="A28" s="37" t="s">
        <v>302</v>
      </c>
      <c r="B28" s="73">
        <v>0</v>
      </c>
      <c r="C28" s="74">
        <v>0</v>
      </c>
      <c r="D28" s="276">
        <v>1</v>
      </c>
      <c r="E28" s="38">
        <f t="shared" si="0"/>
        <v>1</v>
      </c>
      <c r="F28" s="39" t="s">
        <v>302</v>
      </c>
      <c r="G28" s="75">
        <v>0</v>
      </c>
      <c r="H28" s="18">
        <v>0</v>
      </c>
      <c r="I28" s="289">
        <v>7</v>
      </c>
      <c r="J28" s="40">
        <f t="shared" si="1"/>
        <v>7</v>
      </c>
    </row>
    <row r="29" spans="1:29" ht="14.95" customHeight="1" thickBot="1" x14ac:dyDescent="0.3">
      <c r="A29" s="37" t="s">
        <v>210</v>
      </c>
      <c r="B29" s="73">
        <v>0</v>
      </c>
      <c r="C29" s="74">
        <v>0</v>
      </c>
      <c r="D29" s="276">
        <v>0</v>
      </c>
      <c r="E29" s="38">
        <f t="shared" si="0"/>
        <v>0</v>
      </c>
      <c r="F29" s="39" t="s">
        <v>210</v>
      </c>
      <c r="G29" s="75">
        <v>0</v>
      </c>
      <c r="H29" s="18">
        <v>0</v>
      </c>
      <c r="I29" s="289">
        <v>0</v>
      </c>
      <c r="J29" s="40">
        <f t="shared" si="1"/>
        <v>0</v>
      </c>
    </row>
    <row r="30" spans="1:29" ht="14.95" customHeight="1" thickBot="1" x14ac:dyDescent="0.3">
      <c r="A30" s="37" t="s">
        <v>48</v>
      </c>
      <c r="B30" s="73">
        <v>2</v>
      </c>
      <c r="C30" s="74">
        <v>0</v>
      </c>
      <c r="D30" s="276">
        <v>0</v>
      </c>
      <c r="E30" s="38">
        <f t="shared" si="0"/>
        <v>2</v>
      </c>
      <c r="F30" s="39" t="s">
        <v>48</v>
      </c>
      <c r="G30" s="75">
        <v>10</v>
      </c>
      <c r="H30" s="18">
        <v>0</v>
      </c>
      <c r="I30" s="289">
        <v>0</v>
      </c>
      <c r="J30" s="40">
        <f t="shared" si="1"/>
        <v>10</v>
      </c>
    </row>
    <row r="31" spans="1:29" ht="14.95" customHeight="1" thickBot="1" x14ac:dyDescent="0.3">
      <c r="A31" s="37" t="s">
        <v>42</v>
      </c>
      <c r="B31" s="73">
        <v>1</v>
      </c>
      <c r="C31" s="74">
        <v>2</v>
      </c>
      <c r="D31" s="276">
        <v>2</v>
      </c>
      <c r="E31" s="38">
        <f t="shared" si="0"/>
        <v>5</v>
      </c>
      <c r="F31" s="39" t="s">
        <v>42</v>
      </c>
      <c r="G31" s="75">
        <v>5</v>
      </c>
      <c r="H31" s="18">
        <v>10</v>
      </c>
      <c r="I31" s="289">
        <v>10</v>
      </c>
      <c r="J31" s="40">
        <f t="shared" si="1"/>
        <v>25</v>
      </c>
    </row>
    <row r="32" spans="1:29" ht="14.95" customHeight="1" thickBot="1" x14ac:dyDescent="0.3">
      <c r="A32" s="37" t="s">
        <v>211</v>
      </c>
      <c r="B32" s="73">
        <v>0</v>
      </c>
      <c r="C32" s="74">
        <v>0</v>
      </c>
      <c r="D32" s="276">
        <v>0</v>
      </c>
      <c r="E32" s="38">
        <f t="shared" si="0"/>
        <v>0</v>
      </c>
      <c r="F32" s="39" t="s">
        <v>211</v>
      </c>
      <c r="G32" s="75">
        <v>0</v>
      </c>
      <c r="H32" s="18">
        <v>0</v>
      </c>
      <c r="I32" s="289">
        <v>0</v>
      </c>
      <c r="J32" s="40">
        <f t="shared" si="1"/>
        <v>0</v>
      </c>
    </row>
    <row r="33" spans="1:10" ht="14.95" customHeight="1" thickBot="1" x14ac:dyDescent="0.3">
      <c r="A33" s="37" t="s">
        <v>32</v>
      </c>
      <c r="B33" s="73">
        <v>0</v>
      </c>
      <c r="C33" s="74">
        <v>0</v>
      </c>
      <c r="D33" s="276">
        <v>0</v>
      </c>
      <c r="E33" s="38">
        <f t="shared" si="0"/>
        <v>0</v>
      </c>
      <c r="F33" s="39" t="s">
        <v>32</v>
      </c>
      <c r="G33" s="75">
        <v>0</v>
      </c>
      <c r="H33" s="18">
        <v>0</v>
      </c>
      <c r="I33" s="289">
        <v>0</v>
      </c>
      <c r="J33" s="40">
        <f t="shared" si="1"/>
        <v>0</v>
      </c>
    </row>
    <row r="34" spans="1:10" ht="14.95" customHeight="1" thickBot="1" x14ac:dyDescent="0.3">
      <c r="A34" s="37" t="s">
        <v>45</v>
      </c>
      <c r="B34" s="73">
        <v>0</v>
      </c>
      <c r="C34" s="74">
        <v>1</v>
      </c>
      <c r="D34" s="276">
        <v>0</v>
      </c>
      <c r="E34" s="38">
        <f t="shared" si="0"/>
        <v>1</v>
      </c>
      <c r="F34" s="39" t="s">
        <v>45</v>
      </c>
      <c r="G34" s="75">
        <v>0</v>
      </c>
      <c r="H34" s="18">
        <v>5</v>
      </c>
      <c r="I34" s="289">
        <v>0</v>
      </c>
      <c r="J34" s="40">
        <f t="shared" si="1"/>
        <v>5</v>
      </c>
    </row>
    <row r="35" spans="1:10" ht="14.95" customHeight="1" thickBot="1" x14ac:dyDescent="0.3">
      <c r="A35" s="37" t="s">
        <v>212</v>
      </c>
      <c r="B35" s="73">
        <v>1</v>
      </c>
      <c r="C35" s="74">
        <v>0</v>
      </c>
      <c r="D35" s="276">
        <v>0</v>
      </c>
      <c r="E35" s="38">
        <f t="shared" si="0"/>
        <v>1</v>
      </c>
      <c r="F35" s="39" t="s">
        <v>212</v>
      </c>
      <c r="G35" s="75">
        <v>5</v>
      </c>
      <c r="H35" s="18">
        <v>0</v>
      </c>
      <c r="I35" s="289">
        <v>0</v>
      </c>
      <c r="J35" s="40">
        <f t="shared" si="1"/>
        <v>5</v>
      </c>
    </row>
    <row r="36" spans="1:10" ht="14.95" customHeight="1" thickBot="1" x14ac:dyDescent="0.3">
      <c r="A36" s="37" t="s">
        <v>47</v>
      </c>
      <c r="B36" s="73">
        <v>0</v>
      </c>
      <c r="C36" s="74">
        <v>1</v>
      </c>
      <c r="D36" s="276">
        <v>0</v>
      </c>
      <c r="E36" s="38">
        <f t="shared" si="0"/>
        <v>1</v>
      </c>
      <c r="F36" s="39" t="s">
        <v>47</v>
      </c>
      <c r="G36" s="75">
        <v>0</v>
      </c>
      <c r="H36" s="18">
        <v>5</v>
      </c>
      <c r="I36" s="289">
        <v>0</v>
      </c>
      <c r="J36" s="40">
        <f t="shared" si="1"/>
        <v>5</v>
      </c>
    </row>
    <row r="37" spans="1:10" ht="14.95" customHeight="1" thickBot="1" x14ac:dyDescent="0.3">
      <c r="A37" s="37" t="s">
        <v>213</v>
      </c>
      <c r="B37" s="73">
        <v>0</v>
      </c>
      <c r="C37" s="74">
        <v>0</v>
      </c>
      <c r="D37" s="276">
        <v>0</v>
      </c>
      <c r="E37" s="38">
        <f t="shared" si="0"/>
        <v>0</v>
      </c>
      <c r="F37" s="39" t="s">
        <v>213</v>
      </c>
      <c r="G37" s="75">
        <v>0</v>
      </c>
      <c r="H37" s="18">
        <v>0</v>
      </c>
      <c r="I37" s="289">
        <v>0</v>
      </c>
      <c r="J37" s="40">
        <f t="shared" si="1"/>
        <v>0</v>
      </c>
    </row>
    <row r="38" spans="1:10" ht="14.95" thickBot="1" x14ac:dyDescent="0.3">
      <c r="A38" s="37" t="s">
        <v>33</v>
      </c>
      <c r="B38" s="73">
        <v>0</v>
      </c>
      <c r="C38" s="74">
        <v>1</v>
      </c>
      <c r="D38" s="276">
        <v>0</v>
      </c>
      <c r="E38" s="38">
        <f t="shared" si="0"/>
        <v>1</v>
      </c>
      <c r="F38" s="39" t="s">
        <v>33</v>
      </c>
      <c r="G38" s="75">
        <v>0</v>
      </c>
      <c r="H38" s="18">
        <v>5</v>
      </c>
      <c r="I38" s="289">
        <v>0</v>
      </c>
      <c r="J38" s="40">
        <f t="shared" si="1"/>
        <v>5</v>
      </c>
    </row>
    <row r="39" spans="1:10" ht="14.95" thickBot="1" x14ac:dyDescent="0.3">
      <c r="A39" s="37" t="s">
        <v>214</v>
      </c>
      <c r="B39" s="73">
        <v>0</v>
      </c>
      <c r="C39" s="74">
        <v>0</v>
      </c>
      <c r="D39" s="276">
        <v>0</v>
      </c>
      <c r="E39" s="38">
        <f t="shared" si="0"/>
        <v>0</v>
      </c>
      <c r="F39" s="39" t="s">
        <v>214</v>
      </c>
      <c r="G39" s="75">
        <v>0</v>
      </c>
      <c r="H39" s="18">
        <v>0</v>
      </c>
      <c r="I39" s="289">
        <v>0</v>
      </c>
      <c r="J39" s="40">
        <f t="shared" si="1"/>
        <v>0</v>
      </c>
    </row>
    <row r="40" spans="1:10" ht="14.95" customHeight="1" thickBot="1" x14ac:dyDescent="0.3">
      <c r="A40" s="37" t="s">
        <v>3</v>
      </c>
      <c r="B40" s="73">
        <f>SUM(B3:B39)</f>
        <v>7</v>
      </c>
      <c r="C40" s="103">
        <f>SUM(C3:C39)</f>
        <v>11</v>
      </c>
      <c r="D40" s="276">
        <f>SUM(D3:D39)</f>
        <v>5</v>
      </c>
      <c r="E40" s="38">
        <f t="shared" si="0"/>
        <v>23</v>
      </c>
      <c r="F40" s="39" t="s">
        <v>3</v>
      </c>
      <c r="G40" s="75">
        <f>SUM(G3:G39)</f>
        <v>59</v>
      </c>
      <c r="H40" s="104">
        <f>SUM(H3:H39)</f>
        <v>76</v>
      </c>
      <c r="I40" s="289">
        <f>SUM(I3:I39)</f>
        <v>27</v>
      </c>
      <c r="J40" s="40">
        <f t="shared" si="1"/>
        <v>162</v>
      </c>
    </row>
    <row r="41" spans="1:10" x14ac:dyDescent="0.25">
      <c r="B41" s="59"/>
      <c r="F41" s="7"/>
    </row>
    <row r="42" spans="1:10" ht="14.95" thickBot="1" x14ac:dyDescent="0.3">
      <c r="A42" t="s">
        <v>7</v>
      </c>
      <c r="B42" s="59"/>
      <c r="F42" s="6"/>
      <c r="G42" s="6"/>
      <c r="H42" s="6"/>
      <c r="I42" s="6"/>
      <c r="J42" s="6"/>
    </row>
    <row r="43" spans="1:10" ht="14.95" thickBot="1" x14ac:dyDescent="0.3">
      <c r="A43" s="101" t="s">
        <v>0</v>
      </c>
      <c r="B43" s="90" t="s">
        <v>15</v>
      </c>
      <c r="C43" s="91" t="s">
        <v>12</v>
      </c>
      <c r="D43" s="275" t="s">
        <v>396</v>
      </c>
      <c r="E43" s="92" t="s">
        <v>1</v>
      </c>
      <c r="F43" s="99" t="s">
        <v>2</v>
      </c>
      <c r="G43" s="102" t="s">
        <v>15</v>
      </c>
      <c r="H43" s="97" t="s">
        <v>12</v>
      </c>
      <c r="I43" s="288" t="s">
        <v>396</v>
      </c>
      <c r="J43" s="100" t="s">
        <v>1</v>
      </c>
    </row>
    <row r="44" spans="1:10" ht="14.95" thickBot="1" x14ac:dyDescent="0.3">
      <c r="A44" s="37" t="s">
        <v>42</v>
      </c>
      <c r="B44" s="73">
        <v>1</v>
      </c>
      <c r="C44" s="74">
        <v>2</v>
      </c>
      <c r="D44" s="276">
        <v>2</v>
      </c>
      <c r="E44" s="38">
        <v>5</v>
      </c>
      <c r="F44" s="39" t="s">
        <v>31</v>
      </c>
      <c r="G44" s="75">
        <v>24</v>
      </c>
      <c r="H44" s="18">
        <v>9</v>
      </c>
      <c r="I44" s="18"/>
      <c r="J44" s="40">
        <f>SUM(G44:H44)</f>
        <v>33</v>
      </c>
    </row>
    <row r="45" spans="1:10" ht="14.95" thickBot="1" x14ac:dyDescent="0.3">
      <c r="A45" s="37" t="s">
        <v>29</v>
      </c>
      <c r="B45" s="73">
        <v>2</v>
      </c>
      <c r="C45" s="74">
        <v>2</v>
      </c>
      <c r="D45" s="74"/>
      <c r="E45" s="38">
        <f>SUM(B45:C45)</f>
        <v>4</v>
      </c>
      <c r="F45" s="39" t="s">
        <v>42</v>
      </c>
      <c r="G45" s="75">
        <v>5</v>
      </c>
      <c r="H45" s="18">
        <v>10</v>
      </c>
      <c r="I45" s="289">
        <v>10</v>
      </c>
      <c r="J45" s="40">
        <v>25</v>
      </c>
    </row>
    <row r="46" spans="1:10" ht="14.95" thickBot="1" x14ac:dyDescent="0.3">
      <c r="A46" s="37" t="s">
        <v>46</v>
      </c>
      <c r="B46" s="73">
        <v>0</v>
      </c>
      <c r="C46" s="74">
        <v>2</v>
      </c>
      <c r="D46" s="276">
        <v>2</v>
      </c>
      <c r="E46" s="38">
        <v>4</v>
      </c>
      <c r="F46" s="39" t="s">
        <v>29</v>
      </c>
      <c r="G46" s="75">
        <v>10</v>
      </c>
      <c r="H46" s="18">
        <v>10</v>
      </c>
      <c r="I46" s="18"/>
      <c r="J46" s="40">
        <f>SUM(G46:H46)</f>
        <v>20</v>
      </c>
    </row>
    <row r="47" spans="1:10" ht="14.95" thickBot="1" x14ac:dyDescent="0.3">
      <c r="A47" s="37" t="s">
        <v>48</v>
      </c>
      <c r="B47" s="73">
        <v>2</v>
      </c>
      <c r="C47" s="74">
        <v>0</v>
      </c>
      <c r="D47" s="74"/>
      <c r="E47" s="38">
        <f t="shared" ref="E47:E54" si="5">SUM(B47:C47)</f>
        <v>2</v>
      </c>
      <c r="F47" s="39" t="s">
        <v>46</v>
      </c>
      <c r="G47" s="75">
        <v>0</v>
      </c>
      <c r="H47" s="18">
        <v>10</v>
      </c>
      <c r="I47" s="289">
        <v>10</v>
      </c>
      <c r="J47" s="40">
        <v>20</v>
      </c>
    </row>
    <row r="48" spans="1:10" ht="14.95" thickBot="1" x14ac:dyDescent="0.3">
      <c r="A48" s="37" t="s">
        <v>198</v>
      </c>
      <c r="B48" s="73">
        <v>1</v>
      </c>
      <c r="C48" s="74">
        <v>0</v>
      </c>
      <c r="D48" s="74"/>
      <c r="E48" s="38">
        <f t="shared" si="5"/>
        <v>1</v>
      </c>
      <c r="F48" s="39" t="s">
        <v>44</v>
      </c>
      <c r="G48" s="75">
        <v>0</v>
      </c>
      <c r="H48" s="18">
        <v>17</v>
      </c>
      <c r="I48" s="18"/>
      <c r="J48" s="40">
        <f>SUM(G48:H48)</f>
        <v>17</v>
      </c>
    </row>
    <row r="49" spans="1:10" ht="14.95" thickBot="1" x14ac:dyDescent="0.3">
      <c r="A49" s="37" t="s">
        <v>43</v>
      </c>
      <c r="B49" s="73">
        <v>0</v>
      </c>
      <c r="C49" s="74">
        <v>1</v>
      </c>
      <c r="D49" s="74"/>
      <c r="E49" s="38">
        <f t="shared" si="5"/>
        <v>1</v>
      </c>
      <c r="F49" s="39" t="s">
        <v>48</v>
      </c>
      <c r="G49" s="75">
        <v>10</v>
      </c>
      <c r="H49" s="18">
        <v>0</v>
      </c>
      <c r="I49" s="18"/>
      <c r="J49" s="40">
        <f>SUM(G49:H49)</f>
        <v>10</v>
      </c>
    </row>
    <row r="50" spans="1:10" ht="14.95" thickBot="1" x14ac:dyDescent="0.3">
      <c r="A50" s="37" t="s">
        <v>44</v>
      </c>
      <c r="B50" s="73">
        <v>0</v>
      </c>
      <c r="C50" s="74">
        <v>1</v>
      </c>
      <c r="D50" s="74"/>
      <c r="E50" s="38">
        <f t="shared" si="5"/>
        <v>1</v>
      </c>
      <c r="F50" s="39" t="s">
        <v>302</v>
      </c>
      <c r="G50" s="75">
        <v>0</v>
      </c>
      <c r="H50" s="18">
        <v>0</v>
      </c>
      <c r="I50" s="304">
        <v>7</v>
      </c>
      <c r="J50" s="40">
        <v>7</v>
      </c>
    </row>
    <row r="51" spans="1:10" ht="14.95" thickBot="1" x14ac:dyDescent="0.3">
      <c r="A51" s="37" t="s">
        <v>45</v>
      </c>
      <c r="B51" s="73">
        <v>0</v>
      </c>
      <c r="C51" s="74">
        <v>1</v>
      </c>
      <c r="D51" s="74"/>
      <c r="E51" s="38">
        <f t="shared" si="5"/>
        <v>1</v>
      </c>
      <c r="F51" s="39" t="s">
        <v>198</v>
      </c>
      <c r="G51" s="75">
        <v>5</v>
      </c>
      <c r="H51" s="18">
        <v>0</v>
      </c>
      <c r="I51" s="18"/>
      <c r="J51" s="40">
        <f t="shared" ref="J51:J80" si="6">SUM(G51:H51)</f>
        <v>5</v>
      </c>
    </row>
    <row r="52" spans="1:10" ht="14.95" thickBot="1" x14ac:dyDescent="0.3">
      <c r="A52" s="37" t="s">
        <v>212</v>
      </c>
      <c r="B52" s="73">
        <v>1</v>
      </c>
      <c r="C52" s="74">
        <v>0</v>
      </c>
      <c r="D52" s="74"/>
      <c r="E52" s="38">
        <f t="shared" si="5"/>
        <v>1</v>
      </c>
      <c r="F52" s="39" t="s">
        <v>43</v>
      </c>
      <c r="G52" s="75">
        <v>0</v>
      </c>
      <c r="H52" s="18">
        <v>5</v>
      </c>
      <c r="I52" s="18"/>
      <c r="J52" s="40">
        <f t="shared" si="6"/>
        <v>5</v>
      </c>
    </row>
    <row r="53" spans="1:10" ht="14.95" thickBot="1" x14ac:dyDescent="0.3">
      <c r="A53" s="37" t="s">
        <v>47</v>
      </c>
      <c r="B53" s="73">
        <v>0</v>
      </c>
      <c r="C53" s="74">
        <v>1</v>
      </c>
      <c r="D53" s="74"/>
      <c r="E53" s="38">
        <f t="shared" si="5"/>
        <v>1</v>
      </c>
      <c r="F53" s="39" t="s">
        <v>45</v>
      </c>
      <c r="G53" s="75">
        <v>0</v>
      </c>
      <c r="H53" s="18">
        <v>5</v>
      </c>
      <c r="I53" s="18"/>
      <c r="J53" s="40">
        <f t="shared" si="6"/>
        <v>5</v>
      </c>
    </row>
    <row r="54" spans="1:10" ht="14.95" thickBot="1" x14ac:dyDescent="0.3">
      <c r="A54" s="37" t="s">
        <v>33</v>
      </c>
      <c r="B54" s="73">
        <v>0</v>
      </c>
      <c r="C54" s="74">
        <v>1</v>
      </c>
      <c r="D54" s="74"/>
      <c r="E54" s="38">
        <f t="shared" si="5"/>
        <v>1</v>
      </c>
      <c r="F54" s="39" t="s">
        <v>212</v>
      </c>
      <c r="G54" s="75">
        <v>5</v>
      </c>
      <c r="H54" s="18">
        <v>0</v>
      </c>
      <c r="I54" s="18"/>
      <c r="J54" s="40">
        <f t="shared" si="6"/>
        <v>5</v>
      </c>
    </row>
    <row r="55" spans="1:10" ht="14.95" thickBot="1" x14ac:dyDescent="0.3">
      <c r="A55" s="37" t="s">
        <v>302</v>
      </c>
      <c r="B55" s="73">
        <v>0</v>
      </c>
      <c r="C55" s="74">
        <v>0</v>
      </c>
      <c r="D55" s="303">
        <v>1</v>
      </c>
      <c r="E55" s="38">
        <v>1</v>
      </c>
      <c r="F55" s="39" t="s">
        <v>47</v>
      </c>
      <c r="G55" s="75">
        <v>0</v>
      </c>
      <c r="H55" s="18">
        <v>5</v>
      </c>
      <c r="I55" s="18"/>
      <c r="J55" s="40">
        <f t="shared" si="6"/>
        <v>5</v>
      </c>
    </row>
    <row r="56" spans="1:10" ht="14.95" thickBot="1" x14ac:dyDescent="0.3">
      <c r="A56" s="37" t="s">
        <v>191</v>
      </c>
      <c r="B56" s="73">
        <v>0</v>
      </c>
      <c r="C56" s="74">
        <v>0</v>
      </c>
      <c r="D56" s="74"/>
      <c r="E56" s="38">
        <f t="shared" ref="E56:E80" si="7">SUM(B56:C56)</f>
        <v>0</v>
      </c>
      <c r="F56" s="39" t="s">
        <v>33</v>
      </c>
      <c r="G56" s="75">
        <v>0</v>
      </c>
      <c r="H56" s="18">
        <v>5</v>
      </c>
      <c r="I56" s="18"/>
      <c r="J56" s="40">
        <f t="shared" si="6"/>
        <v>5</v>
      </c>
    </row>
    <row r="57" spans="1:10" ht="14.95" thickBot="1" x14ac:dyDescent="0.3">
      <c r="A57" s="37" t="s">
        <v>192</v>
      </c>
      <c r="B57" s="73">
        <v>0</v>
      </c>
      <c r="C57" s="74">
        <v>0</v>
      </c>
      <c r="D57" s="74"/>
      <c r="E57" s="38">
        <f t="shared" si="7"/>
        <v>0</v>
      </c>
      <c r="F57" s="39" t="s">
        <v>191</v>
      </c>
      <c r="G57" s="75">
        <v>0</v>
      </c>
      <c r="H57" s="18">
        <v>0</v>
      </c>
      <c r="I57" s="18"/>
      <c r="J57" s="40">
        <f t="shared" si="6"/>
        <v>0</v>
      </c>
    </row>
    <row r="58" spans="1:10" ht="14.95" thickBot="1" x14ac:dyDescent="0.3">
      <c r="A58" s="37" t="s">
        <v>193</v>
      </c>
      <c r="B58" s="73">
        <v>0</v>
      </c>
      <c r="C58" s="74">
        <v>0</v>
      </c>
      <c r="D58" s="74"/>
      <c r="E58" s="38">
        <f t="shared" si="7"/>
        <v>0</v>
      </c>
      <c r="F58" s="39" t="s">
        <v>192</v>
      </c>
      <c r="G58" s="75">
        <v>0</v>
      </c>
      <c r="H58" s="18">
        <v>0</v>
      </c>
      <c r="I58" s="18"/>
      <c r="J58" s="40">
        <f t="shared" si="6"/>
        <v>0</v>
      </c>
    </row>
    <row r="59" spans="1:10" ht="14.95" thickBot="1" x14ac:dyDescent="0.3">
      <c r="A59" s="37" t="s">
        <v>55</v>
      </c>
      <c r="B59" s="73">
        <v>0</v>
      </c>
      <c r="C59" s="74">
        <v>0</v>
      </c>
      <c r="D59" s="74"/>
      <c r="E59" s="38">
        <f t="shared" si="7"/>
        <v>0</v>
      </c>
      <c r="F59" s="39" t="s">
        <v>193</v>
      </c>
      <c r="G59" s="75">
        <v>0</v>
      </c>
      <c r="H59" s="18">
        <v>0</v>
      </c>
      <c r="I59" s="18"/>
      <c r="J59" s="40">
        <f t="shared" si="6"/>
        <v>0</v>
      </c>
    </row>
    <row r="60" spans="1:10" ht="14.95" thickBot="1" x14ac:dyDescent="0.3">
      <c r="A60" s="37" t="s">
        <v>194</v>
      </c>
      <c r="B60" s="73">
        <v>0</v>
      </c>
      <c r="C60" s="74">
        <v>0</v>
      </c>
      <c r="D60" s="74"/>
      <c r="E60" s="38">
        <f t="shared" si="7"/>
        <v>0</v>
      </c>
      <c r="F60" s="39" t="s">
        <v>55</v>
      </c>
      <c r="G60" s="75">
        <v>0</v>
      </c>
      <c r="H60" s="18">
        <v>0</v>
      </c>
      <c r="I60" s="18"/>
      <c r="J60" s="40">
        <f t="shared" si="6"/>
        <v>0</v>
      </c>
    </row>
    <row r="61" spans="1:10" ht="14.95" thickBot="1" x14ac:dyDescent="0.3">
      <c r="A61" s="37" t="s">
        <v>196</v>
      </c>
      <c r="B61" s="73">
        <v>0</v>
      </c>
      <c r="C61" s="74">
        <v>0</v>
      </c>
      <c r="D61" s="74"/>
      <c r="E61" s="38">
        <f t="shared" si="7"/>
        <v>0</v>
      </c>
      <c r="F61" s="39" t="s">
        <v>194</v>
      </c>
      <c r="G61" s="75">
        <v>0</v>
      </c>
      <c r="H61" s="18">
        <v>0</v>
      </c>
      <c r="I61" s="18"/>
      <c r="J61" s="40">
        <f t="shared" si="6"/>
        <v>0</v>
      </c>
    </row>
    <row r="62" spans="1:10" ht="14.95" thickBot="1" x14ac:dyDescent="0.3">
      <c r="A62" s="37" t="s">
        <v>195</v>
      </c>
      <c r="B62" s="73">
        <v>0</v>
      </c>
      <c r="C62" s="74">
        <v>0</v>
      </c>
      <c r="D62" s="74"/>
      <c r="E62" s="38">
        <f t="shared" si="7"/>
        <v>0</v>
      </c>
      <c r="F62" s="39" t="s">
        <v>196</v>
      </c>
      <c r="G62" s="75">
        <v>0</v>
      </c>
      <c r="H62" s="18">
        <v>0</v>
      </c>
      <c r="I62" s="18"/>
      <c r="J62" s="40">
        <f t="shared" si="6"/>
        <v>0</v>
      </c>
    </row>
    <row r="63" spans="1:10" ht="14.95" thickBot="1" x14ac:dyDescent="0.3">
      <c r="A63" s="37" t="s">
        <v>197</v>
      </c>
      <c r="B63" s="73">
        <v>0</v>
      </c>
      <c r="C63" s="74">
        <v>0</v>
      </c>
      <c r="D63" s="74"/>
      <c r="E63" s="38">
        <f t="shared" si="7"/>
        <v>0</v>
      </c>
      <c r="F63" s="39" t="s">
        <v>195</v>
      </c>
      <c r="G63" s="75">
        <v>0</v>
      </c>
      <c r="H63" s="18">
        <v>0</v>
      </c>
      <c r="I63" s="18"/>
      <c r="J63" s="40">
        <f t="shared" si="6"/>
        <v>0</v>
      </c>
    </row>
    <row r="64" spans="1:10" ht="14.95" thickBot="1" x14ac:dyDescent="0.3">
      <c r="A64" s="37" t="s">
        <v>199</v>
      </c>
      <c r="B64" s="73">
        <v>0</v>
      </c>
      <c r="C64" s="74">
        <v>0</v>
      </c>
      <c r="D64" s="74"/>
      <c r="E64" s="38">
        <f t="shared" si="7"/>
        <v>0</v>
      </c>
      <c r="F64" s="39" t="s">
        <v>197</v>
      </c>
      <c r="G64" s="75">
        <v>0</v>
      </c>
      <c r="H64" s="18">
        <v>0</v>
      </c>
      <c r="I64" s="18"/>
      <c r="J64" s="40">
        <f t="shared" si="6"/>
        <v>0</v>
      </c>
    </row>
    <row r="65" spans="1:10" ht="14.95" thickBot="1" x14ac:dyDescent="0.3">
      <c r="A65" s="37" t="s">
        <v>200</v>
      </c>
      <c r="B65" s="73">
        <v>0</v>
      </c>
      <c r="C65" s="74">
        <v>0</v>
      </c>
      <c r="D65" s="74"/>
      <c r="E65" s="38">
        <f t="shared" si="7"/>
        <v>0</v>
      </c>
      <c r="F65" s="39" t="s">
        <v>199</v>
      </c>
      <c r="G65" s="75">
        <v>0</v>
      </c>
      <c r="H65" s="18">
        <v>0</v>
      </c>
      <c r="I65" s="18"/>
      <c r="J65" s="40">
        <f t="shared" si="6"/>
        <v>0</v>
      </c>
    </row>
    <row r="66" spans="1:10" ht="14.95" thickBot="1" x14ac:dyDescent="0.3">
      <c r="A66" s="37" t="s">
        <v>201</v>
      </c>
      <c r="B66" s="73">
        <v>0</v>
      </c>
      <c r="C66" s="74">
        <v>0</v>
      </c>
      <c r="D66" s="74"/>
      <c r="E66" s="38">
        <f t="shared" si="7"/>
        <v>0</v>
      </c>
      <c r="F66" s="39" t="s">
        <v>200</v>
      </c>
      <c r="G66" s="75">
        <v>0</v>
      </c>
      <c r="H66" s="18">
        <v>0</v>
      </c>
      <c r="I66" s="18"/>
      <c r="J66" s="40">
        <f t="shared" si="6"/>
        <v>0</v>
      </c>
    </row>
    <row r="67" spans="1:10" ht="14.95" thickBot="1" x14ac:dyDescent="0.3">
      <c r="A67" s="37" t="s">
        <v>202</v>
      </c>
      <c r="B67" s="73">
        <v>0</v>
      </c>
      <c r="C67" s="74">
        <v>0</v>
      </c>
      <c r="D67" s="74"/>
      <c r="E67" s="38">
        <f t="shared" si="7"/>
        <v>0</v>
      </c>
      <c r="F67" s="39" t="s">
        <v>201</v>
      </c>
      <c r="G67" s="75">
        <v>0</v>
      </c>
      <c r="H67" s="18">
        <v>0</v>
      </c>
      <c r="I67" s="18"/>
      <c r="J67" s="40">
        <f t="shared" si="6"/>
        <v>0</v>
      </c>
    </row>
    <row r="68" spans="1:10" ht="14.95" thickBot="1" x14ac:dyDescent="0.3">
      <c r="A68" s="37" t="s">
        <v>203</v>
      </c>
      <c r="B68" s="73">
        <v>0</v>
      </c>
      <c r="C68" s="74">
        <v>0</v>
      </c>
      <c r="D68" s="74"/>
      <c r="E68" s="38">
        <f t="shared" si="7"/>
        <v>0</v>
      </c>
      <c r="F68" s="39" t="s">
        <v>202</v>
      </c>
      <c r="G68" s="75">
        <v>0</v>
      </c>
      <c r="H68" s="18">
        <v>0</v>
      </c>
      <c r="I68" s="18"/>
      <c r="J68" s="40">
        <f t="shared" si="6"/>
        <v>0</v>
      </c>
    </row>
    <row r="69" spans="1:10" ht="14.95" thickBot="1" x14ac:dyDescent="0.3">
      <c r="A69" s="37" t="s">
        <v>204</v>
      </c>
      <c r="B69" s="73">
        <v>0</v>
      </c>
      <c r="C69" s="74">
        <v>0</v>
      </c>
      <c r="D69" s="74"/>
      <c r="E69" s="38">
        <f t="shared" si="7"/>
        <v>0</v>
      </c>
      <c r="F69" s="39" t="s">
        <v>203</v>
      </c>
      <c r="G69" s="75">
        <v>0</v>
      </c>
      <c r="H69" s="18">
        <v>0</v>
      </c>
      <c r="I69" s="18"/>
      <c r="J69" s="40">
        <f t="shared" si="6"/>
        <v>0</v>
      </c>
    </row>
    <row r="70" spans="1:10" ht="14.95" thickBot="1" x14ac:dyDescent="0.3">
      <c r="A70" s="37" t="s">
        <v>205</v>
      </c>
      <c r="B70" s="73">
        <v>0</v>
      </c>
      <c r="C70" s="74">
        <v>0</v>
      </c>
      <c r="D70" s="74"/>
      <c r="E70" s="38">
        <f t="shared" si="7"/>
        <v>0</v>
      </c>
      <c r="F70" s="39" t="s">
        <v>204</v>
      </c>
      <c r="G70" s="75">
        <v>0</v>
      </c>
      <c r="H70" s="18">
        <v>0</v>
      </c>
      <c r="I70" s="18"/>
      <c r="J70" s="40">
        <f t="shared" si="6"/>
        <v>0</v>
      </c>
    </row>
    <row r="71" spans="1:10" ht="14.95" thickBot="1" x14ac:dyDescent="0.3">
      <c r="A71" s="37" t="s">
        <v>206</v>
      </c>
      <c r="B71" s="73">
        <v>0</v>
      </c>
      <c r="C71" s="74">
        <v>0</v>
      </c>
      <c r="D71" s="74"/>
      <c r="E71" s="38">
        <f t="shared" si="7"/>
        <v>0</v>
      </c>
      <c r="F71" s="39" t="s">
        <v>205</v>
      </c>
      <c r="G71" s="75">
        <v>0</v>
      </c>
      <c r="H71" s="18">
        <v>0</v>
      </c>
      <c r="I71" s="18"/>
      <c r="J71" s="40">
        <f t="shared" si="6"/>
        <v>0</v>
      </c>
    </row>
    <row r="72" spans="1:10" ht="14.95" thickBot="1" x14ac:dyDescent="0.3">
      <c r="A72" s="37" t="s">
        <v>207</v>
      </c>
      <c r="B72" s="73">
        <v>0</v>
      </c>
      <c r="C72" s="74">
        <v>0</v>
      </c>
      <c r="D72" s="74"/>
      <c r="E72" s="38">
        <f t="shared" si="7"/>
        <v>0</v>
      </c>
      <c r="F72" s="39" t="s">
        <v>206</v>
      </c>
      <c r="G72" s="75">
        <v>0</v>
      </c>
      <c r="H72" s="18">
        <v>0</v>
      </c>
      <c r="I72" s="18"/>
      <c r="J72" s="40">
        <f t="shared" si="6"/>
        <v>0</v>
      </c>
    </row>
    <row r="73" spans="1:10" ht="14.95" thickBot="1" x14ac:dyDescent="0.3">
      <c r="A73" s="37" t="s">
        <v>31</v>
      </c>
      <c r="B73" s="73">
        <v>0</v>
      </c>
      <c r="C73" s="74">
        <v>0</v>
      </c>
      <c r="D73" s="74"/>
      <c r="E73" s="38">
        <f t="shared" si="7"/>
        <v>0</v>
      </c>
      <c r="F73" s="39" t="s">
        <v>207</v>
      </c>
      <c r="G73" s="75">
        <v>0</v>
      </c>
      <c r="H73" s="18">
        <v>0</v>
      </c>
      <c r="I73" s="18"/>
      <c r="J73" s="40">
        <f t="shared" si="6"/>
        <v>0</v>
      </c>
    </row>
    <row r="74" spans="1:10" ht="14.95" thickBot="1" x14ac:dyDescent="0.3">
      <c r="A74" s="37" t="s">
        <v>208</v>
      </c>
      <c r="B74" s="73">
        <v>0</v>
      </c>
      <c r="C74" s="74">
        <v>0</v>
      </c>
      <c r="D74" s="74"/>
      <c r="E74" s="38">
        <f t="shared" si="7"/>
        <v>0</v>
      </c>
      <c r="F74" s="39" t="s">
        <v>208</v>
      </c>
      <c r="G74" s="75">
        <v>0</v>
      </c>
      <c r="H74" s="18">
        <v>0</v>
      </c>
      <c r="I74" s="18"/>
      <c r="J74" s="40">
        <f t="shared" si="6"/>
        <v>0</v>
      </c>
    </row>
    <row r="75" spans="1:10" ht="14.95" thickBot="1" x14ac:dyDescent="0.3">
      <c r="A75" s="37" t="s">
        <v>209</v>
      </c>
      <c r="B75" s="73">
        <v>0</v>
      </c>
      <c r="C75" s="74">
        <v>0</v>
      </c>
      <c r="D75" s="74"/>
      <c r="E75" s="38">
        <f t="shared" si="7"/>
        <v>0</v>
      </c>
      <c r="F75" s="39" t="s">
        <v>209</v>
      </c>
      <c r="G75" s="75">
        <v>0</v>
      </c>
      <c r="H75" s="18">
        <v>0</v>
      </c>
      <c r="I75" s="18"/>
      <c r="J75" s="40">
        <f t="shared" si="6"/>
        <v>0</v>
      </c>
    </row>
    <row r="76" spans="1:10" ht="14.95" thickBot="1" x14ac:dyDescent="0.3">
      <c r="A76" s="37" t="s">
        <v>210</v>
      </c>
      <c r="B76" s="73">
        <v>0</v>
      </c>
      <c r="C76" s="74">
        <v>0</v>
      </c>
      <c r="D76" s="74"/>
      <c r="E76" s="38">
        <f t="shared" si="7"/>
        <v>0</v>
      </c>
      <c r="F76" s="39" t="s">
        <v>210</v>
      </c>
      <c r="G76" s="75">
        <v>0</v>
      </c>
      <c r="H76" s="18">
        <v>0</v>
      </c>
      <c r="I76" s="18"/>
      <c r="J76" s="40">
        <f t="shared" si="6"/>
        <v>0</v>
      </c>
    </row>
    <row r="77" spans="1:10" ht="14.95" thickBot="1" x14ac:dyDescent="0.3">
      <c r="A77" s="37" t="s">
        <v>211</v>
      </c>
      <c r="B77" s="73">
        <v>0</v>
      </c>
      <c r="C77" s="74">
        <v>0</v>
      </c>
      <c r="D77" s="74"/>
      <c r="E77" s="38">
        <f t="shared" si="7"/>
        <v>0</v>
      </c>
      <c r="F77" s="39" t="s">
        <v>211</v>
      </c>
      <c r="G77" s="75">
        <v>0</v>
      </c>
      <c r="H77" s="18">
        <v>0</v>
      </c>
      <c r="I77" s="18"/>
      <c r="J77" s="40">
        <f t="shared" si="6"/>
        <v>0</v>
      </c>
    </row>
    <row r="78" spans="1:10" ht="14.95" thickBot="1" x14ac:dyDescent="0.3">
      <c r="A78" s="37" t="s">
        <v>32</v>
      </c>
      <c r="B78" s="73">
        <v>0</v>
      </c>
      <c r="C78" s="74">
        <v>0</v>
      </c>
      <c r="D78" s="74"/>
      <c r="E78" s="38">
        <f t="shared" si="7"/>
        <v>0</v>
      </c>
      <c r="F78" s="39" t="s">
        <v>32</v>
      </c>
      <c r="G78" s="75">
        <v>0</v>
      </c>
      <c r="H78" s="18">
        <v>0</v>
      </c>
      <c r="I78" s="18"/>
      <c r="J78" s="40">
        <f t="shared" si="6"/>
        <v>0</v>
      </c>
    </row>
    <row r="79" spans="1:10" ht="14.95" thickBot="1" x14ac:dyDescent="0.3">
      <c r="A79" s="37" t="s">
        <v>213</v>
      </c>
      <c r="B79" s="73">
        <v>0</v>
      </c>
      <c r="C79" s="74">
        <v>0</v>
      </c>
      <c r="D79" s="74"/>
      <c r="E79" s="38">
        <f t="shared" si="7"/>
        <v>0</v>
      </c>
      <c r="F79" s="39" t="s">
        <v>213</v>
      </c>
      <c r="G79" s="75">
        <v>0</v>
      </c>
      <c r="H79" s="18">
        <v>0</v>
      </c>
      <c r="I79" s="18"/>
      <c r="J79" s="40">
        <f t="shared" si="6"/>
        <v>0</v>
      </c>
    </row>
    <row r="80" spans="1:10" ht="14.95" thickBot="1" x14ac:dyDescent="0.3">
      <c r="A80" s="37" t="s">
        <v>214</v>
      </c>
      <c r="B80" s="73">
        <v>0</v>
      </c>
      <c r="C80" s="74">
        <v>0</v>
      </c>
      <c r="D80" s="74"/>
      <c r="E80" s="38">
        <f t="shared" si="7"/>
        <v>0</v>
      </c>
      <c r="F80" s="39" t="s">
        <v>214</v>
      </c>
      <c r="G80" s="75">
        <v>0</v>
      </c>
      <c r="H80" s="18">
        <v>0</v>
      </c>
      <c r="I80" s="18"/>
      <c r="J80" s="40">
        <f t="shared" si="6"/>
        <v>0</v>
      </c>
    </row>
    <row r="81" spans="1:10" ht="14.95" thickBot="1" x14ac:dyDescent="0.3">
      <c r="A81" s="37" t="s">
        <v>3</v>
      </c>
      <c r="B81" s="73">
        <f>SUM(B44:B80)</f>
        <v>7</v>
      </c>
      <c r="C81" s="103">
        <f>SUM(C44:C80)</f>
        <v>11</v>
      </c>
      <c r="D81" s="276">
        <v>5</v>
      </c>
      <c r="E81" s="38">
        <f>SUM(E44:E80)</f>
        <v>23</v>
      </c>
      <c r="F81" s="39" t="s">
        <v>3</v>
      </c>
      <c r="G81" s="75">
        <f>SUM(G44:G80)</f>
        <v>59</v>
      </c>
      <c r="H81" s="104">
        <f>SUM(H44:H80)</f>
        <v>76</v>
      </c>
      <c r="I81" s="289">
        <v>27</v>
      </c>
      <c r="J81" s="40">
        <f>SUM(J44:J80)</f>
        <v>162</v>
      </c>
    </row>
    <row r="82" spans="1:10" x14ac:dyDescent="0.25">
      <c r="A82" s="372" t="s">
        <v>11</v>
      </c>
      <c r="B82" s="373"/>
      <c r="C82" s="373"/>
      <c r="D82" s="373"/>
      <c r="E82" s="373"/>
    </row>
  </sheetData>
  <sortState xmlns:xlrd2="http://schemas.microsoft.com/office/spreadsheetml/2017/richdata2" ref="F44:J80">
    <sortCondition descending="1" ref="J44:J80"/>
  </sortState>
  <mergeCells count="10">
    <mergeCell ref="O1:Q2"/>
    <mergeCell ref="R1:R2"/>
    <mergeCell ref="K7:K8"/>
    <mergeCell ref="L7:N8"/>
    <mergeCell ref="A82:E82"/>
    <mergeCell ref="A1:J1"/>
    <mergeCell ref="K1:K2"/>
    <mergeCell ref="L1:N2"/>
    <mergeCell ref="K12:K13"/>
    <mergeCell ref="L12:N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ACC9-87BB-4B2D-8725-A2ED2E41EA23}">
  <dimension ref="A1:R76"/>
  <sheetViews>
    <sheetView workbookViewId="0">
      <selection activeCell="N4" sqref="N4"/>
    </sheetView>
  </sheetViews>
  <sheetFormatPr defaultRowHeight="14.3" x14ac:dyDescent="0.25"/>
  <cols>
    <col min="1" max="1" width="16.75" customWidth="1"/>
    <col min="2" max="5" width="4.5" customWidth="1"/>
    <col min="6" max="6" width="16.75" customWidth="1"/>
    <col min="7" max="10" width="4.5" customWidth="1"/>
    <col min="11" max="11" width="16.75" customWidth="1"/>
    <col min="12" max="18" width="5.75" customWidth="1"/>
  </cols>
  <sheetData>
    <row r="1" spans="1:18" ht="17" thickBot="1" x14ac:dyDescent="0.3">
      <c r="A1" s="381" t="s">
        <v>395</v>
      </c>
      <c r="B1" s="382"/>
      <c r="C1" s="382"/>
      <c r="D1" s="382"/>
      <c r="E1" s="382"/>
      <c r="F1" s="382"/>
      <c r="G1" s="382"/>
      <c r="H1" s="382"/>
      <c r="I1" s="382"/>
      <c r="J1" s="383"/>
      <c r="K1" s="379" t="s">
        <v>16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</row>
    <row r="2" spans="1:18" ht="14.95" thickBot="1" x14ac:dyDescent="0.3">
      <c r="A2" s="212" t="s">
        <v>0</v>
      </c>
      <c r="B2" s="290" t="s">
        <v>396</v>
      </c>
      <c r="C2" s="227" t="s">
        <v>404</v>
      </c>
      <c r="D2" s="216" t="s">
        <v>12</v>
      </c>
      <c r="E2" s="214" t="s">
        <v>1</v>
      </c>
      <c r="F2" s="79" t="s">
        <v>2</v>
      </c>
      <c r="G2" s="270" t="s">
        <v>396</v>
      </c>
      <c r="H2" s="229" t="s">
        <v>404</v>
      </c>
      <c r="I2" s="136" t="s">
        <v>12</v>
      </c>
      <c r="J2" s="82" t="s">
        <v>1</v>
      </c>
      <c r="K2" s="380"/>
      <c r="L2" s="312"/>
      <c r="M2" s="313"/>
      <c r="N2" s="314"/>
      <c r="O2" s="312"/>
      <c r="P2" s="313"/>
      <c r="Q2" s="314"/>
      <c r="R2" s="316"/>
    </row>
    <row r="3" spans="1:18" ht="14.95" thickBot="1" x14ac:dyDescent="0.3">
      <c r="A3" s="213" t="s">
        <v>559</v>
      </c>
      <c r="B3" s="291">
        <v>0</v>
      </c>
      <c r="C3" s="228">
        <v>0</v>
      </c>
      <c r="D3" s="217">
        <v>0</v>
      </c>
      <c r="E3" s="215">
        <f>SUM(B3:D3)</f>
        <v>0</v>
      </c>
      <c r="F3" s="13" t="s">
        <v>559</v>
      </c>
      <c r="G3" s="292">
        <v>0</v>
      </c>
      <c r="H3" s="230">
        <v>0</v>
      </c>
      <c r="I3" s="137">
        <v>0</v>
      </c>
      <c r="J3" s="15">
        <f t="shared" ref="J3:J37" si="0">SUM(G3:I3)</f>
        <v>0</v>
      </c>
      <c r="K3" s="218"/>
      <c r="L3" s="31" t="s">
        <v>18</v>
      </c>
      <c r="M3" s="31" t="s">
        <v>5</v>
      </c>
      <c r="N3" s="31" t="s">
        <v>6</v>
      </c>
      <c r="O3" s="84" t="s">
        <v>18</v>
      </c>
      <c r="P3" s="31" t="s">
        <v>5</v>
      </c>
      <c r="Q3" s="31" t="s">
        <v>6</v>
      </c>
      <c r="R3" s="1"/>
    </row>
    <row r="4" spans="1:18" ht="14.95" thickBot="1" x14ac:dyDescent="0.3">
      <c r="A4" s="213" t="s">
        <v>402</v>
      </c>
      <c r="B4" s="291">
        <v>0</v>
      </c>
      <c r="C4" s="228">
        <v>0</v>
      </c>
      <c r="D4" s="217">
        <v>2</v>
      </c>
      <c r="E4" s="215">
        <f t="shared" ref="E4:E37" si="1">SUM(B4:D4)</f>
        <v>2</v>
      </c>
      <c r="F4" s="14" t="s">
        <v>402</v>
      </c>
      <c r="G4" s="292">
        <v>0</v>
      </c>
      <c r="H4" s="230">
        <v>0</v>
      </c>
      <c r="I4" s="137">
        <v>10</v>
      </c>
      <c r="J4" s="15">
        <f t="shared" si="0"/>
        <v>10</v>
      </c>
      <c r="K4" s="213" t="s">
        <v>412</v>
      </c>
      <c r="L4" s="215">
        <v>5</v>
      </c>
      <c r="M4" s="215">
        <v>10</v>
      </c>
      <c r="N4" s="219">
        <f t="shared" ref="N4:N5" si="2">SUM(L4/M4)*100</f>
        <v>50</v>
      </c>
      <c r="O4" s="215">
        <v>0</v>
      </c>
      <c r="P4" s="215">
        <v>1</v>
      </c>
      <c r="Q4" s="219">
        <f t="shared" ref="Q4" si="3">SUM(O4/P4)*100</f>
        <v>0</v>
      </c>
      <c r="R4" s="220">
        <v>-1</v>
      </c>
    </row>
    <row r="5" spans="1:18" ht="14.95" thickBot="1" x14ac:dyDescent="0.3">
      <c r="A5" s="213" t="s">
        <v>560</v>
      </c>
      <c r="B5" s="291">
        <v>0</v>
      </c>
      <c r="C5" s="228">
        <v>0</v>
      </c>
      <c r="D5" s="217">
        <v>0</v>
      </c>
      <c r="E5" s="215">
        <f t="shared" si="1"/>
        <v>0</v>
      </c>
      <c r="F5" s="14" t="s">
        <v>560</v>
      </c>
      <c r="G5" s="292">
        <v>0</v>
      </c>
      <c r="H5" s="230">
        <v>0</v>
      </c>
      <c r="I5" s="137">
        <v>0</v>
      </c>
      <c r="J5" s="15">
        <f t="shared" si="0"/>
        <v>0</v>
      </c>
      <c r="K5" s="213" t="s">
        <v>410</v>
      </c>
      <c r="L5" s="215">
        <v>3</v>
      </c>
      <c r="M5" s="215">
        <v>3</v>
      </c>
      <c r="N5" s="219">
        <f t="shared" si="2"/>
        <v>100</v>
      </c>
      <c r="O5" s="215" t="s">
        <v>8</v>
      </c>
      <c r="P5" s="215" t="s">
        <v>8</v>
      </c>
      <c r="Q5" s="219" t="s">
        <v>8</v>
      </c>
      <c r="R5" s="220">
        <v>3</v>
      </c>
    </row>
    <row r="6" spans="1:18" ht="14.95" thickBot="1" x14ac:dyDescent="0.3">
      <c r="A6" s="213" t="s">
        <v>561</v>
      </c>
      <c r="B6" s="291">
        <v>0</v>
      </c>
      <c r="C6" s="228">
        <v>0</v>
      </c>
      <c r="D6" s="217">
        <v>0</v>
      </c>
      <c r="E6" s="215">
        <f t="shared" si="1"/>
        <v>0</v>
      </c>
      <c r="F6" s="14" t="s">
        <v>561</v>
      </c>
      <c r="G6" s="292">
        <v>0</v>
      </c>
      <c r="H6" s="230">
        <v>0</v>
      </c>
      <c r="I6" s="137">
        <v>0</v>
      </c>
      <c r="J6" s="15">
        <f t="shared" si="0"/>
        <v>0</v>
      </c>
      <c r="K6" s="213" t="s">
        <v>565</v>
      </c>
      <c r="L6" s="215">
        <v>36</v>
      </c>
      <c r="M6" s="215">
        <v>49</v>
      </c>
      <c r="N6" s="219">
        <f t="shared" ref="N6" si="4">SUM(L6/M6)*100</f>
        <v>73.469387755102048</v>
      </c>
      <c r="O6" s="215">
        <v>3</v>
      </c>
      <c r="P6" s="215">
        <v>3</v>
      </c>
      <c r="Q6" s="219">
        <f t="shared" ref="Q6" si="5">SUM(O6/P6)*100</f>
        <v>100</v>
      </c>
      <c r="R6" s="220">
        <v>14</v>
      </c>
    </row>
    <row r="7" spans="1:18" ht="14.95" thickBot="1" x14ac:dyDescent="0.3">
      <c r="A7" s="213" t="s">
        <v>408</v>
      </c>
      <c r="B7" s="291">
        <v>0</v>
      </c>
      <c r="C7" s="228">
        <v>1</v>
      </c>
      <c r="D7" s="217">
        <v>1</v>
      </c>
      <c r="E7" s="215">
        <f t="shared" si="1"/>
        <v>2</v>
      </c>
      <c r="F7" s="14" t="s">
        <v>408</v>
      </c>
      <c r="G7" s="292">
        <v>0</v>
      </c>
      <c r="H7" s="230">
        <v>5</v>
      </c>
      <c r="I7" s="137">
        <v>5</v>
      </c>
      <c r="J7" s="15">
        <f t="shared" si="0"/>
        <v>10</v>
      </c>
      <c r="K7" s="48"/>
      <c r="L7" s="48"/>
      <c r="M7" s="48"/>
      <c r="N7" s="48"/>
      <c r="O7" s="48"/>
      <c r="P7" s="48"/>
      <c r="Q7" s="48"/>
    </row>
    <row r="8" spans="1:18" ht="17" thickBot="1" x14ac:dyDescent="0.3">
      <c r="A8" s="213" t="s">
        <v>562</v>
      </c>
      <c r="B8" s="291">
        <v>0</v>
      </c>
      <c r="C8" s="228">
        <v>0</v>
      </c>
      <c r="D8" s="217">
        <v>0</v>
      </c>
      <c r="E8" s="215">
        <f t="shared" si="1"/>
        <v>0</v>
      </c>
      <c r="F8" s="14" t="s">
        <v>562</v>
      </c>
      <c r="G8" s="292">
        <v>0</v>
      </c>
      <c r="H8" s="230">
        <v>0</v>
      </c>
      <c r="I8" s="137">
        <v>0</v>
      </c>
      <c r="J8" s="15">
        <f t="shared" si="0"/>
        <v>0</v>
      </c>
      <c r="K8" s="379" t="s">
        <v>413</v>
      </c>
      <c r="L8" s="309">
        <v>2022</v>
      </c>
      <c r="M8" s="310"/>
      <c r="N8" s="311"/>
      <c r="O8" s="118"/>
      <c r="P8" s="118"/>
      <c r="Q8" s="118"/>
    </row>
    <row r="9" spans="1:18" ht="14.95" thickBot="1" x14ac:dyDescent="0.3">
      <c r="A9" s="213" t="s">
        <v>406</v>
      </c>
      <c r="B9" s="291">
        <v>0</v>
      </c>
      <c r="C9" s="228">
        <v>1</v>
      </c>
      <c r="D9" s="217">
        <v>0</v>
      </c>
      <c r="E9" s="215">
        <f t="shared" si="1"/>
        <v>1</v>
      </c>
      <c r="F9" s="14" t="s">
        <v>406</v>
      </c>
      <c r="G9" s="292">
        <v>0</v>
      </c>
      <c r="H9" s="230">
        <v>5</v>
      </c>
      <c r="I9" s="137">
        <v>0</v>
      </c>
      <c r="J9" s="15">
        <f t="shared" si="0"/>
        <v>5</v>
      </c>
      <c r="K9" s="380"/>
      <c r="L9" s="312"/>
      <c r="M9" s="313"/>
      <c r="N9" s="314"/>
      <c r="O9" s="63"/>
      <c r="P9" s="63"/>
      <c r="Q9" s="63"/>
    </row>
    <row r="10" spans="1:18" ht="14.95" thickBot="1" x14ac:dyDescent="0.3">
      <c r="A10" s="213" t="s">
        <v>563</v>
      </c>
      <c r="B10" s="291">
        <v>1</v>
      </c>
      <c r="C10" s="228">
        <v>0</v>
      </c>
      <c r="D10" s="217">
        <v>0</v>
      </c>
      <c r="E10" s="215">
        <f t="shared" si="1"/>
        <v>1</v>
      </c>
      <c r="F10" s="14" t="s">
        <v>563</v>
      </c>
      <c r="G10" s="292">
        <v>5</v>
      </c>
      <c r="H10" s="230">
        <v>0</v>
      </c>
      <c r="I10" s="137">
        <v>0</v>
      </c>
      <c r="J10" s="15">
        <f t="shared" si="0"/>
        <v>5</v>
      </c>
      <c r="K10" s="218"/>
      <c r="L10" s="31" t="s">
        <v>18</v>
      </c>
      <c r="M10" s="31" t="s">
        <v>5</v>
      </c>
      <c r="N10" s="31" t="s">
        <v>6</v>
      </c>
      <c r="O10" s="63"/>
      <c r="P10" s="63"/>
      <c r="Q10" s="63"/>
    </row>
    <row r="11" spans="1:18" ht="14.95" thickBot="1" x14ac:dyDescent="0.3">
      <c r="A11" s="213" t="s">
        <v>564</v>
      </c>
      <c r="B11" s="291">
        <v>0</v>
      </c>
      <c r="C11" s="228">
        <v>0</v>
      </c>
      <c r="D11" s="217">
        <v>0</v>
      </c>
      <c r="E11" s="215">
        <f t="shared" si="1"/>
        <v>0</v>
      </c>
      <c r="F11" s="14" t="s">
        <v>564</v>
      </c>
      <c r="G11" s="292">
        <v>0</v>
      </c>
      <c r="H11" s="230">
        <v>0</v>
      </c>
      <c r="I11" s="137">
        <v>0</v>
      </c>
      <c r="J11" s="15">
        <f t="shared" si="0"/>
        <v>0</v>
      </c>
      <c r="K11" s="213" t="s">
        <v>412</v>
      </c>
      <c r="L11" s="215">
        <v>4</v>
      </c>
      <c r="M11" s="215">
        <v>6</v>
      </c>
      <c r="N11" s="219">
        <f t="shared" ref="N11:N13" si="6">SUM(L11/M11)*100</f>
        <v>66.666666666666657</v>
      </c>
      <c r="O11" s="63"/>
      <c r="P11" s="63"/>
      <c r="Q11" s="63"/>
    </row>
    <row r="12" spans="1:18" ht="14.95" customHeight="1" thickBot="1" x14ac:dyDescent="0.3">
      <c r="A12" s="213" t="s">
        <v>565</v>
      </c>
      <c r="B12" s="291">
        <v>0</v>
      </c>
      <c r="C12" s="228">
        <v>2</v>
      </c>
      <c r="D12" s="217">
        <v>0</v>
      </c>
      <c r="E12" s="215">
        <f t="shared" ref="E12" si="7">SUM(B12:D12)</f>
        <v>2</v>
      </c>
      <c r="F12" s="14" t="s">
        <v>565</v>
      </c>
      <c r="G12" s="292">
        <v>7</v>
      </c>
      <c r="H12" s="230">
        <v>46</v>
      </c>
      <c r="I12" s="137">
        <v>40</v>
      </c>
      <c r="J12" s="15">
        <f t="shared" ref="J12" si="8">SUM(G12:I12)</f>
        <v>93</v>
      </c>
      <c r="K12" s="213" t="s">
        <v>410</v>
      </c>
      <c r="L12" s="215">
        <v>3</v>
      </c>
      <c r="M12" s="215">
        <v>3</v>
      </c>
      <c r="N12" s="219">
        <f t="shared" si="6"/>
        <v>100</v>
      </c>
      <c r="O12" s="63"/>
      <c r="P12" s="63"/>
      <c r="Q12" s="63"/>
    </row>
    <row r="13" spans="1:18" ht="14.95" customHeight="1" thickBot="1" x14ac:dyDescent="0.3">
      <c r="A13" s="213" t="s">
        <v>412</v>
      </c>
      <c r="B13" s="291">
        <v>0</v>
      </c>
      <c r="C13" s="228">
        <v>0</v>
      </c>
      <c r="D13" s="217">
        <v>0</v>
      </c>
      <c r="E13" s="215">
        <f t="shared" ref="E13" si="9">SUM(B13:D13)</f>
        <v>0</v>
      </c>
      <c r="F13" s="14" t="s">
        <v>412</v>
      </c>
      <c r="G13" s="292">
        <v>0</v>
      </c>
      <c r="H13" s="230">
        <v>8</v>
      </c>
      <c r="I13" s="137">
        <v>2</v>
      </c>
      <c r="J13" s="15">
        <f t="shared" ref="J13" si="10">SUM(G13:I13)</f>
        <v>10</v>
      </c>
      <c r="K13" s="213" t="s">
        <v>565</v>
      </c>
      <c r="L13" s="215">
        <v>18</v>
      </c>
      <c r="M13" s="215">
        <v>29</v>
      </c>
      <c r="N13" s="219">
        <f t="shared" si="6"/>
        <v>62.068965517241381</v>
      </c>
      <c r="O13" s="63"/>
      <c r="P13" s="63"/>
      <c r="Q13" s="63"/>
    </row>
    <row r="14" spans="1:18" ht="14.95" thickBot="1" x14ac:dyDescent="0.3">
      <c r="A14" s="213" t="s">
        <v>410</v>
      </c>
      <c r="B14" s="291">
        <v>0</v>
      </c>
      <c r="C14" s="228">
        <v>1</v>
      </c>
      <c r="D14" s="217">
        <v>0</v>
      </c>
      <c r="E14" s="215">
        <f t="shared" si="1"/>
        <v>1</v>
      </c>
      <c r="F14" s="14" t="s">
        <v>410</v>
      </c>
      <c r="G14" s="292">
        <v>0</v>
      </c>
      <c r="H14" s="230">
        <v>12</v>
      </c>
      <c r="I14" s="137">
        <v>0</v>
      </c>
      <c r="J14" s="15">
        <f t="shared" si="0"/>
        <v>12</v>
      </c>
      <c r="O14" s="9"/>
      <c r="P14" s="9"/>
      <c r="Q14" s="9"/>
    </row>
    <row r="15" spans="1:18" ht="14.95" thickBot="1" x14ac:dyDescent="0.3">
      <c r="A15" s="213" t="s">
        <v>566</v>
      </c>
      <c r="B15" s="291">
        <v>0</v>
      </c>
      <c r="C15" s="228">
        <v>0</v>
      </c>
      <c r="D15" s="217">
        <v>0</v>
      </c>
      <c r="E15" s="215">
        <f t="shared" si="1"/>
        <v>0</v>
      </c>
      <c r="F15" s="14" t="s">
        <v>566</v>
      </c>
      <c r="G15" s="292">
        <v>0</v>
      </c>
      <c r="H15" s="230">
        <v>0</v>
      </c>
      <c r="I15" s="137">
        <v>0</v>
      </c>
      <c r="J15" s="15">
        <f t="shared" si="0"/>
        <v>0</v>
      </c>
      <c r="K15" s="326" t="s">
        <v>521</v>
      </c>
      <c r="L15" s="309">
        <v>2022</v>
      </c>
      <c r="M15" s="310"/>
      <c r="N15" s="311"/>
    </row>
    <row r="16" spans="1:18" ht="14.95" thickBot="1" x14ac:dyDescent="0.3">
      <c r="A16" s="213" t="s">
        <v>403</v>
      </c>
      <c r="B16" s="291">
        <v>1</v>
      </c>
      <c r="C16" s="228">
        <v>3</v>
      </c>
      <c r="D16" s="217">
        <v>1</v>
      </c>
      <c r="E16" s="215">
        <f t="shared" si="1"/>
        <v>5</v>
      </c>
      <c r="F16" s="14" t="s">
        <v>403</v>
      </c>
      <c r="G16" s="292">
        <v>5</v>
      </c>
      <c r="H16" s="230">
        <v>15</v>
      </c>
      <c r="I16" s="137">
        <v>5</v>
      </c>
      <c r="J16" s="15">
        <f t="shared" si="0"/>
        <v>25</v>
      </c>
      <c r="K16" s="327"/>
      <c r="L16" s="312"/>
      <c r="M16" s="313"/>
      <c r="N16" s="314"/>
    </row>
    <row r="17" spans="1:17" ht="14.95" thickBot="1" x14ac:dyDescent="0.3">
      <c r="A17" s="213" t="s">
        <v>567</v>
      </c>
      <c r="B17" s="291">
        <v>0</v>
      </c>
      <c r="C17" s="228">
        <v>0</v>
      </c>
      <c r="D17" s="217">
        <v>0</v>
      </c>
      <c r="E17" s="215">
        <f t="shared" si="1"/>
        <v>0</v>
      </c>
      <c r="F17" s="14" t="s">
        <v>567</v>
      </c>
      <c r="G17" s="292">
        <v>0</v>
      </c>
      <c r="H17" s="230">
        <v>0</v>
      </c>
      <c r="I17" s="137">
        <v>0</v>
      </c>
      <c r="J17" s="15">
        <f t="shared" si="0"/>
        <v>0</v>
      </c>
      <c r="K17" s="267"/>
      <c r="L17" s="31" t="s">
        <v>18</v>
      </c>
      <c r="M17" s="31" t="s">
        <v>5</v>
      </c>
      <c r="N17" s="31" t="s">
        <v>6</v>
      </c>
    </row>
    <row r="18" spans="1:17" ht="14.95" thickBot="1" x14ac:dyDescent="0.3">
      <c r="A18" s="213" t="s">
        <v>400</v>
      </c>
      <c r="B18" s="291">
        <v>0</v>
      </c>
      <c r="C18" s="228">
        <v>3</v>
      </c>
      <c r="D18" s="217">
        <v>4</v>
      </c>
      <c r="E18" s="215">
        <f t="shared" si="1"/>
        <v>7</v>
      </c>
      <c r="F18" s="14" t="s">
        <v>400</v>
      </c>
      <c r="G18" s="292">
        <v>0</v>
      </c>
      <c r="H18" s="230">
        <v>15</v>
      </c>
      <c r="I18" s="137">
        <v>20</v>
      </c>
      <c r="J18" s="15">
        <f t="shared" si="0"/>
        <v>35</v>
      </c>
      <c r="K18" s="213" t="s">
        <v>412</v>
      </c>
      <c r="L18" s="215">
        <v>0</v>
      </c>
      <c r="M18" s="215">
        <v>1</v>
      </c>
      <c r="N18" s="219">
        <v>0</v>
      </c>
    </row>
    <row r="19" spans="1:17" ht="14.95" thickBot="1" x14ac:dyDescent="0.3">
      <c r="A19" s="213" t="s">
        <v>414</v>
      </c>
      <c r="B19" s="291">
        <v>0</v>
      </c>
      <c r="C19" s="228">
        <v>2</v>
      </c>
      <c r="D19" s="217">
        <v>0</v>
      </c>
      <c r="E19" s="215">
        <f t="shared" si="1"/>
        <v>2</v>
      </c>
      <c r="F19" s="14" t="s">
        <v>414</v>
      </c>
      <c r="G19" s="292">
        <v>0</v>
      </c>
      <c r="H19" s="230">
        <v>10</v>
      </c>
      <c r="I19" s="137">
        <v>0</v>
      </c>
      <c r="J19" s="15">
        <f t="shared" si="0"/>
        <v>10</v>
      </c>
      <c r="K19" s="213" t="s">
        <v>410</v>
      </c>
      <c r="L19" s="215" t="s">
        <v>8</v>
      </c>
      <c r="M19" s="215" t="s">
        <v>8</v>
      </c>
      <c r="N19" s="219" t="s">
        <v>8</v>
      </c>
    </row>
    <row r="20" spans="1:17" ht="14.95" thickBot="1" x14ac:dyDescent="0.3">
      <c r="A20" s="213" t="s">
        <v>568</v>
      </c>
      <c r="B20" s="291">
        <v>0</v>
      </c>
      <c r="C20" s="228">
        <v>0</v>
      </c>
      <c r="D20" s="217">
        <v>0</v>
      </c>
      <c r="E20" s="215">
        <f t="shared" si="1"/>
        <v>0</v>
      </c>
      <c r="F20" s="14" t="s">
        <v>568</v>
      </c>
      <c r="G20" s="292">
        <v>0</v>
      </c>
      <c r="H20" s="230">
        <v>0</v>
      </c>
      <c r="I20" s="137">
        <v>0</v>
      </c>
      <c r="J20" s="15">
        <f t="shared" si="0"/>
        <v>0</v>
      </c>
      <c r="K20" s="213" t="s">
        <v>565</v>
      </c>
      <c r="L20" s="215">
        <v>3</v>
      </c>
      <c r="M20" s="215">
        <v>3</v>
      </c>
      <c r="N20" s="219">
        <v>100</v>
      </c>
    </row>
    <row r="21" spans="1:17" ht="14.95" thickBot="1" x14ac:dyDescent="0.3">
      <c r="A21" s="213" t="s">
        <v>409</v>
      </c>
      <c r="B21" s="291">
        <v>0</v>
      </c>
      <c r="C21" s="228">
        <v>3</v>
      </c>
      <c r="D21" s="217">
        <v>1</v>
      </c>
      <c r="E21" s="215">
        <f t="shared" si="1"/>
        <v>4</v>
      </c>
      <c r="F21" s="14" t="s">
        <v>409</v>
      </c>
      <c r="G21" s="292">
        <v>0</v>
      </c>
      <c r="H21" s="230">
        <v>15</v>
      </c>
      <c r="I21" s="137">
        <v>5</v>
      </c>
      <c r="J21" s="15">
        <f t="shared" si="0"/>
        <v>20</v>
      </c>
    </row>
    <row r="22" spans="1:17" ht="14.95" thickBot="1" x14ac:dyDescent="0.3">
      <c r="A22" s="213" t="s">
        <v>569</v>
      </c>
      <c r="B22" s="291">
        <v>0</v>
      </c>
      <c r="C22" s="228">
        <v>0</v>
      </c>
      <c r="D22" s="217">
        <v>0</v>
      </c>
      <c r="E22" s="215">
        <f t="shared" si="1"/>
        <v>0</v>
      </c>
      <c r="F22" s="14" t="s">
        <v>569</v>
      </c>
      <c r="G22" s="292">
        <v>0</v>
      </c>
      <c r="H22" s="230">
        <v>0</v>
      </c>
      <c r="I22" s="137">
        <v>0</v>
      </c>
      <c r="J22" s="15">
        <f t="shared" si="0"/>
        <v>0</v>
      </c>
    </row>
    <row r="23" spans="1:17" ht="14.95" thickBot="1" x14ac:dyDescent="0.3">
      <c r="A23" s="213" t="s">
        <v>570</v>
      </c>
      <c r="B23" s="291">
        <v>0</v>
      </c>
      <c r="C23" s="228">
        <v>0</v>
      </c>
      <c r="D23" s="217">
        <v>0</v>
      </c>
      <c r="E23" s="215">
        <f t="shared" si="1"/>
        <v>0</v>
      </c>
      <c r="F23" s="14" t="s">
        <v>570</v>
      </c>
      <c r="G23" s="292">
        <v>0</v>
      </c>
      <c r="H23" s="230">
        <v>0</v>
      </c>
      <c r="I23" s="137">
        <v>0</v>
      </c>
      <c r="J23" s="15">
        <f t="shared" si="0"/>
        <v>0</v>
      </c>
      <c r="O23" s="9"/>
      <c r="P23" s="9"/>
      <c r="Q23" s="9"/>
    </row>
    <row r="24" spans="1:17" ht="14.95" thickBot="1" x14ac:dyDescent="0.3">
      <c r="A24" s="213" t="s">
        <v>405</v>
      </c>
      <c r="B24" s="291">
        <v>1</v>
      </c>
      <c r="C24" s="228">
        <v>6</v>
      </c>
      <c r="D24" s="217">
        <v>0</v>
      </c>
      <c r="E24" s="215">
        <f t="shared" si="1"/>
        <v>7</v>
      </c>
      <c r="F24" s="14" t="s">
        <v>405</v>
      </c>
      <c r="G24" s="292">
        <v>5</v>
      </c>
      <c r="H24" s="230">
        <v>30</v>
      </c>
      <c r="I24" s="137">
        <v>0</v>
      </c>
      <c r="J24" s="15">
        <f t="shared" si="0"/>
        <v>35</v>
      </c>
      <c r="O24" s="22"/>
      <c r="P24" s="22"/>
      <c r="Q24" s="25"/>
    </row>
    <row r="25" spans="1:17" ht="14.95" thickBot="1" x14ac:dyDescent="0.3">
      <c r="A25" s="213" t="s">
        <v>401</v>
      </c>
      <c r="B25" s="291">
        <v>0</v>
      </c>
      <c r="C25" s="228">
        <v>4</v>
      </c>
      <c r="D25" s="217">
        <v>2</v>
      </c>
      <c r="E25" s="215">
        <f t="shared" si="1"/>
        <v>6</v>
      </c>
      <c r="F25" s="14" t="s">
        <v>401</v>
      </c>
      <c r="G25" s="292">
        <v>0</v>
      </c>
      <c r="H25" s="230">
        <v>20</v>
      </c>
      <c r="I25" s="137">
        <v>10</v>
      </c>
      <c r="J25" s="15">
        <f t="shared" si="0"/>
        <v>30</v>
      </c>
      <c r="O25" s="22"/>
      <c r="P25" s="22"/>
      <c r="Q25" s="25"/>
    </row>
    <row r="26" spans="1:17" ht="14.95" thickBot="1" x14ac:dyDescent="0.3">
      <c r="A26" s="213" t="s">
        <v>411</v>
      </c>
      <c r="B26" s="291">
        <v>0</v>
      </c>
      <c r="C26" s="228">
        <v>4</v>
      </c>
      <c r="D26" s="217">
        <v>0</v>
      </c>
      <c r="E26" s="215">
        <f t="shared" si="1"/>
        <v>4</v>
      </c>
      <c r="F26" s="14" t="s">
        <v>411</v>
      </c>
      <c r="G26" s="292">
        <v>0</v>
      </c>
      <c r="H26" s="230">
        <v>20</v>
      </c>
      <c r="I26" s="137">
        <v>0</v>
      </c>
      <c r="J26" s="15">
        <f t="shared" si="0"/>
        <v>20</v>
      </c>
    </row>
    <row r="27" spans="1:17" ht="14.95" thickBot="1" x14ac:dyDescent="0.3">
      <c r="A27" s="213" t="s">
        <v>571</v>
      </c>
      <c r="B27" s="291">
        <v>0</v>
      </c>
      <c r="C27" s="228">
        <v>0</v>
      </c>
      <c r="D27" s="217">
        <v>0</v>
      </c>
      <c r="E27" s="215">
        <f t="shared" si="1"/>
        <v>0</v>
      </c>
      <c r="F27" s="14" t="s">
        <v>571</v>
      </c>
      <c r="G27" s="292">
        <v>0</v>
      </c>
      <c r="H27" s="230">
        <v>0</v>
      </c>
      <c r="I27" s="137">
        <v>0</v>
      </c>
      <c r="J27" s="15">
        <f t="shared" si="0"/>
        <v>0</v>
      </c>
    </row>
    <row r="28" spans="1:17" ht="14.95" thickBot="1" x14ac:dyDescent="0.3">
      <c r="A28" s="213" t="s">
        <v>415</v>
      </c>
      <c r="B28" s="291">
        <v>0</v>
      </c>
      <c r="C28" s="228">
        <v>1</v>
      </c>
      <c r="D28" s="217">
        <v>0</v>
      </c>
      <c r="E28" s="215">
        <f t="shared" si="1"/>
        <v>1</v>
      </c>
      <c r="F28" s="14" t="s">
        <v>415</v>
      </c>
      <c r="G28" s="292">
        <v>0</v>
      </c>
      <c r="H28" s="230">
        <v>5</v>
      </c>
      <c r="I28" s="137">
        <v>0</v>
      </c>
      <c r="J28" s="15">
        <f t="shared" si="0"/>
        <v>5</v>
      </c>
    </row>
    <row r="29" spans="1:17" ht="14.95" thickBot="1" x14ac:dyDescent="0.3">
      <c r="A29" s="213" t="s">
        <v>302</v>
      </c>
      <c r="B29" s="291">
        <v>0</v>
      </c>
      <c r="C29" s="228">
        <v>0</v>
      </c>
      <c r="D29" s="217">
        <v>0</v>
      </c>
      <c r="E29" s="215">
        <f t="shared" si="1"/>
        <v>0</v>
      </c>
      <c r="F29" s="14" t="s">
        <v>302</v>
      </c>
      <c r="G29" s="292">
        <v>0</v>
      </c>
      <c r="H29" s="230">
        <v>0</v>
      </c>
      <c r="I29" s="137">
        <v>0</v>
      </c>
      <c r="J29" s="15">
        <f t="shared" si="0"/>
        <v>0</v>
      </c>
    </row>
    <row r="30" spans="1:17" ht="14.95" thickBot="1" x14ac:dyDescent="0.3">
      <c r="A30" s="213" t="s">
        <v>572</v>
      </c>
      <c r="B30" s="291">
        <v>0</v>
      </c>
      <c r="C30" s="228">
        <v>0</v>
      </c>
      <c r="D30" s="217">
        <v>0</v>
      </c>
      <c r="E30" s="215">
        <f t="shared" si="1"/>
        <v>0</v>
      </c>
      <c r="F30" s="14" t="s">
        <v>572</v>
      </c>
      <c r="G30" s="292">
        <v>0</v>
      </c>
      <c r="H30" s="230">
        <v>0</v>
      </c>
      <c r="I30" s="137">
        <v>0</v>
      </c>
      <c r="J30" s="15">
        <f t="shared" si="0"/>
        <v>0</v>
      </c>
    </row>
    <row r="31" spans="1:17" ht="14.95" thickBot="1" x14ac:dyDescent="0.3">
      <c r="A31" s="213" t="s">
        <v>574</v>
      </c>
      <c r="B31" s="291">
        <v>0</v>
      </c>
      <c r="C31" s="228">
        <v>0</v>
      </c>
      <c r="D31" s="217">
        <v>0</v>
      </c>
      <c r="E31" s="215">
        <f t="shared" si="1"/>
        <v>0</v>
      </c>
      <c r="F31" s="14" t="s">
        <v>574</v>
      </c>
      <c r="G31" s="292">
        <v>0</v>
      </c>
      <c r="H31" s="230">
        <v>0</v>
      </c>
      <c r="I31" s="137">
        <v>0</v>
      </c>
      <c r="J31" s="15">
        <f t="shared" si="0"/>
        <v>0</v>
      </c>
    </row>
    <row r="32" spans="1:17" ht="14.95" thickBot="1" x14ac:dyDescent="0.3">
      <c r="A32" s="213" t="s">
        <v>573</v>
      </c>
      <c r="B32" s="291">
        <v>0</v>
      </c>
      <c r="C32" s="228">
        <v>0</v>
      </c>
      <c r="D32" s="217">
        <v>0</v>
      </c>
      <c r="E32" s="215">
        <f t="shared" si="1"/>
        <v>0</v>
      </c>
      <c r="F32" s="14" t="s">
        <v>573</v>
      </c>
      <c r="G32" s="292">
        <v>0</v>
      </c>
      <c r="H32" s="230">
        <v>0</v>
      </c>
      <c r="I32" s="137">
        <v>0</v>
      </c>
      <c r="J32" s="15">
        <f t="shared" si="0"/>
        <v>0</v>
      </c>
    </row>
    <row r="33" spans="1:10" ht="14.95" thickBot="1" x14ac:dyDescent="0.3">
      <c r="A33" s="213" t="s">
        <v>356</v>
      </c>
      <c r="B33" s="291">
        <v>0</v>
      </c>
      <c r="C33" s="228">
        <v>3</v>
      </c>
      <c r="D33" s="217">
        <v>2</v>
      </c>
      <c r="E33" s="215">
        <f t="shared" si="1"/>
        <v>5</v>
      </c>
      <c r="F33" s="14" t="s">
        <v>356</v>
      </c>
      <c r="G33" s="292">
        <v>0</v>
      </c>
      <c r="H33" s="230">
        <v>15</v>
      </c>
      <c r="I33" s="137">
        <v>10</v>
      </c>
      <c r="J33" s="15">
        <f t="shared" si="0"/>
        <v>25</v>
      </c>
    </row>
    <row r="34" spans="1:10" ht="14.95" thickBot="1" x14ac:dyDescent="0.3">
      <c r="A34" s="213" t="s">
        <v>407</v>
      </c>
      <c r="B34" s="291">
        <v>0</v>
      </c>
      <c r="C34" s="228">
        <v>3</v>
      </c>
      <c r="D34" s="217">
        <v>0</v>
      </c>
      <c r="E34" s="215">
        <f t="shared" si="1"/>
        <v>3</v>
      </c>
      <c r="F34" s="14" t="s">
        <v>407</v>
      </c>
      <c r="G34" s="292">
        <v>0</v>
      </c>
      <c r="H34" s="230">
        <v>15</v>
      </c>
      <c r="I34" s="137">
        <v>0</v>
      </c>
      <c r="J34" s="15">
        <f t="shared" si="0"/>
        <v>15</v>
      </c>
    </row>
    <row r="35" spans="1:10" ht="14.95" thickBot="1" x14ac:dyDescent="0.3">
      <c r="A35" s="213" t="s">
        <v>575</v>
      </c>
      <c r="B35" s="291">
        <v>0</v>
      </c>
      <c r="C35" s="228">
        <v>0</v>
      </c>
      <c r="D35" s="217">
        <v>0</v>
      </c>
      <c r="E35" s="215">
        <f t="shared" si="1"/>
        <v>0</v>
      </c>
      <c r="F35" s="14" t="s">
        <v>575</v>
      </c>
      <c r="G35" s="292">
        <v>0</v>
      </c>
      <c r="H35" s="230">
        <v>0</v>
      </c>
      <c r="I35" s="137">
        <v>0</v>
      </c>
      <c r="J35" s="15">
        <f t="shared" si="0"/>
        <v>0</v>
      </c>
    </row>
    <row r="36" spans="1:10" ht="14.95" thickBot="1" x14ac:dyDescent="0.3">
      <c r="A36" s="213" t="s">
        <v>576</v>
      </c>
      <c r="B36" s="291">
        <v>0</v>
      </c>
      <c r="C36" s="228">
        <v>0</v>
      </c>
      <c r="D36" s="217">
        <v>0</v>
      </c>
      <c r="E36" s="215">
        <f t="shared" si="1"/>
        <v>0</v>
      </c>
      <c r="F36" s="14" t="s">
        <v>576</v>
      </c>
      <c r="G36" s="292">
        <v>0</v>
      </c>
      <c r="H36" s="230">
        <v>0</v>
      </c>
      <c r="I36" s="137">
        <v>0</v>
      </c>
      <c r="J36" s="15">
        <f t="shared" si="0"/>
        <v>0</v>
      </c>
    </row>
    <row r="37" spans="1:10" ht="14.95" thickBot="1" x14ac:dyDescent="0.3">
      <c r="A37" s="213" t="s">
        <v>3</v>
      </c>
      <c r="B37" s="291">
        <f>SUM(B3:B36)</f>
        <v>3</v>
      </c>
      <c r="C37" s="228">
        <f>SUM(C3:C36)</f>
        <v>37</v>
      </c>
      <c r="D37" s="217">
        <f>SUM(D3:D36)</f>
        <v>13</v>
      </c>
      <c r="E37" s="215">
        <f t="shared" si="1"/>
        <v>53</v>
      </c>
      <c r="F37" s="221" t="s">
        <v>3</v>
      </c>
      <c r="G37" s="293">
        <f>SUM(G3:G36)</f>
        <v>22</v>
      </c>
      <c r="H37" s="231">
        <f>SUM(H3:H36)</f>
        <v>236</v>
      </c>
      <c r="I37" s="136">
        <f>SUM(I3:I36)</f>
        <v>107</v>
      </c>
      <c r="J37" s="82">
        <f t="shared" si="0"/>
        <v>365</v>
      </c>
    </row>
    <row r="38" spans="1:10" x14ac:dyDescent="0.25">
      <c r="A38" s="24"/>
      <c r="B38" s="294"/>
      <c r="C38" s="295"/>
      <c r="D38" s="296"/>
      <c r="E38" s="23"/>
      <c r="F38" s="24"/>
      <c r="G38" s="294"/>
      <c r="H38" s="295"/>
      <c r="I38" s="297"/>
      <c r="J38" s="23"/>
    </row>
    <row r="39" spans="1:10" ht="14.95" thickBot="1" x14ac:dyDescent="0.3">
      <c r="A39" s="317" t="s">
        <v>7</v>
      </c>
      <c r="B39" s="318"/>
      <c r="C39" s="318"/>
      <c r="D39" s="318"/>
    </row>
    <row r="40" spans="1:10" ht="14.95" thickBot="1" x14ac:dyDescent="0.3">
      <c r="A40" s="212" t="s">
        <v>0</v>
      </c>
      <c r="B40" s="290" t="s">
        <v>396</v>
      </c>
      <c r="C40" s="227" t="s">
        <v>404</v>
      </c>
      <c r="D40" s="216" t="s">
        <v>12</v>
      </c>
      <c r="E40" s="214" t="s">
        <v>1</v>
      </c>
      <c r="F40" s="79" t="s">
        <v>2</v>
      </c>
      <c r="G40" s="270" t="s">
        <v>396</v>
      </c>
      <c r="H40" s="229" t="s">
        <v>404</v>
      </c>
      <c r="I40" s="136" t="s">
        <v>12</v>
      </c>
      <c r="J40" s="82" t="s">
        <v>1</v>
      </c>
    </row>
    <row r="41" spans="1:10" ht="14.95" thickBot="1" x14ac:dyDescent="0.3">
      <c r="A41" s="213" t="s">
        <v>400</v>
      </c>
      <c r="B41" s="291">
        <v>0</v>
      </c>
      <c r="C41" s="228">
        <v>3</v>
      </c>
      <c r="D41" s="217">
        <v>4</v>
      </c>
      <c r="E41" s="215">
        <f t="shared" ref="E41:E74" si="11">SUM(B41:D41)</f>
        <v>7</v>
      </c>
      <c r="F41" s="13" t="s">
        <v>565</v>
      </c>
      <c r="G41" s="292">
        <v>7</v>
      </c>
      <c r="H41" s="230">
        <v>46</v>
      </c>
      <c r="I41" s="137">
        <v>40</v>
      </c>
      <c r="J41" s="15">
        <f t="shared" ref="J41:J74" si="12">SUM(G41:I41)</f>
        <v>93</v>
      </c>
    </row>
    <row r="42" spans="1:10" ht="14.95" thickBot="1" x14ac:dyDescent="0.3">
      <c r="A42" s="213" t="s">
        <v>405</v>
      </c>
      <c r="B42" s="291">
        <v>1</v>
      </c>
      <c r="C42" s="228">
        <v>6</v>
      </c>
      <c r="D42" s="217">
        <v>0</v>
      </c>
      <c r="E42" s="215">
        <f t="shared" si="11"/>
        <v>7</v>
      </c>
      <c r="F42" s="14" t="s">
        <v>400</v>
      </c>
      <c r="G42" s="292">
        <v>0</v>
      </c>
      <c r="H42" s="230">
        <v>15</v>
      </c>
      <c r="I42" s="137">
        <v>20</v>
      </c>
      <c r="J42" s="15">
        <f t="shared" si="12"/>
        <v>35</v>
      </c>
    </row>
    <row r="43" spans="1:10" ht="14.95" thickBot="1" x14ac:dyDescent="0.3">
      <c r="A43" s="213" t="s">
        <v>401</v>
      </c>
      <c r="B43" s="291">
        <v>0</v>
      </c>
      <c r="C43" s="228">
        <v>4</v>
      </c>
      <c r="D43" s="217">
        <v>2</v>
      </c>
      <c r="E43" s="215">
        <f t="shared" si="11"/>
        <v>6</v>
      </c>
      <c r="F43" s="14" t="s">
        <v>405</v>
      </c>
      <c r="G43" s="292">
        <v>5</v>
      </c>
      <c r="H43" s="230">
        <v>30</v>
      </c>
      <c r="I43" s="137">
        <v>0</v>
      </c>
      <c r="J43" s="15">
        <f t="shared" si="12"/>
        <v>35</v>
      </c>
    </row>
    <row r="44" spans="1:10" ht="14.95" thickBot="1" x14ac:dyDescent="0.3">
      <c r="A44" s="213" t="s">
        <v>356</v>
      </c>
      <c r="B44" s="291">
        <v>0</v>
      </c>
      <c r="C44" s="228">
        <v>3</v>
      </c>
      <c r="D44" s="217">
        <v>2</v>
      </c>
      <c r="E44" s="215">
        <f t="shared" si="11"/>
        <v>5</v>
      </c>
      <c r="F44" s="14" t="s">
        <v>401</v>
      </c>
      <c r="G44" s="292">
        <v>0</v>
      </c>
      <c r="H44" s="230">
        <v>20</v>
      </c>
      <c r="I44" s="137">
        <v>10</v>
      </c>
      <c r="J44" s="15">
        <f t="shared" si="12"/>
        <v>30</v>
      </c>
    </row>
    <row r="45" spans="1:10" ht="14.95" thickBot="1" x14ac:dyDescent="0.3">
      <c r="A45" s="213" t="s">
        <v>403</v>
      </c>
      <c r="B45" s="291">
        <v>1</v>
      </c>
      <c r="C45" s="228">
        <v>3</v>
      </c>
      <c r="D45" s="217">
        <v>1</v>
      </c>
      <c r="E45" s="215">
        <f t="shared" si="11"/>
        <v>5</v>
      </c>
      <c r="F45" s="14" t="s">
        <v>356</v>
      </c>
      <c r="G45" s="292">
        <v>0</v>
      </c>
      <c r="H45" s="230">
        <v>15</v>
      </c>
      <c r="I45" s="137">
        <v>10</v>
      </c>
      <c r="J45" s="15">
        <f t="shared" si="12"/>
        <v>25</v>
      </c>
    </row>
    <row r="46" spans="1:10" ht="14.95" thickBot="1" x14ac:dyDescent="0.3">
      <c r="A46" s="213" t="s">
        <v>409</v>
      </c>
      <c r="B46" s="291">
        <v>0</v>
      </c>
      <c r="C46" s="228">
        <v>3</v>
      </c>
      <c r="D46" s="217">
        <v>1</v>
      </c>
      <c r="E46" s="215">
        <f t="shared" si="11"/>
        <v>4</v>
      </c>
      <c r="F46" s="14" t="s">
        <v>403</v>
      </c>
      <c r="G46" s="292">
        <v>5</v>
      </c>
      <c r="H46" s="230">
        <v>15</v>
      </c>
      <c r="I46" s="137">
        <v>5</v>
      </c>
      <c r="J46" s="15">
        <f t="shared" si="12"/>
        <v>25</v>
      </c>
    </row>
    <row r="47" spans="1:10" ht="14.95" thickBot="1" x14ac:dyDescent="0.3">
      <c r="A47" s="213" t="s">
        <v>411</v>
      </c>
      <c r="B47" s="291">
        <v>0</v>
      </c>
      <c r="C47" s="228">
        <v>4</v>
      </c>
      <c r="D47" s="217">
        <v>0</v>
      </c>
      <c r="E47" s="215">
        <f t="shared" si="11"/>
        <v>4</v>
      </c>
      <c r="F47" s="14" t="s">
        <v>409</v>
      </c>
      <c r="G47" s="292">
        <v>0</v>
      </c>
      <c r="H47" s="230">
        <v>15</v>
      </c>
      <c r="I47" s="137">
        <v>5</v>
      </c>
      <c r="J47" s="15">
        <f t="shared" si="12"/>
        <v>20</v>
      </c>
    </row>
    <row r="48" spans="1:10" ht="14.95" thickBot="1" x14ac:dyDescent="0.3">
      <c r="A48" s="213" t="s">
        <v>407</v>
      </c>
      <c r="B48" s="291">
        <v>0</v>
      </c>
      <c r="C48" s="228">
        <v>3</v>
      </c>
      <c r="D48" s="217">
        <v>0</v>
      </c>
      <c r="E48" s="215">
        <f t="shared" si="11"/>
        <v>3</v>
      </c>
      <c r="F48" s="14" t="s">
        <v>411</v>
      </c>
      <c r="G48" s="292">
        <v>0</v>
      </c>
      <c r="H48" s="230">
        <v>20</v>
      </c>
      <c r="I48" s="137">
        <v>0</v>
      </c>
      <c r="J48" s="15">
        <f t="shared" si="12"/>
        <v>20</v>
      </c>
    </row>
    <row r="49" spans="1:10" ht="14.95" thickBot="1" x14ac:dyDescent="0.3">
      <c r="A49" s="213" t="s">
        <v>402</v>
      </c>
      <c r="B49" s="291">
        <v>0</v>
      </c>
      <c r="C49" s="228">
        <v>0</v>
      </c>
      <c r="D49" s="217">
        <v>2</v>
      </c>
      <c r="E49" s="215">
        <f t="shared" si="11"/>
        <v>2</v>
      </c>
      <c r="F49" s="14" t="s">
        <v>407</v>
      </c>
      <c r="G49" s="292">
        <v>0</v>
      </c>
      <c r="H49" s="230">
        <v>15</v>
      </c>
      <c r="I49" s="137">
        <v>0</v>
      </c>
      <c r="J49" s="15">
        <f t="shared" si="12"/>
        <v>15</v>
      </c>
    </row>
    <row r="50" spans="1:10" ht="14.95" thickBot="1" x14ac:dyDescent="0.3">
      <c r="A50" s="213" t="s">
        <v>408</v>
      </c>
      <c r="B50" s="291">
        <v>0</v>
      </c>
      <c r="C50" s="228">
        <v>1</v>
      </c>
      <c r="D50" s="217">
        <v>1</v>
      </c>
      <c r="E50" s="215">
        <f t="shared" si="11"/>
        <v>2</v>
      </c>
      <c r="F50" s="14" t="s">
        <v>410</v>
      </c>
      <c r="G50" s="292">
        <v>0</v>
      </c>
      <c r="H50" s="230">
        <v>12</v>
      </c>
      <c r="I50" s="137">
        <v>0</v>
      </c>
      <c r="J50" s="15">
        <f t="shared" si="12"/>
        <v>12</v>
      </c>
    </row>
    <row r="51" spans="1:10" ht="14.95" thickBot="1" x14ac:dyDescent="0.3">
      <c r="A51" s="213" t="s">
        <v>565</v>
      </c>
      <c r="B51" s="291">
        <v>0</v>
      </c>
      <c r="C51" s="228">
        <v>2</v>
      </c>
      <c r="D51" s="217">
        <v>0</v>
      </c>
      <c r="E51" s="215">
        <f t="shared" si="11"/>
        <v>2</v>
      </c>
      <c r="F51" s="14" t="s">
        <v>402</v>
      </c>
      <c r="G51" s="292">
        <v>0</v>
      </c>
      <c r="H51" s="230">
        <v>0</v>
      </c>
      <c r="I51" s="137">
        <v>10</v>
      </c>
      <c r="J51" s="15">
        <f t="shared" si="12"/>
        <v>10</v>
      </c>
    </row>
    <row r="52" spans="1:10" ht="14.95" thickBot="1" x14ac:dyDescent="0.3">
      <c r="A52" s="213" t="s">
        <v>414</v>
      </c>
      <c r="B52" s="291">
        <v>0</v>
      </c>
      <c r="C52" s="228">
        <v>2</v>
      </c>
      <c r="D52" s="217">
        <v>0</v>
      </c>
      <c r="E52" s="215">
        <f t="shared" si="11"/>
        <v>2</v>
      </c>
      <c r="F52" s="14" t="s">
        <v>408</v>
      </c>
      <c r="G52" s="292">
        <v>0</v>
      </c>
      <c r="H52" s="230">
        <v>5</v>
      </c>
      <c r="I52" s="137">
        <v>5</v>
      </c>
      <c r="J52" s="15">
        <f t="shared" si="12"/>
        <v>10</v>
      </c>
    </row>
    <row r="53" spans="1:10" ht="14.95" thickBot="1" x14ac:dyDescent="0.3">
      <c r="A53" s="213" t="s">
        <v>406</v>
      </c>
      <c r="B53" s="291">
        <v>0</v>
      </c>
      <c r="C53" s="228">
        <v>1</v>
      </c>
      <c r="D53" s="217">
        <v>0</v>
      </c>
      <c r="E53" s="215">
        <f t="shared" si="11"/>
        <v>1</v>
      </c>
      <c r="F53" s="14" t="s">
        <v>412</v>
      </c>
      <c r="G53" s="292">
        <v>0</v>
      </c>
      <c r="H53" s="230">
        <v>8</v>
      </c>
      <c r="I53" s="137">
        <v>2</v>
      </c>
      <c r="J53" s="15">
        <f t="shared" si="12"/>
        <v>10</v>
      </c>
    </row>
    <row r="54" spans="1:10" ht="14.95" thickBot="1" x14ac:dyDescent="0.3">
      <c r="A54" s="213" t="s">
        <v>410</v>
      </c>
      <c r="B54" s="291">
        <v>0</v>
      </c>
      <c r="C54" s="228">
        <v>1</v>
      </c>
      <c r="D54" s="217">
        <v>0</v>
      </c>
      <c r="E54" s="215">
        <f t="shared" si="11"/>
        <v>1</v>
      </c>
      <c r="F54" s="14" t="s">
        <v>414</v>
      </c>
      <c r="G54" s="292">
        <v>0</v>
      </c>
      <c r="H54" s="230">
        <v>10</v>
      </c>
      <c r="I54" s="137">
        <v>0</v>
      </c>
      <c r="J54" s="15">
        <f t="shared" si="12"/>
        <v>10</v>
      </c>
    </row>
    <row r="55" spans="1:10" ht="14.95" thickBot="1" x14ac:dyDescent="0.3">
      <c r="A55" s="213" t="s">
        <v>415</v>
      </c>
      <c r="B55" s="291">
        <v>0</v>
      </c>
      <c r="C55" s="228">
        <v>1</v>
      </c>
      <c r="D55" s="217">
        <v>0</v>
      </c>
      <c r="E55" s="215">
        <f t="shared" si="11"/>
        <v>1</v>
      </c>
      <c r="F55" s="14" t="s">
        <v>406</v>
      </c>
      <c r="G55" s="292">
        <v>0</v>
      </c>
      <c r="H55" s="230">
        <v>5</v>
      </c>
      <c r="I55" s="137">
        <v>0</v>
      </c>
      <c r="J55" s="15">
        <f t="shared" si="12"/>
        <v>5</v>
      </c>
    </row>
    <row r="56" spans="1:10" ht="14.95" thickBot="1" x14ac:dyDescent="0.3">
      <c r="A56" s="213" t="s">
        <v>559</v>
      </c>
      <c r="B56" s="291">
        <v>0</v>
      </c>
      <c r="C56" s="228">
        <v>0</v>
      </c>
      <c r="D56" s="217">
        <v>0</v>
      </c>
      <c r="E56" s="215">
        <f t="shared" si="11"/>
        <v>0</v>
      </c>
      <c r="F56" s="14" t="s">
        <v>415</v>
      </c>
      <c r="G56" s="292">
        <v>0</v>
      </c>
      <c r="H56" s="230">
        <v>5</v>
      </c>
      <c r="I56" s="137">
        <v>0</v>
      </c>
      <c r="J56" s="15">
        <f t="shared" si="12"/>
        <v>5</v>
      </c>
    </row>
    <row r="57" spans="1:10" ht="14.95" thickBot="1" x14ac:dyDescent="0.3">
      <c r="A57" s="213" t="s">
        <v>560</v>
      </c>
      <c r="B57" s="291">
        <v>0</v>
      </c>
      <c r="C57" s="228">
        <v>0</v>
      </c>
      <c r="D57" s="217">
        <v>0</v>
      </c>
      <c r="E57" s="215">
        <f t="shared" si="11"/>
        <v>0</v>
      </c>
      <c r="F57" s="14" t="s">
        <v>559</v>
      </c>
      <c r="G57" s="292">
        <v>0</v>
      </c>
      <c r="H57" s="230">
        <v>0</v>
      </c>
      <c r="I57" s="137">
        <v>0</v>
      </c>
      <c r="J57" s="15">
        <f t="shared" si="12"/>
        <v>0</v>
      </c>
    </row>
    <row r="58" spans="1:10" ht="14.95" thickBot="1" x14ac:dyDescent="0.3">
      <c r="A58" s="213" t="s">
        <v>561</v>
      </c>
      <c r="B58" s="291">
        <v>0</v>
      </c>
      <c r="C58" s="228">
        <v>0</v>
      </c>
      <c r="D58" s="217">
        <v>0</v>
      </c>
      <c r="E58" s="215">
        <f t="shared" si="11"/>
        <v>0</v>
      </c>
      <c r="F58" s="14" t="s">
        <v>560</v>
      </c>
      <c r="G58" s="292">
        <v>0</v>
      </c>
      <c r="H58" s="230">
        <v>0</v>
      </c>
      <c r="I58" s="137">
        <v>0</v>
      </c>
      <c r="J58" s="15">
        <f t="shared" si="12"/>
        <v>0</v>
      </c>
    </row>
    <row r="59" spans="1:10" ht="14.95" thickBot="1" x14ac:dyDescent="0.3">
      <c r="A59" s="213" t="s">
        <v>562</v>
      </c>
      <c r="B59" s="291">
        <v>0</v>
      </c>
      <c r="C59" s="228">
        <v>0</v>
      </c>
      <c r="D59" s="217">
        <v>0</v>
      </c>
      <c r="E59" s="215">
        <f t="shared" si="11"/>
        <v>0</v>
      </c>
      <c r="F59" s="14" t="s">
        <v>561</v>
      </c>
      <c r="G59" s="292">
        <v>0</v>
      </c>
      <c r="H59" s="230">
        <v>0</v>
      </c>
      <c r="I59" s="137">
        <v>0</v>
      </c>
      <c r="J59" s="15">
        <f t="shared" si="12"/>
        <v>0</v>
      </c>
    </row>
    <row r="60" spans="1:10" ht="14.95" thickBot="1" x14ac:dyDescent="0.3">
      <c r="A60" s="213" t="s">
        <v>563</v>
      </c>
      <c r="B60" s="291">
        <v>1</v>
      </c>
      <c r="C60" s="228">
        <v>0</v>
      </c>
      <c r="D60" s="217">
        <v>0</v>
      </c>
      <c r="E60" s="215">
        <f t="shared" si="11"/>
        <v>1</v>
      </c>
      <c r="F60" s="14" t="s">
        <v>562</v>
      </c>
      <c r="G60" s="292">
        <v>0</v>
      </c>
      <c r="H60" s="230">
        <v>0</v>
      </c>
      <c r="I60" s="137">
        <v>0</v>
      </c>
      <c r="J60" s="15">
        <f t="shared" si="12"/>
        <v>0</v>
      </c>
    </row>
    <row r="61" spans="1:10" ht="14.95" thickBot="1" x14ac:dyDescent="0.3">
      <c r="A61" s="213" t="s">
        <v>564</v>
      </c>
      <c r="B61" s="291">
        <v>0</v>
      </c>
      <c r="C61" s="228">
        <v>0</v>
      </c>
      <c r="D61" s="217">
        <v>0</v>
      </c>
      <c r="E61" s="215">
        <f t="shared" si="11"/>
        <v>0</v>
      </c>
      <c r="F61" s="14" t="s">
        <v>563</v>
      </c>
      <c r="G61" s="292">
        <v>5</v>
      </c>
      <c r="H61" s="230">
        <v>0</v>
      </c>
      <c r="I61" s="137">
        <v>0</v>
      </c>
      <c r="J61" s="15">
        <f t="shared" si="12"/>
        <v>5</v>
      </c>
    </row>
    <row r="62" spans="1:10" ht="14.95" thickBot="1" x14ac:dyDescent="0.3">
      <c r="A62" s="213" t="s">
        <v>412</v>
      </c>
      <c r="B62" s="291">
        <v>0</v>
      </c>
      <c r="C62" s="228">
        <v>0</v>
      </c>
      <c r="D62" s="217">
        <v>0</v>
      </c>
      <c r="E62" s="215">
        <f t="shared" si="11"/>
        <v>0</v>
      </c>
      <c r="F62" s="14" t="s">
        <v>564</v>
      </c>
      <c r="G62" s="292">
        <v>0</v>
      </c>
      <c r="H62" s="230">
        <v>0</v>
      </c>
      <c r="I62" s="137">
        <v>0</v>
      </c>
      <c r="J62" s="15">
        <f t="shared" si="12"/>
        <v>0</v>
      </c>
    </row>
    <row r="63" spans="1:10" ht="14.95" thickBot="1" x14ac:dyDescent="0.3">
      <c r="A63" s="213" t="s">
        <v>566</v>
      </c>
      <c r="B63" s="291">
        <v>0</v>
      </c>
      <c r="C63" s="228">
        <v>0</v>
      </c>
      <c r="D63" s="217">
        <v>0</v>
      </c>
      <c r="E63" s="215">
        <f t="shared" si="11"/>
        <v>0</v>
      </c>
      <c r="F63" s="14" t="s">
        <v>566</v>
      </c>
      <c r="G63" s="292">
        <v>0</v>
      </c>
      <c r="H63" s="230">
        <v>0</v>
      </c>
      <c r="I63" s="137">
        <v>0</v>
      </c>
      <c r="J63" s="15">
        <f t="shared" si="12"/>
        <v>0</v>
      </c>
    </row>
    <row r="64" spans="1:10" ht="14.95" thickBot="1" x14ac:dyDescent="0.3">
      <c r="A64" s="213" t="s">
        <v>567</v>
      </c>
      <c r="B64" s="291">
        <v>0</v>
      </c>
      <c r="C64" s="228">
        <v>0</v>
      </c>
      <c r="D64" s="217">
        <v>0</v>
      </c>
      <c r="E64" s="215">
        <f t="shared" si="11"/>
        <v>0</v>
      </c>
      <c r="F64" s="14" t="s">
        <v>567</v>
      </c>
      <c r="G64" s="292">
        <v>0</v>
      </c>
      <c r="H64" s="230">
        <v>0</v>
      </c>
      <c r="I64" s="137">
        <v>0</v>
      </c>
      <c r="J64" s="15">
        <f t="shared" si="12"/>
        <v>0</v>
      </c>
    </row>
    <row r="65" spans="1:10" ht="14.95" thickBot="1" x14ac:dyDescent="0.3">
      <c r="A65" s="213" t="s">
        <v>568</v>
      </c>
      <c r="B65" s="291">
        <v>0</v>
      </c>
      <c r="C65" s="228">
        <v>0</v>
      </c>
      <c r="D65" s="217">
        <v>0</v>
      </c>
      <c r="E65" s="215">
        <f t="shared" si="11"/>
        <v>0</v>
      </c>
      <c r="F65" s="14" t="s">
        <v>568</v>
      </c>
      <c r="G65" s="292">
        <v>0</v>
      </c>
      <c r="H65" s="230">
        <v>0</v>
      </c>
      <c r="I65" s="137">
        <v>0</v>
      </c>
      <c r="J65" s="15">
        <f t="shared" si="12"/>
        <v>0</v>
      </c>
    </row>
    <row r="66" spans="1:10" ht="14.95" thickBot="1" x14ac:dyDescent="0.3">
      <c r="A66" s="213" t="s">
        <v>569</v>
      </c>
      <c r="B66" s="291">
        <v>0</v>
      </c>
      <c r="C66" s="228">
        <v>0</v>
      </c>
      <c r="D66" s="217">
        <v>0</v>
      </c>
      <c r="E66" s="215">
        <f t="shared" si="11"/>
        <v>0</v>
      </c>
      <c r="F66" s="14" t="s">
        <v>569</v>
      </c>
      <c r="G66" s="292">
        <v>0</v>
      </c>
      <c r="H66" s="230">
        <v>0</v>
      </c>
      <c r="I66" s="137">
        <v>0</v>
      </c>
      <c r="J66" s="15">
        <f t="shared" si="12"/>
        <v>0</v>
      </c>
    </row>
    <row r="67" spans="1:10" ht="14.95" thickBot="1" x14ac:dyDescent="0.3">
      <c r="A67" s="213" t="s">
        <v>570</v>
      </c>
      <c r="B67" s="291">
        <v>0</v>
      </c>
      <c r="C67" s="228">
        <v>0</v>
      </c>
      <c r="D67" s="217">
        <v>0</v>
      </c>
      <c r="E67" s="215">
        <f t="shared" si="11"/>
        <v>0</v>
      </c>
      <c r="F67" s="14" t="s">
        <v>570</v>
      </c>
      <c r="G67" s="292">
        <v>0</v>
      </c>
      <c r="H67" s="230">
        <v>0</v>
      </c>
      <c r="I67" s="137">
        <v>0</v>
      </c>
      <c r="J67" s="15">
        <f t="shared" si="12"/>
        <v>0</v>
      </c>
    </row>
    <row r="68" spans="1:10" ht="14.95" thickBot="1" x14ac:dyDescent="0.3">
      <c r="A68" s="213" t="s">
        <v>571</v>
      </c>
      <c r="B68" s="291">
        <v>0</v>
      </c>
      <c r="C68" s="228">
        <v>0</v>
      </c>
      <c r="D68" s="217">
        <v>0</v>
      </c>
      <c r="E68" s="215">
        <f t="shared" si="11"/>
        <v>0</v>
      </c>
      <c r="F68" s="14" t="s">
        <v>571</v>
      </c>
      <c r="G68" s="292">
        <v>0</v>
      </c>
      <c r="H68" s="230">
        <v>0</v>
      </c>
      <c r="I68" s="137">
        <v>0</v>
      </c>
      <c r="J68" s="15">
        <f t="shared" si="12"/>
        <v>0</v>
      </c>
    </row>
    <row r="69" spans="1:10" ht="14.95" thickBot="1" x14ac:dyDescent="0.3">
      <c r="A69" s="213" t="s">
        <v>302</v>
      </c>
      <c r="B69" s="291">
        <v>0</v>
      </c>
      <c r="C69" s="228">
        <v>0</v>
      </c>
      <c r="D69" s="217">
        <v>0</v>
      </c>
      <c r="E69" s="215">
        <f t="shared" si="11"/>
        <v>0</v>
      </c>
      <c r="F69" s="14" t="s">
        <v>302</v>
      </c>
      <c r="G69" s="292">
        <v>0</v>
      </c>
      <c r="H69" s="230">
        <v>0</v>
      </c>
      <c r="I69" s="137">
        <v>0</v>
      </c>
      <c r="J69" s="15">
        <f t="shared" si="12"/>
        <v>0</v>
      </c>
    </row>
    <row r="70" spans="1:10" ht="14.95" thickBot="1" x14ac:dyDescent="0.3">
      <c r="A70" s="213" t="s">
        <v>572</v>
      </c>
      <c r="B70" s="291">
        <v>0</v>
      </c>
      <c r="C70" s="228">
        <v>0</v>
      </c>
      <c r="D70" s="217">
        <v>0</v>
      </c>
      <c r="E70" s="215">
        <f t="shared" si="11"/>
        <v>0</v>
      </c>
      <c r="F70" s="14" t="s">
        <v>572</v>
      </c>
      <c r="G70" s="292">
        <v>0</v>
      </c>
      <c r="H70" s="230">
        <v>0</v>
      </c>
      <c r="I70" s="137">
        <v>0</v>
      </c>
      <c r="J70" s="15">
        <f t="shared" si="12"/>
        <v>0</v>
      </c>
    </row>
    <row r="71" spans="1:10" ht="14.95" thickBot="1" x14ac:dyDescent="0.3">
      <c r="A71" s="213" t="s">
        <v>574</v>
      </c>
      <c r="B71" s="291">
        <v>0</v>
      </c>
      <c r="C71" s="228">
        <v>0</v>
      </c>
      <c r="D71" s="217">
        <v>0</v>
      </c>
      <c r="E71" s="215">
        <f t="shared" si="11"/>
        <v>0</v>
      </c>
      <c r="F71" s="14" t="s">
        <v>574</v>
      </c>
      <c r="G71" s="292">
        <v>0</v>
      </c>
      <c r="H71" s="230">
        <v>0</v>
      </c>
      <c r="I71" s="137">
        <v>0</v>
      </c>
      <c r="J71" s="15">
        <f t="shared" si="12"/>
        <v>0</v>
      </c>
    </row>
    <row r="72" spans="1:10" ht="14.95" thickBot="1" x14ac:dyDescent="0.3">
      <c r="A72" s="213" t="s">
        <v>573</v>
      </c>
      <c r="B72" s="291">
        <v>0</v>
      </c>
      <c r="C72" s="228">
        <v>0</v>
      </c>
      <c r="D72" s="217">
        <v>0</v>
      </c>
      <c r="E72" s="215">
        <f t="shared" si="11"/>
        <v>0</v>
      </c>
      <c r="F72" s="14" t="s">
        <v>573</v>
      </c>
      <c r="G72" s="292">
        <v>0</v>
      </c>
      <c r="H72" s="230">
        <v>0</v>
      </c>
      <c r="I72" s="137">
        <v>0</v>
      </c>
      <c r="J72" s="15">
        <f t="shared" si="12"/>
        <v>0</v>
      </c>
    </row>
    <row r="73" spans="1:10" ht="14.95" thickBot="1" x14ac:dyDescent="0.3">
      <c r="A73" s="213" t="s">
        <v>575</v>
      </c>
      <c r="B73" s="291">
        <v>0</v>
      </c>
      <c r="C73" s="228">
        <v>0</v>
      </c>
      <c r="D73" s="217">
        <v>0</v>
      </c>
      <c r="E73" s="215">
        <f t="shared" si="11"/>
        <v>0</v>
      </c>
      <c r="F73" s="14" t="s">
        <v>575</v>
      </c>
      <c r="G73" s="292">
        <v>0</v>
      </c>
      <c r="H73" s="230">
        <v>0</v>
      </c>
      <c r="I73" s="137">
        <v>0</v>
      </c>
      <c r="J73" s="15">
        <f t="shared" si="12"/>
        <v>0</v>
      </c>
    </row>
    <row r="74" spans="1:10" ht="14.95" thickBot="1" x14ac:dyDescent="0.3">
      <c r="A74" s="213" t="s">
        <v>576</v>
      </c>
      <c r="B74" s="291">
        <v>0</v>
      </c>
      <c r="C74" s="228">
        <v>0</v>
      </c>
      <c r="D74" s="217">
        <v>0</v>
      </c>
      <c r="E74" s="215">
        <f t="shared" si="11"/>
        <v>0</v>
      </c>
      <c r="F74" s="14" t="s">
        <v>576</v>
      </c>
      <c r="G74" s="292">
        <v>0</v>
      </c>
      <c r="H74" s="230">
        <v>0</v>
      </c>
      <c r="I74" s="137">
        <v>0</v>
      </c>
      <c r="J74" s="15">
        <f t="shared" si="12"/>
        <v>0</v>
      </c>
    </row>
    <row r="75" spans="1:10" ht="14.95" thickBot="1" x14ac:dyDescent="0.3">
      <c r="A75" s="213" t="s">
        <v>3</v>
      </c>
      <c r="B75" s="291">
        <f>SUM(B41:B74)</f>
        <v>3</v>
      </c>
      <c r="C75" s="228">
        <f>SUM(C41:C74)</f>
        <v>37</v>
      </c>
      <c r="D75" s="217">
        <f>SUM(D41:D74)</f>
        <v>13</v>
      </c>
      <c r="E75" s="215">
        <f t="shared" ref="E75" si="13">SUM(B75:D75)</f>
        <v>53</v>
      </c>
      <c r="F75" s="221" t="s">
        <v>3</v>
      </c>
      <c r="G75" s="293">
        <f>SUM(G41:G74)</f>
        <v>22</v>
      </c>
      <c r="H75" s="231">
        <f>SUM(H41:H74)</f>
        <v>236</v>
      </c>
      <c r="I75" s="136">
        <f>SUM(I41:I74)</f>
        <v>107</v>
      </c>
      <c r="J75" s="82">
        <f t="shared" ref="J75" si="14">SUM(G75:I75)</f>
        <v>365</v>
      </c>
    </row>
    <row r="76" spans="1:10" x14ac:dyDescent="0.25">
      <c r="A76" s="317" t="s">
        <v>11</v>
      </c>
      <c r="B76" s="318"/>
      <c r="C76" s="318"/>
      <c r="D76" s="318"/>
    </row>
  </sheetData>
  <sortState xmlns:xlrd2="http://schemas.microsoft.com/office/spreadsheetml/2017/richdata2" ref="F41:J74">
    <sortCondition descending="1" ref="J41:J74"/>
  </sortState>
  <mergeCells count="11">
    <mergeCell ref="A76:D76"/>
    <mergeCell ref="K15:K16"/>
    <mergeCell ref="L15:N16"/>
    <mergeCell ref="R1:R2"/>
    <mergeCell ref="K8:K9"/>
    <mergeCell ref="L8:N9"/>
    <mergeCell ref="A39:D39"/>
    <mergeCell ref="A1:J1"/>
    <mergeCell ref="K1:K2"/>
    <mergeCell ref="L1:N2"/>
    <mergeCell ref="O1:Q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1366-8D95-4958-879E-5D32C53AC51C}">
  <dimension ref="A1:R86"/>
  <sheetViews>
    <sheetView workbookViewId="0">
      <selection activeCell="R8" sqref="R8"/>
    </sheetView>
  </sheetViews>
  <sheetFormatPr defaultRowHeight="14.3" x14ac:dyDescent="0.25"/>
  <cols>
    <col min="1" max="1" width="16.5" customWidth="1"/>
    <col min="2" max="5" width="4.5" customWidth="1"/>
    <col min="6" max="6" width="16.5" customWidth="1"/>
    <col min="7" max="10" width="4.5" customWidth="1"/>
    <col min="11" max="11" width="16.5" customWidth="1"/>
    <col min="12" max="18" width="5.75" customWidth="1"/>
  </cols>
  <sheetData>
    <row r="1" spans="1:18" ht="17" thickBot="1" x14ac:dyDescent="0.3">
      <c r="A1" s="384" t="s">
        <v>346</v>
      </c>
      <c r="B1" s="385"/>
      <c r="C1" s="385"/>
      <c r="D1" s="385"/>
      <c r="E1" s="385"/>
      <c r="F1" s="385"/>
      <c r="G1" s="385"/>
      <c r="H1" s="385"/>
      <c r="I1" s="385"/>
      <c r="J1" s="386"/>
      <c r="K1" s="387" t="s">
        <v>16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</row>
    <row r="2" spans="1:18" ht="14.95" thickBot="1" x14ac:dyDescent="0.3">
      <c r="A2" s="239" t="s">
        <v>0</v>
      </c>
      <c r="B2" s="179" t="s">
        <v>339</v>
      </c>
      <c r="C2" s="180" t="s">
        <v>12</v>
      </c>
      <c r="D2" s="275" t="s">
        <v>396</v>
      </c>
      <c r="E2" s="244" t="s">
        <v>1</v>
      </c>
      <c r="F2" s="152" t="s">
        <v>2</v>
      </c>
      <c r="G2" s="177" t="s">
        <v>339</v>
      </c>
      <c r="H2" s="195" t="s">
        <v>12</v>
      </c>
      <c r="I2" s="286" t="s">
        <v>396</v>
      </c>
      <c r="J2" s="153" t="s">
        <v>1</v>
      </c>
      <c r="K2" s="388"/>
      <c r="L2" s="312"/>
      <c r="M2" s="313"/>
      <c r="N2" s="314"/>
      <c r="O2" s="312"/>
      <c r="P2" s="313"/>
      <c r="Q2" s="314"/>
      <c r="R2" s="316"/>
    </row>
    <row r="3" spans="1:18" ht="14.95" thickBot="1" x14ac:dyDescent="0.3">
      <c r="A3" s="240" t="s">
        <v>443</v>
      </c>
      <c r="B3" s="181">
        <v>0</v>
      </c>
      <c r="C3" s="182">
        <v>0</v>
      </c>
      <c r="D3" s="276">
        <v>0</v>
      </c>
      <c r="E3" s="241">
        <f>SUM(B3:D3)</f>
        <v>0</v>
      </c>
      <c r="F3" s="154" t="s">
        <v>443</v>
      </c>
      <c r="G3" s="178">
        <v>0</v>
      </c>
      <c r="H3" s="196">
        <v>0</v>
      </c>
      <c r="I3" s="287">
        <v>0</v>
      </c>
      <c r="J3" s="31">
        <f>SUM(G3:I3)</f>
        <v>0</v>
      </c>
      <c r="K3" s="183"/>
      <c r="L3" s="31" t="s">
        <v>18</v>
      </c>
      <c r="M3" s="31" t="s">
        <v>5</v>
      </c>
      <c r="N3" s="31" t="s">
        <v>6</v>
      </c>
      <c r="O3" s="84" t="s">
        <v>18</v>
      </c>
      <c r="P3" s="31" t="s">
        <v>5</v>
      </c>
      <c r="Q3" s="31" t="s">
        <v>6</v>
      </c>
      <c r="R3" s="1"/>
    </row>
    <row r="4" spans="1:18" ht="14.95" thickBot="1" x14ac:dyDescent="0.3">
      <c r="A4" s="240" t="s">
        <v>437</v>
      </c>
      <c r="B4" s="181">
        <v>0</v>
      </c>
      <c r="C4" s="182">
        <v>0</v>
      </c>
      <c r="D4" s="276">
        <v>0</v>
      </c>
      <c r="E4" s="241">
        <f t="shared" ref="E4:E42" si="0">SUM(B4:D4)</f>
        <v>0</v>
      </c>
      <c r="F4" s="155" t="s">
        <v>437</v>
      </c>
      <c r="G4" s="178">
        <v>0</v>
      </c>
      <c r="H4" s="196">
        <v>0</v>
      </c>
      <c r="I4" s="287">
        <v>0</v>
      </c>
      <c r="J4" s="31">
        <f t="shared" ref="J4:J42" si="1">SUM(G4:I4)</f>
        <v>0</v>
      </c>
      <c r="K4" s="240" t="s">
        <v>354</v>
      </c>
      <c r="L4" s="241">
        <v>7</v>
      </c>
      <c r="M4" s="241">
        <v>13</v>
      </c>
      <c r="N4" s="242">
        <f t="shared" ref="N4:N6" si="2">SUM(L4/M4)*100</f>
        <v>53.846153846153847</v>
      </c>
      <c r="O4" s="241">
        <v>1</v>
      </c>
      <c r="P4" s="241">
        <v>3</v>
      </c>
      <c r="Q4" s="242">
        <f t="shared" ref="Q4" si="3">SUM(O4/P4)*100</f>
        <v>33.333333333333329</v>
      </c>
      <c r="R4" s="243">
        <v>-2</v>
      </c>
    </row>
    <row r="5" spans="1:18" ht="14.95" thickBot="1" x14ac:dyDescent="0.3">
      <c r="A5" s="240" t="s">
        <v>454</v>
      </c>
      <c r="B5" s="181">
        <v>0</v>
      </c>
      <c r="C5" s="182">
        <v>0</v>
      </c>
      <c r="D5" s="276">
        <v>0</v>
      </c>
      <c r="E5" s="241">
        <f t="shared" si="0"/>
        <v>0</v>
      </c>
      <c r="F5" s="155" t="s">
        <v>454</v>
      </c>
      <c r="G5" s="178">
        <v>0</v>
      </c>
      <c r="H5" s="196">
        <v>0</v>
      </c>
      <c r="I5" s="287">
        <v>0</v>
      </c>
      <c r="J5" s="31">
        <f t="shared" si="1"/>
        <v>0</v>
      </c>
      <c r="K5" s="240" t="s">
        <v>368</v>
      </c>
      <c r="L5" s="241">
        <v>2</v>
      </c>
      <c r="M5" s="241">
        <v>2</v>
      </c>
      <c r="N5" s="242">
        <f t="shared" si="2"/>
        <v>100</v>
      </c>
      <c r="O5" s="241" t="s">
        <v>8</v>
      </c>
      <c r="P5" s="241" t="s">
        <v>8</v>
      </c>
      <c r="Q5" s="242" t="s">
        <v>8</v>
      </c>
      <c r="R5" s="243">
        <v>2</v>
      </c>
    </row>
    <row r="6" spans="1:18" ht="14.95" thickBot="1" x14ac:dyDescent="0.3">
      <c r="A6" s="240" t="s">
        <v>440</v>
      </c>
      <c r="B6" s="181">
        <v>0</v>
      </c>
      <c r="C6" s="182">
        <v>0</v>
      </c>
      <c r="D6" s="276">
        <v>1</v>
      </c>
      <c r="E6" s="241">
        <f t="shared" si="0"/>
        <v>1</v>
      </c>
      <c r="F6" s="155" t="s">
        <v>440</v>
      </c>
      <c r="G6" s="178">
        <v>0</v>
      </c>
      <c r="H6" s="196">
        <v>0</v>
      </c>
      <c r="I6" s="287">
        <v>5</v>
      </c>
      <c r="J6" s="31">
        <f t="shared" si="1"/>
        <v>5</v>
      </c>
      <c r="K6" s="240" t="s">
        <v>348</v>
      </c>
      <c r="L6" s="241">
        <v>0</v>
      </c>
      <c r="M6" s="241">
        <v>1</v>
      </c>
      <c r="N6" s="242">
        <f t="shared" si="2"/>
        <v>0</v>
      </c>
      <c r="O6" s="241" t="s">
        <v>8</v>
      </c>
      <c r="P6" s="241" t="s">
        <v>8</v>
      </c>
      <c r="Q6" s="242" t="s">
        <v>8</v>
      </c>
      <c r="R6" s="243">
        <v>-1</v>
      </c>
    </row>
    <row r="7" spans="1:18" ht="14.95" thickBot="1" x14ac:dyDescent="0.3">
      <c r="A7" s="240" t="s">
        <v>354</v>
      </c>
      <c r="B7" s="181">
        <v>0</v>
      </c>
      <c r="C7" s="182">
        <v>0</v>
      </c>
      <c r="D7" s="276">
        <v>0</v>
      </c>
      <c r="E7" s="241">
        <f t="shared" si="0"/>
        <v>0</v>
      </c>
      <c r="F7" s="155" t="s">
        <v>354</v>
      </c>
      <c r="G7" s="178">
        <v>11</v>
      </c>
      <c r="H7" s="196">
        <v>5</v>
      </c>
      <c r="I7" s="287">
        <v>3</v>
      </c>
      <c r="J7" s="31">
        <f t="shared" si="1"/>
        <v>19</v>
      </c>
      <c r="K7" s="240" t="s">
        <v>430</v>
      </c>
      <c r="L7" s="241">
        <v>8</v>
      </c>
      <c r="M7" s="241">
        <v>10</v>
      </c>
      <c r="N7" s="242">
        <f t="shared" ref="N7" si="4">SUM(L7/M7)*100</f>
        <v>80</v>
      </c>
      <c r="O7" s="241">
        <v>2</v>
      </c>
      <c r="P7" s="241">
        <v>3</v>
      </c>
      <c r="Q7" s="242">
        <v>67</v>
      </c>
      <c r="R7" s="243">
        <v>2</v>
      </c>
    </row>
    <row r="8" spans="1:18" ht="14.95" thickBot="1" x14ac:dyDescent="0.3">
      <c r="A8" s="240" t="s">
        <v>439</v>
      </c>
      <c r="B8" s="181">
        <v>0</v>
      </c>
      <c r="C8" s="182">
        <v>0</v>
      </c>
      <c r="D8" s="276">
        <v>0</v>
      </c>
      <c r="E8" s="241">
        <f t="shared" si="0"/>
        <v>0</v>
      </c>
      <c r="F8" s="155" t="s">
        <v>439</v>
      </c>
      <c r="G8" s="178">
        <v>0</v>
      </c>
      <c r="H8" s="196">
        <v>0</v>
      </c>
      <c r="I8" s="287">
        <v>0</v>
      </c>
      <c r="J8" s="31">
        <f t="shared" si="1"/>
        <v>0</v>
      </c>
      <c r="K8" s="48"/>
      <c r="L8" s="48"/>
      <c r="M8" s="48"/>
      <c r="N8" s="48"/>
      <c r="O8" s="48"/>
      <c r="P8" s="48"/>
      <c r="Q8" s="48"/>
    </row>
    <row r="9" spans="1:18" ht="17" thickBot="1" x14ac:dyDescent="0.3">
      <c r="A9" s="240" t="s">
        <v>640</v>
      </c>
      <c r="B9" s="181">
        <v>0</v>
      </c>
      <c r="C9" s="182">
        <v>0</v>
      </c>
      <c r="D9" s="276">
        <v>1</v>
      </c>
      <c r="E9" s="241">
        <f t="shared" si="0"/>
        <v>1</v>
      </c>
      <c r="F9" s="155" t="s">
        <v>640</v>
      </c>
      <c r="G9" s="178">
        <v>0</v>
      </c>
      <c r="H9" s="196">
        <v>0</v>
      </c>
      <c r="I9" s="287">
        <v>5</v>
      </c>
      <c r="J9" s="31">
        <f t="shared" si="1"/>
        <v>5</v>
      </c>
      <c r="K9" s="324" t="s">
        <v>345</v>
      </c>
      <c r="L9" s="309">
        <v>2022</v>
      </c>
      <c r="M9" s="310"/>
      <c r="N9" s="311"/>
      <c r="O9" s="118"/>
      <c r="P9" s="118"/>
      <c r="Q9" s="118"/>
    </row>
    <row r="10" spans="1:18" ht="14.95" thickBot="1" x14ac:dyDescent="0.3">
      <c r="A10" s="240" t="s">
        <v>457</v>
      </c>
      <c r="B10" s="181">
        <v>0</v>
      </c>
      <c r="C10" s="182">
        <v>0</v>
      </c>
      <c r="D10" s="276">
        <v>0</v>
      </c>
      <c r="E10" s="241">
        <f t="shared" si="0"/>
        <v>0</v>
      </c>
      <c r="F10" s="155" t="s">
        <v>457</v>
      </c>
      <c r="G10" s="178">
        <v>0</v>
      </c>
      <c r="H10" s="196">
        <v>0</v>
      </c>
      <c r="I10" s="287">
        <v>0</v>
      </c>
      <c r="J10" s="31">
        <f t="shared" si="1"/>
        <v>0</v>
      </c>
      <c r="K10" s="325"/>
      <c r="L10" s="312"/>
      <c r="M10" s="313"/>
      <c r="N10" s="314"/>
      <c r="O10" s="63"/>
      <c r="P10" s="63"/>
      <c r="Q10" s="63"/>
    </row>
    <row r="11" spans="1:18" ht="14.95" thickBot="1" x14ac:dyDescent="0.3">
      <c r="A11" s="240" t="s">
        <v>460</v>
      </c>
      <c r="B11" s="181">
        <v>0</v>
      </c>
      <c r="C11" s="182">
        <v>0</v>
      </c>
      <c r="D11" s="276">
        <v>0</v>
      </c>
      <c r="E11" s="241">
        <f t="shared" si="0"/>
        <v>0</v>
      </c>
      <c r="F11" s="155" t="s">
        <v>460</v>
      </c>
      <c r="G11" s="178">
        <v>0</v>
      </c>
      <c r="H11" s="196">
        <v>0</v>
      </c>
      <c r="I11" s="287">
        <v>0</v>
      </c>
      <c r="J11" s="31">
        <f t="shared" si="1"/>
        <v>0</v>
      </c>
      <c r="K11" s="176"/>
      <c r="L11" s="31" t="s">
        <v>18</v>
      </c>
      <c r="M11" s="31" t="s">
        <v>5</v>
      </c>
      <c r="N11" s="31" t="s">
        <v>6</v>
      </c>
      <c r="O11" s="63"/>
      <c r="P11" s="63"/>
      <c r="Q11" s="63"/>
    </row>
    <row r="12" spans="1:18" ht="14.95" thickBot="1" x14ac:dyDescent="0.3">
      <c r="A12" s="240" t="s">
        <v>368</v>
      </c>
      <c r="B12" s="181">
        <v>0</v>
      </c>
      <c r="C12" s="182">
        <v>0</v>
      </c>
      <c r="D12" s="276">
        <v>0</v>
      </c>
      <c r="E12" s="241">
        <f t="shared" si="0"/>
        <v>0</v>
      </c>
      <c r="F12" s="155" t="s">
        <v>368</v>
      </c>
      <c r="G12" s="178">
        <v>6</v>
      </c>
      <c r="H12" s="196">
        <v>0</v>
      </c>
      <c r="I12" s="287">
        <v>0</v>
      </c>
      <c r="J12" s="31">
        <f t="shared" si="1"/>
        <v>6</v>
      </c>
      <c r="K12" s="240" t="s">
        <v>354</v>
      </c>
      <c r="L12" s="241">
        <v>4</v>
      </c>
      <c r="M12" s="241">
        <v>4</v>
      </c>
      <c r="N12" s="242">
        <f t="shared" ref="N12:N13" si="5">SUM(L12/M12)*100</f>
        <v>100</v>
      </c>
      <c r="O12" s="63"/>
      <c r="P12" s="63"/>
      <c r="Q12" s="63"/>
    </row>
    <row r="13" spans="1:18" ht="14.95" thickBot="1" x14ac:dyDescent="0.3">
      <c r="A13" s="240" t="s">
        <v>458</v>
      </c>
      <c r="B13" s="181">
        <v>0</v>
      </c>
      <c r="C13" s="182">
        <v>0</v>
      </c>
      <c r="D13" s="276">
        <v>0</v>
      </c>
      <c r="E13" s="241">
        <f t="shared" si="0"/>
        <v>0</v>
      </c>
      <c r="F13" s="155" t="s">
        <v>458</v>
      </c>
      <c r="G13" s="178">
        <v>0</v>
      </c>
      <c r="H13" s="196">
        <v>0</v>
      </c>
      <c r="I13" s="287">
        <v>0</v>
      </c>
      <c r="J13" s="31">
        <f t="shared" si="1"/>
        <v>0</v>
      </c>
      <c r="K13" s="240" t="s">
        <v>368</v>
      </c>
      <c r="L13" s="241">
        <v>2</v>
      </c>
      <c r="M13" s="241">
        <v>2</v>
      </c>
      <c r="N13" s="242">
        <f t="shared" si="5"/>
        <v>100</v>
      </c>
      <c r="O13" s="63"/>
      <c r="P13" s="63"/>
      <c r="Q13" s="63"/>
    </row>
    <row r="14" spans="1:18" ht="14.95" thickBot="1" x14ac:dyDescent="0.3">
      <c r="A14" s="240" t="s">
        <v>442</v>
      </c>
      <c r="B14" s="181">
        <v>0</v>
      </c>
      <c r="C14" s="182">
        <v>0</v>
      </c>
      <c r="D14" s="276">
        <v>0</v>
      </c>
      <c r="E14" s="241">
        <f t="shared" si="0"/>
        <v>0</v>
      </c>
      <c r="F14" s="155" t="s">
        <v>442</v>
      </c>
      <c r="G14" s="178">
        <v>0</v>
      </c>
      <c r="H14" s="196">
        <v>0</v>
      </c>
      <c r="I14" s="287">
        <v>0</v>
      </c>
      <c r="J14" s="31">
        <f t="shared" si="1"/>
        <v>0</v>
      </c>
      <c r="K14" s="240" t="s">
        <v>348</v>
      </c>
      <c r="L14" s="241">
        <v>0</v>
      </c>
      <c r="M14" s="241">
        <v>1</v>
      </c>
      <c r="N14" s="242">
        <f t="shared" ref="N14" si="6">SUM(L14/M14)*100</f>
        <v>0</v>
      </c>
      <c r="O14" s="63"/>
      <c r="P14" s="63"/>
      <c r="Q14" s="63"/>
    </row>
    <row r="15" spans="1:18" ht="14.95" thickBot="1" x14ac:dyDescent="0.3">
      <c r="A15" s="240" t="s">
        <v>348</v>
      </c>
      <c r="B15" s="181">
        <v>0</v>
      </c>
      <c r="C15" s="182">
        <v>0</v>
      </c>
      <c r="D15" s="276">
        <v>0</v>
      </c>
      <c r="E15" s="241">
        <f t="shared" si="0"/>
        <v>0</v>
      </c>
      <c r="F15" s="155" t="s">
        <v>348</v>
      </c>
      <c r="G15" s="178">
        <v>0</v>
      </c>
      <c r="H15" s="196">
        <v>0</v>
      </c>
      <c r="I15" s="287">
        <v>0</v>
      </c>
      <c r="J15" s="31">
        <f t="shared" si="1"/>
        <v>0</v>
      </c>
      <c r="O15" s="9"/>
      <c r="P15" s="9"/>
      <c r="Q15" s="9"/>
    </row>
    <row r="16" spans="1:18" ht="14.95" thickBot="1" x14ac:dyDescent="0.3">
      <c r="A16" s="240" t="s">
        <v>446</v>
      </c>
      <c r="B16" s="181">
        <v>0</v>
      </c>
      <c r="C16" s="182">
        <v>0</v>
      </c>
      <c r="D16" s="276">
        <v>0</v>
      </c>
      <c r="E16" s="241">
        <f t="shared" si="0"/>
        <v>0</v>
      </c>
      <c r="F16" s="155" t="s">
        <v>446</v>
      </c>
      <c r="G16" s="178">
        <v>0</v>
      </c>
      <c r="H16" s="196">
        <v>0</v>
      </c>
      <c r="I16" s="287">
        <v>0</v>
      </c>
      <c r="J16" s="31">
        <f t="shared" si="1"/>
        <v>0</v>
      </c>
      <c r="K16" s="326" t="s">
        <v>521</v>
      </c>
      <c r="L16" s="309">
        <v>2022</v>
      </c>
      <c r="M16" s="310"/>
      <c r="N16" s="311"/>
    </row>
    <row r="17" spans="1:17" ht="14.95" thickBot="1" x14ac:dyDescent="0.3">
      <c r="A17" s="240" t="s">
        <v>441</v>
      </c>
      <c r="B17" s="181">
        <v>0</v>
      </c>
      <c r="C17" s="182">
        <v>0</v>
      </c>
      <c r="D17" s="276">
        <v>0</v>
      </c>
      <c r="E17" s="241">
        <f t="shared" si="0"/>
        <v>0</v>
      </c>
      <c r="F17" s="155" t="s">
        <v>441</v>
      </c>
      <c r="G17" s="178">
        <v>0</v>
      </c>
      <c r="H17" s="196">
        <v>0</v>
      </c>
      <c r="I17" s="287">
        <v>0</v>
      </c>
      <c r="J17" s="31">
        <f t="shared" si="1"/>
        <v>0</v>
      </c>
      <c r="K17" s="327"/>
      <c r="L17" s="312"/>
      <c r="M17" s="313"/>
      <c r="N17" s="314"/>
    </row>
    <row r="18" spans="1:17" ht="14.95" thickBot="1" x14ac:dyDescent="0.3">
      <c r="A18" s="240" t="s">
        <v>449</v>
      </c>
      <c r="B18" s="181">
        <v>0</v>
      </c>
      <c r="C18" s="182">
        <v>0</v>
      </c>
      <c r="D18" s="276">
        <v>0</v>
      </c>
      <c r="E18" s="241">
        <f t="shared" si="0"/>
        <v>0</v>
      </c>
      <c r="F18" s="155" t="s">
        <v>449</v>
      </c>
      <c r="G18" s="178">
        <v>0</v>
      </c>
      <c r="H18" s="196">
        <v>0</v>
      </c>
      <c r="I18" s="287">
        <v>0</v>
      </c>
      <c r="J18" s="31">
        <f t="shared" si="1"/>
        <v>0</v>
      </c>
      <c r="K18" s="267"/>
      <c r="L18" s="31" t="s">
        <v>18</v>
      </c>
      <c r="M18" s="31" t="s">
        <v>5</v>
      </c>
      <c r="N18" s="31" t="s">
        <v>6</v>
      </c>
    </row>
    <row r="19" spans="1:17" ht="14.95" thickBot="1" x14ac:dyDescent="0.3">
      <c r="A19" s="240" t="s">
        <v>438</v>
      </c>
      <c r="B19" s="181">
        <v>0</v>
      </c>
      <c r="C19" s="182">
        <v>0</v>
      </c>
      <c r="D19" s="276">
        <v>0</v>
      </c>
      <c r="E19" s="241">
        <f t="shared" si="0"/>
        <v>0</v>
      </c>
      <c r="F19" s="155" t="s">
        <v>438</v>
      </c>
      <c r="G19" s="178">
        <v>0</v>
      </c>
      <c r="H19" s="196">
        <v>0</v>
      </c>
      <c r="I19" s="287">
        <v>0</v>
      </c>
      <c r="J19" s="31">
        <f t="shared" si="1"/>
        <v>0</v>
      </c>
      <c r="K19" s="240" t="s">
        <v>354</v>
      </c>
      <c r="L19" s="241">
        <v>1</v>
      </c>
      <c r="M19" s="241">
        <v>5</v>
      </c>
      <c r="N19" s="242">
        <v>20</v>
      </c>
    </row>
    <row r="20" spans="1:17" ht="14.95" thickBot="1" x14ac:dyDescent="0.3">
      <c r="A20" s="240" t="s">
        <v>455</v>
      </c>
      <c r="B20" s="181">
        <v>0</v>
      </c>
      <c r="C20" s="182">
        <v>0</v>
      </c>
      <c r="D20" s="276">
        <v>0</v>
      </c>
      <c r="E20" s="241">
        <f t="shared" si="0"/>
        <v>0</v>
      </c>
      <c r="F20" s="155" t="s">
        <v>455</v>
      </c>
      <c r="G20" s="178">
        <v>0</v>
      </c>
      <c r="H20" s="196">
        <v>0</v>
      </c>
      <c r="I20" s="287">
        <v>0</v>
      </c>
      <c r="J20" s="31">
        <f t="shared" si="1"/>
        <v>0</v>
      </c>
      <c r="K20" s="240" t="s">
        <v>368</v>
      </c>
      <c r="L20" s="241" t="s">
        <v>8</v>
      </c>
      <c r="M20" s="241" t="s">
        <v>8</v>
      </c>
      <c r="N20" s="242" t="s">
        <v>8</v>
      </c>
    </row>
    <row r="21" spans="1:17" ht="14.95" thickBot="1" x14ac:dyDescent="0.3">
      <c r="A21" s="240" t="s">
        <v>461</v>
      </c>
      <c r="B21" s="181">
        <v>0</v>
      </c>
      <c r="C21" s="182">
        <v>0</v>
      </c>
      <c r="D21" s="276">
        <v>0</v>
      </c>
      <c r="E21" s="241">
        <f t="shared" si="0"/>
        <v>0</v>
      </c>
      <c r="F21" s="155" t="s">
        <v>461</v>
      </c>
      <c r="G21" s="178">
        <v>0</v>
      </c>
      <c r="H21" s="196">
        <v>0</v>
      </c>
      <c r="I21" s="287">
        <v>0</v>
      </c>
      <c r="J21" s="31">
        <f t="shared" si="1"/>
        <v>0</v>
      </c>
      <c r="K21" s="240" t="s">
        <v>348</v>
      </c>
      <c r="L21" s="241" t="s">
        <v>8</v>
      </c>
      <c r="M21" s="241" t="s">
        <v>8</v>
      </c>
      <c r="N21" s="242" t="s">
        <v>8</v>
      </c>
    </row>
    <row r="22" spans="1:17" ht="14.95" thickBot="1" x14ac:dyDescent="0.3">
      <c r="A22" s="240" t="s">
        <v>462</v>
      </c>
      <c r="B22" s="181">
        <v>0</v>
      </c>
      <c r="C22" s="182">
        <v>0</v>
      </c>
      <c r="D22" s="276">
        <v>0</v>
      </c>
      <c r="E22" s="241">
        <f t="shared" si="0"/>
        <v>0</v>
      </c>
      <c r="F22" s="155" t="s">
        <v>462</v>
      </c>
      <c r="G22" s="178">
        <v>0</v>
      </c>
      <c r="H22" s="196">
        <v>0</v>
      </c>
      <c r="I22" s="287">
        <v>0</v>
      </c>
      <c r="J22" s="31">
        <f t="shared" si="1"/>
        <v>0</v>
      </c>
      <c r="K22" s="240" t="s">
        <v>430</v>
      </c>
      <c r="L22" s="241">
        <v>7</v>
      </c>
      <c r="M22" s="241">
        <v>8</v>
      </c>
      <c r="N22" s="242">
        <v>88</v>
      </c>
    </row>
    <row r="23" spans="1:17" ht="14.95" thickBot="1" x14ac:dyDescent="0.3">
      <c r="A23" s="240" t="s">
        <v>434</v>
      </c>
      <c r="B23" s="181">
        <v>0</v>
      </c>
      <c r="C23" s="182">
        <v>0</v>
      </c>
      <c r="D23" s="276">
        <v>0</v>
      </c>
      <c r="E23" s="241">
        <f t="shared" si="0"/>
        <v>0</v>
      </c>
      <c r="F23" s="155" t="s">
        <v>434</v>
      </c>
      <c r="G23" s="178">
        <v>0</v>
      </c>
      <c r="H23" s="196">
        <v>0</v>
      </c>
      <c r="I23" s="287">
        <v>0</v>
      </c>
      <c r="J23" s="31">
        <f t="shared" si="1"/>
        <v>0</v>
      </c>
      <c r="O23" s="9"/>
      <c r="P23" s="9"/>
      <c r="Q23" s="9"/>
    </row>
    <row r="24" spans="1:17" ht="14.95" thickBot="1" x14ac:dyDescent="0.3">
      <c r="A24" s="240" t="s">
        <v>430</v>
      </c>
      <c r="B24" s="181">
        <v>0</v>
      </c>
      <c r="C24" s="182">
        <v>0</v>
      </c>
      <c r="D24" s="276">
        <v>2</v>
      </c>
      <c r="E24" s="241">
        <f t="shared" si="0"/>
        <v>2</v>
      </c>
      <c r="F24" s="155" t="s">
        <v>430</v>
      </c>
      <c r="G24" s="178">
        <v>0</v>
      </c>
      <c r="H24" s="196">
        <v>3</v>
      </c>
      <c r="I24" s="287">
        <v>27</v>
      </c>
      <c r="J24" s="31">
        <f t="shared" si="1"/>
        <v>30</v>
      </c>
      <c r="O24" s="22"/>
      <c r="P24" s="22"/>
      <c r="Q24" s="25"/>
    </row>
    <row r="25" spans="1:17" ht="14.95" thickBot="1" x14ac:dyDescent="0.3">
      <c r="A25" s="240" t="s">
        <v>447</v>
      </c>
      <c r="B25" s="181">
        <v>0</v>
      </c>
      <c r="C25" s="182">
        <v>0</v>
      </c>
      <c r="D25" s="276">
        <v>2</v>
      </c>
      <c r="E25" s="241">
        <f t="shared" si="0"/>
        <v>2</v>
      </c>
      <c r="F25" s="155" t="s">
        <v>447</v>
      </c>
      <c r="G25" s="178">
        <v>0</v>
      </c>
      <c r="H25" s="196">
        <v>0</v>
      </c>
      <c r="I25" s="287">
        <v>10</v>
      </c>
      <c r="J25" s="31">
        <f t="shared" si="1"/>
        <v>10</v>
      </c>
      <c r="O25" s="22"/>
      <c r="P25" s="22"/>
      <c r="Q25" s="25"/>
    </row>
    <row r="26" spans="1:17" ht="14.95" thickBot="1" x14ac:dyDescent="0.3">
      <c r="A26" s="240" t="s">
        <v>445</v>
      </c>
      <c r="B26" s="181">
        <v>0</v>
      </c>
      <c r="C26" s="182">
        <v>0</v>
      </c>
      <c r="D26" s="276">
        <v>1</v>
      </c>
      <c r="E26" s="241">
        <f t="shared" si="0"/>
        <v>1</v>
      </c>
      <c r="F26" s="155" t="s">
        <v>445</v>
      </c>
      <c r="G26" s="178">
        <v>0</v>
      </c>
      <c r="H26" s="196">
        <v>0</v>
      </c>
      <c r="I26" s="287">
        <v>5</v>
      </c>
      <c r="J26" s="31">
        <f t="shared" si="1"/>
        <v>5</v>
      </c>
    </row>
    <row r="27" spans="1:17" ht="14.95" thickBot="1" x14ac:dyDescent="0.3">
      <c r="A27" s="240" t="s">
        <v>453</v>
      </c>
      <c r="B27" s="181">
        <v>0</v>
      </c>
      <c r="C27" s="182">
        <v>0</v>
      </c>
      <c r="D27" s="276">
        <v>0</v>
      </c>
      <c r="E27" s="241">
        <f t="shared" si="0"/>
        <v>0</v>
      </c>
      <c r="F27" s="155" t="s">
        <v>453</v>
      </c>
      <c r="G27" s="178">
        <v>0</v>
      </c>
      <c r="H27" s="196">
        <v>0</v>
      </c>
      <c r="I27" s="287">
        <v>0</v>
      </c>
      <c r="J27" s="31">
        <f t="shared" si="1"/>
        <v>0</v>
      </c>
    </row>
    <row r="28" spans="1:17" ht="14.95" thickBot="1" x14ac:dyDescent="0.3">
      <c r="A28" s="240" t="s">
        <v>459</v>
      </c>
      <c r="B28" s="181">
        <v>0</v>
      </c>
      <c r="C28" s="182">
        <v>0</v>
      </c>
      <c r="D28" s="276">
        <v>0</v>
      </c>
      <c r="E28" s="241">
        <f t="shared" si="0"/>
        <v>0</v>
      </c>
      <c r="F28" s="155" t="s">
        <v>459</v>
      </c>
      <c r="G28" s="178">
        <v>0</v>
      </c>
      <c r="H28" s="196">
        <v>0</v>
      </c>
      <c r="I28" s="287">
        <v>0</v>
      </c>
      <c r="J28" s="31">
        <f t="shared" si="1"/>
        <v>0</v>
      </c>
    </row>
    <row r="29" spans="1:17" ht="14.95" thickBot="1" x14ac:dyDescent="0.3">
      <c r="A29" s="240" t="s">
        <v>435</v>
      </c>
      <c r="B29" s="181">
        <v>0</v>
      </c>
      <c r="C29" s="182">
        <v>0</v>
      </c>
      <c r="D29" s="276">
        <v>0</v>
      </c>
      <c r="E29" s="241">
        <f t="shared" si="0"/>
        <v>0</v>
      </c>
      <c r="F29" s="155" t="s">
        <v>435</v>
      </c>
      <c r="G29" s="178">
        <v>0</v>
      </c>
      <c r="H29" s="196">
        <v>0</v>
      </c>
      <c r="I29" s="287">
        <v>0</v>
      </c>
      <c r="J29" s="31">
        <f t="shared" si="1"/>
        <v>0</v>
      </c>
    </row>
    <row r="30" spans="1:17" ht="14.95" thickBot="1" x14ac:dyDescent="0.3">
      <c r="A30" s="240" t="s">
        <v>448</v>
      </c>
      <c r="B30" s="181">
        <v>0</v>
      </c>
      <c r="C30" s="182">
        <v>0</v>
      </c>
      <c r="D30" s="276">
        <v>0</v>
      </c>
      <c r="E30" s="241">
        <f t="shared" si="0"/>
        <v>0</v>
      </c>
      <c r="F30" s="155" t="s">
        <v>448</v>
      </c>
      <c r="G30" s="178">
        <v>0</v>
      </c>
      <c r="H30" s="196">
        <v>0</v>
      </c>
      <c r="I30" s="287">
        <v>0</v>
      </c>
      <c r="J30" s="31">
        <f t="shared" si="1"/>
        <v>0</v>
      </c>
    </row>
    <row r="31" spans="1:17" ht="14.95" thickBot="1" x14ac:dyDescent="0.3">
      <c r="A31" s="240" t="s">
        <v>456</v>
      </c>
      <c r="B31" s="181">
        <v>0</v>
      </c>
      <c r="C31" s="182">
        <v>0</v>
      </c>
      <c r="D31" s="276">
        <v>0</v>
      </c>
      <c r="E31" s="241">
        <f t="shared" si="0"/>
        <v>0</v>
      </c>
      <c r="F31" s="155" t="s">
        <v>456</v>
      </c>
      <c r="G31" s="178">
        <v>0</v>
      </c>
      <c r="H31" s="196">
        <v>0</v>
      </c>
      <c r="I31" s="287">
        <v>0</v>
      </c>
      <c r="J31" s="31">
        <f t="shared" si="1"/>
        <v>0</v>
      </c>
    </row>
    <row r="32" spans="1:17" ht="14.95" thickBot="1" x14ac:dyDescent="0.3">
      <c r="A32" s="240" t="s">
        <v>302</v>
      </c>
      <c r="B32" s="181">
        <v>0</v>
      </c>
      <c r="C32" s="182">
        <v>1</v>
      </c>
      <c r="D32" s="276">
        <v>0</v>
      </c>
      <c r="E32" s="241">
        <f t="shared" si="0"/>
        <v>1</v>
      </c>
      <c r="F32" s="155" t="s">
        <v>302</v>
      </c>
      <c r="G32" s="178">
        <v>0</v>
      </c>
      <c r="H32" s="196">
        <v>7</v>
      </c>
      <c r="I32" s="287">
        <v>0</v>
      </c>
      <c r="J32" s="31">
        <f t="shared" si="1"/>
        <v>7</v>
      </c>
    </row>
    <row r="33" spans="1:10" ht="14.95" thickBot="1" x14ac:dyDescent="0.3">
      <c r="A33" s="240" t="s">
        <v>444</v>
      </c>
      <c r="B33" s="181">
        <v>0</v>
      </c>
      <c r="C33" s="182">
        <v>0</v>
      </c>
      <c r="D33" s="276">
        <v>0</v>
      </c>
      <c r="E33" s="241">
        <f t="shared" si="0"/>
        <v>0</v>
      </c>
      <c r="F33" s="155" t="s">
        <v>444</v>
      </c>
      <c r="G33" s="178">
        <v>0</v>
      </c>
      <c r="H33" s="196">
        <v>0</v>
      </c>
      <c r="I33" s="287">
        <v>0</v>
      </c>
      <c r="J33" s="31">
        <f t="shared" si="1"/>
        <v>0</v>
      </c>
    </row>
    <row r="34" spans="1:10" ht="14.95" thickBot="1" x14ac:dyDescent="0.3">
      <c r="A34" s="240" t="s">
        <v>353</v>
      </c>
      <c r="B34" s="181">
        <v>1</v>
      </c>
      <c r="C34" s="182">
        <v>3</v>
      </c>
      <c r="D34" s="276">
        <v>0</v>
      </c>
      <c r="E34" s="241">
        <f t="shared" si="0"/>
        <v>4</v>
      </c>
      <c r="F34" s="155" t="s">
        <v>353</v>
      </c>
      <c r="G34" s="178">
        <v>5</v>
      </c>
      <c r="H34" s="196">
        <v>15</v>
      </c>
      <c r="I34" s="287">
        <v>0</v>
      </c>
      <c r="J34" s="31">
        <f t="shared" si="1"/>
        <v>20</v>
      </c>
    </row>
    <row r="35" spans="1:10" ht="14.95" thickBot="1" x14ac:dyDescent="0.3">
      <c r="A35" s="240" t="s">
        <v>452</v>
      </c>
      <c r="B35" s="181">
        <v>0</v>
      </c>
      <c r="C35" s="182">
        <v>0</v>
      </c>
      <c r="D35" s="276">
        <v>0</v>
      </c>
      <c r="E35" s="241">
        <f t="shared" si="0"/>
        <v>0</v>
      </c>
      <c r="F35" s="155" t="s">
        <v>452</v>
      </c>
      <c r="G35" s="178">
        <v>0</v>
      </c>
      <c r="H35" s="196">
        <v>0</v>
      </c>
      <c r="I35" s="287">
        <v>0</v>
      </c>
      <c r="J35" s="31">
        <f t="shared" si="1"/>
        <v>0</v>
      </c>
    </row>
    <row r="36" spans="1:10" ht="14.95" thickBot="1" x14ac:dyDescent="0.3">
      <c r="A36" s="240" t="s">
        <v>433</v>
      </c>
      <c r="B36" s="181">
        <v>0</v>
      </c>
      <c r="C36" s="182">
        <v>0</v>
      </c>
      <c r="D36" s="276">
        <v>0</v>
      </c>
      <c r="E36" s="241">
        <f t="shared" si="0"/>
        <v>0</v>
      </c>
      <c r="F36" s="155" t="s">
        <v>433</v>
      </c>
      <c r="G36" s="178">
        <v>0</v>
      </c>
      <c r="H36" s="196">
        <v>0</v>
      </c>
      <c r="I36" s="287">
        <v>0</v>
      </c>
      <c r="J36" s="31">
        <f t="shared" si="1"/>
        <v>0</v>
      </c>
    </row>
    <row r="37" spans="1:10" ht="14.95" thickBot="1" x14ac:dyDescent="0.3">
      <c r="A37" s="240" t="s">
        <v>347</v>
      </c>
      <c r="B37" s="181">
        <v>1</v>
      </c>
      <c r="C37" s="182">
        <v>0</v>
      </c>
      <c r="D37" s="276">
        <v>1</v>
      </c>
      <c r="E37" s="241">
        <f t="shared" si="0"/>
        <v>2</v>
      </c>
      <c r="F37" s="155" t="s">
        <v>347</v>
      </c>
      <c r="G37" s="178">
        <v>5</v>
      </c>
      <c r="H37" s="196">
        <v>0</v>
      </c>
      <c r="I37" s="287">
        <v>5</v>
      </c>
      <c r="J37" s="31">
        <f t="shared" si="1"/>
        <v>10</v>
      </c>
    </row>
    <row r="38" spans="1:10" ht="14.95" thickBot="1" x14ac:dyDescent="0.3">
      <c r="A38" s="240" t="s">
        <v>451</v>
      </c>
      <c r="B38" s="181">
        <v>0</v>
      </c>
      <c r="C38" s="182">
        <v>0</v>
      </c>
      <c r="D38" s="276">
        <v>0</v>
      </c>
      <c r="E38" s="241">
        <f t="shared" si="0"/>
        <v>0</v>
      </c>
      <c r="F38" s="155" t="s">
        <v>451</v>
      </c>
      <c r="G38" s="178">
        <v>0</v>
      </c>
      <c r="H38" s="196">
        <v>0</v>
      </c>
      <c r="I38" s="287">
        <v>0</v>
      </c>
      <c r="J38" s="31">
        <f t="shared" si="1"/>
        <v>0</v>
      </c>
    </row>
    <row r="39" spans="1:10" ht="14.95" thickBot="1" x14ac:dyDescent="0.3">
      <c r="A39" s="240" t="s">
        <v>432</v>
      </c>
      <c r="B39" s="181">
        <v>0</v>
      </c>
      <c r="C39" s="182">
        <v>0</v>
      </c>
      <c r="D39" s="276">
        <v>0</v>
      </c>
      <c r="E39" s="241">
        <f t="shared" si="0"/>
        <v>0</v>
      </c>
      <c r="F39" s="155" t="s">
        <v>432</v>
      </c>
      <c r="G39" s="178">
        <v>0</v>
      </c>
      <c r="H39" s="196">
        <v>0</v>
      </c>
      <c r="I39" s="287">
        <v>0</v>
      </c>
      <c r="J39" s="31">
        <f t="shared" si="1"/>
        <v>0</v>
      </c>
    </row>
    <row r="40" spans="1:10" ht="14.95" thickBot="1" x14ac:dyDescent="0.3">
      <c r="A40" s="240" t="s">
        <v>436</v>
      </c>
      <c r="B40" s="181">
        <v>0</v>
      </c>
      <c r="C40" s="182">
        <v>0</v>
      </c>
      <c r="D40" s="276">
        <v>0</v>
      </c>
      <c r="E40" s="241">
        <f t="shared" si="0"/>
        <v>0</v>
      </c>
      <c r="F40" s="155" t="s">
        <v>436</v>
      </c>
      <c r="G40" s="178">
        <v>0</v>
      </c>
      <c r="H40" s="196">
        <v>0</v>
      </c>
      <c r="I40" s="287">
        <v>0</v>
      </c>
      <c r="J40" s="31">
        <f t="shared" si="1"/>
        <v>0</v>
      </c>
    </row>
    <row r="41" spans="1:10" ht="14.95" thickBot="1" x14ac:dyDescent="0.3">
      <c r="A41" s="240" t="s">
        <v>450</v>
      </c>
      <c r="B41" s="181">
        <v>0</v>
      </c>
      <c r="C41" s="182">
        <v>1</v>
      </c>
      <c r="D41" s="276">
        <v>1</v>
      </c>
      <c r="E41" s="241">
        <f t="shared" si="0"/>
        <v>2</v>
      </c>
      <c r="F41" s="155" t="s">
        <v>450</v>
      </c>
      <c r="G41" s="178">
        <v>0</v>
      </c>
      <c r="H41" s="196">
        <v>5</v>
      </c>
      <c r="I41" s="287">
        <v>5</v>
      </c>
      <c r="J41" s="31">
        <f t="shared" si="1"/>
        <v>10</v>
      </c>
    </row>
    <row r="42" spans="1:10" ht="14.95" thickBot="1" x14ac:dyDescent="0.3">
      <c r="A42" s="240" t="s">
        <v>3</v>
      </c>
      <c r="B42" s="181">
        <f>SUM(B3:B41)</f>
        <v>2</v>
      </c>
      <c r="C42" s="182">
        <f>SUM(C3:C41)</f>
        <v>5</v>
      </c>
      <c r="D42" s="276">
        <f>SUM(D3:D41)</f>
        <v>9</v>
      </c>
      <c r="E42" s="241">
        <f t="shared" si="0"/>
        <v>16</v>
      </c>
      <c r="F42" s="156" t="s">
        <v>3</v>
      </c>
      <c r="G42" s="177">
        <f>SUM(G3:G41)</f>
        <v>27</v>
      </c>
      <c r="H42" s="195">
        <f>SUM(H3:H41)</f>
        <v>35</v>
      </c>
      <c r="I42" s="286">
        <f>SUM(I3:I41)</f>
        <v>65</v>
      </c>
      <c r="J42" s="153">
        <f t="shared" si="1"/>
        <v>127</v>
      </c>
    </row>
    <row r="43" spans="1:10" ht="16.3" x14ac:dyDescent="0.25">
      <c r="C43" s="57"/>
      <c r="D43" s="57"/>
      <c r="F43" s="3"/>
      <c r="G43" s="3"/>
      <c r="H43" s="58"/>
      <c r="I43" s="58"/>
      <c r="J43" s="3"/>
    </row>
    <row r="44" spans="1:10" ht="17" thickBot="1" x14ac:dyDescent="0.3">
      <c r="A44" t="s">
        <v>7</v>
      </c>
      <c r="C44" s="57"/>
      <c r="D44" s="57"/>
      <c r="F44" s="3"/>
      <c r="G44" s="3"/>
      <c r="H44" s="58"/>
      <c r="I44" s="58"/>
      <c r="J44" s="3"/>
    </row>
    <row r="45" spans="1:10" ht="14.95" thickBot="1" x14ac:dyDescent="0.3">
      <c r="A45" s="239" t="s">
        <v>0</v>
      </c>
      <c r="B45" s="179" t="s">
        <v>339</v>
      </c>
      <c r="C45" s="180" t="s">
        <v>12</v>
      </c>
      <c r="D45" s="275" t="s">
        <v>396</v>
      </c>
      <c r="E45" s="244" t="s">
        <v>1</v>
      </c>
      <c r="F45" s="152" t="s">
        <v>2</v>
      </c>
      <c r="G45" s="177" t="s">
        <v>339</v>
      </c>
      <c r="H45" s="195" t="s">
        <v>12</v>
      </c>
      <c r="I45" s="286" t="s">
        <v>396</v>
      </c>
      <c r="J45" s="153" t="s">
        <v>1</v>
      </c>
    </row>
    <row r="46" spans="1:10" ht="14.95" thickBot="1" x14ac:dyDescent="0.3">
      <c r="A46" s="240" t="s">
        <v>353</v>
      </c>
      <c r="B46" s="181">
        <v>1</v>
      </c>
      <c r="C46" s="182">
        <v>3</v>
      </c>
      <c r="D46" s="276">
        <v>0</v>
      </c>
      <c r="E46" s="241">
        <f>SUM(B46:C46)</f>
        <v>4</v>
      </c>
      <c r="F46" s="154" t="s">
        <v>430</v>
      </c>
      <c r="G46" s="178">
        <v>0</v>
      </c>
      <c r="H46" s="196">
        <v>3</v>
      </c>
      <c r="I46" s="287">
        <v>27</v>
      </c>
      <c r="J46" s="31">
        <v>30</v>
      </c>
    </row>
    <row r="47" spans="1:10" ht="14.95" thickBot="1" x14ac:dyDescent="0.3">
      <c r="A47" s="240" t="s">
        <v>347</v>
      </c>
      <c r="B47" s="181">
        <v>1</v>
      </c>
      <c r="C47" s="182">
        <v>0</v>
      </c>
      <c r="D47" s="276">
        <v>1</v>
      </c>
      <c r="E47" s="241">
        <v>2</v>
      </c>
      <c r="F47" s="155" t="s">
        <v>353</v>
      </c>
      <c r="G47" s="178">
        <v>5</v>
      </c>
      <c r="H47" s="196">
        <v>15</v>
      </c>
      <c r="I47" s="287">
        <v>0</v>
      </c>
      <c r="J47" s="31">
        <f>SUM(G47:H47)</f>
        <v>20</v>
      </c>
    </row>
    <row r="48" spans="1:10" ht="14.95" thickBot="1" x14ac:dyDescent="0.3">
      <c r="A48" s="240" t="s">
        <v>450</v>
      </c>
      <c r="B48" s="181">
        <v>0</v>
      </c>
      <c r="C48" s="182">
        <v>1</v>
      </c>
      <c r="D48" s="276">
        <v>1</v>
      </c>
      <c r="E48" s="241">
        <v>2</v>
      </c>
      <c r="F48" s="155" t="s">
        <v>354</v>
      </c>
      <c r="G48" s="178">
        <v>11</v>
      </c>
      <c r="H48" s="196">
        <v>5</v>
      </c>
      <c r="I48" s="287">
        <v>3</v>
      </c>
      <c r="J48" s="31">
        <v>19</v>
      </c>
    </row>
    <row r="49" spans="1:10" ht="14.95" thickBot="1" x14ac:dyDescent="0.3">
      <c r="A49" s="240" t="s">
        <v>430</v>
      </c>
      <c r="B49" s="181">
        <v>0</v>
      </c>
      <c r="C49" s="182">
        <v>0</v>
      </c>
      <c r="D49" s="276">
        <v>2</v>
      </c>
      <c r="E49" s="241">
        <v>2</v>
      </c>
      <c r="F49" s="155" t="s">
        <v>347</v>
      </c>
      <c r="G49" s="178">
        <v>5</v>
      </c>
      <c r="H49" s="196">
        <v>0</v>
      </c>
      <c r="I49" s="287">
        <v>5</v>
      </c>
      <c r="J49" s="31">
        <v>10</v>
      </c>
    </row>
    <row r="50" spans="1:10" ht="14.95" thickBot="1" x14ac:dyDescent="0.3">
      <c r="A50" s="240" t="s">
        <v>447</v>
      </c>
      <c r="B50" s="181">
        <v>0</v>
      </c>
      <c r="C50" s="182">
        <v>0</v>
      </c>
      <c r="D50" s="276">
        <v>2</v>
      </c>
      <c r="E50" s="241">
        <v>2</v>
      </c>
      <c r="F50" s="155" t="s">
        <v>450</v>
      </c>
      <c r="G50" s="178">
        <v>0</v>
      </c>
      <c r="H50" s="196">
        <v>5</v>
      </c>
      <c r="I50" s="287">
        <v>5</v>
      </c>
      <c r="J50" s="31">
        <v>10</v>
      </c>
    </row>
    <row r="51" spans="1:10" ht="14.95" thickBot="1" x14ac:dyDescent="0.3">
      <c r="A51" s="240" t="s">
        <v>302</v>
      </c>
      <c r="B51" s="181">
        <v>0</v>
      </c>
      <c r="C51" s="182">
        <v>1</v>
      </c>
      <c r="D51" s="276">
        <v>0</v>
      </c>
      <c r="E51" s="241">
        <f>SUM(B51:C51)</f>
        <v>1</v>
      </c>
      <c r="F51" s="155" t="s">
        <v>447</v>
      </c>
      <c r="G51" s="178">
        <v>0</v>
      </c>
      <c r="H51" s="196">
        <v>0</v>
      </c>
      <c r="I51" s="287">
        <v>10</v>
      </c>
      <c r="J51" s="31">
        <v>10</v>
      </c>
    </row>
    <row r="52" spans="1:10" ht="14.95" thickBot="1" x14ac:dyDescent="0.3">
      <c r="A52" s="240" t="s">
        <v>445</v>
      </c>
      <c r="B52" s="181">
        <v>0</v>
      </c>
      <c r="C52" s="182">
        <v>0</v>
      </c>
      <c r="D52" s="276">
        <v>1</v>
      </c>
      <c r="E52" s="241">
        <v>1</v>
      </c>
      <c r="F52" s="155" t="s">
        <v>302</v>
      </c>
      <c r="G52" s="178">
        <v>0</v>
      </c>
      <c r="H52" s="196">
        <v>7</v>
      </c>
      <c r="I52" s="287">
        <v>0</v>
      </c>
      <c r="J52" s="31">
        <f>SUM(G52:H52)</f>
        <v>7</v>
      </c>
    </row>
    <row r="53" spans="1:10" ht="14.95" thickBot="1" x14ac:dyDescent="0.3">
      <c r="A53" s="240" t="s">
        <v>440</v>
      </c>
      <c r="B53" s="181">
        <v>0</v>
      </c>
      <c r="C53" s="182">
        <v>0</v>
      </c>
      <c r="D53" s="276">
        <v>1</v>
      </c>
      <c r="E53" s="241">
        <v>1</v>
      </c>
      <c r="F53" s="155" t="s">
        <v>368</v>
      </c>
      <c r="G53" s="178">
        <v>6</v>
      </c>
      <c r="H53" s="196">
        <v>0</v>
      </c>
      <c r="I53" s="287">
        <v>0</v>
      </c>
      <c r="J53" s="31">
        <f>SUM(G53:H53)</f>
        <v>6</v>
      </c>
    </row>
    <row r="54" spans="1:10" ht="14.95" thickBot="1" x14ac:dyDescent="0.3">
      <c r="A54" s="240" t="s">
        <v>640</v>
      </c>
      <c r="B54" s="181">
        <v>0</v>
      </c>
      <c r="C54" s="182">
        <v>0</v>
      </c>
      <c r="D54" s="276">
        <v>1</v>
      </c>
      <c r="E54" s="241">
        <v>1</v>
      </c>
      <c r="F54" s="155" t="s">
        <v>445</v>
      </c>
      <c r="G54" s="178">
        <v>0</v>
      </c>
      <c r="H54" s="196">
        <v>0</v>
      </c>
      <c r="I54" s="287">
        <v>5</v>
      </c>
      <c r="J54" s="31">
        <v>5</v>
      </c>
    </row>
    <row r="55" spans="1:10" ht="14.95" thickBot="1" x14ac:dyDescent="0.3">
      <c r="A55" s="240" t="s">
        <v>443</v>
      </c>
      <c r="B55" s="181">
        <v>0</v>
      </c>
      <c r="C55" s="182">
        <v>0</v>
      </c>
      <c r="D55" s="276">
        <v>0</v>
      </c>
      <c r="E55" s="241">
        <f t="shared" ref="E55:E84" si="7">SUM(B55:C55)</f>
        <v>0</v>
      </c>
      <c r="F55" s="155" t="s">
        <v>440</v>
      </c>
      <c r="G55" s="178">
        <v>0</v>
      </c>
      <c r="H55" s="196">
        <v>0</v>
      </c>
      <c r="I55" s="287">
        <v>5</v>
      </c>
      <c r="J55" s="31">
        <v>5</v>
      </c>
    </row>
    <row r="56" spans="1:10" ht="14.95" thickBot="1" x14ac:dyDescent="0.3">
      <c r="A56" s="240" t="s">
        <v>437</v>
      </c>
      <c r="B56" s="181">
        <v>0</v>
      </c>
      <c r="C56" s="182">
        <v>0</v>
      </c>
      <c r="D56" s="276">
        <v>0</v>
      </c>
      <c r="E56" s="241">
        <f t="shared" si="7"/>
        <v>0</v>
      </c>
      <c r="F56" s="155" t="s">
        <v>640</v>
      </c>
      <c r="G56" s="178">
        <v>0</v>
      </c>
      <c r="H56" s="196">
        <v>0</v>
      </c>
      <c r="I56" s="287">
        <v>5</v>
      </c>
      <c r="J56" s="31">
        <v>5</v>
      </c>
    </row>
    <row r="57" spans="1:10" ht="14.95" thickBot="1" x14ac:dyDescent="0.3">
      <c r="A57" s="240" t="s">
        <v>454</v>
      </c>
      <c r="B57" s="181">
        <v>0</v>
      </c>
      <c r="C57" s="182">
        <v>0</v>
      </c>
      <c r="D57" s="276">
        <v>0</v>
      </c>
      <c r="E57" s="241">
        <f t="shared" si="7"/>
        <v>0</v>
      </c>
      <c r="F57" s="155" t="s">
        <v>443</v>
      </c>
      <c r="G57" s="178">
        <v>0</v>
      </c>
      <c r="H57" s="196">
        <v>0</v>
      </c>
      <c r="I57" s="287">
        <v>0</v>
      </c>
      <c r="J57" s="31">
        <f t="shared" ref="J57:J84" si="8">SUM(G57:H57)</f>
        <v>0</v>
      </c>
    </row>
    <row r="58" spans="1:10" ht="14.95" thickBot="1" x14ac:dyDescent="0.3">
      <c r="A58" s="240" t="s">
        <v>354</v>
      </c>
      <c r="B58" s="181">
        <v>0</v>
      </c>
      <c r="C58" s="182">
        <v>0</v>
      </c>
      <c r="D58" s="276">
        <v>0</v>
      </c>
      <c r="E58" s="241">
        <f t="shared" si="7"/>
        <v>0</v>
      </c>
      <c r="F58" s="155" t="s">
        <v>437</v>
      </c>
      <c r="G58" s="178">
        <v>0</v>
      </c>
      <c r="H58" s="196">
        <v>0</v>
      </c>
      <c r="I58" s="287">
        <v>0</v>
      </c>
      <c r="J58" s="31">
        <f t="shared" si="8"/>
        <v>0</v>
      </c>
    </row>
    <row r="59" spans="1:10" ht="14.95" thickBot="1" x14ac:dyDescent="0.3">
      <c r="A59" s="240" t="s">
        <v>439</v>
      </c>
      <c r="B59" s="181">
        <v>0</v>
      </c>
      <c r="C59" s="182">
        <v>0</v>
      </c>
      <c r="D59" s="276">
        <v>0</v>
      </c>
      <c r="E59" s="241">
        <f t="shared" si="7"/>
        <v>0</v>
      </c>
      <c r="F59" s="155" t="s">
        <v>454</v>
      </c>
      <c r="G59" s="178">
        <v>0</v>
      </c>
      <c r="H59" s="196">
        <v>0</v>
      </c>
      <c r="I59" s="287">
        <v>0</v>
      </c>
      <c r="J59" s="31">
        <f t="shared" si="8"/>
        <v>0</v>
      </c>
    </row>
    <row r="60" spans="1:10" ht="14.95" thickBot="1" x14ac:dyDescent="0.3">
      <c r="A60" s="240" t="s">
        <v>457</v>
      </c>
      <c r="B60" s="181">
        <v>0</v>
      </c>
      <c r="C60" s="182">
        <v>0</v>
      </c>
      <c r="D60" s="276">
        <v>0</v>
      </c>
      <c r="E60" s="241">
        <f t="shared" si="7"/>
        <v>0</v>
      </c>
      <c r="F60" s="155" t="s">
        <v>439</v>
      </c>
      <c r="G60" s="178">
        <v>0</v>
      </c>
      <c r="H60" s="196">
        <v>0</v>
      </c>
      <c r="I60" s="287">
        <v>0</v>
      </c>
      <c r="J60" s="31">
        <f t="shared" si="8"/>
        <v>0</v>
      </c>
    </row>
    <row r="61" spans="1:10" ht="14.95" thickBot="1" x14ac:dyDescent="0.3">
      <c r="A61" s="240" t="s">
        <v>460</v>
      </c>
      <c r="B61" s="181">
        <v>0</v>
      </c>
      <c r="C61" s="182">
        <v>0</v>
      </c>
      <c r="D61" s="276">
        <v>0</v>
      </c>
      <c r="E61" s="241">
        <f t="shared" si="7"/>
        <v>0</v>
      </c>
      <c r="F61" s="155" t="s">
        <v>457</v>
      </c>
      <c r="G61" s="178">
        <v>0</v>
      </c>
      <c r="H61" s="196">
        <v>0</v>
      </c>
      <c r="I61" s="287">
        <v>0</v>
      </c>
      <c r="J61" s="31">
        <f t="shared" si="8"/>
        <v>0</v>
      </c>
    </row>
    <row r="62" spans="1:10" ht="14.95" thickBot="1" x14ac:dyDescent="0.3">
      <c r="A62" s="240" t="s">
        <v>368</v>
      </c>
      <c r="B62" s="181">
        <v>0</v>
      </c>
      <c r="C62" s="182">
        <v>0</v>
      </c>
      <c r="D62" s="276">
        <v>0</v>
      </c>
      <c r="E62" s="241">
        <f t="shared" si="7"/>
        <v>0</v>
      </c>
      <c r="F62" s="155" t="s">
        <v>460</v>
      </c>
      <c r="G62" s="178">
        <v>0</v>
      </c>
      <c r="H62" s="196">
        <v>0</v>
      </c>
      <c r="I62" s="287">
        <v>0</v>
      </c>
      <c r="J62" s="31">
        <f t="shared" si="8"/>
        <v>0</v>
      </c>
    </row>
    <row r="63" spans="1:10" ht="14.95" thickBot="1" x14ac:dyDescent="0.3">
      <c r="A63" s="240" t="s">
        <v>458</v>
      </c>
      <c r="B63" s="181">
        <v>0</v>
      </c>
      <c r="C63" s="182">
        <v>0</v>
      </c>
      <c r="D63" s="276">
        <v>0</v>
      </c>
      <c r="E63" s="241">
        <f t="shared" si="7"/>
        <v>0</v>
      </c>
      <c r="F63" s="155" t="s">
        <v>458</v>
      </c>
      <c r="G63" s="178">
        <v>0</v>
      </c>
      <c r="H63" s="196">
        <v>0</v>
      </c>
      <c r="I63" s="287">
        <v>0</v>
      </c>
      <c r="J63" s="31">
        <f t="shared" si="8"/>
        <v>0</v>
      </c>
    </row>
    <row r="64" spans="1:10" ht="14.95" thickBot="1" x14ac:dyDescent="0.3">
      <c r="A64" s="240" t="s">
        <v>442</v>
      </c>
      <c r="B64" s="181">
        <v>0</v>
      </c>
      <c r="C64" s="182">
        <v>0</v>
      </c>
      <c r="D64" s="276">
        <v>0</v>
      </c>
      <c r="E64" s="241">
        <f t="shared" si="7"/>
        <v>0</v>
      </c>
      <c r="F64" s="155" t="s">
        <v>442</v>
      </c>
      <c r="G64" s="178">
        <v>0</v>
      </c>
      <c r="H64" s="196">
        <v>0</v>
      </c>
      <c r="I64" s="287">
        <v>0</v>
      </c>
      <c r="J64" s="31">
        <f t="shared" si="8"/>
        <v>0</v>
      </c>
    </row>
    <row r="65" spans="1:10" ht="14.95" thickBot="1" x14ac:dyDescent="0.3">
      <c r="A65" s="240" t="s">
        <v>348</v>
      </c>
      <c r="B65" s="181">
        <v>0</v>
      </c>
      <c r="C65" s="182">
        <v>0</v>
      </c>
      <c r="D65" s="276">
        <v>0</v>
      </c>
      <c r="E65" s="241">
        <f t="shared" si="7"/>
        <v>0</v>
      </c>
      <c r="F65" s="155" t="s">
        <v>348</v>
      </c>
      <c r="G65" s="178">
        <v>0</v>
      </c>
      <c r="H65" s="196">
        <v>0</v>
      </c>
      <c r="I65" s="287">
        <v>0</v>
      </c>
      <c r="J65" s="31">
        <f t="shared" si="8"/>
        <v>0</v>
      </c>
    </row>
    <row r="66" spans="1:10" ht="14.95" thickBot="1" x14ac:dyDescent="0.3">
      <c r="A66" s="240" t="s">
        <v>446</v>
      </c>
      <c r="B66" s="181">
        <v>0</v>
      </c>
      <c r="C66" s="182">
        <v>0</v>
      </c>
      <c r="D66" s="276">
        <v>0</v>
      </c>
      <c r="E66" s="241">
        <f t="shared" si="7"/>
        <v>0</v>
      </c>
      <c r="F66" s="155" t="s">
        <v>446</v>
      </c>
      <c r="G66" s="178">
        <v>0</v>
      </c>
      <c r="H66" s="196">
        <v>0</v>
      </c>
      <c r="I66" s="287">
        <v>0</v>
      </c>
      <c r="J66" s="31">
        <f t="shared" si="8"/>
        <v>0</v>
      </c>
    </row>
    <row r="67" spans="1:10" ht="14.95" thickBot="1" x14ac:dyDescent="0.3">
      <c r="A67" s="240" t="s">
        <v>441</v>
      </c>
      <c r="B67" s="181">
        <v>0</v>
      </c>
      <c r="C67" s="182">
        <v>0</v>
      </c>
      <c r="D67" s="276">
        <v>0</v>
      </c>
      <c r="E67" s="241">
        <f t="shared" si="7"/>
        <v>0</v>
      </c>
      <c r="F67" s="155" t="s">
        <v>441</v>
      </c>
      <c r="G67" s="178">
        <v>0</v>
      </c>
      <c r="H67" s="196">
        <v>0</v>
      </c>
      <c r="I67" s="287">
        <v>0</v>
      </c>
      <c r="J67" s="31">
        <f t="shared" si="8"/>
        <v>0</v>
      </c>
    </row>
    <row r="68" spans="1:10" ht="14.95" thickBot="1" x14ac:dyDescent="0.3">
      <c r="A68" s="240" t="s">
        <v>449</v>
      </c>
      <c r="B68" s="181">
        <v>0</v>
      </c>
      <c r="C68" s="182">
        <v>0</v>
      </c>
      <c r="D68" s="276">
        <v>0</v>
      </c>
      <c r="E68" s="241">
        <f t="shared" si="7"/>
        <v>0</v>
      </c>
      <c r="F68" s="155" t="s">
        <v>449</v>
      </c>
      <c r="G68" s="178">
        <v>0</v>
      </c>
      <c r="H68" s="196">
        <v>0</v>
      </c>
      <c r="I68" s="287">
        <v>0</v>
      </c>
      <c r="J68" s="31">
        <f t="shared" si="8"/>
        <v>0</v>
      </c>
    </row>
    <row r="69" spans="1:10" ht="14.95" thickBot="1" x14ac:dyDescent="0.3">
      <c r="A69" s="240" t="s">
        <v>438</v>
      </c>
      <c r="B69" s="181">
        <v>0</v>
      </c>
      <c r="C69" s="182">
        <v>0</v>
      </c>
      <c r="D69" s="276">
        <v>0</v>
      </c>
      <c r="E69" s="241">
        <f t="shared" si="7"/>
        <v>0</v>
      </c>
      <c r="F69" s="155" t="s">
        <v>438</v>
      </c>
      <c r="G69" s="178">
        <v>0</v>
      </c>
      <c r="H69" s="196">
        <v>0</v>
      </c>
      <c r="I69" s="287">
        <v>0</v>
      </c>
      <c r="J69" s="31">
        <f t="shared" si="8"/>
        <v>0</v>
      </c>
    </row>
    <row r="70" spans="1:10" ht="14.95" thickBot="1" x14ac:dyDescent="0.3">
      <c r="A70" s="240" t="s">
        <v>455</v>
      </c>
      <c r="B70" s="181">
        <v>0</v>
      </c>
      <c r="C70" s="182">
        <v>0</v>
      </c>
      <c r="D70" s="276">
        <v>0</v>
      </c>
      <c r="E70" s="241">
        <f t="shared" si="7"/>
        <v>0</v>
      </c>
      <c r="F70" s="155" t="s">
        <v>455</v>
      </c>
      <c r="G70" s="178">
        <v>0</v>
      </c>
      <c r="H70" s="196">
        <v>0</v>
      </c>
      <c r="I70" s="287">
        <v>0</v>
      </c>
      <c r="J70" s="31">
        <f t="shared" si="8"/>
        <v>0</v>
      </c>
    </row>
    <row r="71" spans="1:10" ht="14.95" thickBot="1" x14ac:dyDescent="0.3">
      <c r="A71" s="240" t="s">
        <v>461</v>
      </c>
      <c r="B71" s="181">
        <v>0</v>
      </c>
      <c r="C71" s="182">
        <v>0</v>
      </c>
      <c r="D71" s="276">
        <v>0</v>
      </c>
      <c r="E71" s="241">
        <f t="shared" si="7"/>
        <v>0</v>
      </c>
      <c r="F71" s="155" t="s">
        <v>461</v>
      </c>
      <c r="G71" s="178">
        <v>0</v>
      </c>
      <c r="H71" s="196">
        <v>0</v>
      </c>
      <c r="I71" s="287">
        <v>0</v>
      </c>
      <c r="J71" s="31">
        <f t="shared" si="8"/>
        <v>0</v>
      </c>
    </row>
    <row r="72" spans="1:10" ht="14.95" thickBot="1" x14ac:dyDescent="0.3">
      <c r="A72" s="240" t="s">
        <v>462</v>
      </c>
      <c r="B72" s="181">
        <v>0</v>
      </c>
      <c r="C72" s="182">
        <v>0</v>
      </c>
      <c r="D72" s="276">
        <v>0</v>
      </c>
      <c r="E72" s="241">
        <f t="shared" si="7"/>
        <v>0</v>
      </c>
      <c r="F72" s="155" t="s">
        <v>462</v>
      </c>
      <c r="G72" s="178">
        <v>0</v>
      </c>
      <c r="H72" s="196">
        <v>0</v>
      </c>
      <c r="I72" s="287">
        <v>0</v>
      </c>
      <c r="J72" s="31">
        <f t="shared" si="8"/>
        <v>0</v>
      </c>
    </row>
    <row r="73" spans="1:10" ht="14.95" thickBot="1" x14ac:dyDescent="0.3">
      <c r="A73" s="240" t="s">
        <v>434</v>
      </c>
      <c r="B73" s="181">
        <v>0</v>
      </c>
      <c r="C73" s="182">
        <v>0</v>
      </c>
      <c r="D73" s="276">
        <v>0</v>
      </c>
      <c r="E73" s="241">
        <f t="shared" si="7"/>
        <v>0</v>
      </c>
      <c r="F73" s="155" t="s">
        <v>434</v>
      </c>
      <c r="G73" s="178">
        <v>0</v>
      </c>
      <c r="H73" s="196">
        <v>0</v>
      </c>
      <c r="I73" s="287">
        <v>0</v>
      </c>
      <c r="J73" s="31">
        <f t="shared" si="8"/>
        <v>0</v>
      </c>
    </row>
    <row r="74" spans="1:10" ht="14.95" thickBot="1" x14ac:dyDescent="0.3">
      <c r="A74" s="240" t="s">
        <v>453</v>
      </c>
      <c r="B74" s="181">
        <v>0</v>
      </c>
      <c r="C74" s="182">
        <v>0</v>
      </c>
      <c r="D74" s="276">
        <v>0</v>
      </c>
      <c r="E74" s="241">
        <f t="shared" si="7"/>
        <v>0</v>
      </c>
      <c r="F74" s="155" t="s">
        <v>453</v>
      </c>
      <c r="G74" s="178">
        <v>0</v>
      </c>
      <c r="H74" s="196">
        <v>0</v>
      </c>
      <c r="I74" s="287">
        <v>0</v>
      </c>
      <c r="J74" s="31">
        <f t="shared" si="8"/>
        <v>0</v>
      </c>
    </row>
    <row r="75" spans="1:10" ht="14.95" thickBot="1" x14ac:dyDescent="0.3">
      <c r="A75" s="240" t="s">
        <v>459</v>
      </c>
      <c r="B75" s="181">
        <v>0</v>
      </c>
      <c r="C75" s="182">
        <v>0</v>
      </c>
      <c r="D75" s="276">
        <v>0</v>
      </c>
      <c r="E75" s="241">
        <f t="shared" si="7"/>
        <v>0</v>
      </c>
      <c r="F75" s="155" t="s">
        <v>459</v>
      </c>
      <c r="G75" s="178">
        <v>0</v>
      </c>
      <c r="H75" s="196">
        <v>0</v>
      </c>
      <c r="I75" s="287">
        <v>0</v>
      </c>
      <c r="J75" s="31">
        <f t="shared" si="8"/>
        <v>0</v>
      </c>
    </row>
    <row r="76" spans="1:10" ht="14.95" thickBot="1" x14ac:dyDescent="0.3">
      <c r="A76" s="240" t="s">
        <v>435</v>
      </c>
      <c r="B76" s="181">
        <v>0</v>
      </c>
      <c r="C76" s="182">
        <v>0</v>
      </c>
      <c r="D76" s="276">
        <v>0</v>
      </c>
      <c r="E76" s="241">
        <f t="shared" si="7"/>
        <v>0</v>
      </c>
      <c r="F76" s="155" t="s">
        <v>435</v>
      </c>
      <c r="G76" s="178">
        <v>0</v>
      </c>
      <c r="H76" s="196">
        <v>0</v>
      </c>
      <c r="I76" s="287">
        <v>0</v>
      </c>
      <c r="J76" s="31">
        <f t="shared" si="8"/>
        <v>0</v>
      </c>
    </row>
    <row r="77" spans="1:10" ht="14.95" thickBot="1" x14ac:dyDescent="0.3">
      <c r="A77" s="240" t="s">
        <v>448</v>
      </c>
      <c r="B77" s="181">
        <v>0</v>
      </c>
      <c r="C77" s="182">
        <v>0</v>
      </c>
      <c r="D77" s="276">
        <v>0</v>
      </c>
      <c r="E77" s="241">
        <f t="shared" si="7"/>
        <v>0</v>
      </c>
      <c r="F77" s="155" t="s">
        <v>448</v>
      </c>
      <c r="G77" s="178">
        <v>0</v>
      </c>
      <c r="H77" s="196">
        <v>0</v>
      </c>
      <c r="I77" s="287">
        <v>0</v>
      </c>
      <c r="J77" s="31">
        <f t="shared" si="8"/>
        <v>0</v>
      </c>
    </row>
    <row r="78" spans="1:10" ht="14.95" thickBot="1" x14ac:dyDescent="0.3">
      <c r="A78" s="240" t="s">
        <v>456</v>
      </c>
      <c r="B78" s="181">
        <v>0</v>
      </c>
      <c r="C78" s="182">
        <v>0</v>
      </c>
      <c r="D78" s="276">
        <v>0</v>
      </c>
      <c r="E78" s="241">
        <f t="shared" si="7"/>
        <v>0</v>
      </c>
      <c r="F78" s="155" t="s">
        <v>456</v>
      </c>
      <c r="G78" s="178">
        <v>0</v>
      </c>
      <c r="H78" s="196">
        <v>0</v>
      </c>
      <c r="I78" s="287">
        <v>0</v>
      </c>
      <c r="J78" s="31">
        <f t="shared" si="8"/>
        <v>0</v>
      </c>
    </row>
    <row r="79" spans="1:10" ht="14.95" thickBot="1" x14ac:dyDescent="0.3">
      <c r="A79" s="240" t="s">
        <v>444</v>
      </c>
      <c r="B79" s="181">
        <v>0</v>
      </c>
      <c r="C79" s="182">
        <v>0</v>
      </c>
      <c r="D79" s="276">
        <v>0</v>
      </c>
      <c r="E79" s="241">
        <f t="shared" si="7"/>
        <v>0</v>
      </c>
      <c r="F79" s="155" t="s">
        <v>444</v>
      </c>
      <c r="G79" s="178">
        <v>0</v>
      </c>
      <c r="H79" s="196">
        <v>0</v>
      </c>
      <c r="I79" s="287">
        <v>0</v>
      </c>
      <c r="J79" s="31">
        <f t="shared" si="8"/>
        <v>0</v>
      </c>
    </row>
    <row r="80" spans="1:10" ht="14.95" thickBot="1" x14ac:dyDescent="0.3">
      <c r="A80" s="240" t="s">
        <v>452</v>
      </c>
      <c r="B80" s="181">
        <v>0</v>
      </c>
      <c r="C80" s="182">
        <v>0</v>
      </c>
      <c r="D80" s="276">
        <v>0</v>
      </c>
      <c r="E80" s="241">
        <f t="shared" si="7"/>
        <v>0</v>
      </c>
      <c r="F80" s="155" t="s">
        <v>452</v>
      </c>
      <c r="G80" s="178">
        <v>0</v>
      </c>
      <c r="H80" s="196">
        <v>0</v>
      </c>
      <c r="I80" s="287">
        <v>0</v>
      </c>
      <c r="J80" s="31">
        <f t="shared" si="8"/>
        <v>0</v>
      </c>
    </row>
    <row r="81" spans="1:10" ht="14.95" thickBot="1" x14ac:dyDescent="0.3">
      <c r="A81" s="240" t="s">
        <v>433</v>
      </c>
      <c r="B81" s="181">
        <v>0</v>
      </c>
      <c r="C81" s="182">
        <v>0</v>
      </c>
      <c r="D81" s="276">
        <v>0</v>
      </c>
      <c r="E81" s="241">
        <f t="shared" si="7"/>
        <v>0</v>
      </c>
      <c r="F81" s="155" t="s">
        <v>433</v>
      </c>
      <c r="G81" s="178">
        <v>0</v>
      </c>
      <c r="H81" s="196">
        <v>0</v>
      </c>
      <c r="I81" s="287">
        <v>0</v>
      </c>
      <c r="J81" s="31">
        <f t="shared" si="8"/>
        <v>0</v>
      </c>
    </row>
    <row r="82" spans="1:10" ht="14.95" thickBot="1" x14ac:dyDescent="0.3">
      <c r="A82" s="240" t="s">
        <v>451</v>
      </c>
      <c r="B82" s="181">
        <v>0</v>
      </c>
      <c r="C82" s="182">
        <v>0</v>
      </c>
      <c r="D82" s="276">
        <v>0</v>
      </c>
      <c r="E82" s="241">
        <f t="shared" si="7"/>
        <v>0</v>
      </c>
      <c r="F82" s="155" t="s">
        <v>451</v>
      </c>
      <c r="G82" s="178">
        <v>0</v>
      </c>
      <c r="H82" s="196">
        <v>0</v>
      </c>
      <c r="I82" s="287">
        <v>0</v>
      </c>
      <c r="J82" s="31">
        <f t="shared" si="8"/>
        <v>0</v>
      </c>
    </row>
    <row r="83" spans="1:10" ht="14.95" thickBot="1" x14ac:dyDescent="0.3">
      <c r="A83" s="240" t="s">
        <v>432</v>
      </c>
      <c r="B83" s="181">
        <v>0</v>
      </c>
      <c r="C83" s="182">
        <v>0</v>
      </c>
      <c r="D83" s="276">
        <v>0</v>
      </c>
      <c r="E83" s="241">
        <f t="shared" si="7"/>
        <v>0</v>
      </c>
      <c r="F83" s="155" t="s">
        <v>432</v>
      </c>
      <c r="G83" s="178">
        <v>0</v>
      </c>
      <c r="H83" s="196">
        <v>0</v>
      </c>
      <c r="I83" s="287">
        <v>0</v>
      </c>
      <c r="J83" s="31">
        <f t="shared" si="8"/>
        <v>0</v>
      </c>
    </row>
    <row r="84" spans="1:10" ht="14.95" thickBot="1" x14ac:dyDescent="0.3">
      <c r="A84" s="240" t="s">
        <v>436</v>
      </c>
      <c r="B84" s="181">
        <v>0</v>
      </c>
      <c r="C84" s="182">
        <v>0</v>
      </c>
      <c r="D84" s="276">
        <v>0</v>
      </c>
      <c r="E84" s="241">
        <f t="shared" si="7"/>
        <v>0</v>
      </c>
      <c r="F84" s="155" t="s">
        <v>436</v>
      </c>
      <c r="G84" s="178">
        <v>0</v>
      </c>
      <c r="H84" s="196">
        <v>0</v>
      </c>
      <c r="I84" s="287">
        <v>0</v>
      </c>
      <c r="J84" s="31">
        <f t="shared" si="8"/>
        <v>0</v>
      </c>
    </row>
    <row r="85" spans="1:10" ht="14.95" thickBot="1" x14ac:dyDescent="0.3">
      <c r="A85" s="240" t="s">
        <v>3</v>
      </c>
      <c r="B85" s="181">
        <f>SUM(B46:B84)</f>
        <v>2</v>
      </c>
      <c r="C85" s="182">
        <f>SUM(C46:C84)</f>
        <v>5</v>
      </c>
      <c r="D85" s="276">
        <f>SUM(D46:D84)</f>
        <v>9</v>
      </c>
      <c r="E85" s="241">
        <v>16</v>
      </c>
      <c r="F85" s="156" t="s">
        <v>3</v>
      </c>
      <c r="G85" s="177">
        <f>SUM(G46:G84)</f>
        <v>27</v>
      </c>
      <c r="H85" s="195">
        <f>SUM(H46:H84)</f>
        <v>35</v>
      </c>
      <c r="I85" s="286">
        <f>SUM(I46:I84)</f>
        <v>65</v>
      </c>
      <c r="J85" s="153">
        <v>127</v>
      </c>
    </row>
    <row r="86" spans="1:10" x14ac:dyDescent="0.25">
      <c r="A86" s="317" t="s">
        <v>11</v>
      </c>
      <c r="B86" s="317"/>
      <c r="C86" s="318"/>
    </row>
  </sheetData>
  <sortState xmlns:xlrd2="http://schemas.microsoft.com/office/spreadsheetml/2017/richdata2" ref="F46:J84">
    <sortCondition descending="1" ref="J46:J84"/>
  </sortState>
  <mergeCells count="10">
    <mergeCell ref="O1:Q2"/>
    <mergeCell ref="R1:R2"/>
    <mergeCell ref="A86:C86"/>
    <mergeCell ref="K9:K10"/>
    <mergeCell ref="L9:N10"/>
    <mergeCell ref="A1:J1"/>
    <mergeCell ref="K1:K2"/>
    <mergeCell ref="L1:N2"/>
    <mergeCell ref="K16:K17"/>
    <mergeCell ref="L16:N1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>
      <selection activeCell="P71" sqref="P71"/>
    </sheetView>
  </sheetViews>
  <sheetFormatPr defaultRowHeight="14.3" x14ac:dyDescent="0.25"/>
  <cols>
    <col min="1" max="1" width="16.5" customWidth="1"/>
    <col min="2" max="4" width="4.5" customWidth="1"/>
    <col min="5" max="5" width="4.75" customWidth="1"/>
    <col min="6" max="6" width="16.5" customWidth="1"/>
    <col min="7" max="9" width="4.5" customWidth="1"/>
    <col min="10" max="10" width="4.75" customWidth="1"/>
    <col min="11" max="11" width="14.5" customWidth="1"/>
    <col min="12" max="29" width="5.5" customWidth="1"/>
  </cols>
  <sheetData>
    <row r="1" spans="1:23" ht="17" thickBot="1" x14ac:dyDescent="0.35">
      <c r="A1" s="389" t="s">
        <v>40</v>
      </c>
      <c r="B1" s="390"/>
      <c r="C1" s="390"/>
      <c r="D1" s="390"/>
      <c r="E1" s="390"/>
      <c r="F1" s="390"/>
      <c r="G1" s="390"/>
      <c r="H1" s="390"/>
      <c r="I1" s="390"/>
      <c r="J1" s="391"/>
      <c r="K1" s="392" t="s">
        <v>16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  <c r="S1" s="112"/>
      <c r="T1" s="47"/>
      <c r="U1" s="47"/>
      <c r="V1" s="63"/>
      <c r="W1" s="63"/>
    </row>
    <row r="2" spans="1:23" ht="14.95" customHeight="1" thickBot="1" x14ac:dyDescent="0.3">
      <c r="A2" s="86" t="s">
        <v>0</v>
      </c>
      <c r="B2" s="106" t="s">
        <v>15</v>
      </c>
      <c r="C2" s="105" t="s">
        <v>12</v>
      </c>
      <c r="D2" s="268" t="s">
        <v>396</v>
      </c>
      <c r="E2" s="87" t="s">
        <v>1</v>
      </c>
      <c r="F2" s="79" t="s">
        <v>2</v>
      </c>
      <c r="G2" s="80" t="s">
        <v>15</v>
      </c>
      <c r="H2" s="81" t="s">
        <v>12</v>
      </c>
      <c r="I2" s="270" t="s">
        <v>396</v>
      </c>
      <c r="J2" s="82" t="s">
        <v>1</v>
      </c>
      <c r="K2" s="393"/>
      <c r="L2" s="312"/>
      <c r="M2" s="313"/>
      <c r="N2" s="314"/>
      <c r="O2" s="312"/>
      <c r="P2" s="313"/>
      <c r="Q2" s="314"/>
      <c r="R2" s="316"/>
      <c r="S2" s="112"/>
      <c r="T2" s="47"/>
      <c r="U2" s="47"/>
      <c r="V2" s="63"/>
      <c r="W2" s="63"/>
    </row>
    <row r="3" spans="1:23" ht="14.95" customHeight="1" thickBot="1" x14ac:dyDescent="0.3">
      <c r="A3" s="42" t="s">
        <v>233</v>
      </c>
      <c r="B3" s="44">
        <v>1</v>
      </c>
      <c r="C3" s="45">
        <v>0</v>
      </c>
      <c r="D3" s="269">
        <v>0</v>
      </c>
      <c r="E3" s="43">
        <f>SUM(B3:D3)</f>
        <v>1</v>
      </c>
      <c r="F3" s="14" t="s">
        <v>233</v>
      </c>
      <c r="G3" s="16">
        <v>9</v>
      </c>
      <c r="H3" s="17">
        <v>0</v>
      </c>
      <c r="I3" s="271">
        <v>6</v>
      </c>
      <c r="J3" s="15">
        <f>SUM(G3:I3)</f>
        <v>15</v>
      </c>
      <c r="K3" s="4"/>
      <c r="L3" s="1" t="s">
        <v>18</v>
      </c>
      <c r="M3" s="1" t="s">
        <v>5</v>
      </c>
      <c r="N3" s="1" t="s">
        <v>6</v>
      </c>
      <c r="O3" s="85" t="s">
        <v>18</v>
      </c>
      <c r="P3" s="1" t="s">
        <v>5</v>
      </c>
      <c r="Q3" s="1" t="s">
        <v>6</v>
      </c>
      <c r="R3" s="1"/>
      <c r="S3" s="83"/>
      <c r="T3" s="63"/>
      <c r="U3" s="63"/>
      <c r="V3" s="63"/>
      <c r="W3" s="63"/>
    </row>
    <row r="4" spans="1:23" ht="14.95" thickBot="1" x14ac:dyDescent="0.3">
      <c r="A4" s="42" t="s">
        <v>216</v>
      </c>
      <c r="B4" s="44">
        <v>0</v>
      </c>
      <c r="C4" s="45">
        <v>0</v>
      </c>
      <c r="D4" s="269">
        <v>1</v>
      </c>
      <c r="E4" s="43">
        <f t="shared" ref="E4:E40" si="0">SUM(B4:D4)</f>
        <v>1</v>
      </c>
      <c r="F4" s="14" t="s">
        <v>216</v>
      </c>
      <c r="G4" s="16">
        <v>0</v>
      </c>
      <c r="H4" s="17">
        <v>0</v>
      </c>
      <c r="I4" s="271">
        <v>5</v>
      </c>
      <c r="J4" s="15">
        <f t="shared" ref="J4:J40" si="1">SUM(G4:I4)</f>
        <v>5</v>
      </c>
      <c r="K4" s="142" t="s">
        <v>233</v>
      </c>
      <c r="L4" s="43">
        <v>4</v>
      </c>
      <c r="M4" s="43">
        <v>6</v>
      </c>
      <c r="N4" s="46">
        <f t="shared" ref="N4" si="2">SUM(L4/M4)*100</f>
        <v>66.666666666666657</v>
      </c>
      <c r="O4" s="43">
        <v>1</v>
      </c>
      <c r="P4" s="43">
        <v>1</v>
      </c>
      <c r="Q4" s="46">
        <v>100</v>
      </c>
      <c r="R4" s="43">
        <v>1</v>
      </c>
      <c r="S4" s="83"/>
      <c r="T4" s="63"/>
      <c r="U4" s="63"/>
      <c r="V4" s="63"/>
      <c r="W4" s="63"/>
    </row>
    <row r="5" spans="1:23" ht="14.95" thickBot="1" x14ac:dyDescent="0.3">
      <c r="A5" s="42" t="s">
        <v>217</v>
      </c>
      <c r="B5" s="44">
        <v>0</v>
      </c>
      <c r="C5" s="45">
        <v>0</v>
      </c>
      <c r="D5" s="269">
        <v>0</v>
      </c>
      <c r="E5" s="43">
        <f t="shared" si="0"/>
        <v>0</v>
      </c>
      <c r="F5" s="14" t="s">
        <v>217</v>
      </c>
      <c r="G5" s="16">
        <v>0</v>
      </c>
      <c r="H5" s="17">
        <v>0</v>
      </c>
      <c r="I5" s="271">
        <v>0</v>
      </c>
      <c r="J5" s="15">
        <f t="shared" si="1"/>
        <v>0</v>
      </c>
      <c r="K5" s="42" t="s">
        <v>243</v>
      </c>
      <c r="L5" s="43">
        <v>6</v>
      </c>
      <c r="M5" s="43">
        <v>13</v>
      </c>
      <c r="N5" s="46">
        <f t="shared" ref="N5:N6" si="3">SUM(L5/M5)*100</f>
        <v>46.153846153846153</v>
      </c>
      <c r="O5" s="43">
        <v>0</v>
      </c>
      <c r="P5" s="43">
        <v>1</v>
      </c>
      <c r="Q5" s="46">
        <f t="shared" ref="Q5" si="4">SUM(O5/P5)*100</f>
        <v>0</v>
      </c>
      <c r="R5" s="43">
        <v>-1</v>
      </c>
      <c r="S5" s="83"/>
      <c r="T5" s="63"/>
      <c r="U5" s="63"/>
      <c r="V5" s="63"/>
      <c r="W5" s="63"/>
    </row>
    <row r="6" spans="1:23" ht="14.95" thickBot="1" x14ac:dyDescent="0.3">
      <c r="A6" s="42" t="s">
        <v>218</v>
      </c>
      <c r="B6" s="44">
        <v>0</v>
      </c>
      <c r="C6" s="45">
        <v>1</v>
      </c>
      <c r="D6" s="269">
        <v>0</v>
      </c>
      <c r="E6" s="43">
        <f t="shared" si="0"/>
        <v>1</v>
      </c>
      <c r="F6" s="14" t="s">
        <v>218</v>
      </c>
      <c r="G6" s="16">
        <v>0</v>
      </c>
      <c r="H6" s="17">
        <v>5</v>
      </c>
      <c r="I6" s="271">
        <v>0</v>
      </c>
      <c r="J6" s="15">
        <f t="shared" si="1"/>
        <v>5</v>
      </c>
      <c r="K6" s="42" t="s">
        <v>245</v>
      </c>
      <c r="L6" s="43">
        <v>2</v>
      </c>
      <c r="M6" s="43">
        <v>5</v>
      </c>
      <c r="N6" s="46">
        <f t="shared" si="3"/>
        <v>40</v>
      </c>
      <c r="O6" s="43" t="s">
        <v>8</v>
      </c>
      <c r="P6" s="43" t="s">
        <v>8</v>
      </c>
      <c r="Q6" s="46" t="s">
        <v>8</v>
      </c>
      <c r="R6" s="43">
        <v>1</v>
      </c>
      <c r="S6" s="83"/>
      <c r="T6" s="63"/>
      <c r="U6" s="63"/>
      <c r="V6" s="63"/>
      <c r="W6" s="63"/>
    </row>
    <row r="7" spans="1:23" ht="14.95" thickBot="1" x14ac:dyDescent="0.3">
      <c r="A7" s="42" t="s">
        <v>197</v>
      </c>
      <c r="B7" s="44">
        <v>0</v>
      </c>
      <c r="C7" s="45">
        <v>0</v>
      </c>
      <c r="D7" s="269">
        <v>0</v>
      </c>
      <c r="E7" s="43">
        <f t="shared" si="0"/>
        <v>0</v>
      </c>
      <c r="F7" s="14" t="s">
        <v>197</v>
      </c>
      <c r="G7" s="16">
        <v>0</v>
      </c>
      <c r="H7" s="17">
        <v>0</v>
      </c>
      <c r="I7" s="271">
        <v>0</v>
      </c>
      <c r="J7" s="15">
        <f t="shared" si="1"/>
        <v>0</v>
      </c>
      <c r="R7" s="7"/>
      <c r="S7" s="63"/>
      <c r="T7" s="63"/>
      <c r="U7" s="63"/>
      <c r="V7" s="63"/>
      <c r="W7" s="63"/>
    </row>
    <row r="8" spans="1:23" ht="17" thickBot="1" x14ac:dyDescent="0.3">
      <c r="A8" s="42" t="s">
        <v>220</v>
      </c>
      <c r="B8" s="44">
        <v>0</v>
      </c>
      <c r="C8" s="45">
        <v>0</v>
      </c>
      <c r="D8" s="269">
        <v>0</v>
      </c>
      <c r="E8" s="43">
        <f t="shared" si="0"/>
        <v>0</v>
      </c>
      <c r="F8" s="14" t="s">
        <v>220</v>
      </c>
      <c r="G8" s="16">
        <v>0</v>
      </c>
      <c r="H8" s="17">
        <v>0</v>
      </c>
      <c r="I8" s="271">
        <v>0</v>
      </c>
      <c r="J8" s="15">
        <f t="shared" si="1"/>
        <v>0</v>
      </c>
      <c r="K8" s="344" t="s">
        <v>14</v>
      </c>
      <c r="L8" s="309">
        <v>2022</v>
      </c>
      <c r="M8" s="310"/>
      <c r="N8" s="311"/>
      <c r="O8" s="110"/>
      <c r="P8" s="114"/>
      <c r="Q8" s="114"/>
      <c r="R8" s="63"/>
      <c r="S8" s="63"/>
      <c r="T8" s="63"/>
      <c r="U8" s="63"/>
      <c r="V8" s="63"/>
      <c r="W8" s="63"/>
    </row>
    <row r="9" spans="1:23" ht="14.95" thickBot="1" x14ac:dyDescent="0.3">
      <c r="A9" s="42" t="s">
        <v>4</v>
      </c>
      <c r="B9" s="44">
        <v>0</v>
      </c>
      <c r="C9" s="45">
        <v>0</v>
      </c>
      <c r="D9" s="269">
        <v>0</v>
      </c>
      <c r="E9" s="43">
        <f t="shared" si="0"/>
        <v>0</v>
      </c>
      <c r="F9" s="14" t="s">
        <v>4</v>
      </c>
      <c r="G9" s="16">
        <v>0</v>
      </c>
      <c r="H9" s="17">
        <v>0</v>
      </c>
      <c r="I9" s="271">
        <v>0</v>
      </c>
      <c r="J9" s="15">
        <f t="shared" si="1"/>
        <v>0</v>
      </c>
      <c r="K9" s="345"/>
      <c r="L9" s="312"/>
      <c r="M9" s="313"/>
      <c r="N9" s="314"/>
      <c r="O9" s="141"/>
      <c r="P9" s="114"/>
      <c r="Q9" s="114"/>
      <c r="R9" s="63"/>
      <c r="S9" s="63"/>
      <c r="T9" s="63"/>
      <c r="U9" s="63"/>
      <c r="V9" s="63"/>
      <c r="W9" s="63"/>
    </row>
    <row r="10" spans="1:23" ht="14.95" customHeight="1" thickBot="1" x14ac:dyDescent="0.3">
      <c r="A10" s="42" t="s">
        <v>221</v>
      </c>
      <c r="B10" s="44">
        <v>0</v>
      </c>
      <c r="C10" s="45">
        <v>0</v>
      </c>
      <c r="D10" s="269">
        <v>0</v>
      </c>
      <c r="E10" s="43">
        <f t="shared" si="0"/>
        <v>0</v>
      </c>
      <c r="F10" s="14" t="s">
        <v>221</v>
      </c>
      <c r="G10" s="16">
        <v>0</v>
      </c>
      <c r="H10" s="17">
        <v>0</v>
      </c>
      <c r="I10" s="271">
        <v>0</v>
      </c>
      <c r="J10" s="15">
        <f t="shared" si="1"/>
        <v>0</v>
      </c>
      <c r="K10" s="4"/>
      <c r="L10" s="1" t="s">
        <v>18</v>
      </c>
      <c r="M10" s="1" t="s">
        <v>5</v>
      </c>
      <c r="N10" s="1" t="s">
        <v>6</v>
      </c>
      <c r="O10" s="83"/>
      <c r="P10" s="63"/>
      <c r="Q10" s="63"/>
      <c r="R10" s="63"/>
      <c r="S10" s="63"/>
      <c r="T10" s="63"/>
      <c r="U10" s="63"/>
      <c r="V10" s="63"/>
      <c r="W10" s="63"/>
    </row>
    <row r="11" spans="1:23" ht="14.95" customHeight="1" thickBot="1" x14ac:dyDescent="0.3">
      <c r="A11" s="42" t="s">
        <v>222</v>
      </c>
      <c r="B11" s="44">
        <v>2</v>
      </c>
      <c r="C11" s="45">
        <v>0</v>
      </c>
      <c r="D11" s="269">
        <v>2</v>
      </c>
      <c r="E11" s="43">
        <f t="shared" si="0"/>
        <v>4</v>
      </c>
      <c r="F11" s="14" t="s">
        <v>222</v>
      </c>
      <c r="G11" s="16">
        <v>10</v>
      </c>
      <c r="H11" s="17">
        <v>0</v>
      </c>
      <c r="I11" s="271">
        <v>10</v>
      </c>
      <c r="J11" s="15">
        <f t="shared" si="1"/>
        <v>20</v>
      </c>
      <c r="K11" s="142" t="s">
        <v>233</v>
      </c>
      <c r="L11" s="43">
        <v>2</v>
      </c>
      <c r="M11" s="43">
        <v>3</v>
      </c>
      <c r="N11" s="46">
        <f t="shared" ref="N11" si="5">SUM(L11/M11)*100</f>
        <v>66.666666666666657</v>
      </c>
      <c r="O11" s="83"/>
      <c r="P11" s="63"/>
      <c r="Q11" s="63"/>
      <c r="R11" s="63"/>
      <c r="S11" s="63"/>
      <c r="T11" s="63"/>
      <c r="U11" s="63"/>
      <c r="V11" s="63"/>
      <c r="W11" s="63"/>
    </row>
    <row r="12" spans="1:23" ht="14.95" customHeight="1" thickBot="1" x14ac:dyDescent="0.3">
      <c r="A12" s="42" t="s">
        <v>234</v>
      </c>
      <c r="B12" s="44">
        <v>0</v>
      </c>
      <c r="C12" s="45">
        <v>0</v>
      </c>
      <c r="D12" s="269">
        <v>0</v>
      </c>
      <c r="E12" s="43">
        <f t="shared" si="0"/>
        <v>0</v>
      </c>
      <c r="F12" s="14" t="s">
        <v>234</v>
      </c>
      <c r="G12" s="16">
        <v>0</v>
      </c>
      <c r="H12" s="17">
        <v>0</v>
      </c>
      <c r="I12" s="271">
        <v>0</v>
      </c>
      <c r="J12" s="15">
        <f t="shared" si="1"/>
        <v>0</v>
      </c>
      <c r="K12" s="42" t="s">
        <v>243</v>
      </c>
      <c r="L12" s="43">
        <v>0</v>
      </c>
      <c r="M12" s="43">
        <v>5</v>
      </c>
      <c r="N12" s="46">
        <f t="shared" ref="N12:N13" si="6">SUM(L12/M12)*100</f>
        <v>0</v>
      </c>
      <c r="O12" s="83"/>
      <c r="P12" s="63"/>
      <c r="Q12" s="63"/>
      <c r="R12" s="63"/>
      <c r="S12" s="63"/>
      <c r="T12" s="63"/>
      <c r="U12" s="63"/>
      <c r="V12" s="63"/>
      <c r="W12" s="63"/>
    </row>
    <row r="13" spans="1:23" ht="14.95" customHeight="1" thickBot="1" x14ac:dyDescent="0.3">
      <c r="A13" s="42" t="s">
        <v>219</v>
      </c>
      <c r="B13" s="44">
        <v>0</v>
      </c>
      <c r="C13" s="45">
        <v>0</v>
      </c>
      <c r="D13" s="269">
        <v>0</v>
      </c>
      <c r="E13" s="43">
        <f t="shared" si="0"/>
        <v>0</v>
      </c>
      <c r="F13" s="14" t="s">
        <v>219</v>
      </c>
      <c r="G13" s="16">
        <v>0</v>
      </c>
      <c r="H13" s="17">
        <v>0</v>
      </c>
      <c r="I13" s="271">
        <v>0</v>
      </c>
      <c r="J13" s="15">
        <f t="shared" si="1"/>
        <v>0</v>
      </c>
      <c r="K13" s="139" t="s">
        <v>245</v>
      </c>
      <c r="L13" s="43">
        <v>2</v>
      </c>
      <c r="M13" s="43">
        <v>5</v>
      </c>
      <c r="N13" s="46">
        <f t="shared" si="6"/>
        <v>40</v>
      </c>
      <c r="O13" s="83"/>
      <c r="P13" s="63"/>
      <c r="Q13" s="63"/>
      <c r="R13" s="63"/>
      <c r="S13" s="47"/>
      <c r="T13" s="47"/>
    </row>
    <row r="14" spans="1:23" ht="14.95" customHeight="1" thickBot="1" x14ac:dyDescent="0.3">
      <c r="A14" s="42" t="s">
        <v>223</v>
      </c>
      <c r="B14" s="44">
        <v>0</v>
      </c>
      <c r="C14" s="45">
        <v>0</v>
      </c>
      <c r="D14" s="269">
        <v>0</v>
      </c>
      <c r="E14" s="43">
        <f t="shared" si="0"/>
        <v>0</v>
      </c>
      <c r="F14" s="14" t="s">
        <v>223</v>
      </c>
      <c r="G14" s="16">
        <v>0</v>
      </c>
      <c r="H14" s="17">
        <v>0</v>
      </c>
      <c r="I14" s="271">
        <v>0</v>
      </c>
      <c r="J14" s="15">
        <f t="shared" si="1"/>
        <v>0</v>
      </c>
      <c r="K14" s="8"/>
      <c r="L14" s="26"/>
      <c r="M14" s="26"/>
      <c r="N14" s="27"/>
      <c r="S14" s="63"/>
      <c r="T14" s="63"/>
    </row>
    <row r="15" spans="1:23" ht="14.95" customHeight="1" thickBot="1" x14ac:dyDescent="0.3">
      <c r="A15" s="42" t="s">
        <v>224</v>
      </c>
      <c r="B15" s="44">
        <v>0</v>
      </c>
      <c r="C15" s="45">
        <v>0</v>
      </c>
      <c r="D15" s="269">
        <v>0</v>
      </c>
      <c r="E15" s="43">
        <f t="shared" si="0"/>
        <v>0</v>
      </c>
      <c r="F15" s="14" t="s">
        <v>224</v>
      </c>
      <c r="G15" s="16">
        <v>0</v>
      </c>
      <c r="H15" s="17">
        <v>0</v>
      </c>
      <c r="I15" s="271">
        <v>0</v>
      </c>
      <c r="J15" s="15">
        <f t="shared" si="1"/>
        <v>0</v>
      </c>
      <c r="K15" s="326" t="s">
        <v>521</v>
      </c>
      <c r="L15" s="309">
        <v>2022</v>
      </c>
      <c r="M15" s="310"/>
      <c r="N15" s="311"/>
      <c r="S15" s="63"/>
      <c r="T15" s="63"/>
    </row>
    <row r="16" spans="1:23" ht="14.95" customHeight="1" thickBot="1" x14ac:dyDescent="0.3">
      <c r="A16" s="42" t="s">
        <v>235</v>
      </c>
      <c r="B16" s="44">
        <v>1</v>
      </c>
      <c r="C16" s="45">
        <v>0</v>
      </c>
      <c r="D16" s="269">
        <v>0</v>
      </c>
      <c r="E16" s="43">
        <f t="shared" si="0"/>
        <v>1</v>
      </c>
      <c r="F16" s="14" t="s">
        <v>235</v>
      </c>
      <c r="G16" s="16">
        <v>5</v>
      </c>
      <c r="H16" s="17">
        <v>0</v>
      </c>
      <c r="I16" s="271">
        <v>0</v>
      </c>
      <c r="J16" s="15">
        <f t="shared" si="1"/>
        <v>5</v>
      </c>
      <c r="K16" s="327"/>
      <c r="L16" s="312"/>
      <c r="M16" s="313"/>
      <c r="N16" s="314"/>
      <c r="S16" s="63"/>
      <c r="T16" s="63"/>
    </row>
    <row r="17" spans="1:20" ht="14.95" customHeight="1" thickBot="1" x14ac:dyDescent="0.3">
      <c r="A17" s="42" t="s">
        <v>225</v>
      </c>
      <c r="B17" s="44">
        <v>2</v>
      </c>
      <c r="C17" s="45">
        <v>0</v>
      </c>
      <c r="D17" s="269">
        <v>0</v>
      </c>
      <c r="E17" s="43">
        <f t="shared" si="0"/>
        <v>2</v>
      </c>
      <c r="F17" s="14" t="s">
        <v>225</v>
      </c>
      <c r="G17" s="16">
        <v>10</v>
      </c>
      <c r="H17" s="17">
        <v>0</v>
      </c>
      <c r="I17" s="271">
        <v>0</v>
      </c>
      <c r="J17" s="15">
        <f t="shared" si="1"/>
        <v>10</v>
      </c>
      <c r="K17" s="267"/>
      <c r="L17" s="31" t="s">
        <v>18</v>
      </c>
      <c r="M17" s="31" t="s">
        <v>5</v>
      </c>
      <c r="N17" s="31" t="s">
        <v>6</v>
      </c>
      <c r="O17" s="26"/>
      <c r="P17" s="26"/>
      <c r="Q17" s="27"/>
      <c r="S17" s="63"/>
      <c r="T17" s="63"/>
    </row>
    <row r="18" spans="1:20" ht="14.95" customHeight="1" thickBot="1" x14ac:dyDescent="0.3">
      <c r="A18" s="42" t="s">
        <v>246</v>
      </c>
      <c r="B18" s="44">
        <v>1</v>
      </c>
      <c r="C18" s="45">
        <v>0</v>
      </c>
      <c r="D18" s="269">
        <v>0</v>
      </c>
      <c r="E18" s="43">
        <f t="shared" si="0"/>
        <v>1</v>
      </c>
      <c r="F18" s="14" t="s">
        <v>246</v>
      </c>
      <c r="G18" s="16">
        <v>5</v>
      </c>
      <c r="H18" s="17">
        <v>0</v>
      </c>
      <c r="I18" s="271">
        <v>0</v>
      </c>
      <c r="J18" s="15">
        <f t="shared" si="1"/>
        <v>5</v>
      </c>
      <c r="K18" s="142" t="s">
        <v>233</v>
      </c>
      <c r="L18" s="43">
        <v>2</v>
      </c>
      <c r="M18" s="43">
        <v>3</v>
      </c>
      <c r="N18" s="46">
        <v>67</v>
      </c>
      <c r="P18" s="26"/>
      <c r="Q18" s="26"/>
      <c r="S18" s="63"/>
      <c r="T18" s="63"/>
    </row>
    <row r="19" spans="1:20" ht="14.95" customHeight="1" thickBot="1" x14ac:dyDescent="0.3">
      <c r="A19" s="42" t="s">
        <v>236</v>
      </c>
      <c r="B19" s="44">
        <v>0</v>
      </c>
      <c r="C19" s="45">
        <v>0</v>
      </c>
      <c r="D19" s="269">
        <v>0</v>
      </c>
      <c r="E19" s="43">
        <f t="shared" si="0"/>
        <v>0</v>
      </c>
      <c r="F19" s="14" t="s">
        <v>236</v>
      </c>
      <c r="G19" s="16">
        <v>0</v>
      </c>
      <c r="H19" s="17">
        <v>0</v>
      </c>
      <c r="I19" s="271">
        <v>0</v>
      </c>
      <c r="J19" s="15">
        <f t="shared" si="1"/>
        <v>0</v>
      </c>
      <c r="K19" s="42" t="s">
        <v>243</v>
      </c>
      <c r="L19" s="43">
        <v>4</v>
      </c>
      <c r="M19" s="43">
        <v>6</v>
      </c>
      <c r="N19" s="46">
        <v>66</v>
      </c>
      <c r="P19" s="26"/>
      <c r="Q19" s="26"/>
      <c r="S19" s="63"/>
      <c r="T19" s="63"/>
    </row>
    <row r="20" spans="1:20" ht="14.95" customHeight="1" thickBot="1" x14ac:dyDescent="0.3">
      <c r="A20" s="42" t="s">
        <v>238</v>
      </c>
      <c r="B20" s="44">
        <v>0</v>
      </c>
      <c r="C20" s="45">
        <v>0</v>
      </c>
      <c r="D20" s="269">
        <v>0</v>
      </c>
      <c r="E20" s="43">
        <f t="shared" si="0"/>
        <v>0</v>
      </c>
      <c r="F20" s="14" t="s">
        <v>238</v>
      </c>
      <c r="G20" s="16">
        <v>0</v>
      </c>
      <c r="H20" s="17">
        <v>0</v>
      </c>
      <c r="I20" s="271">
        <v>0</v>
      </c>
      <c r="J20" s="15">
        <f t="shared" si="1"/>
        <v>0</v>
      </c>
      <c r="K20" s="139" t="s">
        <v>245</v>
      </c>
      <c r="L20" s="43" t="s">
        <v>8</v>
      </c>
      <c r="M20" s="43" t="s">
        <v>8</v>
      </c>
      <c r="N20" s="46" t="s">
        <v>8</v>
      </c>
      <c r="P20" s="26"/>
      <c r="Q20" s="26"/>
      <c r="S20" s="63"/>
      <c r="T20" s="63"/>
    </row>
    <row r="21" spans="1:20" ht="14.95" customHeight="1" thickBot="1" x14ac:dyDescent="0.3">
      <c r="A21" s="42" t="s">
        <v>226</v>
      </c>
      <c r="B21" s="44">
        <v>0</v>
      </c>
      <c r="C21" s="45">
        <v>0</v>
      </c>
      <c r="D21" s="269">
        <v>0</v>
      </c>
      <c r="E21" s="43">
        <f t="shared" si="0"/>
        <v>0</v>
      </c>
      <c r="F21" s="14" t="s">
        <v>226</v>
      </c>
      <c r="G21" s="16">
        <v>0</v>
      </c>
      <c r="H21" s="17">
        <v>0</v>
      </c>
      <c r="I21" s="271">
        <v>0</v>
      </c>
      <c r="J21" s="15">
        <f t="shared" si="1"/>
        <v>0</v>
      </c>
      <c r="S21" s="63"/>
      <c r="T21" s="63"/>
    </row>
    <row r="22" spans="1:20" ht="14.95" customHeight="1" thickBot="1" x14ac:dyDescent="0.3">
      <c r="A22" s="42" t="s">
        <v>237</v>
      </c>
      <c r="B22" s="44">
        <v>0</v>
      </c>
      <c r="C22" s="45">
        <v>0</v>
      </c>
      <c r="D22" s="269">
        <v>0</v>
      </c>
      <c r="E22" s="43">
        <f t="shared" si="0"/>
        <v>0</v>
      </c>
      <c r="F22" s="14" t="s">
        <v>237</v>
      </c>
      <c r="G22" s="16">
        <v>0</v>
      </c>
      <c r="H22" s="17">
        <v>0</v>
      </c>
      <c r="I22" s="271">
        <v>0</v>
      </c>
      <c r="J22" s="15">
        <f t="shared" si="1"/>
        <v>0</v>
      </c>
      <c r="S22" s="63"/>
      <c r="T22" s="63"/>
    </row>
    <row r="23" spans="1:20" ht="14.95" customHeight="1" thickBot="1" x14ac:dyDescent="0.3">
      <c r="A23" s="42" t="s">
        <v>239</v>
      </c>
      <c r="B23" s="44">
        <v>1</v>
      </c>
      <c r="C23" s="45">
        <v>0</v>
      </c>
      <c r="D23" s="269">
        <v>1</v>
      </c>
      <c r="E23" s="43">
        <f t="shared" si="0"/>
        <v>2</v>
      </c>
      <c r="F23" s="14" t="s">
        <v>239</v>
      </c>
      <c r="G23" s="16">
        <v>5</v>
      </c>
      <c r="H23" s="17">
        <v>0</v>
      </c>
      <c r="I23" s="271">
        <v>5</v>
      </c>
      <c r="J23" s="15">
        <f t="shared" si="1"/>
        <v>10</v>
      </c>
    </row>
    <row r="24" spans="1:20" ht="14.95" customHeight="1" thickBot="1" x14ac:dyDescent="0.3">
      <c r="A24" s="42" t="s">
        <v>215</v>
      </c>
      <c r="B24" s="44">
        <v>0</v>
      </c>
      <c r="C24" s="45">
        <v>0</v>
      </c>
      <c r="D24" s="269">
        <v>0</v>
      </c>
      <c r="E24" s="43">
        <f t="shared" si="0"/>
        <v>0</v>
      </c>
      <c r="F24" s="14" t="s">
        <v>215</v>
      </c>
      <c r="G24" s="16">
        <v>0</v>
      </c>
      <c r="H24" s="17">
        <v>0</v>
      </c>
      <c r="I24" s="271">
        <v>0</v>
      </c>
      <c r="J24" s="15">
        <f t="shared" si="1"/>
        <v>0</v>
      </c>
    </row>
    <row r="25" spans="1:20" ht="14.95" customHeight="1" thickBot="1" x14ac:dyDescent="0.3">
      <c r="A25" s="42" t="s">
        <v>240</v>
      </c>
      <c r="B25" s="44">
        <v>0</v>
      </c>
      <c r="C25" s="45">
        <v>0</v>
      </c>
      <c r="D25" s="269">
        <v>0</v>
      </c>
      <c r="E25" s="43">
        <f t="shared" si="0"/>
        <v>0</v>
      </c>
      <c r="F25" s="14" t="s">
        <v>240</v>
      </c>
      <c r="G25" s="16">
        <v>0</v>
      </c>
      <c r="H25" s="17">
        <v>0</v>
      </c>
      <c r="I25" s="271">
        <v>0</v>
      </c>
      <c r="J25" s="15">
        <f t="shared" si="1"/>
        <v>0</v>
      </c>
    </row>
    <row r="26" spans="1:20" ht="14.95" customHeight="1" thickBot="1" x14ac:dyDescent="0.3">
      <c r="A26" s="42" t="s">
        <v>241</v>
      </c>
      <c r="B26" s="44">
        <v>0</v>
      </c>
      <c r="C26" s="45">
        <v>0</v>
      </c>
      <c r="D26" s="269">
        <v>0</v>
      </c>
      <c r="E26" s="43">
        <f t="shared" si="0"/>
        <v>0</v>
      </c>
      <c r="F26" s="14" t="s">
        <v>241</v>
      </c>
      <c r="G26" s="16">
        <v>0</v>
      </c>
      <c r="H26" s="17">
        <v>0</v>
      </c>
      <c r="I26" s="271">
        <v>0</v>
      </c>
      <c r="J26" s="15">
        <f t="shared" si="1"/>
        <v>0</v>
      </c>
    </row>
    <row r="27" spans="1:20" ht="14.95" customHeight="1" thickBot="1" x14ac:dyDescent="0.3">
      <c r="A27" s="42" t="s">
        <v>228</v>
      </c>
      <c r="B27" s="44">
        <v>2</v>
      </c>
      <c r="C27" s="45">
        <v>0</v>
      </c>
      <c r="D27" s="269">
        <v>0</v>
      </c>
      <c r="E27" s="43">
        <f t="shared" si="0"/>
        <v>2</v>
      </c>
      <c r="F27" s="14" t="s">
        <v>228</v>
      </c>
      <c r="G27" s="16">
        <v>10</v>
      </c>
      <c r="H27" s="17">
        <v>0</v>
      </c>
      <c r="I27" s="271">
        <v>0</v>
      </c>
      <c r="J27" s="15">
        <f t="shared" si="1"/>
        <v>10</v>
      </c>
    </row>
    <row r="28" spans="1:20" ht="14.95" customHeight="1" thickBot="1" x14ac:dyDescent="0.3">
      <c r="A28" s="42" t="s">
        <v>227</v>
      </c>
      <c r="B28" s="44">
        <v>0</v>
      </c>
      <c r="C28" s="45">
        <v>0</v>
      </c>
      <c r="D28" s="269">
        <v>0</v>
      </c>
      <c r="E28" s="43">
        <f t="shared" si="0"/>
        <v>0</v>
      </c>
      <c r="F28" s="14" t="s">
        <v>227</v>
      </c>
      <c r="G28" s="16">
        <v>0</v>
      </c>
      <c r="H28" s="17">
        <v>0</v>
      </c>
      <c r="I28" s="271">
        <v>0</v>
      </c>
      <c r="J28" s="15">
        <f t="shared" si="1"/>
        <v>0</v>
      </c>
    </row>
    <row r="29" spans="1:20" ht="14.95" customHeight="1" thickBot="1" x14ac:dyDescent="0.3">
      <c r="A29" s="42" t="s">
        <v>69</v>
      </c>
      <c r="B29" s="44">
        <v>0</v>
      </c>
      <c r="C29" s="45">
        <v>0</v>
      </c>
      <c r="D29" s="269">
        <v>1</v>
      </c>
      <c r="E29" s="43">
        <f t="shared" si="0"/>
        <v>1</v>
      </c>
      <c r="F29" s="14" t="s">
        <v>69</v>
      </c>
      <c r="G29" s="16">
        <v>0</v>
      </c>
      <c r="H29" s="17">
        <v>0</v>
      </c>
      <c r="I29" s="271">
        <v>5</v>
      </c>
      <c r="J29" s="15">
        <f t="shared" si="1"/>
        <v>5</v>
      </c>
    </row>
    <row r="30" spans="1:20" ht="14.95" customHeight="1" thickBot="1" x14ac:dyDescent="0.3">
      <c r="A30" s="42" t="s">
        <v>229</v>
      </c>
      <c r="B30" s="44">
        <v>0</v>
      </c>
      <c r="C30" s="45">
        <v>0</v>
      </c>
      <c r="D30" s="269">
        <v>0</v>
      </c>
      <c r="E30" s="43">
        <f t="shared" si="0"/>
        <v>0</v>
      </c>
      <c r="F30" s="14" t="s">
        <v>229</v>
      </c>
      <c r="G30" s="16">
        <v>0</v>
      </c>
      <c r="H30" s="17">
        <v>0</v>
      </c>
      <c r="I30" s="271">
        <v>0</v>
      </c>
      <c r="J30" s="15">
        <f t="shared" si="1"/>
        <v>0</v>
      </c>
    </row>
    <row r="31" spans="1:20" ht="14.95" customHeight="1" thickBot="1" x14ac:dyDescent="0.3">
      <c r="A31" s="42" t="s">
        <v>230</v>
      </c>
      <c r="B31" s="44">
        <v>2</v>
      </c>
      <c r="C31" s="45">
        <v>0</v>
      </c>
      <c r="D31" s="269">
        <v>0</v>
      </c>
      <c r="E31" s="43">
        <f t="shared" si="0"/>
        <v>2</v>
      </c>
      <c r="F31" s="14" t="s">
        <v>230</v>
      </c>
      <c r="G31" s="16">
        <v>10</v>
      </c>
      <c r="H31" s="17">
        <v>0</v>
      </c>
      <c r="I31" s="271">
        <v>0</v>
      </c>
      <c r="J31" s="15">
        <f t="shared" si="1"/>
        <v>10</v>
      </c>
    </row>
    <row r="32" spans="1:20" ht="14.95" customHeight="1" thickBot="1" x14ac:dyDescent="0.3">
      <c r="A32" s="42" t="s">
        <v>83</v>
      </c>
      <c r="B32" s="44">
        <v>0</v>
      </c>
      <c r="C32" s="45">
        <v>0</v>
      </c>
      <c r="D32" s="269">
        <v>0</v>
      </c>
      <c r="E32" s="43">
        <f t="shared" si="0"/>
        <v>0</v>
      </c>
      <c r="F32" s="14" t="s">
        <v>83</v>
      </c>
      <c r="G32" s="16">
        <v>0</v>
      </c>
      <c r="H32" s="17">
        <v>0</v>
      </c>
      <c r="I32" s="271">
        <v>0</v>
      </c>
      <c r="J32" s="15">
        <f t="shared" si="1"/>
        <v>0</v>
      </c>
    </row>
    <row r="33" spans="1:10" ht="14.95" customHeight="1" thickBot="1" x14ac:dyDescent="0.3">
      <c r="A33" s="42" t="s">
        <v>231</v>
      </c>
      <c r="B33" s="44">
        <v>0</v>
      </c>
      <c r="C33" s="45">
        <v>0</v>
      </c>
      <c r="D33" s="269">
        <v>0</v>
      </c>
      <c r="E33" s="43">
        <f t="shared" si="0"/>
        <v>0</v>
      </c>
      <c r="F33" s="14" t="s">
        <v>231</v>
      </c>
      <c r="G33" s="16">
        <v>0</v>
      </c>
      <c r="H33" s="17">
        <v>0</v>
      </c>
      <c r="I33" s="271">
        <v>0</v>
      </c>
      <c r="J33" s="15">
        <f t="shared" si="1"/>
        <v>0</v>
      </c>
    </row>
    <row r="34" spans="1:10" ht="14.95" customHeight="1" thickBot="1" x14ac:dyDescent="0.3">
      <c r="A34" s="42" t="s">
        <v>243</v>
      </c>
      <c r="B34" s="44">
        <v>0</v>
      </c>
      <c r="C34" s="45">
        <v>0</v>
      </c>
      <c r="D34" s="269">
        <v>0</v>
      </c>
      <c r="E34" s="43">
        <f t="shared" si="0"/>
        <v>0</v>
      </c>
      <c r="F34" s="14" t="s">
        <v>243</v>
      </c>
      <c r="G34" s="16">
        <v>0</v>
      </c>
      <c r="H34" s="17">
        <v>5</v>
      </c>
      <c r="I34" s="271">
        <v>9</v>
      </c>
      <c r="J34" s="15">
        <f t="shared" si="1"/>
        <v>14</v>
      </c>
    </row>
    <row r="35" spans="1:10" ht="14.95" customHeight="1" thickBot="1" x14ac:dyDescent="0.3">
      <c r="A35" s="42" t="s">
        <v>242</v>
      </c>
      <c r="B35" s="44">
        <v>0</v>
      </c>
      <c r="C35" s="45">
        <v>0</v>
      </c>
      <c r="D35" s="269">
        <v>0</v>
      </c>
      <c r="E35" s="43">
        <f t="shared" si="0"/>
        <v>0</v>
      </c>
      <c r="F35" s="14" t="s">
        <v>242</v>
      </c>
      <c r="G35" s="16">
        <v>0</v>
      </c>
      <c r="H35" s="17">
        <v>0</v>
      </c>
      <c r="I35" s="271">
        <v>0</v>
      </c>
      <c r="J35" s="15">
        <f t="shared" si="1"/>
        <v>0</v>
      </c>
    </row>
    <row r="36" spans="1:10" ht="14.95" customHeight="1" thickBot="1" x14ac:dyDescent="0.3">
      <c r="A36" s="42" t="s">
        <v>244</v>
      </c>
      <c r="B36" s="44">
        <v>0</v>
      </c>
      <c r="C36" s="45">
        <v>0</v>
      </c>
      <c r="D36" s="269">
        <v>0</v>
      </c>
      <c r="E36" s="43">
        <f t="shared" si="0"/>
        <v>0</v>
      </c>
      <c r="F36" s="14" t="s">
        <v>244</v>
      </c>
      <c r="G36" s="16">
        <v>0</v>
      </c>
      <c r="H36" s="17">
        <v>0</v>
      </c>
      <c r="I36" s="271">
        <v>0</v>
      </c>
      <c r="J36" s="15">
        <f t="shared" si="1"/>
        <v>0</v>
      </c>
    </row>
    <row r="37" spans="1:10" ht="14.95" thickBot="1" x14ac:dyDescent="0.3">
      <c r="A37" s="42" t="s">
        <v>19</v>
      </c>
      <c r="B37" s="44">
        <v>0</v>
      </c>
      <c r="C37" s="45">
        <v>0</v>
      </c>
      <c r="D37" s="269">
        <v>0</v>
      </c>
      <c r="E37" s="43">
        <f t="shared" si="0"/>
        <v>0</v>
      </c>
      <c r="F37" s="14" t="s">
        <v>19</v>
      </c>
      <c r="G37" s="16">
        <v>0</v>
      </c>
      <c r="H37" s="17">
        <v>0</v>
      </c>
      <c r="I37" s="271">
        <v>0</v>
      </c>
      <c r="J37" s="15">
        <f t="shared" si="1"/>
        <v>0</v>
      </c>
    </row>
    <row r="38" spans="1:10" ht="14.95" thickBot="1" x14ac:dyDescent="0.3">
      <c r="A38" s="42" t="s">
        <v>232</v>
      </c>
      <c r="B38" s="44">
        <v>0</v>
      </c>
      <c r="C38" s="45">
        <v>0</v>
      </c>
      <c r="D38" s="269">
        <v>0</v>
      </c>
      <c r="E38" s="43">
        <f t="shared" si="0"/>
        <v>0</v>
      </c>
      <c r="F38" s="14" t="s">
        <v>232</v>
      </c>
      <c r="G38" s="16">
        <v>0</v>
      </c>
      <c r="H38" s="17">
        <v>0</v>
      </c>
      <c r="I38" s="271">
        <v>0</v>
      </c>
      <c r="J38" s="15">
        <f t="shared" si="1"/>
        <v>0</v>
      </c>
    </row>
    <row r="39" spans="1:10" ht="14.95" thickBot="1" x14ac:dyDescent="0.3">
      <c r="A39" s="42" t="s">
        <v>245</v>
      </c>
      <c r="B39" s="44">
        <v>0</v>
      </c>
      <c r="C39" s="45">
        <v>0</v>
      </c>
      <c r="D39" s="269">
        <v>0</v>
      </c>
      <c r="E39" s="43">
        <f t="shared" si="0"/>
        <v>0</v>
      </c>
      <c r="F39" s="14" t="s">
        <v>245</v>
      </c>
      <c r="G39" s="16">
        <v>5</v>
      </c>
      <c r="H39" s="17">
        <v>0</v>
      </c>
      <c r="I39" s="271">
        <v>0</v>
      </c>
      <c r="J39" s="15">
        <f t="shared" si="1"/>
        <v>5</v>
      </c>
    </row>
    <row r="40" spans="1:10" ht="14.95" thickBot="1" x14ac:dyDescent="0.3">
      <c r="A40" s="42" t="s">
        <v>3</v>
      </c>
      <c r="B40" s="44">
        <f>SUM(B3:B39)</f>
        <v>12</v>
      </c>
      <c r="C40" s="45">
        <f>SUM(C3:C39)</f>
        <v>1</v>
      </c>
      <c r="D40" s="269">
        <f>SUM(D3:D39)</f>
        <v>5</v>
      </c>
      <c r="E40" s="43">
        <f t="shared" si="0"/>
        <v>18</v>
      </c>
      <c r="F40" s="13" t="s">
        <v>3</v>
      </c>
      <c r="G40" s="16">
        <f>SUM(G3:G39)</f>
        <v>69</v>
      </c>
      <c r="H40" s="17">
        <f>SUM(H3:H39)</f>
        <v>10</v>
      </c>
      <c r="I40" s="271">
        <f>SUM(I3:I39)</f>
        <v>40</v>
      </c>
      <c r="J40" s="15">
        <f t="shared" si="1"/>
        <v>119</v>
      </c>
    </row>
    <row r="41" spans="1:10" x14ac:dyDescent="0.25">
      <c r="B41" s="10"/>
      <c r="F41" s="7"/>
      <c r="G41" s="11"/>
      <c r="H41" s="7"/>
    </row>
    <row r="42" spans="1:10" ht="14.95" thickBot="1" x14ac:dyDescent="0.3">
      <c r="A42" t="s">
        <v>7</v>
      </c>
      <c r="B42" s="10"/>
      <c r="F42" s="6"/>
      <c r="G42" s="5"/>
      <c r="H42" s="6"/>
      <c r="I42" s="6"/>
      <c r="J42" s="6"/>
    </row>
    <row r="43" spans="1:10" ht="14.95" thickBot="1" x14ac:dyDescent="0.3">
      <c r="A43" s="86" t="s">
        <v>0</v>
      </c>
      <c r="B43" s="106" t="s">
        <v>15</v>
      </c>
      <c r="C43" s="105" t="s">
        <v>12</v>
      </c>
      <c r="D43" s="268" t="s">
        <v>396</v>
      </c>
      <c r="E43" s="87" t="s">
        <v>1</v>
      </c>
      <c r="F43" s="79" t="s">
        <v>2</v>
      </c>
      <c r="G43" s="80" t="s">
        <v>15</v>
      </c>
      <c r="H43" s="81" t="s">
        <v>12</v>
      </c>
      <c r="I43" s="270" t="s">
        <v>396</v>
      </c>
      <c r="J43" s="82" t="s">
        <v>1</v>
      </c>
    </row>
    <row r="44" spans="1:10" ht="14.95" thickBot="1" x14ac:dyDescent="0.3">
      <c r="A44" s="42" t="s">
        <v>222</v>
      </c>
      <c r="B44" s="44">
        <v>2</v>
      </c>
      <c r="C44" s="45">
        <v>0</v>
      </c>
      <c r="D44" s="269">
        <v>2</v>
      </c>
      <c r="E44" s="43">
        <v>4</v>
      </c>
      <c r="F44" s="14" t="s">
        <v>222</v>
      </c>
      <c r="G44" s="16">
        <v>10</v>
      </c>
      <c r="H44" s="17">
        <v>0</v>
      </c>
      <c r="I44" s="271">
        <v>10</v>
      </c>
      <c r="J44" s="15">
        <v>20</v>
      </c>
    </row>
    <row r="45" spans="1:10" ht="14.95" thickBot="1" x14ac:dyDescent="0.3">
      <c r="A45" s="42" t="s">
        <v>225</v>
      </c>
      <c r="B45" s="44">
        <v>2</v>
      </c>
      <c r="C45" s="45">
        <v>0</v>
      </c>
      <c r="D45" s="269">
        <v>0</v>
      </c>
      <c r="E45" s="43">
        <f>SUM(B45:C45)</f>
        <v>2</v>
      </c>
      <c r="F45" s="14" t="s">
        <v>233</v>
      </c>
      <c r="G45" s="16">
        <v>9</v>
      </c>
      <c r="H45" s="17">
        <v>0</v>
      </c>
      <c r="I45" s="271">
        <v>6</v>
      </c>
      <c r="J45" s="15">
        <v>15</v>
      </c>
    </row>
    <row r="46" spans="1:10" ht="14.95" thickBot="1" x14ac:dyDescent="0.3">
      <c r="A46" s="42" t="s">
        <v>228</v>
      </c>
      <c r="B46" s="44">
        <v>2</v>
      </c>
      <c r="C46" s="45">
        <v>0</v>
      </c>
      <c r="D46" s="269">
        <v>0</v>
      </c>
      <c r="E46" s="43">
        <f>SUM(B46:C46)</f>
        <v>2</v>
      </c>
      <c r="F46" s="14" t="s">
        <v>243</v>
      </c>
      <c r="G46" s="16">
        <v>0</v>
      </c>
      <c r="H46" s="17">
        <v>5</v>
      </c>
      <c r="I46" s="271">
        <v>9</v>
      </c>
      <c r="J46" s="15">
        <v>14</v>
      </c>
    </row>
    <row r="47" spans="1:10" ht="14.95" thickBot="1" x14ac:dyDescent="0.3">
      <c r="A47" s="42" t="s">
        <v>230</v>
      </c>
      <c r="B47" s="44">
        <v>2</v>
      </c>
      <c r="C47" s="45">
        <v>0</v>
      </c>
      <c r="D47" s="269">
        <v>0</v>
      </c>
      <c r="E47" s="43">
        <f>SUM(B47:C47)</f>
        <v>2</v>
      </c>
      <c r="F47" s="14" t="s">
        <v>225</v>
      </c>
      <c r="G47" s="16">
        <v>10</v>
      </c>
      <c r="H47" s="17">
        <v>0</v>
      </c>
      <c r="I47" s="271">
        <v>0</v>
      </c>
      <c r="J47" s="15">
        <f>SUM(G47:H47)</f>
        <v>10</v>
      </c>
    </row>
    <row r="48" spans="1:10" ht="14.95" thickBot="1" x14ac:dyDescent="0.3">
      <c r="A48" s="42" t="s">
        <v>239</v>
      </c>
      <c r="B48" s="44">
        <v>1</v>
      </c>
      <c r="C48" s="45">
        <v>0</v>
      </c>
      <c r="D48" s="269">
        <v>1</v>
      </c>
      <c r="E48" s="43">
        <v>2</v>
      </c>
      <c r="F48" s="14" t="s">
        <v>228</v>
      </c>
      <c r="G48" s="16">
        <v>10</v>
      </c>
      <c r="H48" s="17">
        <v>0</v>
      </c>
      <c r="I48" s="271">
        <v>0</v>
      </c>
      <c r="J48" s="15">
        <f>SUM(G48:H48)</f>
        <v>10</v>
      </c>
    </row>
    <row r="49" spans="1:10" ht="14.95" thickBot="1" x14ac:dyDescent="0.3">
      <c r="A49" s="42" t="s">
        <v>233</v>
      </c>
      <c r="B49" s="44">
        <v>1</v>
      </c>
      <c r="C49" s="45">
        <v>0</v>
      </c>
      <c r="D49" s="269">
        <v>0</v>
      </c>
      <c r="E49" s="43">
        <f>SUM(B49:C49)</f>
        <v>1</v>
      </c>
      <c r="F49" s="14" t="s">
        <v>230</v>
      </c>
      <c r="G49" s="16">
        <v>10</v>
      </c>
      <c r="H49" s="17">
        <v>0</v>
      </c>
      <c r="I49" s="271">
        <v>0</v>
      </c>
      <c r="J49" s="15">
        <f>SUM(G49:H49)</f>
        <v>10</v>
      </c>
    </row>
    <row r="50" spans="1:10" ht="14.95" thickBot="1" x14ac:dyDescent="0.3">
      <c r="A50" s="42" t="s">
        <v>218</v>
      </c>
      <c r="B50" s="44">
        <v>0</v>
      </c>
      <c r="C50" s="45">
        <v>1</v>
      </c>
      <c r="D50" s="269">
        <v>0</v>
      </c>
      <c r="E50" s="43">
        <f>SUM(B50:C50)</f>
        <v>1</v>
      </c>
      <c r="F50" s="14" t="s">
        <v>239</v>
      </c>
      <c r="G50" s="16">
        <v>5</v>
      </c>
      <c r="H50" s="17">
        <v>0</v>
      </c>
      <c r="I50" s="271">
        <v>5</v>
      </c>
      <c r="J50" s="15">
        <v>10</v>
      </c>
    </row>
    <row r="51" spans="1:10" ht="14.95" thickBot="1" x14ac:dyDescent="0.3">
      <c r="A51" s="42" t="s">
        <v>235</v>
      </c>
      <c r="B51" s="44">
        <v>1</v>
      </c>
      <c r="C51" s="45">
        <v>0</v>
      </c>
      <c r="D51" s="269">
        <v>0</v>
      </c>
      <c r="E51" s="43">
        <f>SUM(B51:C51)</f>
        <v>1</v>
      </c>
      <c r="F51" s="14" t="s">
        <v>218</v>
      </c>
      <c r="G51" s="16">
        <v>0</v>
      </c>
      <c r="H51" s="17">
        <v>5</v>
      </c>
      <c r="I51" s="271">
        <v>0</v>
      </c>
      <c r="J51" s="15">
        <f>SUM(G51:H51)</f>
        <v>5</v>
      </c>
    </row>
    <row r="52" spans="1:10" ht="14.95" thickBot="1" x14ac:dyDescent="0.3">
      <c r="A52" s="42" t="s">
        <v>246</v>
      </c>
      <c r="B52" s="44">
        <v>1</v>
      </c>
      <c r="C52" s="45">
        <v>0</v>
      </c>
      <c r="D52" s="269">
        <v>0</v>
      </c>
      <c r="E52" s="43">
        <f>SUM(B52:C52)</f>
        <v>1</v>
      </c>
      <c r="F52" s="14" t="s">
        <v>235</v>
      </c>
      <c r="G52" s="16">
        <v>5</v>
      </c>
      <c r="H52" s="17">
        <v>0</v>
      </c>
      <c r="I52" s="271">
        <v>0</v>
      </c>
      <c r="J52" s="15">
        <f>SUM(G52:H52)</f>
        <v>5</v>
      </c>
    </row>
    <row r="53" spans="1:10" ht="14.95" thickBot="1" x14ac:dyDescent="0.3">
      <c r="A53" s="42" t="s">
        <v>216</v>
      </c>
      <c r="B53" s="44">
        <v>0</v>
      </c>
      <c r="C53" s="45">
        <v>0</v>
      </c>
      <c r="D53" s="269">
        <v>1</v>
      </c>
      <c r="E53" s="43">
        <v>1</v>
      </c>
      <c r="F53" s="14" t="s">
        <v>246</v>
      </c>
      <c r="G53" s="16">
        <v>5</v>
      </c>
      <c r="H53" s="17">
        <v>0</v>
      </c>
      <c r="I53" s="271">
        <v>0</v>
      </c>
      <c r="J53" s="15">
        <f>SUM(G53:H53)</f>
        <v>5</v>
      </c>
    </row>
    <row r="54" spans="1:10" ht="14.95" thickBot="1" x14ac:dyDescent="0.3">
      <c r="A54" s="42" t="s">
        <v>69</v>
      </c>
      <c r="B54" s="44">
        <v>0</v>
      </c>
      <c r="C54" s="45">
        <v>0</v>
      </c>
      <c r="D54" s="269">
        <v>1</v>
      </c>
      <c r="E54" s="43">
        <v>1</v>
      </c>
      <c r="F54" s="14" t="s">
        <v>245</v>
      </c>
      <c r="G54" s="16">
        <v>5</v>
      </c>
      <c r="H54" s="17">
        <v>0</v>
      </c>
      <c r="I54" s="271">
        <v>0</v>
      </c>
      <c r="J54" s="15">
        <f>SUM(G54:H54)</f>
        <v>5</v>
      </c>
    </row>
    <row r="55" spans="1:10" ht="14.95" thickBot="1" x14ac:dyDescent="0.3">
      <c r="A55" s="42" t="s">
        <v>217</v>
      </c>
      <c r="B55" s="44">
        <v>0</v>
      </c>
      <c r="C55" s="45">
        <v>0</v>
      </c>
      <c r="D55" s="269">
        <v>0</v>
      </c>
      <c r="E55" s="43">
        <f t="shared" ref="E55:E80" si="7">SUM(B55:C55)</f>
        <v>0</v>
      </c>
      <c r="F55" s="14" t="s">
        <v>216</v>
      </c>
      <c r="G55" s="16">
        <v>0</v>
      </c>
      <c r="H55" s="17">
        <v>0</v>
      </c>
      <c r="I55" s="271">
        <v>5</v>
      </c>
      <c r="J55" s="15">
        <v>5</v>
      </c>
    </row>
    <row r="56" spans="1:10" ht="14.95" thickBot="1" x14ac:dyDescent="0.3">
      <c r="A56" s="42" t="s">
        <v>197</v>
      </c>
      <c r="B56" s="44">
        <v>0</v>
      </c>
      <c r="C56" s="45">
        <v>0</v>
      </c>
      <c r="D56" s="269">
        <v>0</v>
      </c>
      <c r="E56" s="43">
        <f t="shared" si="7"/>
        <v>0</v>
      </c>
      <c r="F56" s="14" t="s">
        <v>69</v>
      </c>
      <c r="G56" s="16">
        <v>0</v>
      </c>
      <c r="H56" s="17">
        <v>0</v>
      </c>
      <c r="I56" s="271">
        <v>5</v>
      </c>
      <c r="J56" s="15">
        <v>5</v>
      </c>
    </row>
    <row r="57" spans="1:10" ht="14.95" thickBot="1" x14ac:dyDescent="0.3">
      <c r="A57" s="42" t="s">
        <v>220</v>
      </c>
      <c r="B57" s="44">
        <v>0</v>
      </c>
      <c r="C57" s="45">
        <v>0</v>
      </c>
      <c r="D57" s="269">
        <v>0</v>
      </c>
      <c r="E57" s="43">
        <f t="shared" si="7"/>
        <v>0</v>
      </c>
      <c r="F57" s="14" t="s">
        <v>217</v>
      </c>
      <c r="G57" s="16">
        <v>0</v>
      </c>
      <c r="H57" s="17">
        <v>0</v>
      </c>
      <c r="I57" s="271">
        <v>0</v>
      </c>
      <c r="J57" s="15">
        <f t="shared" ref="J57:J80" si="8">SUM(G57:H57)</f>
        <v>0</v>
      </c>
    </row>
    <row r="58" spans="1:10" ht="14.95" thickBot="1" x14ac:dyDescent="0.3">
      <c r="A58" s="42" t="s">
        <v>4</v>
      </c>
      <c r="B58" s="44">
        <v>0</v>
      </c>
      <c r="C58" s="45">
        <v>0</v>
      </c>
      <c r="D58" s="269">
        <v>0</v>
      </c>
      <c r="E58" s="43">
        <f t="shared" si="7"/>
        <v>0</v>
      </c>
      <c r="F58" s="14" t="s">
        <v>197</v>
      </c>
      <c r="G58" s="16">
        <v>0</v>
      </c>
      <c r="H58" s="17">
        <v>0</v>
      </c>
      <c r="I58" s="271">
        <v>0</v>
      </c>
      <c r="J58" s="15">
        <f t="shared" si="8"/>
        <v>0</v>
      </c>
    </row>
    <row r="59" spans="1:10" ht="14.95" thickBot="1" x14ac:dyDescent="0.3">
      <c r="A59" s="42" t="s">
        <v>221</v>
      </c>
      <c r="B59" s="44">
        <v>0</v>
      </c>
      <c r="C59" s="45">
        <v>0</v>
      </c>
      <c r="D59" s="269">
        <v>0</v>
      </c>
      <c r="E59" s="43">
        <f t="shared" si="7"/>
        <v>0</v>
      </c>
      <c r="F59" s="14" t="s">
        <v>220</v>
      </c>
      <c r="G59" s="16">
        <v>0</v>
      </c>
      <c r="H59" s="17">
        <v>0</v>
      </c>
      <c r="I59" s="271">
        <v>0</v>
      </c>
      <c r="J59" s="15">
        <f t="shared" si="8"/>
        <v>0</v>
      </c>
    </row>
    <row r="60" spans="1:10" ht="14.95" thickBot="1" x14ac:dyDescent="0.3">
      <c r="A60" s="42" t="s">
        <v>234</v>
      </c>
      <c r="B60" s="44">
        <v>0</v>
      </c>
      <c r="C60" s="45">
        <v>0</v>
      </c>
      <c r="D60" s="269">
        <v>0</v>
      </c>
      <c r="E60" s="43">
        <f t="shared" si="7"/>
        <v>0</v>
      </c>
      <c r="F60" s="14" t="s">
        <v>4</v>
      </c>
      <c r="G60" s="16">
        <v>0</v>
      </c>
      <c r="H60" s="17">
        <v>0</v>
      </c>
      <c r="I60" s="271">
        <v>0</v>
      </c>
      <c r="J60" s="15">
        <f t="shared" si="8"/>
        <v>0</v>
      </c>
    </row>
    <row r="61" spans="1:10" ht="14.95" thickBot="1" x14ac:dyDescent="0.3">
      <c r="A61" s="42" t="s">
        <v>219</v>
      </c>
      <c r="B61" s="44">
        <v>0</v>
      </c>
      <c r="C61" s="45">
        <v>0</v>
      </c>
      <c r="D61" s="269">
        <v>0</v>
      </c>
      <c r="E61" s="43">
        <f t="shared" si="7"/>
        <v>0</v>
      </c>
      <c r="F61" s="14" t="s">
        <v>221</v>
      </c>
      <c r="G61" s="16">
        <v>0</v>
      </c>
      <c r="H61" s="17">
        <v>0</v>
      </c>
      <c r="I61" s="271">
        <v>0</v>
      </c>
      <c r="J61" s="15">
        <f t="shared" si="8"/>
        <v>0</v>
      </c>
    </row>
    <row r="62" spans="1:10" ht="14.95" thickBot="1" x14ac:dyDescent="0.3">
      <c r="A62" s="42" t="s">
        <v>223</v>
      </c>
      <c r="B62" s="44">
        <v>0</v>
      </c>
      <c r="C62" s="45">
        <v>0</v>
      </c>
      <c r="D62" s="269">
        <v>0</v>
      </c>
      <c r="E62" s="43">
        <f t="shared" si="7"/>
        <v>0</v>
      </c>
      <c r="F62" s="14" t="s">
        <v>234</v>
      </c>
      <c r="G62" s="16">
        <v>0</v>
      </c>
      <c r="H62" s="17">
        <v>0</v>
      </c>
      <c r="I62" s="271">
        <v>0</v>
      </c>
      <c r="J62" s="15">
        <f t="shared" si="8"/>
        <v>0</v>
      </c>
    </row>
    <row r="63" spans="1:10" ht="14.95" thickBot="1" x14ac:dyDescent="0.3">
      <c r="A63" s="42" t="s">
        <v>224</v>
      </c>
      <c r="B63" s="44">
        <v>0</v>
      </c>
      <c r="C63" s="45">
        <v>0</v>
      </c>
      <c r="D63" s="269">
        <v>0</v>
      </c>
      <c r="E63" s="43">
        <f t="shared" si="7"/>
        <v>0</v>
      </c>
      <c r="F63" s="14" t="s">
        <v>219</v>
      </c>
      <c r="G63" s="16">
        <v>0</v>
      </c>
      <c r="H63" s="17">
        <v>0</v>
      </c>
      <c r="I63" s="271">
        <v>0</v>
      </c>
      <c r="J63" s="15">
        <f t="shared" si="8"/>
        <v>0</v>
      </c>
    </row>
    <row r="64" spans="1:10" ht="14.95" thickBot="1" x14ac:dyDescent="0.3">
      <c r="A64" s="42" t="s">
        <v>236</v>
      </c>
      <c r="B64" s="44">
        <v>0</v>
      </c>
      <c r="C64" s="45">
        <v>0</v>
      </c>
      <c r="D64" s="269">
        <v>0</v>
      </c>
      <c r="E64" s="43">
        <f t="shared" si="7"/>
        <v>0</v>
      </c>
      <c r="F64" s="14" t="s">
        <v>223</v>
      </c>
      <c r="G64" s="16">
        <v>0</v>
      </c>
      <c r="H64" s="17">
        <v>0</v>
      </c>
      <c r="I64" s="271">
        <v>0</v>
      </c>
      <c r="J64" s="15">
        <f t="shared" si="8"/>
        <v>0</v>
      </c>
    </row>
    <row r="65" spans="1:10" ht="14.95" thickBot="1" x14ac:dyDescent="0.3">
      <c r="A65" s="42" t="s">
        <v>238</v>
      </c>
      <c r="B65" s="44">
        <v>0</v>
      </c>
      <c r="C65" s="45">
        <v>0</v>
      </c>
      <c r="D65" s="269">
        <v>0</v>
      </c>
      <c r="E65" s="43">
        <f t="shared" si="7"/>
        <v>0</v>
      </c>
      <c r="F65" s="14" t="s">
        <v>224</v>
      </c>
      <c r="G65" s="16">
        <v>0</v>
      </c>
      <c r="H65" s="17">
        <v>0</v>
      </c>
      <c r="I65" s="271">
        <v>0</v>
      </c>
      <c r="J65" s="15">
        <f t="shared" si="8"/>
        <v>0</v>
      </c>
    </row>
    <row r="66" spans="1:10" ht="14.95" thickBot="1" x14ac:dyDescent="0.3">
      <c r="A66" s="42" t="s">
        <v>226</v>
      </c>
      <c r="B66" s="44">
        <v>0</v>
      </c>
      <c r="C66" s="45">
        <v>0</v>
      </c>
      <c r="D66" s="269">
        <v>0</v>
      </c>
      <c r="E66" s="43">
        <f t="shared" si="7"/>
        <v>0</v>
      </c>
      <c r="F66" s="14" t="s">
        <v>236</v>
      </c>
      <c r="G66" s="16">
        <v>0</v>
      </c>
      <c r="H66" s="17">
        <v>0</v>
      </c>
      <c r="I66" s="271">
        <v>0</v>
      </c>
      <c r="J66" s="15">
        <f t="shared" si="8"/>
        <v>0</v>
      </c>
    </row>
    <row r="67" spans="1:10" ht="14.95" thickBot="1" x14ac:dyDescent="0.3">
      <c r="A67" s="42" t="s">
        <v>237</v>
      </c>
      <c r="B67" s="44">
        <v>0</v>
      </c>
      <c r="C67" s="45">
        <v>0</v>
      </c>
      <c r="D67" s="269">
        <v>0</v>
      </c>
      <c r="E67" s="43">
        <f t="shared" si="7"/>
        <v>0</v>
      </c>
      <c r="F67" s="14" t="s">
        <v>238</v>
      </c>
      <c r="G67" s="16">
        <v>0</v>
      </c>
      <c r="H67" s="17">
        <v>0</v>
      </c>
      <c r="I67" s="271">
        <v>0</v>
      </c>
      <c r="J67" s="15">
        <f t="shared" si="8"/>
        <v>0</v>
      </c>
    </row>
    <row r="68" spans="1:10" ht="14.95" thickBot="1" x14ac:dyDescent="0.3">
      <c r="A68" s="42" t="s">
        <v>215</v>
      </c>
      <c r="B68" s="44">
        <v>0</v>
      </c>
      <c r="C68" s="45">
        <v>0</v>
      </c>
      <c r="D68" s="269">
        <v>0</v>
      </c>
      <c r="E68" s="43">
        <f t="shared" si="7"/>
        <v>0</v>
      </c>
      <c r="F68" s="14" t="s">
        <v>226</v>
      </c>
      <c r="G68" s="16">
        <v>0</v>
      </c>
      <c r="H68" s="17">
        <v>0</v>
      </c>
      <c r="I68" s="271">
        <v>0</v>
      </c>
      <c r="J68" s="15">
        <f t="shared" si="8"/>
        <v>0</v>
      </c>
    </row>
    <row r="69" spans="1:10" ht="14.95" thickBot="1" x14ac:dyDescent="0.3">
      <c r="A69" s="42" t="s">
        <v>240</v>
      </c>
      <c r="B69" s="44">
        <v>0</v>
      </c>
      <c r="C69" s="45">
        <v>0</v>
      </c>
      <c r="D69" s="269">
        <v>0</v>
      </c>
      <c r="E69" s="43">
        <f t="shared" si="7"/>
        <v>0</v>
      </c>
      <c r="F69" s="14" t="s">
        <v>237</v>
      </c>
      <c r="G69" s="16">
        <v>0</v>
      </c>
      <c r="H69" s="17">
        <v>0</v>
      </c>
      <c r="I69" s="271">
        <v>0</v>
      </c>
      <c r="J69" s="15">
        <f t="shared" si="8"/>
        <v>0</v>
      </c>
    </row>
    <row r="70" spans="1:10" ht="14.95" thickBot="1" x14ac:dyDescent="0.3">
      <c r="A70" s="42" t="s">
        <v>241</v>
      </c>
      <c r="B70" s="44">
        <v>0</v>
      </c>
      <c r="C70" s="45">
        <v>0</v>
      </c>
      <c r="D70" s="269">
        <v>0</v>
      </c>
      <c r="E70" s="43">
        <f t="shared" si="7"/>
        <v>0</v>
      </c>
      <c r="F70" s="14" t="s">
        <v>215</v>
      </c>
      <c r="G70" s="16">
        <v>0</v>
      </c>
      <c r="H70" s="17">
        <v>0</v>
      </c>
      <c r="I70" s="271">
        <v>0</v>
      </c>
      <c r="J70" s="15">
        <f t="shared" si="8"/>
        <v>0</v>
      </c>
    </row>
    <row r="71" spans="1:10" ht="14.95" thickBot="1" x14ac:dyDescent="0.3">
      <c r="A71" s="42" t="s">
        <v>227</v>
      </c>
      <c r="B71" s="44">
        <v>0</v>
      </c>
      <c r="C71" s="45">
        <v>0</v>
      </c>
      <c r="D71" s="269">
        <v>0</v>
      </c>
      <c r="E71" s="43">
        <f t="shared" si="7"/>
        <v>0</v>
      </c>
      <c r="F71" s="14" t="s">
        <v>240</v>
      </c>
      <c r="G71" s="16">
        <v>0</v>
      </c>
      <c r="H71" s="17">
        <v>0</v>
      </c>
      <c r="I71" s="271">
        <v>0</v>
      </c>
      <c r="J71" s="15">
        <f t="shared" si="8"/>
        <v>0</v>
      </c>
    </row>
    <row r="72" spans="1:10" ht="14.95" thickBot="1" x14ac:dyDescent="0.3">
      <c r="A72" s="42" t="s">
        <v>229</v>
      </c>
      <c r="B72" s="44">
        <v>0</v>
      </c>
      <c r="C72" s="45">
        <v>0</v>
      </c>
      <c r="D72" s="269">
        <v>0</v>
      </c>
      <c r="E72" s="43">
        <f t="shared" si="7"/>
        <v>0</v>
      </c>
      <c r="F72" s="14" t="s">
        <v>241</v>
      </c>
      <c r="G72" s="16">
        <v>0</v>
      </c>
      <c r="H72" s="17">
        <v>0</v>
      </c>
      <c r="I72" s="271">
        <v>0</v>
      </c>
      <c r="J72" s="15">
        <f t="shared" si="8"/>
        <v>0</v>
      </c>
    </row>
    <row r="73" spans="1:10" ht="14.95" thickBot="1" x14ac:dyDescent="0.3">
      <c r="A73" s="42" t="s">
        <v>83</v>
      </c>
      <c r="B73" s="44">
        <v>0</v>
      </c>
      <c r="C73" s="45">
        <v>0</v>
      </c>
      <c r="D73" s="269">
        <v>0</v>
      </c>
      <c r="E73" s="43">
        <f t="shared" si="7"/>
        <v>0</v>
      </c>
      <c r="F73" s="14" t="s">
        <v>227</v>
      </c>
      <c r="G73" s="16">
        <v>0</v>
      </c>
      <c r="H73" s="17">
        <v>0</v>
      </c>
      <c r="I73" s="271">
        <v>0</v>
      </c>
      <c r="J73" s="15">
        <f t="shared" si="8"/>
        <v>0</v>
      </c>
    </row>
    <row r="74" spans="1:10" ht="14.95" thickBot="1" x14ac:dyDescent="0.3">
      <c r="A74" s="42" t="s">
        <v>231</v>
      </c>
      <c r="B74" s="44">
        <v>0</v>
      </c>
      <c r="C74" s="45">
        <v>0</v>
      </c>
      <c r="D74" s="269">
        <v>0</v>
      </c>
      <c r="E74" s="43">
        <f t="shared" si="7"/>
        <v>0</v>
      </c>
      <c r="F74" s="14" t="s">
        <v>229</v>
      </c>
      <c r="G74" s="16">
        <v>0</v>
      </c>
      <c r="H74" s="17">
        <v>0</v>
      </c>
      <c r="I74" s="271">
        <v>0</v>
      </c>
      <c r="J74" s="15">
        <f t="shared" si="8"/>
        <v>0</v>
      </c>
    </row>
    <row r="75" spans="1:10" ht="14.95" thickBot="1" x14ac:dyDescent="0.3">
      <c r="A75" s="42" t="s">
        <v>243</v>
      </c>
      <c r="B75" s="44">
        <v>0</v>
      </c>
      <c r="C75" s="45">
        <v>0</v>
      </c>
      <c r="D75" s="269">
        <v>0</v>
      </c>
      <c r="E75" s="43">
        <f t="shared" si="7"/>
        <v>0</v>
      </c>
      <c r="F75" s="14" t="s">
        <v>83</v>
      </c>
      <c r="G75" s="16">
        <v>0</v>
      </c>
      <c r="H75" s="17">
        <v>0</v>
      </c>
      <c r="I75" s="271">
        <v>0</v>
      </c>
      <c r="J75" s="15">
        <f t="shared" si="8"/>
        <v>0</v>
      </c>
    </row>
    <row r="76" spans="1:10" ht="14.95" thickBot="1" x14ac:dyDescent="0.3">
      <c r="A76" s="42" t="s">
        <v>242</v>
      </c>
      <c r="B76" s="44">
        <v>0</v>
      </c>
      <c r="C76" s="45">
        <v>0</v>
      </c>
      <c r="D76" s="269">
        <v>0</v>
      </c>
      <c r="E76" s="43">
        <f t="shared" si="7"/>
        <v>0</v>
      </c>
      <c r="F76" s="14" t="s">
        <v>231</v>
      </c>
      <c r="G76" s="16">
        <v>0</v>
      </c>
      <c r="H76" s="17">
        <v>0</v>
      </c>
      <c r="I76" s="271">
        <v>0</v>
      </c>
      <c r="J76" s="15">
        <f t="shared" si="8"/>
        <v>0</v>
      </c>
    </row>
    <row r="77" spans="1:10" ht="14.95" thickBot="1" x14ac:dyDescent="0.3">
      <c r="A77" s="42" t="s">
        <v>244</v>
      </c>
      <c r="B77" s="44">
        <v>0</v>
      </c>
      <c r="C77" s="45">
        <v>0</v>
      </c>
      <c r="D77" s="269">
        <v>0</v>
      </c>
      <c r="E77" s="43">
        <f t="shared" si="7"/>
        <v>0</v>
      </c>
      <c r="F77" s="14" t="s">
        <v>242</v>
      </c>
      <c r="G77" s="16">
        <v>0</v>
      </c>
      <c r="H77" s="17">
        <v>0</v>
      </c>
      <c r="I77" s="271">
        <v>0</v>
      </c>
      <c r="J77" s="15">
        <f t="shared" si="8"/>
        <v>0</v>
      </c>
    </row>
    <row r="78" spans="1:10" ht="14.95" thickBot="1" x14ac:dyDescent="0.3">
      <c r="A78" s="42" t="s">
        <v>19</v>
      </c>
      <c r="B78" s="44">
        <v>0</v>
      </c>
      <c r="C78" s="45">
        <v>0</v>
      </c>
      <c r="D78" s="269">
        <v>0</v>
      </c>
      <c r="E78" s="43">
        <f t="shared" si="7"/>
        <v>0</v>
      </c>
      <c r="F78" s="14" t="s">
        <v>244</v>
      </c>
      <c r="G78" s="16">
        <v>0</v>
      </c>
      <c r="H78" s="17">
        <v>0</v>
      </c>
      <c r="I78" s="271">
        <v>0</v>
      </c>
      <c r="J78" s="15">
        <f t="shared" si="8"/>
        <v>0</v>
      </c>
    </row>
    <row r="79" spans="1:10" ht="14.95" thickBot="1" x14ac:dyDescent="0.3">
      <c r="A79" s="42" t="s">
        <v>232</v>
      </c>
      <c r="B79" s="44">
        <v>0</v>
      </c>
      <c r="C79" s="45">
        <v>0</v>
      </c>
      <c r="D79" s="269">
        <v>0</v>
      </c>
      <c r="E79" s="43">
        <f t="shared" si="7"/>
        <v>0</v>
      </c>
      <c r="F79" s="14" t="s">
        <v>19</v>
      </c>
      <c r="G79" s="16">
        <v>0</v>
      </c>
      <c r="H79" s="17">
        <v>0</v>
      </c>
      <c r="I79" s="271">
        <v>0</v>
      </c>
      <c r="J79" s="15">
        <f t="shared" si="8"/>
        <v>0</v>
      </c>
    </row>
    <row r="80" spans="1:10" ht="14.95" thickBot="1" x14ac:dyDescent="0.3">
      <c r="A80" s="42" t="s">
        <v>245</v>
      </c>
      <c r="B80" s="44">
        <v>0</v>
      </c>
      <c r="C80" s="45">
        <v>0</v>
      </c>
      <c r="D80" s="269">
        <v>0</v>
      </c>
      <c r="E80" s="43">
        <f t="shared" si="7"/>
        <v>0</v>
      </c>
      <c r="F80" s="14" t="s">
        <v>232</v>
      </c>
      <c r="G80" s="16">
        <v>0</v>
      </c>
      <c r="H80" s="17">
        <v>0</v>
      </c>
      <c r="I80" s="271">
        <v>0</v>
      </c>
      <c r="J80" s="15">
        <f t="shared" si="8"/>
        <v>0</v>
      </c>
    </row>
    <row r="81" spans="1:10" ht="14.95" thickBot="1" x14ac:dyDescent="0.3">
      <c r="A81" s="42" t="s">
        <v>3</v>
      </c>
      <c r="B81" s="44">
        <f>SUM(B44:B80)</f>
        <v>12</v>
      </c>
      <c r="C81" s="45">
        <f>SUM(C44:C80)</f>
        <v>1</v>
      </c>
      <c r="D81" s="269">
        <f>SUM(D44:D80)</f>
        <v>5</v>
      </c>
      <c r="E81" s="43">
        <f>SUM(E44:E80)</f>
        <v>18</v>
      </c>
      <c r="F81" s="13" t="s">
        <v>3</v>
      </c>
      <c r="G81" s="16">
        <f>SUM(G44:G80)</f>
        <v>69</v>
      </c>
      <c r="H81" s="17">
        <f>SUM(H44:H80)</f>
        <v>10</v>
      </c>
      <c r="I81" s="271">
        <f>SUM(I44:I80)</f>
        <v>40</v>
      </c>
      <c r="J81" s="15">
        <f>SUM(J44:J80)</f>
        <v>119</v>
      </c>
    </row>
    <row r="82" spans="1:10" x14ac:dyDescent="0.25">
      <c r="A82" s="317" t="s">
        <v>11</v>
      </c>
      <c r="B82" s="318"/>
      <c r="C82" s="318"/>
      <c r="D82" s="318"/>
      <c r="E82" s="318"/>
      <c r="F82" s="318"/>
      <c r="G82" s="318"/>
    </row>
  </sheetData>
  <sortState xmlns:xlrd2="http://schemas.microsoft.com/office/spreadsheetml/2017/richdata2" ref="F44:J80">
    <sortCondition descending="1" ref="J44:J80"/>
  </sortState>
  <mergeCells count="10">
    <mergeCell ref="A82:G82"/>
    <mergeCell ref="A1:J1"/>
    <mergeCell ref="L1:N2"/>
    <mergeCell ref="K8:K9"/>
    <mergeCell ref="R1:R2"/>
    <mergeCell ref="O1:Q2"/>
    <mergeCell ref="L8:N9"/>
    <mergeCell ref="K1:K2"/>
    <mergeCell ref="K15:K16"/>
    <mergeCell ref="L15:N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4DA-9582-44FC-84FA-B11CAC34355E}">
  <dimension ref="A1:K120"/>
  <sheetViews>
    <sheetView tabSelected="1" workbookViewId="0">
      <selection activeCell="I125" sqref="I125"/>
    </sheetView>
  </sheetViews>
  <sheetFormatPr defaultRowHeight="14.3" x14ac:dyDescent="0.25"/>
  <cols>
    <col min="1" max="1" width="18.75" customWidth="1"/>
    <col min="2" max="2" width="5.5" bestFit="1" customWidth="1"/>
    <col min="3" max="3" width="4" bestFit="1" customWidth="1"/>
    <col min="4" max="4" width="18.75" customWidth="1"/>
    <col min="5" max="5" width="5.5" bestFit="1" customWidth="1"/>
    <col min="6" max="6" width="5" bestFit="1" customWidth="1"/>
    <col min="7" max="7" width="18.75" customWidth="1"/>
    <col min="8" max="8" width="5.5" bestFit="1" customWidth="1"/>
    <col min="9" max="11" width="4" customWidth="1"/>
  </cols>
  <sheetData>
    <row r="1" spans="1:11" x14ac:dyDescent="0.25">
      <c r="A1" s="2" t="s">
        <v>499</v>
      </c>
      <c r="B1" s="2"/>
    </row>
    <row r="2" spans="1:11" ht="14.95" thickBot="1" x14ac:dyDescent="0.3">
      <c r="A2" s="253" t="s">
        <v>9</v>
      </c>
    </row>
    <row r="3" spans="1:11" ht="14.95" customHeight="1" thickBot="1" x14ac:dyDescent="0.3">
      <c r="A3" s="61" t="s">
        <v>0</v>
      </c>
      <c r="B3" s="107"/>
      <c r="C3" s="254" t="s">
        <v>1</v>
      </c>
      <c r="D3" s="255" t="s">
        <v>2</v>
      </c>
      <c r="E3" s="51"/>
      <c r="F3" s="256" t="s">
        <v>1</v>
      </c>
      <c r="G3" s="68" t="s">
        <v>490</v>
      </c>
      <c r="H3" s="109"/>
      <c r="I3" s="60" t="s">
        <v>26</v>
      </c>
      <c r="J3" s="60" t="s">
        <v>27</v>
      </c>
      <c r="K3" s="60" t="s">
        <v>6</v>
      </c>
    </row>
    <row r="4" spans="1:11" ht="14.95" customHeight="1" thickBot="1" x14ac:dyDescent="0.3">
      <c r="A4" s="14" t="s">
        <v>582</v>
      </c>
      <c r="B4" s="13" t="s">
        <v>493</v>
      </c>
      <c r="C4" s="257">
        <v>7</v>
      </c>
      <c r="D4" s="62" t="s">
        <v>610</v>
      </c>
      <c r="E4" s="108" t="s">
        <v>21</v>
      </c>
      <c r="F4" s="258">
        <v>44</v>
      </c>
      <c r="G4" s="14" t="s">
        <v>645</v>
      </c>
      <c r="H4" s="13" t="s">
        <v>497</v>
      </c>
      <c r="I4" s="15">
        <v>7</v>
      </c>
      <c r="J4" s="15">
        <v>8</v>
      </c>
      <c r="K4" s="67">
        <f>SUM(I4/J4)*100</f>
        <v>87.5</v>
      </c>
    </row>
    <row r="5" spans="1:11" ht="14.95" customHeight="1" thickBot="1" x14ac:dyDescent="0.3">
      <c r="A5" s="14" t="s">
        <v>581</v>
      </c>
      <c r="B5" s="13" t="s">
        <v>496</v>
      </c>
      <c r="C5" s="257">
        <v>6</v>
      </c>
      <c r="D5" s="62" t="s">
        <v>596</v>
      </c>
      <c r="E5" s="108" t="s">
        <v>28</v>
      </c>
      <c r="F5" s="258">
        <v>41</v>
      </c>
      <c r="G5" s="14" t="s">
        <v>623</v>
      </c>
      <c r="H5" s="13" t="s">
        <v>28</v>
      </c>
      <c r="I5" s="15">
        <v>4</v>
      </c>
      <c r="J5" s="15">
        <v>5</v>
      </c>
      <c r="K5" s="67">
        <f>SUM(I5/J5)*100</f>
        <v>80</v>
      </c>
    </row>
    <row r="6" spans="1:11" ht="14.95" customHeight="1" thickBot="1" x14ac:dyDescent="0.3">
      <c r="A6" s="14" t="s">
        <v>692</v>
      </c>
      <c r="B6" s="13" t="s">
        <v>21</v>
      </c>
      <c r="C6" s="257">
        <v>6</v>
      </c>
      <c r="D6" s="62" t="s">
        <v>582</v>
      </c>
      <c r="E6" s="108" t="s">
        <v>493</v>
      </c>
      <c r="F6" s="258">
        <v>35</v>
      </c>
      <c r="G6" s="259" t="s">
        <v>596</v>
      </c>
      <c r="H6" s="13" t="s">
        <v>28</v>
      </c>
      <c r="I6" s="15">
        <v>15</v>
      </c>
      <c r="J6" s="15">
        <v>21</v>
      </c>
      <c r="K6" s="67">
        <f>SUM(I6/J6)*100</f>
        <v>71.428571428571431</v>
      </c>
    </row>
    <row r="7" spans="1:11" ht="14.95" customHeight="1" thickBot="1" x14ac:dyDescent="0.3">
      <c r="A7" s="14" t="s">
        <v>583</v>
      </c>
      <c r="B7" s="13" t="s">
        <v>21</v>
      </c>
      <c r="C7" s="257">
        <v>6</v>
      </c>
      <c r="D7" s="62" t="s">
        <v>628</v>
      </c>
      <c r="E7" s="108" t="s">
        <v>493</v>
      </c>
      <c r="F7" s="258">
        <v>31</v>
      </c>
      <c r="G7" s="14" t="s">
        <v>643</v>
      </c>
      <c r="H7" s="13" t="s">
        <v>494</v>
      </c>
      <c r="I7" s="15">
        <v>5</v>
      </c>
      <c r="J7" s="15">
        <v>7</v>
      </c>
      <c r="K7" s="67">
        <f>SUM(I7/J7)*100</f>
        <v>71.428571428571431</v>
      </c>
    </row>
    <row r="8" spans="1:11" ht="14.95" customHeight="1" thickBot="1" x14ac:dyDescent="0.3">
      <c r="A8" s="14" t="s">
        <v>590</v>
      </c>
      <c r="B8" s="13" t="s">
        <v>493</v>
      </c>
      <c r="C8" s="257">
        <v>5</v>
      </c>
      <c r="D8" s="62" t="s">
        <v>663</v>
      </c>
      <c r="E8" s="108" t="s">
        <v>493</v>
      </c>
      <c r="F8" s="258">
        <v>31</v>
      </c>
      <c r="G8" s="14" t="s">
        <v>616</v>
      </c>
      <c r="H8" s="13" t="s">
        <v>495</v>
      </c>
      <c r="I8" s="15">
        <v>5</v>
      </c>
      <c r="J8" s="15">
        <v>7</v>
      </c>
      <c r="K8" s="67">
        <f>SUM(I8/J8)*100</f>
        <v>71.428571428571431</v>
      </c>
    </row>
    <row r="9" spans="1:11" ht="14.95" customHeight="1" thickBot="1" x14ac:dyDescent="0.3">
      <c r="A9" s="14" t="s">
        <v>609</v>
      </c>
      <c r="B9" s="13" t="s">
        <v>21</v>
      </c>
      <c r="C9" s="257">
        <v>4</v>
      </c>
      <c r="D9" s="62" t="s">
        <v>581</v>
      </c>
      <c r="E9" s="108" t="s">
        <v>496</v>
      </c>
      <c r="F9" s="258">
        <v>30</v>
      </c>
      <c r="G9" s="14" t="s">
        <v>625</v>
      </c>
      <c r="H9" s="13" t="s">
        <v>24</v>
      </c>
      <c r="I9" s="15">
        <v>4</v>
      </c>
      <c r="J9" s="15">
        <v>6</v>
      </c>
      <c r="K9" s="67">
        <f>SUM(I9/J9)*100</f>
        <v>66.666666666666657</v>
      </c>
    </row>
    <row r="10" spans="1:11" ht="14.95" customHeight="1" thickBot="1" x14ac:dyDescent="0.3">
      <c r="A10" s="14" t="s">
        <v>597</v>
      </c>
      <c r="B10" s="13" t="s">
        <v>21</v>
      </c>
      <c r="C10" s="257">
        <v>4</v>
      </c>
      <c r="D10" s="62" t="s">
        <v>692</v>
      </c>
      <c r="E10" s="108" t="s">
        <v>21</v>
      </c>
      <c r="F10" s="258">
        <v>30</v>
      </c>
      <c r="G10" s="14" t="s">
        <v>632</v>
      </c>
      <c r="H10" s="13" t="s">
        <v>496</v>
      </c>
      <c r="I10" s="15">
        <v>11</v>
      </c>
      <c r="J10" s="15">
        <v>18</v>
      </c>
      <c r="K10" s="67">
        <f>SUM(I10/J10)*100</f>
        <v>61.111111111111114</v>
      </c>
    </row>
    <row r="11" spans="1:11" ht="14.95" customHeight="1" thickBot="1" x14ac:dyDescent="0.3">
      <c r="A11" s="14" t="s">
        <v>621</v>
      </c>
      <c r="B11" s="13" t="s">
        <v>496</v>
      </c>
      <c r="C11" s="257">
        <v>4</v>
      </c>
      <c r="D11" s="62" t="s">
        <v>583</v>
      </c>
      <c r="E11" s="108" t="s">
        <v>21</v>
      </c>
      <c r="F11" s="258">
        <v>30</v>
      </c>
      <c r="G11" s="14" t="s">
        <v>662</v>
      </c>
      <c r="H11" s="13" t="s">
        <v>493</v>
      </c>
      <c r="I11" s="15">
        <v>10</v>
      </c>
      <c r="J11" s="15">
        <v>17</v>
      </c>
      <c r="K11" s="67">
        <f>SUM(I11/J11)*100</f>
        <v>58.82352941176471</v>
      </c>
    </row>
    <row r="12" spans="1:11" ht="14.95" customHeight="1" thickBot="1" x14ac:dyDescent="0.3">
      <c r="A12" s="14" t="s">
        <v>605</v>
      </c>
      <c r="B12" s="13" t="s">
        <v>28</v>
      </c>
      <c r="C12" s="257">
        <v>4</v>
      </c>
      <c r="D12" s="62" t="s">
        <v>645</v>
      </c>
      <c r="E12" s="108" t="s">
        <v>497</v>
      </c>
      <c r="F12" s="258">
        <v>27</v>
      </c>
      <c r="G12" s="14" t="s">
        <v>631</v>
      </c>
      <c r="H12" s="13" t="s">
        <v>23</v>
      </c>
      <c r="I12" s="15">
        <v>7</v>
      </c>
      <c r="J12" s="15">
        <v>12</v>
      </c>
      <c r="K12" s="67">
        <f>SUM(I12/J12)*100</f>
        <v>58.333333333333336</v>
      </c>
    </row>
    <row r="13" spans="1:11" ht="14.95" customHeight="1" thickBot="1" x14ac:dyDescent="0.3">
      <c r="A13" s="14" t="s">
        <v>592</v>
      </c>
      <c r="B13" s="13" t="s">
        <v>21</v>
      </c>
      <c r="C13" s="257">
        <v>4</v>
      </c>
      <c r="D13" s="62" t="s">
        <v>612</v>
      </c>
      <c r="E13" s="108" t="s">
        <v>493</v>
      </c>
      <c r="F13" s="258">
        <v>25</v>
      </c>
      <c r="G13" s="14" t="s">
        <v>680</v>
      </c>
      <c r="H13" s="13" t="s">
        <v>28</v>
      </c>
      <c r="I13" s="15">
        <v>4</v>
      </c>
      <c r="J13" s="15">
        <v>7</v>
      </c>
      <c r="K13" s="67">
        <f>SUM(I13/J13)*100</f>
        <v>57.142857142857139</v>
      </c>
    </row>
    <row r="14" spans="1:11" ht="14.95" customHeight="1" thickBot="1" x14ac:dyDescent="0.3">
      <c r="A14" s="14" t="s">
        <v>585</v>
      </c>
      <c r="B14" s="13" t="s">
        <v>494</v>
      </c>
      <c r="C14" s="257">
        <v>3</v>
      </c>
      <c r="D14" s="62" t="s">
        <v>632</v>
      </c>
      <c r="E14" s="108" t="s">
        <v>496</v>
      </c>
      <c r="F14" s="258">
        <v>24</v>
      </c>
      <c r="G14" s="14" t="s">
        <v>613</v>
      </c>
      <c r="H14" s="13" t="s">
        <v>21</v>
      </c>
      <c r="I14" s="15">
        <v>17</v>
      </c>
      <c r="J14" s="15">
        <v>30</v>
      </c>
      <c r="K14" s="67">
        <f>SUM(I14/J14)*100</f>
        <v>56.666666666666664</v>
      </c>
    </row>
    <row r="15" spans="1:11" ht="14.95" customHeight="1" thickBot="1" x14ac:dyDescent="0.3">
      <c r="A15" s="14" t="s">
        <v>689</v>
      </c>
      <c r="B15" s="13" t="s">
        <v>21</v>
      </c>
      <c r="C15" s="257">
        <v>3</v>
      </c>
      <c r="D15" s="62" t="s">
        <v>609</v>
      </c>
      <c r="E15" s="108" t="s">
        <v>21</v>
      </c>
      <c r="F15" s="258">
        <v>20</v>
      </c>
      <c r="G15" s="14" t="s">
        <v>627</v>
      </c>
      <c r="H15" s="13" t="s">
        <v>21</v>
      </c>
      <c r="I15" s="15">
        <v>6</v>
      </c>
      <c r="J15" s="15">
        <v>12</v>
      </c>
      <c r="K15" s="67">
        <f>SUM(I15/J15)*100</f>
        <v>50</v>
      </c>
    </row>
    <row r="16" spans="1:11" ht="14.95" customHeight="1" thickBot="1" x14ac:dyDescent="0.3">
      <c r="A16" s="14" t="s">
        <v>660</v>
      </c>
      <c r="B16" s="13" t="s">
        <v>493</v>
      </c>
      <c r="C16" s="257">
        <v>3</v>
      </c>
      <c r="D16" s="62" t="s">
        <v>624</v>
      </c>
      <c r="E16" s="108" t="s">
        <v>21</v>
      </c>
      <c r="F16" s="258">
        <v>20</v>
      </c>
      <c r="G16" s="14" t="s">
        <v>628</v>
      </c>
      <c r="H16" s="13" t="s">
        <v>493</v>
      </c>
      <c r="I16" s="15">
        <v>12</v>
      </c>
      <c r="J16" s="15">
        <v>25</v>
      </c>
      <c r="K16" s="67">
        <f>SUM(I16/J16)*100</f>
        <v>48</v>
      </c>
    </row>
    <row r="17" spans="1:11" ht="14.95" customHeight="1" thickBot="1" x14ac:dyDescent="0.3">
      <c r="A17" s="14" t="s">
        <v>671</v>
      </c>
      <c r="B17" s="13" t="s">
        <v>493</v>
      </c>
      <c r="C17" s="257">
        <v>3</v>
      </c>
      <c r="D17" s="62" t="s">
        <v>621</v>
      </c>
      <c r="E17" s="108" t="s">
        <v>496</v>
      </c>
      <c r="F17" s="258">
        <v>20</v>
      </c>
      <c r="G17" s="14" t="s">
        <v>586</v>
      </c>
      <c r="H17" s="13" t="s">
        <v>496</v>
      </c>
      <c r="I17" s="15">
        <v>2</v>
      </c>
      <c r="J17" s="15">
        <v>6</v>
      </c>
      <c r="K17" s="67">
        <f>SUM(I17/J17)*100</f>
        <v>33.333333333333329</v>
      </c>
    </row>
    <row r="18" spans="1:11" ht="14.95" customHeight="1" thickBot="1" x14ac:dyDescent="0.3">
      <c r="A18" s="14" t="s">
        <v>675</v>
      </c>
      <c r="B18" s="13" t="s">
        <v>28</v>
      </c>
      <c r="C18" s="257">
        <v>3</v>
      </c>
      <c r="D18" s="62" t="s">
        <v>605</v>
      </c>
      <c r="E18" s="108" t="s">
        <v>28</v>
      </c>
      <c r="F18" s="258">
        <v>20</v>
      </c>
      <c r="G18" s="14" t="s">
        <v>634</v>
      </c>
      <c r="H18" s="13" t="s">
        <v>492</v>
      </c>
      <c r="I18" s="15">
        <v>1</v>
      </c>
      <c r="J18" s="15">
        <v>5</v>
      </c>
      <c r="K18" s="67">
        <f>SUM(I18/J18)*100</f>
        <v>20</v>
      </c>
    </row>
    <row r="19" spans="1:11" ht="14.95" customHeight="1" thickBot="1" x14ac:dyDescent="0.3">
      <c r="A19" s="14" t="s">
        <v>584</v>
      </c>
      <c r="B19" s="13" t="s">
        <v>23</v>
      </c>
      <c r="C19" s="257">
        <v>2</v>
      </c>
      <c r="D19" s="62" t="s">
        <v>592</v>
      </c>
      <c r="E19" s="108" t="s">
        <v>21</v>
      </c>
      <c r="F19" s="258">
        <v>20</v>
      </c>
      <c r="G19" s="14" t="s">
        <v>638</v>
      </c>
      <c r="H19" s="13" t="s">
        <v>497</v>
      </c>
      <c r="I19" s="15">
        <v>1</v>
      </c>
      <c r="J19" s="15">
        <v>5</v>
      </c>
      <c r="K19" s="67">
        <f>SUM(I19/J19)*100</f>
        <v>20</v>
      </c>
    </row>
    <row r="20" spans="1:11" ht="14.95" customHeight="1" thickBot="1" x14ac:dyDescent="0.3">
      <c r="A20" s="14" t="s">
        <v>586</v>
      </c>
      <c r="B20" s="13" t="s">
        <v>496</v>
      </c>
      <c r="C20" s="257">
        <v>2</v>
      </c>
      <c r="D20" s="62" t="s">
        <v>631</v>
      </c>
      <c r="E20" s="108" t="s">
        <v>23</v>
      </c>
      <c r="F20" s="258">
        <v>18</v>
      </c>
      <c r="G20" s="14" t="s">
        <v>636</v>
      </c>
      <c r="H20" s="13" t="s">
        <v>22</v>
      </c>
      <c r="I20" s="15">
        <v>0</v>
      </c>
      <c r="J20" s="15">
        <v>6</v>
      </c>
      <c r="K20" s="67">
        <f>SUM(I20/J20)*100</f>
        <v>0</v>
      </c>
    </row>
    <row r="21" spans="1:11" ht="14.95" customHeight="1" thickBot="1" x14ac:dyDescent="0.3">
      <c r="A21" s="14" t="s">
        <v>587</v>
      </c>
      <c r="B21" s="13" t="s">
        <v>28</v>
      </c>
      <c r="C21" s="257">
        <v>2</v>
      </c>
      <c r="D21" s="62" t="s">
        <v>585</v>
      </c>
      <c r="E21" s="108" t="s">
        <v>494</v>
      </c>
      <c r="F21" s="258">
        <v>15</v>
      </c>
      <c r="G21" s="300" t="s">
        <v>713</v>
      </c>
      <c r="H21" s="13" t="s">
        <v>491</v>
      </c>
      <c r="I21" s="15">
        <v>3</v>
      </c>
      <c r="J21" s="140">
        <v>3</v>
      </c>
      <c r="K21" s="67">
        <f>SUM(I21/J21)*100</f>
        <v>100</v>
      </c>
    </row>
    <row r="22" spans="1:11" ht="14.95" customHeight="1" thickBot="1" x14ac:dyDescent="0.3">
      <c r="A22" s="14" t="s">
        <v>588</v>
      </c>
      <c r="B22" s="13" t="s">
        <v>21</v>
      </c>
      <c r="C22" s="257">
        <v>2</v>
      </c>
      <c r="D22" s="62" t="s">
        <v>616</v>
      </c>
      <c r="E22" s="108" t="s">
        <v>495</v>
      </c>
      <c r="F22" s="258">
        <v>15</v>
      </c>
      <c r="G22" s="14" t="s">
        <v>601</v>
      </c>
      <c r="H22" s="13" t="s">
        <v>21</v>
      </c>
      <c r="I22" s="15">
        <v>2</v>
      </c>
      <c r="J22" s="140">
        <v>2</v>
      </c>
      <c r="K22" s="67">
        <f>SUM(I22/J22)*100</f>
        <v>100</v>
      </c>
    </row>
    <row r="23" spans="1:11" ht="14.95" customHeight="1" thickBot="1" x14ac:dyDescent="0.3">
      <c r="A23" s="14" t="s">
        <v>589</v>
      </c>
      <c r="B23" s="13" t="s">
        <v>22</v>
      </c>
      <c r="C23" s="257">
        <v>2</v>
      </c>
      <c r="D23" s="62" t="s">
        <v>689</v>
      </c>
      <c r="E23" s="108" t="s">
        <v>21</v>
      </c>
      <c r="F23" s="258">
        <v>15</v>
      </c>
      <c r="G23" s="14" t="s">
        <v>629</v>
      </c>
      <c r="H23" s="13" t="s">
        <v>493</v>
      </c>
      <c r="I23" s="15">
        <v>1</v>
      </c>
      <c r="J23" s="140">
        <v>1</v>
      </c>
      <c r="K23" s="67">
        <f>SUM(I23/J23)*100</f>
        <v>100</v>
      </c>
    </row>
    <row r="24" spans="1:11" ht="14.95" customHeight="1" thickBot="1" x14ac:dyDescent="0.3">
      <c r="A24" s="14" t="s">
        <v>607</v>
      </c>
      <c r="B24" s="13" t="s">
        <v>22</v>
      </c>
      <c r="C24" s="257">
        <v>2</v>
      </c>
      <c r="D24" s="62" t="s">
        <v>660</v>
      </c>
      <c r="E24" s="108" t="s">
        <v>493</v>
      </c>
      <c r="F24" s="258">
        <v>15</v>
      </c>
      <c r="G24" s="14" t="s">
        <v>650</v>
      </c>
      <c r="H24" s="13" t="s">
        <v>492</v>
      </c>
      <c r="I24" s="15">
        <v>1</v>
      </c>
      <c r="J24" s="140">
        <v>1</v>
      </c>
      <c r="K24" s="67">
        <f>SUM(I24/J24)*100</f>
        <v>100</v>
      </c>
    </row>
    <row r="25" spans="1:11" ht="14.95" customHeight="1" thickBot="1" x14ac:dyDescent="0.3">
      <c r="A25" s="300" t="s">
        <v>618</v>
      </c>
      <c r="B25" s="13" t="s">
        <v>23</v>
      </c>
      <c r="C25" s="257">
        <v>2</v>
      </c>
      <c r="D25" s="62" t="s">
        <v>671</v>
      </c>
      <c r="E25" s="108" t="s">
        <v>493</v>
      </c>
      <c r="F25" s="258">
        <v>15</v>
      </c>
      <c r="G25" s="14" t="s">
        <v>639</v>
      </c>
      <c r="H25" s="13" t="s">
        <v>24</v>
      </c>
      <c r="I25" s="15">
        <v>2</v>
      </c>
      <c r="J25" s="140">
        <v>3</v>
      </c>
      <c r="K25" s="67">
        <f>SUM(I25/J25)*100</f>
        <v>66.666666666666657</v>
      </c>
    </row>
    <row r="26" spans="1:11" ht="14.95" customHeight="1" thickBot="1" x14ac:dyDescent="0.3">
      <c r="A26" s="14" t="s">
        <v>658</v>
      </c>
      <c r="B26" s="13" t="s">
        <v>493</v>
      </c>
      <c r="C26" s="257">
        <v>2</v>
      </c>
      <c r="D26" s="62" t="s">
        <v>675</v>
      </c>
      <c r="E26" s="108" t="s">
        <v>28</v>
      </c>
      <c r="F26" s="258">
        <v>15</v>
      </c>
      <c r="G26" s="14" t="s">
        <v>630</v>
      </c>
      <c r="H26" s="13" t="s">
        <v>494</v>
      </c>
      <c r="I26" s="15">
        <v>1</v>
      </c>
      <c r="J26" s="140">
        <v>4</v>
      </c>
      <c r="K26" s="67">
        <f>SUM(I26/J26)*100</f>
        <v>25</v>
      </c>
    </row>
    <row r="27" spans="1:11" ht="14.95" customHeight="1" thickBot="1" x14ac:dyDescent="0.3">
      <c r="A27" s="14" t="s">
        <v>598</v>
      </c>
      <c r="B27" s="13" t="s">
        <v>28</v>
      </c>
      <c r="C27" s="257">
        <v>2</v>
      </c>
      <c r="D27" s="62" t="s">
        <v>586</v>
      </c>
      <c r="E27" s="108" t="s">
        <v>496</v>
      </c>
      <c r="F27" s="258">
        <v>14</v>
      </c>
      <c r="G27" s="14" t="s">
        <v>635</v>
      </c>
      <c r="H27" s="13" t="s">
        <v>493</v>
      </c>
      <c r="I27" s="15">
        <v>0</v>
      </c>
      <c r="J27" s="140">
        <v>4</v>
      </c>
      <c r="K27" s="67">
        <f>SUM(I27/J27)*100</f>
        <v>0</v>
      </c>
    </row>
    <row r="28" spans="1:11" ht="14.95" customHeight="1" thickBot="1" x14ac:dyDescent="0.3">
      <c r="A28" s="14" t="s">
        <v>619</v>
      </c>
      <c r="B28" s="13" t="s">
        <v>23</v>
      </c>
      <c r="C28" s="257">
        <v>2</v>
      </c>
      <c r="D28" s="62" t="s">
        <v>302</v>
      </c>
      <c r="E28" s="108"/>
      <c r="F28" s="258">
        <v>14</v>
      </c>
      <c r="G28" s="14" t="s">
        <v>694</v>
      </c>
      <c r="H28" s="13" t="s">
        <v>21</v>
      </c>
      <c r="I28" s="15">
        <v>0</v>
      </c>
      <c r="J28" s="140">
        <v>4</v>
      </c>
      <c r="K28" s="67">
        <f>SUM(I28/J28)*100</f>
        <v>0</v>
      </c>
    </row>
    <row r="29" spans="1:11" ht="14.95" customHeight="1" thickBot="1" x14ac:dyDescent="0.3">
      <c r="A29" s="14" t="s">
        <v>622</v>
      </c>
      <c r="B29" s="13" t="s">
        <v>496</v>
      </c>
      <c r="C29" s="257">
        <v>2</v>
      </c>
      <c r="D29" s="62" t="s">
        <v>627</v>
      </c>
      <c r="E29" s="108" t="s">
        <v>21</v>
      </c>
      <c r="F29" s="258">
        <v>12</v>
      </c>
      <c r="G29" s="14" t="s">
        <v>686</v>
      </c>
      <c r="H29" s="13" t="s">
        <v>496</v>
      </c>
      <c r="I29" s="15">
        <v>0</v>
      </c>
      <c r="J29" s="140">
        <v>1</v>
      </c>
      <c r="K29" s="67">
        <f>SUM(I29/J29)*100</f>
        <v>0</v>
      </c>
    </row>
    <row r="30" spans="1:11" ht="14.95" customHeight="1" thickBot="1" x14ac:dyDescent="0.3">
      <c r="A30" s="14" t="s">
        <v>645</v>
      </c>
      <c r="B30" s="13" t="s">
        <v>497</v>
      </c>
      <c r="C30" s="257">
        <v>2</v>
      </c>
      <c r="D30" s="62" t="s">
        <v>643</v>
      </c>
      <c r="E30" s="108" t="s">
        <v>494</v>
      </c>
      <c r="F30" s="258">
        <v>12</v>
      </c>
      <c r="G30" s="14" t="s">
        <v>637</v>
      </c>
      <c r="H30" s="13" t="s">
        <v>491</v>
      </c>
      <c r="I30" s="15">
        <v>0</v>
      </c>
      <c r="J30" s="140">
        <v>1</v>
      </c>
      <c r="K30" s="67">
        <f>SUM(I30/J30)*100</f>
        <v>0</v>
      </c>
    </row>
    <row r="31" spans="1:11" ht="14.95" customHeight="1" thickBot="1" x14ac:dyDescent="0.3">
      <c r="A31" s="14" t="s">
        <v>659</v>
      </c>
      <c r="B31" s="13" t="s">
        <v>493</v>
      </c>
      <c r="C31" s="257">
        <v>2</v>
      </c>
      <c r="D31" s="62" t="s">
        <v>584</v>
      </c>
      <c r="E31" s="108" t="s">
        <v>23</v>
      </c>
      <c r="F31" s="258">
        <v>10</v>
      </c>
      <c r="G31" s="260" t="s">
        <v>669</v>
      </c>
    </row>
    <row r="32" spans="1:11" ht="14.95" customHeight="1" thickBot="1" x14ac:dyDescent="0.3">
      <c r="A32" s="14" t="s">
        <v>628</v>
      </c>
      <c r="B32" s="13" t="s">
        <v>493</v>
      </c>
      <c r="C32" s="257">
        <v>2</v>
      </c>
      <c r="D32" s="62" t="s">
        <v>611</v>
      </c>
      <c r="E32" s="108" t="s">
        <v>28</v>
      </c>
      <c r="F32" s="258">
        <v>10</v>
      </c>
    </row>
    <row r="33" spans="1:6" ht="14.95" customHeight="1" thickBot="1" x14ac:dyDescent="0.3">
      <c r="A33" s="14" t="s">
        <v>674</v>
      </c>
      <c r="B33" s="13" t="s">
        <v>493</v>
      </c>
      <c r="C33" s="257">
        <v>2</v>
      </c>
      <c r="D33" s="62" t="s">
        <v>588</v>
      </c>
      <c r="E33" s="108" t="s">
        <v>21</v>
      </c>
      <c r="F33" s="258">
        <v>10</v>
      </c>
    </row>
    <row r="34" spans="1:6" ht="14.95" customHeight="1" thickBot="1" x14ac:dyDescent="0.3">
      <c r="A34" s="14" t="s">
        <v>677</v>
      </c>
      <c r="B34" s="13" t="s">
        <v>28</v>
      </c>
      <c r="C34" s="257">
        <v>2</v>
      </c>
      <c r="D34" s="62" t="s">
        <v>589</v>
      </c>
      <c r="E34" s="108" t="s">
        <v>22</v>
      </c>
      <c r="F34" s="258">
        <v>10</v>
      </c>
    </row>
    <row r="35" spans="1:6" ht="14.95" customHeight="1" thickBot="1" x14ac:dyDescent="0.3">
      <c r="A35" s="14" t="s">
        <v>690</v>
      </c>
      <c r="B35" s="13" t="s">
        <v>21</v>
      </c>
      <c r="C35" s="257">
        <v>2</v>
      </c>
      <c r="D35" s="301" t="s">
        <v>618</v>
      </c>
      <c r="E35" s="108" t="s">
        <v>23</v>
      </c>
      <c r="F35" s="258">
        <v>10</v>
      </c>
    </row>
    <row r="36" spans="1:6" ht="14.95" customHeight="1" thickBot="1" x14ac:dyDescent="0.3">
      <c r="A36" s="14" t="s">
        <v>693</v>
      </c>
      <c r="B36" s="13" t="s">
        <v>21</v>
      </c>
      <c r="C36" s="257">
        <v>2</v>
      </c>
      <c r="D36" s="62" t="s">
        <v>658</v>
      </c>
      <c r="E36" s="108" t="s">
        <v>493</v>
      </c>
      <c r="F36" s="258">
        <v>10</v>
      </c>
    </row>
    <row r="37" spans="1:6" ht="14.95" customHeight="1" thickBot="1" x14ac:dyDescent="0.3">
      <c r="A37" s="14" t="s">
        <v>656</v>
      </c>
      <c r="B37" s="13" t="s">
        <v>24</v>
      </c>
      <c r="C37" s="257">
        <v>2</v>
      </c>
      <c r="D37" s="62" t="s">
        <v>607</v>
      </c>
      <c r="E37" s="108" t="s">
        <v>22</v>
      </c>
      <c r="F37" s="258">
        <v>10</v>
      </c>
    </row>
    <row r="38" spans="1:6" ht="14.95" customHeight="1" thickBot="1" x14ac:dyDescent="0.3">
      <c r="A38" s="14" t="s">
        <v>591</v>
      </c>
      <c r="B38" s="13" t="s">
        <v>21</v>
      </c>
      <c r="C38" s="257">
        <v>2</v>
      </c>
      <c r="D38" s="62" t="s">
        <v>598</v>
      </c>
      <c r="E38" s="108" t="s">
        <v>28</v>
      </c>
      <c r="F38" s="258">
        <v>10</v>
      </c>
    </row>
    <row r="39" spans="1:6" ht="14.95" customHeight="1" thickBot="1" x14ac:dyDescent="0.3">
      <c r="A39" s="14" t="s">
        <v>302</v>
      </c>
      <c r="B39" s="13"/>
      <c r="C39" s="257">
        <v>2</v>
      </c>
      <c r="D39" s="62" t="s">
        <v>619</v>
      </c>
      <c r="E39" s="108" t="s">
        <v>23</v>
      </c>
      <c r="F39" s="258">
        <v>10</v>
      </c>
    </row>
    <row r="40" spans="1:6" ht="14.95" customHeight="1" thickBot="1" x14ac:dyDescent="0.3">
      <c r="A40" s="14" t="s">
        <v>644</v>
      </c>
      <c r="B40" s="13" t="s">
        <v>497</v>
      </c>
      <c r="C40" s="257">
        <v>2</v>
      </c>
      <c r="D40" s="62" t="s">
        <v>622</v>
      </c>
      <c r="E40" s="108" t="s">
        <v>496</v>
      </c>
      <c r="F40" s="258">
        <v>10</v>
      </c>
    </row>
    <row r="41" spans="1:6" ht="14.95" customHeight="1" thickBot="1" x14ac:dyDescent="0.3">
      <c r="A41" s="14" t="s">
        <v>662</v>
      </c>
      <c r="B41" s="13" t="s">
        <v>493</v>
      </c>
      <c r="C41" s="257">
        <v>2</v>
      </c>
      <c r="D41" s="62" t="s">
        <v>659</v>
      </c>
      <c r="E41" s="108" t="s">
        <v>493</v>
      </c>
      <c r="F41" s="258">
        <v>10</v>
      </c>
    </row>
    <row r="42" spans="1:6" ht="14.95" customHeight="1" thickBot="1" x14ac:dyDescent="0.3">
      <c r="A42" s="14" t="s">
        <v>672</v>
      </c>
      <c r="B42" s="13" t="s">
        <v>493</v>
      </c>
      <c r="C42" s="257">
        <v>2</v>
      </c>
      <c r="D42" s="62" t="s">
        <v>674</v>
      </c>
      <c r="E42" s="108" t="s">
        <v>493</v>
      </c>
      <c r="F42" s="258">
        <v>10</v>
      </c>
    </row>
    <row r="43" spans="1:6" ht="14.95" customHeight="1" thickBot="1" x14ac:dyDescent="0.3">
      <c r="A43" s="14" t="s">
        <v>684</v>
      </c>
      <c r="B43" s="13" t="s">
        <v>496</v>
      </c>
      <c r="C43" s="257">
        <v>2</v>
      </c>
      <c r="D43" s="62" t="s">
        <v>677</v>
      </c>
      <c r="E43" s="108" t="s">
        <v>28</v>
      </c>
      <c r="F43" s="258">
        <v>10</v>
      </c>
    </row>
    <row r="44" spans="1:6" ht="14.95" customHeight="1" thickBot="1" x14ac:dyDescent="0.3">
      <c r="A44" s="14" t="s">
        <v>697</v>
      </c>
      <c r="B44" s="13" t="s">
        <v>493</v>
      </c>
      <c r="C44" s="257">
        <v>2</v>
      </c>
      <c r="D44" s="62" t="s">
        <v>690</v>
      </c>
      <c r="E44" s="108" t="s">
        <v>21</v>
      </c>
      <c r="F44" s="258">
        <v>10</v>
      </c>
    </row>
    <row r="45" spans="1:6" ht="14.95" customHeight="1" thickBot="1" x14ac:dyDescent="0.3">
      <c r="A45" s="14" t="s">
        <v>599</v>
      </c>
      <c r="B45" s="13" t="s">
        <v>28</v>
      </c>
      <c r="C45" s="257">
        <v>2</v>
      </c>
      <c r="D45" s="62" t="s">
        <v>693</v>
      </c>
      <c r="E45" s="108" t="s">
        <v>21</v>
      </c>
      <c r="F45" s="258">
        <v>10</v>
      </c>
    </row>
    <row r="46" spans="1:6" ht="14.95" customHeight="1" thickBot="1" x14ac:dyDescent="0.3">
      <c r="A46" s="14" t="s">
        <v>703</v>
      </c>
      <c r="B46" s="13" t="s">
        <v>496</v>
      </c>
      <c r="C46" s="257">
        <v>2</v>
      </c>
      <c r="D46" s="62" t="s">
        <v>656</v>
      </c>
      <c r="E46" s="108" t="s">
        <v>24</v>
      </c>
      <c r="F46" s="258">
        <v>10</v>
      </c>
    </row>
    <row r="47" spans="1:6" ht="14.95" customHeight="1" thickBot="1" x14ac:dyDescent="0.3">
      <c r="A47" s="14" t="s">
        <v>708</v>
      </c>
      <c r="B47" s="13" t="s">
        <v>28</v>
      </c>
      <c r="C47" s="257">
        <v>2</v>
      </c>
      <c r="D47" s="62" t="s">
        <v>591</v>
      </c>
      <c r="E47" s="108" t="s">
        <v>21</v>
      </c>
      <c r="F47" s="258">
        <v>10</v>
      </c>
    </row>
    <row r="48" spans="1:6" ht="14.95" customHeight="1" thickBot="1" x14ac:dyDescent="0.3">
      <c r="A48" s="14" t="s">
        <v>661</v>
      </c>
      <c r="B48" s="13" t="s">
        <v>493</v>
      </c>
      <c r="C48" s="257">
        <v>2</v>
      </c>
      <c r="D48" s="62" t="s">
        <v>644</v>
      </c>
      <c r="E48" s="108" t="s">
        <v>497</v>
      </c>
      <c r="F48" s="258">
        <v>10</v>
      </c>
    </row>
    <row r="49" spans="1:6" ht="14.95" customHeight="1" thickBot="1" x14ac:dyDescent="0.3">
      <c r="A49" s="14" t="s">
        <v>696</v>
      </c>
      <c r="B49" s="13" t="s">
        <v>493</v>
      </c>
      <c r="C49" s="257">
        <v>2</v>
      </c>
      <c r="D49" s="62" t="s">
        <v>672</v>
      </c>
      <c r="E49" s="108" t="s">
        <v>493</v>
      </c>
      <c r="F49" s="258">
        <v>10</v>
      </c>
    </row>
    <row r="50" spans="1:6" ht="14.95" customHeight="1" thickBot="1" x14ac:dyDescent="0.3">
      <c r="A50" s="14" t="s">
        <v>706</v>
      </c>
      <c r="B50" s="13" t="s">
        <v>493</v>
      </c>
      <c r="C50" s="257">
        <v>2</v>
      </c>
      <c r="D50" s="62" t="s">
        <v>684</v>
      </c>
      <c r="E50" s="108" t="s">
        <v>496</v>
      </c>
      <c r="F50" s="258">
        <v>10</v>
      </c>
    </row>
    <row r="51" spans="1:6" ht="14.95" customHeight="1" thickBot="1" x14ac:dyDescent="0.3">
      <c r="A51" s="14" t="s">
        <v>593</v>
      </c>
      <c r="B51" s="13" t="s">
        <v>24</v>
      </c>
      <c r="C51" s="257">
        <v>1</v>
      </c>
      <c r="D51" s="62" t="s">
        <v>697</v>
      </c>
      <c r="E51" s="108" t="s">
        <v>493</v>
      </c>
      <c r="F51" s="258">
        <v>10</v>
      </c>
    </row>
    <row r="52" spans="1:6" ht="14.95" customHeight="1" thickBot="1" x14ac:dyDescent="0.3">
      <c r="A52" s="14" t="s">
        <v>594</v>
      </c>
      <c r="B52" s="13" t="s">
        <v>495</v>
      </c>
      <c r="C52" s="257">
        <v>1</v>
      </c>
      <c r="D52" s="62" t="s">
        <v>599</v>
      </c>
      <c r="E52" s="108" t="s">
        <v>28</v>
      </c>
      <c r="F52" s="258">
        <v>10</v>
      </c>
    </row>
    <row r="53" spans="1:6" ht="14.95" customHeight="1" thickBot="1" x14ac:dyDescent="0.3">
      <c r="A53" s="298" t="s">
        <v>595</v>
      </c>
      <c r="B53" s="13" t="s">
        <v>493</v>
      </c>
      <c r="C53" s="257">
        <v>1</v>
      </c>
      <c r="D53" s="62" t="s">
        <v>703</v>
      </c>
      <c r="E53" s="108" t="s">
        <v>496</v>
      </c>
      <c r="F53" s="258">
        <v>10</v>
      </c>
    </row>
    <row r="54" spans="1:6" ht="14.95" customHeight="1" thickBot="1" x14ac:dyDescent="0.3">
      <c r="A54" s="14" t="s">
        <v>596</v>
      </c>
      <c r="B54" s="13" t="s">
        <v>28</v>
      </c>
      <c r="C54" s="257">
        <v>1</v>
      </c>
      <c r="D54" s="62" t="s">
        <v>708</v>
      </c>
      <c r="E54" s="108" t="s">
        <v>28</v>
      </c>
      <c r="F54" s="258">
        <v>10</v>
      </c>
    </row>
    <row r="55" spans="1:6" ht="14.95" customHeight="1" thickBot="1" x14ac:dyDescent="0.3">
      <c r="A55" s="14" t="s">
        <v>600</v>
      </c>
      <c r="B55" s="13" t="s">
        <v>497</v>
      </c>
      <c r="C55" s="257">
        <v>1</v>
      </c>
      <c r="D55" s="62" t="s">
        <v>661</v>
      </c>
      <c r="E55" s="108" t="s">
        <v>493</v>
      </c>
      <c r="F55" s="258">
        <v>10</v>
      </c>
    </row>
    <row r="56" spans="1:6" ht="14.95" customHeight="1" thickBot="1" x14ac:dyDescent="0.3">
      <c r="A56" s="14" t="s">
        <v>601</v>
      </c>
      <c r="B56" s="13" t="s">
        <v>21</v>
      </c>
      <c r="C56" s="257">
        <v>1</v>
      </c>
      <c r="D56" s="62" t="s">
        <v>696</v>
      </c>
      <c r="E56" s="108" t="s">
        <v>493</v>
      </c>
      <c r="F56" s="258">
        <v>10</v>
      </c>
    </row>
    <row r="57" spans="1:6" ht="14.95" customHeight="1" thickBot="1" x14ac:dyDescent="0.3">
      <c r="A57" s="14" t="s">
        <v>602</v>
      </c>
      <c r="B57" s="13" t="s">
        <v>494</v>
      </c>
      <c r="C57" s="257">
        <v>1</v>
      </c>
      <c r="D57" s="62" t="s">
        <v>707</v>
      </c>
      <c r="E57" s="108" t="s">
        <v>493</v>
      </c>
      <c r="F57" s="258">
        <v>10</v>
      </c>
    </row>
    <row r="58" spans="1:6" ht="14.95" customHeight="1" thickBot="1" x14ac:dyDescent="0.3">
      <c r="A58" s="14" t="s">
        <v>603</v>
      </c>
      <c r="B58" s="13" t="s">
        <v>497</v>
      </c>
      <c r="C58" s="257">
        <v>1</v>
      </c>
      <c r="D58" s="62" t="s">
        <v>680</v>
      </c>
      <c r="E58" s="108" t="s">
        <v>28</v>
      </c>
      <c r="F58" s="258">
        <v>9</v>
      </c>
    </row>
    <row r="59" spans="1:6" ht="14.95" customHeight="1" thickBot="1" x14ac:dyDescent="0.3">
      <c r="A59" s="14" t="s">
        <v>604</v>
      </c>
      <c r="B59" s="13" t="s">
        <v>493</v>
      </c>
      <c r="C59" s="257">
        <v>1</v>
      </c>
      <c r="D59" s="62" t="s">
        <v>625</v>
      </c>
      <c r="E59" s="108" t="s">
        <v>24</v>
      </c>
      <c r="F59" s="258">
        <v>9</v>
      </c>
    </row>
    <row r="60" spans="1:6" ht="14.95" customHeight="1" thickBot="1" x14ac:dyDescent="0.3">
      <c r="A60" s="14" t="s">
        <v>606</v>
      </c>
      <c r="B60" s="13" t="s">
        <v>24</v>
      </c>
      <c r="C60" s="257">
        <v>1</v>
      </c>
      <c r="D60" s="62" t="s">
        <v>601</v>
      </c>
      <c r="E60" s="108" t="s">
        <v>21</v>
      </c>
      <c r="F60" s="258">
        <v>9</v>
      </c>
    </row>
    <row r="61" spans="1:6" ht="14.95" customHeight="1" thickBot="1" x14ac:dyDescent="0.3">
      <c r="A61" s="14" t="s">
        <v>616</v>
      </c>
      <c r="B61" s="13" t="s">
        <v>495</v>
      </c>
      <c r="C61" s="257">
        <v>1</v>
      </c>
      <c r="D61" s="62" t="s">
        <v>623</v>
      </c>
      <c r="E61" s="108" t="s">
        <v>28</v>
      </c>
      <c r="F61" s="258">
        <v>8</v>
      </c>
    </row>
    <row r="62" spans="1:6" ht="14.95" customHeight="1" thickBot="1" x14ac:dyDescent="0.3">
      <c r="A62" s="14" t="s">
        <v>608</v>
      </c>
      <c r="B62" s="13" t="s">
        <v>21</v>
      </c>
      <c r="C62" s="257">
        <v>1</v>
      </c>
      <c r="D62" s="62" t="s">
        <v>650</v>
      </c>
      <c r="E62" s="108" t="s">
        <v>492</v>
      </c>
      <c r="F62" s="258">
        <v>7</v>
      </c>
    </row>
    <row r="63" spans="1:6" ht="14.95" customHeight="1" thickBot="1" x14ac:dyDescent="0.3">
      <c r="A63" s="299" t="s">
        <v>614</v>
      </c>
      <c r="B63" s="13" t="s">
        <v>491</v>
      </c>
      <c r="C63" s="257">
        <v>1</v>
      </c>
      <c r="D63" s="301" t="s">
        <v>713</v>
      </c>
      <c r="E63" s="108" t="s">
        <v>491</v>
      </c>
      <c r="F63" s="258">
        <v>7</v>
      </c>
    </row>
    <row r="64" spans="1:6" ht="14.95" customHeight="1" thickBot="1" x14ac:dyDescent="0.3">
      <c r="A64" s="14" t="s">
        <v>615</v>
      </c>
      <c r="B64" s="13" t="s">
        <v>495</v>
      </c>
      <c r="C64" s="257">
        <v>1</v>
      </c>
      <c r="D64" s="62" t="s">
        <v>633</v>
      </c>
      <c r="E64" s="108" t="s">
        <v>24</v>
      </c>
      <c r="F64" s="258">
        <v>6</v>
      </c>
    </row>
    <row r="65" spans="1:6" ht="14.95" customHeight="1" thickBot="1" x14ac:dyDescent="0.3">
      <c r="A65" s="14" t="s">
        <v>617</v>
      </c>
      <c r="B65" s="13" t="s">
        <v>21</v>
      </c>
      <c r="C65" s="257">
        <v>1</v>
      </c>
      <c r="D65" s="62" t="s">
        <v>593</v>
      </c>
      <c r="E65" s="108" t="s">
        <v>24</v>
      </c>
      <c r="F65" s="258">
        <v>5</v>
      </c>
    </row>
    <row r="66" spans="1:6" ht="14.95" customHeight="1" thickBot="1" x14ac:dyDescent="0.3">
      <c r="A66" s="14" t="s">
        <v>620</v>
      </c>
      <c r="B66" s="13" t="s">
        <v>492</v>
      </c>
      <c r="C66" s="257">
        <v>1</v>
      </c>
      <c r="D66" s="62" t="s">
        <v>594</v>
      </c>
      <c r="E66" s="108" t="s">
        <v>495</v>
      </c>
      <c r="F66" s="258">
        <v>5</v>
      </c>
    </row>
    <row r="67" spans="1:6" ht="14.95" customHeight="1" thickBot="1" x14ac:dyDescent="0.3">
      <c r="A67" s="14" t="s">
        <v>642</v>
      </c>
      <c r="B67" s="13" t="s">
        <v>494</v>
      </c>
      <c r="C67" s="257">
        <v>1</v>
      </c>
      <c r="D67" s="302" t="s">
        <v>595</v>
      </c>
      <c r="E67" s="108" t="s">
        <v>493</v>
      </c>
      <c r="F67" s="258">
        <v>5</v>
      </c>
    </row>
    <row r="68" spans="1:6" ht="14.95" customHeight="1" thickBot="1" x14ac:dyDescent="0.3">
      <c r="A68" s="14" t="s">
        <v>646</v>
      </c>
      <c r="B68" s="13" t="s">
        <v>497</v>
      </c>
      <c r="C68" s="257">
        <v>1</v>
      </c>
      <c r="D68" s="62" t="s">
        <v>626</v>
      </c>
      <c r="E68" s="108" t="s">
        <v>497</v>
      </c>
      <c r="F68" s="258">
        <v>5</v>
      </c>
    </row>
    <row r="69" spans="1:6" ht="14.95" customHeight="1" thickBot="1" x14ac:dyDescent="0.3">
      <c r="A69" s="14" t="s">
        <v>647</v>
      </c>
      <c r="B69" s="13" t="s">
        <v>497</v>
      </c>
      <c r="C69" s="257">
        <v>1</v>
      </c>
      <c r="D69" s="62" t="s">
        <v>602</v>
      </c>
      <c r="E69" s="108" t="s">
        <v>494</v>
      </c>
      <c r="F69" s="258">
        <v>5</v>
      </c>
    </row>
    <row r="70" spans="1:6" ht="14.95" customHeight="1" thickBot="1" x14ac:dyDescent="0.3">
      <c r="A70" s="14" t="s">
        <v>648</v>
      </c>
      <c r="B70" s="13" t="s">
        <v>492</v>
      </c>
      <c r="C70" s="257">
        <v>1</v>
      </c>
      <c r="D70" s="62" t="s">
        <v>603</v>
      </c>
      <c r="E70" s="108" t="s">
        <v>497</v>
      </c>
      <c r="F70" s="258">
        <v>5</v>
      </c>
    </row>
    <row r="71" spans="1:6" ht="14.95" customHeight="1" thickBot="1" x14ac:dyDescent="0.3">
      <c r="A71" s="14" t="s">
        <v>649</v>
      </c>
      <c r="B71" s="13" t="s">
        <v>492</v>
      </c>
      <c r="C71" s="257">
        <v>1</v>
      </c>
      <c r="D71" s="62" t="s">
        <v>604</v>
      </c>
      <c r="E71" s="108" t="s">
        <v>493</v>
      </c>
      <c r="F71" s="258">
        <v>5</v>
      </c>
    </row>
    <row r="72" spans="1:6" ht="14.95" customHeight="1" thickBot="1" x14ac:dyDescent="0.3">
      <c r="A72" s="14" t="s">
        <v>650</v>
      </c>
      <c r="B72" s="13" t="s">
        <v>492</v>
      </c>
      <c r="C72" s="257">
        <v>1</v>
      </c>
      <c r="D72" s="62" t="s">
        <v>606</v>
      </c>
      <c r="E72" s="108" t="s">
        <v>24</v>
      </c>
      <c r="F72" s="258">
        <v>5</v>
      </c>
    </row>
    <row r="73" spans="1:6" ht="14.95" customHeight="1" thickBot="1" x14ac:dyDescent="0.3">
      <c r="A73" s="14" t="s">
        <v>651</v>
      </c>
      <c r="B73" s="13" t="s">
        <v>28</v>
      </c>
      <c r="C73" s="257">
        <v>1</v>
      </c>
      <c r="D73" s="62" t="s">
        <v>608</v>
      </c>
      <c r="E73" s="108" t="s">
        <v>21</v>
      </c>
      <c r="F73" s="258">
        <v>5</v>
      </c>
    </row>
    <row r="74" spans="1:6" ht="14.95" customHeight="1" thickBot="1" x14ac:dyDescent="0.3">
      <c r="A74" s="14" t="s">
        <v>610</v>
      </c>
      <c r="B74" s="13" t="s">
        <v>21</v>
      </c>
      <c r="C74" s="257">
        <v>1</v>
      </c>
      <c r="D74" s="301" t="s">
        <v>614</v>
      </c>
      <c r="E74" s="108" t="s">
        <v>491</v>
      </c>
      <c r="F74" s="258">
        <v>5</v>
      </c>
    </row>
    <row r="75" spans="1:6" ht="14.95" customHeight="1" thickBot="1" x14ac:dyDescent="0.3">
      <c r="A75" s="14" t="s">
        <v>652</v>
      </c>
      <c r="B75" s="13" t="s">
        <v>23</v>
      </c>
      <c r="C75" s="257">
        <v>1</v>
      </c>
      <c r="D75" s="62" t="s">
        <v>615</v>
      </c>
      <c r="E75" s="108" t="s">
        <v>495</v>
      </c>
      <c r="F75" s="258">
        <v>5</v>
      </c>
    </row>
    <row r="76" spans="1:6" ht="14.95" customHeight="1" thickBot="1" x14ac:dyDescent="0.3">
      <c r="A76" s="14" t="s">
        <v>654</v>
      </c>
      <c r="B76" s="13" t="s">
        <v>496</v>
      </c>
      <c r="C76" s="257">
        <v>1</v>
      </c>
      <c r="D76" s="62" t="s">
        <v>617</v>
      </c>
      <c r="E76" s="108" t="s">
        <v>21</v>
      </c>
      <c r="F76" s="258">
        <v>5</v>
      </c>
    </row>
    <row r="77" spans="1:6" ht="14.95" customHeight="1" thickBot="1" x14ac:dyDescent="0.3">
      <c r="A77" s="14" t="s">
        <v>655</v>
      </c>
      <c r="B77" s="13" t="s">
        <v>24</v>
      </c>
      <c r="C77" s="257">
        <v>1</v>
      </c>
      <c r="D77" s="62" t="s">
        <v>620</v>
      </c>
      <c r="E77" s="108" t="s">
        <v>492</v>
      </c>
      <c r="F77" s="258">
        <v>5</v>
      </c>
    </row>
    <row r="78" spans="1:6" ht="14.95" customHeight="1" thickBot="1" x14ac:dyDescent="0.3">
      <c r="A78" s="14" t="s">
        <v>657</v>
      </c>
      <c r="B78" s="13" t="s">
        <v>493</v>
      </c>
      <c r="C78" s="257">
        <v>1</v>
      </c>
      <c r="D78" s="62" t="s">
        <v>642</v>
      </c>
      <c r="E78" s="108" t="s">
        <v>494</v>
      </c>
      <c r="F78" s="258">
        <v>5</v>
      </c>
    </row>
    <row r="79" spans="1:6" ht="14.95" customHeight="1" thickBot="1" x14ac:dyDescent="0.3">
      <c r="A79" s="14" t="s">
        <v>664</v>
      </c>
      <c r="B79" s="13" t="s">
        <v>495</v>
      </c>
      <c r="C79" s="257">
        <v>1</v>
      </c>
      <c r="D79" s="62" t="s">
        <v>646</v>
      </c>
      <c r="E79" s="108" t="s">
        <v>497</v>
      </c>
      <c r="F79" s="258">
        <v>5</v>
      </c>
    </row>
    <row r="80" spans="1:6" ht="14.95" customHeight="1" thickBot="1" x14ac:dyDescent="0.3">
      <c r="A80" s="14" t="s">
        <v>665</v>
      </c>
      <c r="B80" s="13" t="s">
        <v>495</v>
      </c>
      <c r="C80" s="257">
        <v>1</v>
      </c>
      <c r="D80" s="62" t="s">
        <v>647</v>
      </c>
      <c r="E80" s="108" t="s">
        <v>497</v>
      </c>
      <c r="F80" s="258">
        <v>5</v>
      </c>
    </row>
    <row r="81" spans="1:6" ht="14.95" customHeight="1" thickBot="1" x14ac:dyDescent="0.3">
      <c r="A81" s="14" t="s">
        <v>666</v>
      </c>
      <c r="B81" s="13" t="s">
        <v>495</v>
      </c>
      <c r="C81" s="257">
        <v>1</v>
      </c>
      <c r="D81" s="62" t="s">
        <v>648</v>
      </c>
      <c r="E81" s="108" t="s">
        <v>492</v>
      </c>
      <c r="F81" s="258">
        <v>5</v>
      </c>
    </row>
    <row r="82" spans="1:6" ht="14.95" customHeight="1" thickBot="1" x14ac:dyDescent="0.3">
      <c r="A82" s="14" t="s">
        <v>667</v>
      </c>
      <c r="B82" s="13" t="s">
        <v>491</v>
      </c>
      <c r="C82" s="257">
        <v>1</v>
      </c>
      <c r="D82" s="62" t="s">
        <v>649</v>
      </c>
      <c r="E82" s="108" t="s">
        <v>492</v>
      </c>
      <c r="F82" s="258">
        <v>5</v>
      </c>
    </row>
    <row r="83" spans="1:6" ht="14.95" customHeight="1" thickBot="1" x14ac:dyDescent="0.3">
      <c r="A83" s="14" t="s">
        <v>668</v>
      </c>
      <c r="B83" s="13" t="s">
        <v>491</v>
      </c>
      <c r="C83" s="257">
        <v>1</v>
      </c>
      <c r="D83" s="62" t="s">
        <v>651</v>
      </c>
      <c r="E83" s="108" t="s">
        <v>28</v>
      </c>
      <c r="F83" s="258">
        <v>5</v>
      </c>
    </row>
    <row r="84" spans="1:6" ht="14.95" customHeight="1" thickBot="1" x14ac:dyDescent="0.3">
      <c r="A84" s="14" t="s">
        <v>670</v>
      </c>
      <c r="B84" s="13" t="s">
        <v>494</v>
      </c>
      <c r="C84" s="257">
        <v>1</v>
      </c>
      <c r="D84" s="62" t="s">
        <v>653</v>
      </c>
      <c r="E84" s="108" t="s">
        <v>23</v>
      </c>
      <c r="F84" s="258">
        <v>5</v>
      </c>
    </row>
    <row r="85" spans="1:6" ht="14.95" customHeight="1" thickBot="1" x14ac:dyDescent="0.3">
      <c r="A85" s="14" t="s">
        <v>673</v>
      </c>
      <c r="B85" s="13" t="s">
        <v>493</v>
      </c>
      <c r="C85" s="257">
        <v>1</v>
      </c>
      <c r="D85" s="62" t="s">
        <v>654</v>
      </c>
      <c r="E85" s="108" t="s">
        <v>496</v>
      </c>
      <c r="F85" s="258">
        <v>5</v>
      </c>
    </row>
    <row r="86" spans="1:6" ht="14.95" customHeight="1" thickBot="1" x14ac:dyDescent="0.3">
      <c r="A86" s="14" t="s">
        <v>676</v>
      </c>
      <c r="B86" s="13" t="s">
        <v>28</v>
      </c>
      <c r="C86" s="257">
        <v>1</v>
      </c>
      <c r="D86" s="62" t="s">
        <v>655</v>
      </c>
      <c r="E86" s="108" t="s">
        <v>24</v>
      </c>
      <c r="F86" s="258">
        <v>5</v>
      </c>
    </row>
    <row r="87" spans="1:6" ht="14.95" customHeight="1" thickBot="1" x14ac:dyDescent="0.3">
      <c r="A87" s="14" t="s">
        <v>678</v>
      </c>
      <c r="B87" s="13" t="s">
        <v>28</v>
      </c>
      <c r="C87" s="257">
        <v>1</v>
      </c>
      <c r="D87" s="62" t="s">
        <v>657</v>
      </c>
      <c r="E87" s="108" t="s">
        <v>493</v>
      </c>
      <c r="F87" s="258">
        <v>5</v>
      </c>
    </row>
    <row r="88" spans="1:6" ht="14.95" customHeight="1" thickBot="1" x14ac:dyDescent="0.3">
      <c r="A88" s="14" t="s">
        <v>679</v>
      </c>
      <c r="B88" s="13" t="s">
        <v>28</v>
      </c>
      <c r="C88" s="257">
        <v>1</v>
      </c>
      <c r="D88" s="62" t="s">
        <v>664</v>
      </c>
      <c r="E88" s="108" t="s">
        <v>495</v>
      </c>
      <c r="F88" s="258">
        <v>5</v>
      </c>
    </row>
    <row r="89" spans="1:6" ht="14.95" customHeight="1" thickBot="1" x14ac:dyDescent="0.3">
      <c r="A89" s="14" t="s">
        <v>681</v>
      </c>
      <c r="B89" s="13" t="s">
        <v>492</v>
      </c>
      <c r="C89" s="307">
        <v>1</v>
      </c>
      <c r="D89" s="62" t="s">
        <v>665</v>
      </c>
      <c r="E89" s="108" t="s">
        <v>495</v>
      </c>
      <c r="F89" s="258">
        <v>5</v>
      </c>
    </row>
    <row r="90" spans="1:6" ht="14.95" customHeight="1" thickBot="1" x14ac:dyDescent="0.3">
      <c r="A90" s="14" t="s">
        <v>683</v>
      </c>
      <c r="B90" s="13" t="s">
        <v>23</v>
      </c>
      <c r="C90" s="257">
        <v>1</v>
      </c>
      <c r="D90" s="62" t="s">
        <v>666</v>
      </c>
      <c r="E90" s="108" t="s">
        <v>495</v>
      </c>
      <c r="F90" s="258">
        <v>5</v>
      </c>
    </row>
    <row r="91" spans="1:6" ht="14.95" customHeight="1" thickBot="1" x14ac:dyDescent="0.3">
      <c r="A91" s="14" t="s">
        <v>685</v>
      </c>
      <c r="B91" s="13" t="s">
        <v>496</v>
      </c>
      <c r="C91" s="257">
        <v>1</v>
      </c>
      <c r="D91" s="62" t="s">
        <v>667</v>
      </c>
      <c r="E91" s="108" t="s">
        <v>491</v>
      </c>
      <c r="F91" s="258">
        <v>5</v>
      </c>
    </row>
    <row r="92" spans="1:6" ht="14.95" customHeight="1" thickBot="1" x14ac:dyDescent="0.3">
      <c r="A92" s="14" t="s">
        <v>687</v>
      </c>
      <c r="B92" s="13" t="s">
        <v>497</v>
      </c>
      <c r="C92" s="257">
        <v>1</v>
      </c>
      <c r="D92" s="62" t="s">
        <v>668</v>
      </c>
      <c r="E92" s="108" t="s">
        <v>491</v>
      </c>
      <c r="F92" s="258">
        <v>5</v>
      </c>
    </row>
    <row r="93" spans="1:6" ht="14.95" customHeight="1" thickBot="1" x14ac:dyDescent="0.3">
      <c r="A93" s="14" t="s">
        <v>691</v>
      </c>
      <c r="B93" s="13" t="s">
        <v>21</v>
      </c>
      <c r="C93" s="257">
        <v>1</v>
      </c>
      <c r="D93" s="62" t="s">
        <v>670</v>
      </c>
      <c r="E93" s="108" t="s">
        <v>494</v>
      </c>
      <c r="F93" s="258">
        <v>5</v>
      </c>
    </row>
    <row r="94" spans="1:6" ht="14.95" customHeight="1" thickBot="1" x14ac:dyDescent="0.3">
      <c r="A94" s="14" t="s">
        <v>695</v>
      </c>
      <c r="B94" s="13" t="s">
        <v>28</v>
      </c>
      <c r="C94" s="257">
        <v>1</v>
      </c>
      <c r="D94" s="62" t="s">
        <v>673</v>
      </c>
      <c r="E94" s="108" t="s">
        <v>493</v>
      </c>
      <c r="F94" s="258">
        <v>5</v>
      </c>
    </row>
    <row r="95" spans="1:6" ht="14.95" customHeight="1" thickBot="1" x14ac:dyDescent="0.3">
      <c r="A95" s="14" t="s">
        <v>698</v>
      </c>
      <c r="B95" s="13" t="s">
        <v>493</v>
      </c>
      <c r="C95" s="257">
        <v>1</v>
      </c>
      <c r="D95" s="62" t="s">
        <v>676</v>
      </c>
      <c r="E95" s="108" t="s">
        <v>28</v>
      </c>
      <c r="F95" s="258">
        <v>5</v>
      </c>
    </row>
    <row r="96" spans="1:6" ht="14.95" customHeight="1" thickBot="1" x14ac:dyDescent="0.3">
      <c r="A96" s="14" t="s">
        <v>699</v>
      </c>
      <c r="B96" s="13" t="s">
        <v>21</v>
      </c>
      <c r="C96" s="257">
        <v>1</v>
      </c>
      <c r="D96" s="62" t="s">
        <v>678</v>
      </c>
      <c r="E96" s="108" t="s">
        <v>28</v>
      </c>
      <c r="F96" s="258">
        <v>5</v>
      </c>
    </row>
    <row r="97" spans="1:6" ht="14.95" customHeight="1" thickBot="1" x14ac:dyDescent="0.3">
      <c r="A97" s="14" t="s">
        <v>700</v>
      </c>
      <c r="B97" s="13" t="s">
        <v>21</v>
      </c>
      <c r="C97" s="257">
        <v>1</v>
      </c>
      <c r="D97" s="62" t="s">
        <v>679</v>
      </c>
      <c r="E97" s="108" t="s">
        <v>28</v>
      </c>
      <c r="F97" s="258">
        <v>5</v>
      </c>
    </row>
    <row r="98" spans="1:6" ht="14.95" customHeight="1" thickBot="1" x14ac:dyDescent="0.3">
      <c r="A98" s="14" t="s">
        <v>701</v>
      </c>
      <c r="B98" s="13" t="s">
        <v>494</v>
      </c>
      <c r="C98" s="257">
        <v>1</v>
      </c>
      <c r="D98" s="62" t="s">
        <v>681</v>
      </c>
      <c r="E98" s="108" t="s">
        <v>492</v>
      </c>
      <c r="F98" s="258">
        <v>5</v>
      </c>
    </row>
    <row r="99" spans="1:6" ht="14.95" customHeight="1" thickBot="1" x14ac:dyDescent="0.3">
      <c r="A99" s="14" t="s">
        <v>702</v>
      </c>
      <c r="B99" s="13" t="s">
        <v>496</v>
      </c>
      <c r="C99" s="257">
        <v>1</v>
      </c>
      <c r="D99" s="62" t="s">
        <v>683</v>
      </c>
      <c r="E99" s="108" t="s">
        <v>23</v>
      </c>
      <c r="F99" s="258">
        <v>5</v>
      </c>
    </row>
    <row r="100" spans="1:6" ht="14.95" customHeight="1" thickBot="1" x14ac:dyDescent="0.3">
      <c r="A100" s="14" t="s">
        <v>704</v>
      </c>
      <c r="B100" s="13" t="s">
        <v>496</v>
      </c>
      <c r="C100" s="257">
        <v>1</v>
      </c>
      <c r="D100" s="62" t="s">
        <v>685</v>
      </c>
      <c r="E100" s="108" t="s">
        <v>496</v>
      </c>
      <c r="F100" s="258">
        <v>5</v>
      </c>
    </row>
    <row r="101" spans="1:6" ht="14.95" customHeight="1" thickBot="1" x14ac:dyDescent="0.3">
      <c r="A101" s="14" t="s">
        <v>705</v>
      </c>
      <c r="B101" s="13" t="s">
        <v>496</v>
      </c>
      <c r="C101" s="257">
        <v>1</v>
      </c>
      <c r="D101" s="62" t="s">
        <v>688</v>
      </c>
      <c r="E101" s="108" t="s">
        <v>497</v>
      </c>
      <c r="F101" s="258">
        <v>5</v>
      </c>
    </row>
    <row r="102" spans="1:6" ht="14.95" customHeight="1" thickBot="1" x14ac:dyDescent="0.3">
      <c r="A102" s="14" t="s">
        <v>710</v>
      </c>
      <c r="B102" s="13" t="s">
        <v>28</v>
      </c>
      <c r="C102" s="257">
        <v>1</v>
      </c>
      <c r="D102" s="62" t="s">
        <v>691</v>
      </c>
      <c r="E102" s="108" t="s">
        <v>21</v>
      </c>
      <c r="F102" s="258">
        <v>5</v>
      </c>
    </row>
    <row r="103" spans="1:6" ht="14.95" customHeight="1" thickBot="1" x14ac:dyDescent="0.3">
      <c r="A103" s="14" t="s">
        <v>711</v>
      </c>
      <c r="B103" s="13" t="s">
        <v>28</v>
      </c>
      <c r="C103" s="257">
        <v>1</v>
      </c>
      <c r="D103" s="62" t="s">
        <v>695</v>
      </c>
      <c r="E103" s="108" t="s">
        <v>28</v>
      </c>
      <c r="F103" s="258">
        <v>5</v>
      </c>
    </row>
    <row r="104" spans="1:6" ht="14.95" customHeight="1" thickBot="1" x14ac:dyDescent="0.3">
      <c r="A104" s="14" t="s">
        <v>712</v>
      </c>
      <c r="B104" s="13" t="s">
        <v>28</v>
      </c>
      <c r="C104" s="257">
        <v>1</v>
      </c>
      <c r="D104" s="62" t="s">
        <v>698</v>
      </c>
      <c r="E104" s="108" t="s">
        <v>493</v>
      </c>
      <c r="F104" s="258">
        <v>5</v>
      </c>
    </row>
    <row r="105" spans="1:6" ht="14.95" customHeight="1" thickBot="1" x14ac:dyDescent="0.3">
      <c r="A105" s="14" t="s">
        <v>714</v>
      </c>
      <c r="B105" s="13" t="s">
        <v>715</v>
      </c>
      <c r="C105" s="257">
        <v>1</v>
      </c>
      <c r="D105" s="62" t="s">
        <v>699</v>
      </c>
      <c r="E105" s="108" t="s">
        <v>21</v>
      </c>
      <c r="F105" s="258">
        <v>5</v>
      </c>
    </row>
    <row r="106" spans="1:6" ht="14.95" customHeight="1" thickBot="1" x14ac:dyDescent="0.3">
      <c r="A106" s="14" t="s">
        <v>716</v>
      </c>
      <c r="B106" s="13" t="s">
        <v>21</v>
      </c>
      <c r="C106" s="257">
        <v>1</v>
      </c>
      <c r="D106" s="62" t="s">
        <v>700</v>
      </c>
      <c r="E106" s="108" t="s">
        <v>21</v>
      </c>
      <c r="F106" s="258">
        <v>5</v>
      </c>
    </row>
    <row r="107" spans="1:6" ht="14.95" customHeight="1" thickBot="1" x14ac:dyDescent="0.3">
      <c r="A107" s="221" t="s">
        <v>498</v>
      </c>
      <c r="B107" s="221"/>
      <c r="C107" s="261">
        <f>SUM(C4:C106)</f>
        <v>185</v>
      </c>
      <c r="D107" s="62" t="s">
        <v>701</v>
      </c>
      <c r="E107" s="108" t="s">
        <v>494</v>
      </c>
      <c r="F107" s="258">
        <v>5</v>
      </c>
    </row>
    <row r="108" spans="1:6" ht="14.95" customHeight="1" thickBot="1" x14ac:dyDescent="0.3">
      <c r="A108" s="262" t="s">
        <v>11</v>
      </c>
      <c r="D108" s="62" t="s">
        <v>702</v>
      </c>
      <c r="E108" s="108" t="s">
        <v>496</v>
      </c>
      <c r="F108" s="258">
        <v>5</v>
      </c>
    </row>
    <row r="109" spans="1:6" ht="14.95" customHeight="1" thickBot="1" x14ac:dyDescent="0.3">
      <c r="D109" s="62" t="s">
        <v>704</v>
      </c>
      <c r="E109" s="108" t="s">
        <v>496</v>
      </c>
      <c r="F109" s="258">
        <v>5</v>
      </c>
    </row>
    <row r="110" spans="1:6" ht="14.95" customHeight="1" thickBot="1" x14ac:dyDescent="0.3">
      <c r="D110" s="62" t="s">
        <v>705</v>
      </c>
      <c r="E110" s="108" t="s">
        <v>496</v>
      </c>
      <c r="F110" s="258">
        <v>5</v>
      </c>
    </row>
    <row r="111" spans="1:6" ht="14.95" customHeight="1" thickBot="1" x14ac:dyDescent="0.3">
      <c r="D111" s="62" t="s">
        <v>710</v>
      </c>
      <c r="E111" s="108" t="s">
        <v>28</v>
      </c>
      <c r="F111" s="258">
        <v>5</v>
      </c>
    </row>
    <row r="112" spans="1:6" ht="14.95" customHeight="1" thickBot="1" x14ac:dyDescent="0.3">
      <c r="D112" s="62" t="s">
        <v>711</v>
      </c>
      <c r="E112" s="108" t="s">
        <v>28</v>
      </c>
      <c r="F112" s="258">
        <v>5</v>
      </c>
    </row>
    <row r="113" spans="4:6" ht="14.95" customHeight="1" thickBot="1" x14ac:dyDescent="0.3">
      <c r="D113" s="62" t="s">
        <v>712</v>
      </c>
      <c r="E113" s="108" t="s">
        <v>28</v>
      </c>
      <c r="F113" s="258">
        <v>5</v>
      </c>
    </row>
    <row r="114" spans="4:6" ht="14.95" customHeight="1" thickBot="1" x14ac:dyDescent="0.3">
      <c r="D114" s="62" t="s">
        <v>714</v>
      </c>
      <c r="E114" s="108" t="s">
        <v>715</v>
      </c>
      <c r="F114" s="258">
        <v>5</v>
      </c>
    </row>
    <row r="115" spans="4:6" ht="14.95" customHeight="1" thickBot="1" x14ac:dyDescent="0.3">
      <c r="D115" s="62" t="s">
        <v>716</v>
      </c>
      <c r="E115" s="108" t="s">
        <v>21</v>
      </c>
      <c r="F115" s="258">
        <v>5</v>
      </c>
    </row>
    <row r="116" spans="4:6" ht="14.95" customHeight="1" thickBot="1" x14ac:dyDescent="0.3">
      <c r="D116" s="62" t="s">
        <v>638</v>
      </c>
      <c r="E116" s="108" t="s">
        <v>497</v>
      </c>
      <c r="F116" s="258">
        <v>3</v>
      </c>
    </row>
    <row r="117" spans="4:6" ht="14.95" customHeight="1" thickBot="1" x14ac:dyDescent="0.3">
      <c r="D117" s="62" t="s">
        <v>682</v>
      </c>
      <c r="E117" s="108" t="s">
        <v>492</v>
      </c>
      <c r="F117" s="258">
        <v>3</v>
      </c>
    </row>
    <row r="118" spans="4:6" ht="14.95" customHeight="1" thickBot="1" x14ac:dyDescent="0.3">
      <c r="D118" s="62" t="s">
        <v>630</v>
      </c>
      <c r="E118" s="108" t="s">
        <v>494</v>
      </c>
      <c r="F118" s="258">
        <v>2</v>
      </c>
    </row>
    <row r="119" spans="4:6" ht="14.95" customHeight="1" thickBot="1" x14ac:dyDescent="0.3">
      <c r="D119" s="62" t="s">
        <v>629</v>
      </c>
      <c r="E119" s="108" t="s">
        <v>493</v>
      </c>
      <c r="F119" s="258">
        <v>2</v>
      </c>
    </row>
    <row r="120" spans="4:6" ht="14.95" thickBot="1" x14ac:dyDescent="0.3">
      <c r="D120" s="221" t="s">
        <v>498</v>
      </c>
      <c r="E120" s="221"/>
      <c r="F120" s="261">
        <f>SUM(F4:F119)</f>
        <v>1198</v>
      </c>
    </row>
  </sheetData>
  <sortState xmlns:xlrd2="http://schemas.microsoft.com/office/spreadsheetml/2017/richdata2" ref="G4:K30">
    <sortCondition sortBy="fontColor" ref="J4:J30" dxfId="1"/>
    <sortCondition descending="1" ref="K4:K30"/>
    <sortCondition descending="1" ref="J4:J3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00CF-4D01-493B-9B51-C443F76410C6}">
  <dimension ref="A1:R72"/>
  <sheetViews>
    <sheetView topLeftCell="B26" workbookViewId="0">
      <selection activeCell="R5" sqref="R5"/>
    </sheetView>
  </sheetViews>
  <sheetFormatPr defaultRowHeight="14.3" x14ac:dyDescent="0.25"/>
  <cols>
    <col min="1" max="1" width="16.5" customWidth="1"/>
    <col min="2" max="5" width="4.5" customWidth="1"/>
    <col min="6" max="6" width="16.5" customWidth="1"/>
    <col min="7" max="10" width="4.5" customWidth="1"/>
    <col min="11" max="11" width="16.5" customWidth="1"/>
    <col min="12" max="18" width="5.75" customWidth="1"/>
  </cols>
  <sheetData>
    <row r="1" spans="1:18" ht="17" thickBot="1" x14ac:dyDescent="0.3">
      <c r="A1" s="319" t="s">
        <v>329</v>
      </c>
      <c r="B1" s="320"/>
      <c r="C1" s="320"/>
      <c r="D1" s="320"/>
      <c r="E1" s="320"/>
      <c r="F1" s="320"/>
      <c r="G1" s="320"/>
      <c r="H1" s="320"/>
      <c r="I1" s="320"/>
      <c r="J1" s="321"/>
      <c r="K1" s="322" t="s">
        <v>16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</row>
    <row r="2" spans="1:18" ht="14.95" thickBot="1" x14ac:dyDescent="0.3">
      <c r="A2" s="232" t="s">
        <v>0</v>
      </c>
      <c r="B2" s="197" t="s">
        <v>339</v>
      </c>
      <c r="C2" s="201" t="s">
        <v>12</v>
      </c>
      <c r="D2" s="264" t="s">
        <v>396</v>
      </c>
      <c r="E2" s="238" t="s">
        <v>1</v>
      </c>
      <c r="F2" s="158" t="s">
        <v>2</v>
      </c>
      <c r="G2" s="199" t="s">
        <v>339</v>
      </c>
      <c r="H2" s="164" t="s">
        <v>12</v>
      </c>
      <c r="I2" s="265" t="s">
        <v>396</v>
      </c>
      <c r="J2" s="159" t="s">
        <v>1</v>
      </c>
      <c r="K2" s="323"/>
      <c r="L2" s="312"/>
      <c r="M2" s="313"/>
      <c r="N2" s="314"/>
      <c r="O2" s="312"/>
      <c r="P2" s="313"/>
      <c r="Q2" s="314"/>
      <c r="R2" s="316"/>
    </row>
    <row r="3" spans="1:18" ht="14.95" thickBot="1" x14ac:dyDescent="0.3">
      <c r="A3" s="233" t="s">
        <v>500</v>
      </c>
      <c r="B3" s="198">
        <v>0</v>
      </c>
      <c r="C3" s="202">
        <v>0</v>
      </c>
      <c r="D3" s="263">
        <v>1</v>
      </c>
      <c r="E3" s="234">
        <v>1</v>
      </c>
      <c r="F3" s="160" t="s">
        <v>500</v>
      </c>
      <c r="G3" s="200">
        <v>0</v>
      </c>
      <c r="H3" s="165">
        <v>0</v>
      </c>
      <c r="I3" s="266">
        <v>5</v>
      </c>
      <c r="J3" s="161">
        <f>SUM(G3:I3)</f>
        <v>5</v>
      </c>
      <c r="K3" s="166"/>
      <c r="L3" s="31" t="s">
        <v>18</v>
      </c>
      <c r="M3" s="31" t="s">
        <v>5</v>
      </c>
      <c r="N3" s="31" t="s">
        <v>6</v>
      </c>
      <c r="O3" s="84" t="s">
        <v>18</v>
      </c>
      <c r="P3" s="31" t="s">
        <v>5</v>
      </c>
      <c r="Q3" s="31" t="s">
        <v>6</v>
      </c>
      <c r="R3" s="1"/>
    </row>
    <row r="4" spans="1:18" ht="14.95" thickBot="1" x14ac:dyDescent="0.3">
      <c r="A4" s="233" t="s">
        <v>501</v>
      </c>
      <c r="B4" s="198">
        <v>0</v>
      </c>
      <c r="C4" s="202">
        <v>0</v>
      </c>
      <c r="D4" s="263">
        <v>1</v>
      </c>
      <c r="E4" s="234">
        <f t="shared" ref="E4:E35" si="0">SUM(B4:D4)</f>
        <v>1</v>
      </c>
      <c r="F4" s="160" t="s">
        <v>501</v>
      </c>
      <c r="G4" s="200">
        <v>0</v>
      </c>
      <c r="H4" s="165">
        <v>0</v>
      </c>
      <c r="I4" s="266">
        <v>5</v>
      </c>
      <c r="J4" s="161">
        <f t="shared" ref="J4:J35" si="1">SUM(G4:I4)</f>
        <v>5</v>
      </c>
      <c r="K4" s="233" t="s">
        <v>333</v>
      </c>
      <c r="L4" s="234">
        <v>13</v>
      </c>
      <c r="M4" s="234">
        <v>20</v>
      </c>
      <c r="N4" s="235">
        <f t="shared" ref="N4" si="2">SUM(L4/M4)*100</f>
        <v>65</v>
      </c>
      <c r="O4" s="234">
        <v>0</v>
      </c>
      <c r="P4" s="234">
        <v>2</v>
      </c>
      <c r="Q4" s="235">
        <v>100</v>
      </c>
      <c r="R4" s="236">
        <v>-2</v>
      </c>
    </row>
    <row r="5" spans="1:18" ht="14.95" customHeight="1" thickBot="1" x14ac:dyDescent="0.3">
      <c r="A5" s="233" t="s">
        <v>502</v>
      </c>
      <c r="B5" s="198">
        <v>0</v>
      </c>
      <c r="C5" s="202">
        <v>0</v>
      </c>
      <c r="D5" s="263">
        <v>0</v>
      </c>
      <c r="E5" s="234">
        <f t="shared" si="0"/>
        <v>0</v>
      </c>
      <c r="F5" s="162" t="s">
        <v>502</v>
      </c>
      <c r="G5" s="200">
        <v>0</v>
      </c>
      <c r="H5" s="165">
        <v>0</v>
      </c>
      <c r="I5" s="266">
        <v>0</v>
      </c>
      <c r="J5" s="161">
        <f t="shared" si="1"/>
        <v>0</v>
      </c>
      <c r="K5" s="232" t="s">
        <v>425</v>
      </c>
      <c r="L5" s="237">
        <v>3</v>
      </c>
      <c r="M5" s="234">
        <v>7</v>
      </c>
      <c r="N5" s="235">
        <f t="shared" ref="N5" si="3">SUM(L5/M5)*100</f>
        <v>42.857142857142854</v>
      </c>
      <c r="O5" s="234">
        <v>1</v>
      </c>
      <c r="P5" s="234">
        <v>4</v>
      </c>
      <c r="Q5" s="235">
        <f t="shared" ref="Q5" si="4">SUM(O5/P5)*100</f>
        <v>25</v>
      </c>
      <c r="R5" s="236">
        <v>-2</v>
      </c>
    </row>
    <row r="6" spans="1:18" ht="14.95" thickBot="1" x14ac:dyDescent="0.3">
      <c r="A6" s="233" t="s">
        <v>333</v>
      </c>
      <c r="B6" s="198">
        <v>0</v>
      </c>
      <c r="C6" s="202">
        <v>0</v>
      </c>
      <c r="D6" s="263">
        <v>0</v>
      </c>
      <c r="E6" s="234">
        <f t="shared" si="0"/>
        <v>0</v>
      </c>
      <c r="F6" s="162" t="s">
        <v>333</v>
      </c>
      <c r="G6" s="200">
        <v>14</v>
      </c>
      <c r="H6" s="165">
        <v>4</v>
      </c>
      <c r="I6" s="266">
        <v>12</v>
      </c>
      <c r="J6" s="161">
        <f t="shared" si="1"/>
        <v>30</v>
      </c>
      <c r="K6" s="48"/>
      <c r="L6" s="48"/>
      <c r="M6" s="48"/>
      <c r="N6" s="48"/>
      <c r="O6" s="48"/>
      <c r="P6" s="48"/>
      <c r="Q6" s="48"/>
    </row>
    <row r="7" spans="1:18" ht="14.95" thickBot="1" x14ac:dyDescent="0.3">
      <c r="A7" s="233" t="s">
        <v>424</v>
      </c>
      <c r="B7" s="198">
        <v>0</v>
      </c>
      <c r="C7" s="202">
        <v>1</v>
      </c>
      <c r="D7" s="263">
        <v>0</v>
      </c>
      <c r="E7" s="234">
        <f t="shared" si="0"/>
        <v>1</v>
      </c>
      <c r="F7" s="162" t="s">
        <v>424</v>
      </c>
      <c r="G7" s="200">
        <v>0</v>
      </c>
      <c r="H7" s="165">
        <v>5</v>
      </c>
      <c r="I7" s="266">
        <v>0</v>
      </c>
      <c r="J7" s="161">
        <f t="shared" si="1"/>
        <v>5</v>
      </c>
      <c r="K7" s="324" t="s">
        <v>345</v>
      </c>
      <c r="L7" s="309">
        <v>2022</v>
      </c>
      <c r="M7" s="310"/>
      <c r="N7" s="311"/>
      <c r="O7" s="9"/>
      <c r="P7" s="9"/>
      <c r="Q7" s="9"/>
    </row>
    <row r="8" spans="1:18" ht="14.95" thickBot="1" x14ac:dyDescent="0.3">
      <c r="A8" s="233" t="s">
        <v>355</v>
      </c>
      <c r="B8" s="198">
        <v>1</v>
      </c>
      <c r="C8" s="202">
        <v>0</v>
      </c>
      <c r="D8" s="263">
        <v>0</v>
      </c>
      <c r="E8" s="234">
        <f t="shared" si="0"/>
        <v>1</v>
      </c>
      <c r="F8" s="162" t="s">
        <v>355</v>
      </c>
      <c r="G8" s="200">
        <v>5</v>
      </c>
      <c r="H8" s="165">
        <v>0</v>
      </c>
      <c r="I8" s="266">
        <v>0</v>
      </c>
      <c r="J8" s="161">
        <f t="shared" si="1"/>
        <v>5</v>
      </c>
      <c r="K8" s="325"/>
      <c r="L8" s="312"/>
      <c r="M8" s="313"/>
      <c r="N8" s="314"/>
    </row>
    <row r="9" spans="1:18" ht="14.95" thickBot="1" x14ac:dyDescent="0.3">
      <c r="A9" s="233" t="s">
        <v>503</v>
      </c>
      <c r="B9" s="198">
        <v>0</v>
      </c>
      <c r="C9" s="202">
        <v>0</v>
      </c>
      <c r="D9" s="263">
        <v>0</v>
      </c>
      <c r="E9" s="234">
        <f t="shared" si="0"/>
        <v>0</v>
      </c>
      <c r="F9" s="162" t="s">
        <v>503</v>
      </c>
      <c r="G9" s="200">
        <v>0</v>
      </c>
      <c r="H9" s="165">
        <v>0</v>
      </c>
      <c r="I9" s="266">
        <v>0</v>
      </c>
      <c r="J9" s="161">
        <f t="shared" si="1"/>
        <v>0</v>
      </c>
      <c r="K9" s="176"/>
      <c r="L9" s="31" t="s">
        <v>18</v>
      </c>
      <c r="M9" s="31" t="s">
        <v>5</v>
      </c>
      <c r="N9" s="31" t="s">
        <v>6</v>
      </c>
    </row>
    <row r="10" spans="1:18" ht="14.95" thickBot="1" x14ac:dyDescent="0.3">
      <c r="A10" s="233" t="s">
        <v>504</v>
      </c>
      <c r="B10" s="198">
        <v>0</v>
      </c>
      <c r="C10" s="202">
        <v>0</v>
      </c>
      <c r="D10" s="263">
        <v>0</v>
      </c>
      <c r="E10" s="234">
        <f t="shared" si="0"/>
        <v>0</v>
      </c>
      <c r="F10" s="162" t="s">
        <v>504</v>
      </c>
      <c r="G10" s="200">
        <v>0</v>
      </c>
      <c r="H10" s="165">
        <v>0</v>
      </c>
      <c r="I10" s="266">
        <v>0</v>
      </c>
      <c r="J10" s="161">
        <f t="shared" si="1"/>
        <v>0</v>
      </c>
      <c r="K10" s="233" t="s">
        <v>333</v>
      </c>
      <c r="L10" s="234">
        <v>6</v>
      </c>
      <c r="M10" s="234">
        <v>6</v>
      </c>
      <c r="N10" s="235">
        <f t="shared" ref="N10" si="5">SUM(L10/M10)*100</f>
        <v>100</v>
      </c>
    </row>
    <row r="11" spans="1:18" ht="14.95" thickBot="1" x14ac:dyDescent="0.3">
      <c r="A11" s="233" t="s">
        <v>505</v>
      </c>
      <c r="B11" s="198">
        <v>0</v>
      </c>
      <c r="C11" s="202">
        <v>0</v>
      </c>
      <c r="D11" s="263">
        <v>0</v>
      </c>
      <c r="E11" s="234">
        <f t="shared" si="0"/>
        <v>0</v>
      </c>
      <c r="F11" s="162" t="s">
        <v>505</v>
      </c>
      <c r="G11" s="200">
        <v>0</v>
      </c>
      <c r="H11" s="165">
        <v>0</v>
      </c>
      <c r="I11" s="266">
        <v>0</v>
      </c>
      <c r="J11" s="161">
        <f t="shared" si="1"/>
        <v>0</v>
      </c>
    </row>
    <row r="12" spans="1:18" ht="14.95" thickBot="1" x14ac:dyDescent="0.3">
      <c r="A12" s="233" t="s">
        <v>506</v>
      </c>
      <c r="B12" s="198">
        <v>0</v>
      </c>
      <c r="C12" s="202">
        <v>0</v>
      </c>
      <c r="D12" s="263">
        <v>0</v>
      </c>
      <c r="E12" s="234">
        <f t="shared" si="0"/>
        <v>0</v>
      </c>
      <c r="F12" s="162" t="s">
        <v>506</v>
      </c>
      <c r="G12" s="200">
        <v>0</v>
      </c>
      <c r="H12" s="165">
        <v>0</v>
      </c>
      <c r="I12" s="266">
        <v>0</v>
      </c>
      <c r="J12" s="161">
        <f t="shared" si="1"/>
        <v>0</v>
      </c>
      <c r="K12" s="326" t="s">
        <v>521</v>
      </c>
      <c r="L12" s="309">
        <v>2022</v>
      </c>
      <c r="M12" s="310"/>
      <c r="N12" s="311"/>
    </row>
    <row r="13" spans="1:18" ht="14.95" thickBot="1" x14ac:dyDescent="0.3">
      <c r="A13" s="233" t="s">
        <v>507</v>
      </c>
      <c r="B13" s="198">
        <v>0</v>
      </c>
      <c r="C13" s="202">
        <v>0</v>
      </c>
      <c r="D13" s="263">
        <v>0</v>
      </c>
      <c r="E13" s="234">
        <f t="shared" si="0"/>
        <v>0</v>
      </c>
      <c r="F13" s="162" t="s">
        <v>507</v>
      </c>
      <c r="G13" s="200">
        <v>0</v>
      </c>
      <c r="H13" s="165">
        <v>0</v>
      </c>
      <c r="I13" s="266">
        <v>0</v>
      </c>
      <c r="J13" s="161">
        <f t="shared" si="1"/>
        <v>0</v>
      </c>
      <c r="K13" s="327"/>
      <c r="L13" s="312"/>
      <c r="M13" s="313"/>
      <c r="N13" s="314"/>
    </row>
    <row r="14" spans="1:18" ht="14.95" thickBot="1" x14ac:dyDescent="0.3">
      <c r="A14" s="233" t="s">
        <v>508</v>
      </c>
      <c r="B14" s="198">
        <v>0</v>
      </c>
      <c r="C14" s="202">
        <v>0</v>
      </c>
      <c r="D14" s="263">
        <v>0</v>
      </c>
      <c r="E14" s="234">
        <f t="shared" si="0"/>
        <v>0</v>
      </c>
      <c r="F14" s="162" t="s">
        <v>508</v>
      </c>
      <c r="G14" s="200">
        <v>0</v>
      </c>
      <c r="H14" s="165">
        <v>0</v>
      </c>
      <c r="I14" s="266">
        <v>0</v>
      </c>
      <c r="J14" s="161">
        <f t="shared" si="1"/>
        <v>0</v>
      </c>
      <c r="K14" s="267"/>
      <c r="L14" s="31" t="s">
        <v>18</v>
      </c>
      <c r="M14" s="31" t="s">
        <v>5</v>
      </c>
      <c r="N14" s="31" t="s">
        <v>6</v>
      </c>
    </row>
    <row r="15" spans="1:18" ht="14.95" thickBot="1" x14ac:dyDescent="0.3">
      <c r="A15" s="233" t="s">
        <v>509</v>
      </c>
      <c r="B15" s="198">
        <v>2</v>
      </c>
      <c r="C15" s="202">
        <v>2</v>
      </c>
      <c r="D15" s="263">
        <v>1</v>
      </c>
      <c r="E15" s="234">
        <f t="shared" si="0"/>
        <v>5</v>
      </c>
      <c r="F15" s="162" t="s">
        <v>509</v>
      </c>
      <c r="G15" s="200">
        <v>10</v>
      </c>
      <c r="H15" s="165">
        <v>10</v>
      </c>
      <c r="I15" s="266">
        <v>5</v>
      </c>
      <c r="J15" s="161">
        <f t="shared" si="1"/>
        <v>25</v>
      </c>
      <c r="K15" s="233" t="s">
        <v>333</v>
      </c>
      <c r="L15" s="234">
        <v>5</v>
      </c>
      <c r="M15" s="234">
        <v>7</v>
      </c>
      <c r="N15" s="235">
        <v>71</v>
      </c>
    </row>
    <row r="16" spans="1:18" ht="14.95" thickBot="1" x14ac:dyDescent="0.3">
      <c r="A16" s="233" t="s">
        <v>425</v>
      </c>
      <c r="B16" s="198">
        <v>0</v>
      </c>
      <c r="C16" s="202">
        <v>0</v>
      </c>
      <c r="D16" s="263">
        <v>0</v>
      </c>
      <c r="E16" s="234">
        <f t="shared" si="0"/>
        <v>0</v>
      </c>
      <c r="F16" s="162" t="s">
        <v>425</v>
      </c>
      <c r="G16" s="200">
        <v>0</v>
      </c>
      <c r="H16" s="165">
        <v>4</v>
      </c>
      <c r="I16" s="266">
        <v>2</v>
      </c>
      <c r="J16" s="161">
        <f t="shared" si="1"/>
        <v>6</v>
      </c>
      <c r="K16" s="232" t="s">
        <v>425</v>
      </c>
      <c r="L16" s="237">
        <v>1</v>
      </c>
      <c r="M16" s="234">
        <v>4</v>
      </c>
      <c r="N16" s="235">
        <v>25</v>
      </c>
      <c r="O16" s="9"/>
      <c r="P16" s="9"/>
      <c r="Q16" s="9"/>
    </row>
    <row r="17" spans="1:17" ht="14.95" thickBot="1" x14ac:dyDescent="0.3">
      <c r="A17" s="233" t="s">
        <v>510</v>
      </c>
      <c r="B17" s="198">
        <v>0</v>
      </c>
      <c r="C17" s="202">
        <v>0</v>
      </c>
      <c r="D17" s="263">
        <v>0</v>
      </c>
      <c r="E17" s="234">
        <f t="shared" si="0"/>
        <v>0</v>
      </c>
      <c r="F17" s="162" t="s">
        <v>510</v>
      </c>
      <c r="G17" s="200">
        <v>0</v>
      </c>
      <c r="H17" s="165">
        <v>0</v>
      </c>
      <c r="I17" s="266">
        <v>0</v>
      </c>
      <c r="J17" s="161">
        <f t="shared" si="1"/>
        <v>0</v>
      </c>
      <c r="O17" s="22"/>
      <c r="P17" s="22"/>
      <c r="Q17" s="25"/>
    </row>
    <row r="18" spans="1:17" ht="14.95" thickBot="1" x14ac:dyDescent="0.3">
      <c r="A18" s="233" t="s">
        <v>10</v>
      </c>
      <c r="B18" s="198">
        <v>0</v>
      </c>
      <c r="C18" s="202">
        <v>1</v>
      </c>
      <c r="D18" s="263">
        <v>0</v>
      </c>
      <c r="E18" s="234">
        <f t="shared" si="0"/>
        <v>1</v>
      </c>
      <c r="F18" s="162" t="s">
        <v>10</v>
      </c>
      <c r="G18" s="200">
        <v>0</v>
      </c>
      <c r="H18" s="165">
        <v>5</v>
      </c>
      <c r="I18" s="266">
        <v>0</v>
      </c>
      <c r="J18" s="161">
        <f t="shared" si="1"/>
        <v>5</v>
      </c>
      <c r="O18" s="22"/>
      <c r="P18" s="22"/>
      <c r="Q18" s="25"/>
    </row>
    <row r="19" spans="1:17" ht="14.95" thickBot="1" x14ac:dyDescent="0.3">
      <c r="A19" s="233" t="s">
        <v>511</v>
      </c>
      <c r="B19" s="198">
        <v>0</v>
      </c>
      <c r="C19" s="202">
        <v>0</v>
      </c>
      <c r="D19" s="263">
        <v>0</v>
      </c>
      <c r="E19" s="234">
        <f t="shared" si="0"/>
        <v>0</v>
      </c>
      <c r="F19" s="162" t="s">
        <v>511</v>
      </c>
      <c r="G19" s="200">
        <v>0</v>
      </c>
      <c r="H19" s="165">
        <v>0</v>
      </c>
      <c r="I19" s="266">
        <v>0</v>
      </c>
      <c r="J19" s="161">
        <f t="shared" si="1"/>
        <v>0</v>
      </c>
    </row>
    <row r="20" spans="1:17" ht="14.95" thickBot="1" x14ac:dyDescent="0.3">
      <c r="A20" s="233" t="s">
        <v>512</v>
      </c>
      <c r="B20" s="198">
        <v>0</v>
      </c>
      <c r="C20" s="202">
        <v>0</v>
      </c>
      <c r="D20" s="263">
        <v>0</v>
      </c>
      <c r="E20" s="234">
        <f t="shared" si="0"/>
        <v>0</v>
      </c>
      <c r="F20" s="162" t="s">
        <v>512</v>
      </c>
      <c r="G20" s="200">
        <v>0</v>
      </c>
      <c r="H20" s="165">
        <v>0</v>
      </c>
      <c r="I20" s="266">
        <v>0</v>
      </c>
      <c r="J20" s="161">
        <f t="shared" si="1"/>
        <v>0</v>
      </c>
    </row>
    <row r="21" spans="1:17" ht="14.95" thickBot="1" x14ac:dyDescent="0.3">
      <c r="A21" s="233" t="s">
        <v>513</v>
      </c>
      <c r="B21" s="198">
        <v>0</v>
      </c>
      <c r="C21" s="202">
        <v>0</v>
      </c>
      <c r="D21" s="263">
        <v>0</v>
      </c>
      <c r="E21" s="234">
        <f t="shared" si="0"/>
        <v>0</v>
      </c>
      <c r="F21" s="162" t="s">
        <v>513</v>
      </c>
      <c r="G21" s="200">
        <v>0</v>
      </c>
      <c r="H21" s="165">
        <v>0</v>
      </c>
      <c r="I21" s="266">
        <v>0</v>
      </c>
      <c r="J21" s="161">
        <f t="shared" si="1"/>
        <v>0</v>
      </c>
    </row>
    <row r="22" spans="1:17" ht="14.95" thickBot="1" x14ac:dyDescent="0.3">
      <c r="A22" s="233" t="s">
        <v>514</v>
      </c>
      <c r="B22" s="198">
        <v>0</v>
      </c>
      <c r="C22" s="202">
        <v>0</v>
      </c>
      <c r="D22" s="263">
        <v>0</v>
      </c>
      <c r="E22" s="234">
        <f t="shared" si="0"/>
        <v>0</v>
      </c>
      <c r="F22" s="162" t="s">
        <v>514</v>
      </c>
      <c r="G22" s="200">
        <v>0</v>
      </c>
      <c r="H22" s="165">
        <v>0</v>
      </c>
      <c r="I22" s="266">
        <v>0</v>
      </c>
      <c r="J22" s="161">
        <f t="shared" si="1"/>
        <v>0</v>
      </c>
    </row>
    <row r="23" spans="1:17" ht="14.95" thickBot="1" x14ac:dyDescent="0.3">
      <c r="A23" s="233" t="s">
        <v>330</v>
      </c>
      <c r="B23" s="198">
        <v>1</v>
      </c>
      <c r="C23" s="202">
        <v>0</v>
      </c>
      <c r="D23" s="263">
        <v>0</v>
      </c>
      <c r="E23" s="234">
        <f t="shared" si="0"/>
        <v>1</v>
      </c>
      <c r="F23" s="162" t="s">
        <v>330</v>
      </c>
      <c r="G23" s="200">
        <v>5</v>
      </c>
      <c r="H23" s="165">
        <v>0</v>
      </c>
      <c r="I23" s="266">
        <v>0</v>
      </c>
      <c r="J23" s="161">
        <f t="shared" si="1"/>
        <v>5</v>
      </c>
    </row>
    <row r="24" spans="1:17" ht="14.95" thickBot="1" x14ac:dyDescent="0.3">
      <c r="A24" s="233" t="s">
        <v>331</v>
      </c>
      <c r="B24" s="198">
        <v>1</v>
      </c>
      <c r="C24" s="202">
        <v>1</v>
      </c>
      <c r="D24" s="263">
        <v>0</v>
      </c>
      <c r="E24" s="234">
        <f t="shared" si="0"/>
        <v>2</v>
      </c>
      <c r="F24" s="162" t="s">
        <v>331</v>
      </c>
      <c r="G24" s="200">
        <v>5</v>
      </c>
      <c r="H24" s="165">
        <v>5</v>
      </c>
      <c r="I24" s="266">
        <v>0</v>
      </c>
      <c r="J24" s="161">
        <f t="shared" si="1"/>
        <v>10</v>
      </c>
    </row>
    <row r="25" spans="1:17" ht="14.95" thickBot="1" x14ac:dyDescent="0.3">
      <c r="A25" s="233" t="s">
        <v>332</v>
      </c>
      <c r="B25" s="198">
        <v>0</v>
      </c>
      <c r="C25" s="202">
        <v>1</v>
      </c>
      <c r="D25" s="263">
        <v>0</v>
      </c>
      <c r="E25" s="234">
        <f t="shared" si="0"/>
        <v>1</v>
      </c>
      <c r="F25" s="162" t="s">
        <v>332</v>
      </c>
      <c r="G25" s="200">
        <v>0</v>
      </c>
      <c r="H25" s="165">
        <v>5</v>
      </c>
      <c r="I25" s="266">
        <v>0</v>
      </c>
      <c r="J25" s="161">
        <f t="shared" si="1"/>
        <v>5</v>
      </c>
    </row>
    <row r="26" spans="1:17" ht="14.95" thickBot="1" x14ac:dyDescent="0.3">
      <c r="A26" s="233" t="s">
        <v>302</v>
      </c>
      <c r="B26" s="198">
        <v>0</v>
      </c>
      <c r="C26" s="202">
        <v>1</v>
      </c>
      <c r="D26" s="263">
        <v>0</v>
      </c>
      <c r="E26" s="234">
        <f t="shared" si="0"/>
        <v>1</v>
      </c>
      <c r="F26" s="162" t="s">
        <v>302</v>
      </c>
      <c r="G26" s="200">
        <v>0</v>
      </c>
      <c r="H26" s="165">
        <v>7</v>
      </c>
      <c r="I26" s="266">
        <v>0</v>
      </c>
      <c r="J26" s="161">
        <f t="shared" si="1"/>
        <v>7</v>
      </c>
    </row>
    <row r="27" spans="1:17" ht="14.95" thickBot="1" x14ac:dyDescent="0.3">
      <c r="A27" s="233" t="s">
        <v>515</v>
      </c>
      <c r="B27" s="198">
        <v>0</v>
      </c>
      <c r="C27" s="202">
        <v>0</v>
      </c>
      <c r="D27" s="263">
        <v>0</v>
      </c>
      <c r="E27" s="234">
        <f t="shared" si="0"/>
        <v>0</v>
      </c>
      <c r="F27" s="162" t="s">
        <v>515</v>
      </c>
      <c r="G27" s="200">
        <v>0</v>
      </c>
      <c r="H27" s="165">
        <v>0</v>
      </c>
      <c r="I27" s="266">
        <v>0</v>
      </c>
      <c r="J27" s="161">
        <f t="shared" si="1"/>
        <v>0</v>
      </c>
    </row>
    <row r="28" spans="1:17" ht="14.95" thickBot="1" x14ac:dyDescent="0.3">
      <c r="A28" s="233" t="s">
        <v>516</v>
      </c>
      <c r="B28" s="198">
        <v>0</v>
      </c>
      <c r="C28" s="202">
        <v>0</v>
      </c>
      <c r="D28" s="263">
        <v>0</v>
      </c>
      <c r="E28" s="234">
        <f t="shared" si="0"/>
        <v>0</v>
      </c>
      <c r="F28" s="162" t="s">
        <v>516</v>
      </c>
      <c r="G28" s="200">
        <v>0</v>
      </c>
      <c r="H28" s="165">
        <v>0</v>
      </c>
      <c r="I28" s="266">
        <v>0</v>
      </c>
      <c r="J28" s="161">
        <f t="shared" si="1"/>
        <v>0</v>
      </c>
    </row>
    <row r="29" spans="1:17" ht="14.95" thickBot="1" x14ac:dyDescent="0.3">
      <c r="A29" s="233" t="s">
        <v>517</v>
      </c>
      <c r="B29" s="198">
        <v>0</v>
      </c>
      <c r="C29" s="202">
        <v>0</v>
      </c>
      <c r="D29" s="263">
        <v>0</v>
      </c>
      <c r="E29" s="234">
        <f t="shared" si="0"/>
        <v>0</v>
      </c>
      <c r="F29" s="162" t="s">
        <v>517</v>
      </c>
      <c r="G29" s="200">
        <v>0</v>
      </c>
      <c r="H29" s="165">
        <v>0</v>
      </c>
      <c r="I29" s="266">
        <v>0</v>
      </c>
      <c r="J29" s="161">
        <f t="shared" si="1"/>
        <v>0</v>
      </c>
    </row>
    <row r="30" spans="1:17" ht="14.95" customHeight="1" thickBot="1" x14ac:dyDescent="0.3">
      <c r="A30" s="233" t="s">
        <v>518</v>
      </c>
      <c r="B30" s="198">
        <v>0</v>
      </c>
      <c r="C30" s="202">
        <v>0</v>
      </c>
      <c r="D30" s="263">
        <v>0</v>
      </c>
      <c r="E30" s="234">
        <f t="shared" si="0"/>
        <v>0</v>
      </c>
      <c r="F30" s="162" t="s">
        <v>518</v>
      </c>
      <c r="G30" s="200">
        <v>0</v>
      </c>
      <c r="H30" s="165">
        <v>0</v>
      </c>
      <c r="I30" s="266">
        <v>0</v>
      </c>
      <c r="J30" s="161">
        <f t="shared" si="1"/>
        <v>0</v>
      </c>
    </row>
    <row r="31" spans="1:17" ht="14.95" thickBot="1" x14ac:dyDescent="0.3">
      <c r="A31" s="233" t="s">
        <v>335</v>
      </c>
      <c r="B31" s="198">
        <v>0</v>
      </c>
      <c r="C31" s="202">
        <v>1</v>
      </c>
      <c r="D31" s="263">
        <v>0</v>
      </c>
      <c r="E31" s="234">
        <f t="shared" si="0"/>
        <v>1</v>
      </c>
      <c r="F31" s="162" t="s">
        <v>335</v>
      </c>
      <c r="G31" s="200">
        <v>0</v>
      </c>
      <c r="H31" s="165">
        <v>5</v>
      </c>
      <c r="I31" s="266">
        <v>0</v>
      </c>
      <c r="J31" s="161">
        <f t="shared" si="1"/>
        <v>5</v>
      </c>
    </row>
    <row r="32" spans="1:17" ht="14.95" thickBot="1" x14ac:dyDescent="0.3">
      <c r="A32" s="233" t="s">
        <v>426</v>
      </c>
      <c r="B32" s="198">
        <v>0</v>
      </c>
      <c r="C32" s="202">
        <v>2</v>
      </c>
      <c r="D32" s="263">
        <v>3</v>
      </c>
      <c r="E32" s="234">
        <f t="shared" si="0"/>
        <v>5</v>
      </c>
      <c r="F32" s="162" t="s">
        <v>426</v>
      </c>
      <c r="G32" s="200">
        <v>0</v>
      </c>
      <c r="H32" s="165">
        <v>10</v>
      </c>
      <c r="I32" s="266">
        <v>15</v>
      </c>
      <c r="J32" s="161">
        <f t="shared" si="1"/>
        <v>25</v>
      </c>
    </row>
    <row r="33" spans="1:10" ht="14.95" thickBot="1" x14ac:dyDescent="0.3">
      <c r="A33" s="233" t="s">
        <v>519</v>
      </c>
      <c r="B33" s="198">
        <v>0</v>
      </c>
      <c r="C33" s="202">
        <v>0</v>
      </c>
      <c r="D33" s="263">
        <v>0</v>
      </c>
      <c r="E33" s="234">
        <f t="shared" si="0"/>
        <v>0</v>
      </c>
      <c r="F33" s="162" t="s">
        <v>519</v>
      </c>
      <c r="G33" s="200">
        <v>0</v>
      </c>
      <c r="H33" s="165">
        <v>0</v>
      </c>
      <c r="I33" s="266">
        <v>0</v>
      </c>
      <c r="J33" s="161">
        <f t="shared" si="1"/>
        <v>0</v>
      </c>
    </row>
    <row r="34" spans="1:10" ht="14.95" thickBot="1" x14ac:dyDescent="0.3">
      <c r="A34" s="233" t="s">
        <v>520</v>
      </c>
      <c r="B34" s="198">
        <v>0</v>
      </c>
      <c r="C34" s="202">
        <v>0</v>
      </c>
      <c r="D34" s="263">
        <v>1</v>
      </c>
      <c r="E34" s="234">
        <f t="shared" si="0"/>
        <v>1</v>
      </c>
      <c r="F34" s="162" t="s">
        <v>520</v>
      </c>
      <c r="G34" s="200">
        <v>0</v>
      </c>
      <c r="H34" s="165">
        <v>0</v>
      </c>
      <c r="I34" s="266">
        <v>5</v>
      </c>
      <c r="J34" s="161">
        <f t="shared" si="1"/>
        <v>5</v>
      </c>
    </row>
    <row r="35" spans="1:10" ht="14.95" thickBot="1" x14ac:dyDescent="0.3">
      <c r="A35" s="233" t="s">
        <v>3</v>
      </c>
      <c r="B35" s="198">
        <f>SUM(B3:B34)</f>
        <v>5</v>
      </c>
      <c r="C35" s="202">
        <f>SUM(C3:C34)</f>
        <v>10</v>
      </c>
      <c r="D35" s="263">
        <f>SUM(D3:D34)</f>
        <v>7</v>
      </c>
      <c r="E35" s="234">
        <f t="shared" si="0"/>
        <v>22</v>
      </c>
      <c r="F35" s="163" t="s">
        <v>3</v>
      </c>
      <c r="G35" s="199">
        <f>SUM(G3:G34)</f>
        <v>39</v>
      </c>
      <c r="H35" s="164">
        <f>SUM(H3:H34)</f>
        <v>60</v>
      </c>
      <c r="I35" s="265">
        <f>SUM(I3:I34)</f>
        <v>49</v>
      </c>
      <c r="J35" s="159">
        <f t="shared" si="1"/>
        <v>148</v>
      </c>
    </row>
    <row r="36" spans="1:10" ht="16.3" x14ac:dyDescent="0.25">
      <c r="C36" s="57"/>
      <c r="D36" s="57"/>
      <c r="F36" s="3"/>
      <c r="G36" s="3"/>
      <c r="H36" s="58"/>
      <c r="I36" s="58"/>
      <c r="J36" s="3"/>
    </row>
    <row r="37" spans="1:10" ht="17" thickBot="1" x14ac:dyDescent="0.3">
      <c r="A37" t="s">
        <v>7</v>
      </c>
      <c r="C37" s="57"/>
      <c r="D37" s="57"/>
      <c r="F37" s="3"/>
      <c r="G37" s="3"/>
      <c r="H37" s="58"/>
      <c r="I37" s="58"/>
      <c r="J37" s="3"/>
    </row>
    <row r="38" spans="1:10" ht="14.95" thickBot="1" x14ac:dyDescent="0.3">
      <c r="A38" s="232" t="s">
        <v>0</v>
      </c>
      <c r="B38" s="197" t="s">
        <v>339</v>
      </c>
      <c r="C38" s="201" t="s">
        <v>12</v>
      </c>
      <c r="D38" s="264" t="s">
        <v>396</v>
      </c>
      <c r="E38" s="238" t="s">
        <v>1</v>
      </c>
      <c r="F38" s="158" t="s">
        <v>2</v>
      </c>
      <c r="G38" s="199" t="s">
        <v>339</v>
      </c>
      <c r="H38" s="164" t="s">
        <v>12</v>
      </c>
      <c r="I38" s="265" t="s">
        <v>396</v>
      </c>
      <c r="J38" s="159" t="s">
        <v>1</v>
      </c>
    </row>
    <row r="39" spans="1:10" ht="14.95" thickBot="1" x14ac:dyDescent="0.3">
      <c r="A39" s="233" t="s">
        <v>509</v>
      </c>
      <c r="B39" s="198">
        <v>2</v>
      </c>
      <c r="C39" s="202">
        <v>2</v>
      </c>
      <c r="D39" s="263">
        <v>1</v>
      </c>
      <c r="E39" s="234">
        <v>5</v>
      </c>
      <c r="F39" s="160" t="s">
        <v>333</v>
      </c>
      <c r="G39" s="200">
        <v>14</v>
      </c>
      <c r="H39" s="165">
        <v>4</v>
      </c>
      <c r="I39" s="266">
        <v>12</v>
      </c>
      <c r="J39" s="161">
        <v>30</v>
      </c>
    </row>
    <row r="40" spans="1:10" ht="14.95" thickBot="1" x14ac:dyDescent="0.3">
      <c r="A40" s="233" t="s">
        <v>426</v>
      </c>
      <c r="B40" s="198">
        <v>0</v>
      </c>
      <c r="C40" s="202">
        <v>2</v>
      </c>
      <c r="D40" s="263">
        <v>3</v>
      </c>
      <c r="E40" s="234">
        <v>5</v>
      </c>
      <c r="F40" s="160" t="s">
        <v>509</v>
      </c>
      <c r="G40" s="200">
        <v>10</v>
      </c>
      <c r="H40" s="165">
        <v>10</v>
      </c>
      <c r="I40" s="266">
        <v>5</v>
      </c>
      <c r="J40" s="161">
        <v>25</v>
      </c>
    </row>
    <row r="41" spans="1:10" ht="14.95" thickBot="1" x14ac:dyDescent="0.3">
      <c r="A41" s="233" t="s">
        <v>331</v>
      </c>
      <c r="B41" s="198">
        <v>1</v>
      </c>
      <c r="C41" s="202">
        <v>1</v>
      </c>
      <c r="D41" s="263">
        <v>0</v>
      </c>
      <c r="E41" s="234">
        <f t="shared" ref="E41:E48" si="6">SUM(B41:C41)</f>
        <v>2</v>
      </c>
      <c r="F41" s="162" t="s">
        <v>426</v>
      </c>
      <c r="G41" s="200">
        <v>0</v>
      </c>
      <c r="H41" s="165">
        <v>10</v>
      </c>
      <c r="I41" s="266">
        <v>15</v>
      </c>
      <c r="J41" s="161">
        <v>25</v>
      </c>
    </row>
    <row r="42" spans="1:10" ht="14.95" thickBot="1" x14ac:dyDescent="0.3">
      <c r="A42" s="233" t="s">
        <v>424</v>
      </c>
      <c r="B42" s="198">
        <v>0</v>
      </c>
      <c r="C42" s="202">
        <v>1</v>
      </c>
      <c r="D42" s="263">
        <v>0</v>
      </c>
      <c r="E42" s="234">
        <f t="shared" si="6"/>
        <v>1</v>
      </c>
      <c r="F42" s="162" t="s">
        <v>331</v>
      </c>
      <c r="G42" s="200">
        <v>5</v>
      </c>
      <c r="H42" s="165">
        <v>5</v>
      </c>
      <c r="I42" s="266">
        <v>0</v>
      </c>
      <c r="J42" s="161">
        <f t="shared" ref="J42:J49" si="7">SUM(G42:H42)</f>
        <v>10</v>
      </c>
    </row>
    <row r="43" spans="1:10" ht="14.95" thickBot="1" x14ac:dyDescent="0.3">
      <c r="A43" s="233" t="s">
        <v>355</v>
      </c>
      <c r="B43" s="198">
        <v>1</v>
      </c>
      <c r="C43" s="202">
        <v>0</v>
      </c>
      <c r="D43" s="263">
        <v>0</v>
      </c>
      <c r="E43" s="234">
        <f t="shared" si="6"/>
        <v>1</v>
      </c>
      <c r="F43" s="162" t="s">
        <v>302</v>
      </c>
      <c r="G43" s="200">
        <v>0</v>
      </c>
      <c r="H43" s="165">
        <v>7</v>
      </c>
      <c r="I43" s="266">
        <v>0</v>
      </c>
      <c r="J43" s="161">
        <f t="shared" si="7"/>
        <v>7</v>
      </c>
    </row>
    <row r="44" spans="1:10" ht="14.95" thickBot="1" x14ac:dyDescent="0.3">
      <c r="A44" s="233" t="s">
        <v>10</v>
      </c>
      <c r="B44" s="198">
        <v>0</v>
      </c>
      <c r="C44" s="202">
        <v>1</v>
      </c>
      <c r="D44" s="263">
        <v>0</v>
      </c>
      <c r="E44" s="234">
        <f t="shared" si="6"/>
        <v>1</v>
      </c>
      <c r="F44" s="162" t="s">
        <v>424</v>
      </c>
      <c r="G44" s="200">
        <v>0</v>
      </c>
      <c r="H44" s="165">
        <v>5</v>
      </c>
      <c r="I44" s="266">
        <v>0</v>
      </c>
      <c r="J44" s="161">
        <f t="shared" si="7"/>
        <v>5</v>
      </c>
    </row>
    <row r="45" spans="1:10" ht="14.95" thickBot="1" x14ac:dyDescent="0.3">
      <c r="A45" s="233" t="s">
        <v>330</v>
      </c>
      <c r="B45" s="198">
        <v>1</v>
      </c>
      <c r="C45" s="202">
        <v>0</v>
      </c>
      <c r="D45" s="263">
        <v>0</v>
      </c>
      <c r="E45" s="234">
        <f t="shared" si="6"/>
        <v>1</v>
      </c>
      <c r="F45" s="162" t="s">
        <v>355</v>
      </c>
      <c r="G45" s="200">
        <v>5</v>
      </c>
      <c r="H45" s="165">
        <v>0</v>
      </c>
      <c r="I45" s="266">
        <v>0</v>
      </c>
      <c r="J45" s="161">
        <f t="shared" si="7"/>
        <v>5</v>
      </c>
    </row>
    <row r="46" spans="1:10" ht="14.95" thickBot="1" x14ac:dyDescent="0.3">
      <c r="A46" s="233" t="s">
        <v>332</v>
      </c>
      <c r="B46" s="198">
        <v>0</v>
      </c>
      <c r="C46" s="202">
        <v>1</v>
      </c>
      <c r="D46" s="263">
        <v>0</v>
      </c>
      <c r="E46" s="234">
        <f t="shared" si="6"/>
        <v>1</v>
      </c>
      <c r="F46" s="162" t="s">
        <v>10</v>
      </c>
      <c r="G46" s="200">
        <v>0</v>
      </c>
      <c r="H46" s="165">
        <v>5</v>
      </c>
      <c r="I46" s="266">
        <v>0</v>
      </c>
      <c r="J46" s="161">
        <f t="shared" si="7"/>
        <v>5</v>
      </c>
    </row>
    <row r="47" spans="1:10" ht="14.95" thickBot="1" x14ac:dyDescent="0.3">
      <c r="A47" s="233" t="s">
        <v>302</v>
      </c>
      <c r="B47" s="198">
        <v>0</v>
      </c>
      <c r="C47" s="202">
        <v>1</v>
      </c>
      <c r="D47" s="263">
        <v>0</v>
      </c>
      <c r="E47" s="234">
        <f t="shared" si="6"/>
        <v>1</v>
      </c>
      <c r="F47" s="162" t="s">
        <v>330</v>
      </c>
      <c r="G47" s="200">
        <v>5</v>
      </c>
      <c r="H47" s="165">
        <v>0</v>
      </c>
      <c r="I47" s="266">
        <v>0</v>
      </c>
      <c r="J47" s="161">
        <f t="shared" si="7"/>
        <v>5</v>
      </c>
    </row>
    <row r="48" spans="1:10" ht="14.95" thickBot="1" x14ac:dyDescent="0.3">
      <c r="A48" s="233" t="s">
        <v>335</v>
      </c>
      <c r="B48" s="198">
        <v>0</v>
      </c>
      <c r="C48" s="202">
        <v>1</v>
      </c>
      <c r="D48" s="263">
        <v>0</v>
      </c>
      <c r="E48" s="234">
        <f t="shared" si="6"/>
        <v>1</v>
      </c>
      <c r="F48" s="162" t="s">
        <v>332</v>
      </c>
      <c r="G48" s="200">
        <v>0</v>
      </c>
      <c r="H48" s="165">
        <v>5</v>
      </c>
      <c r="I48" s="266">
        <v>0</v>
      </c>
      <c r="J48" s="161">
        <f t="shared" si="7"/>
        <v>5</v>
      </c>
    </row>
    <row r="49" spans="1:10" ht="14.95" thickBot="1" x14ac:dyDescent="0.3">
      <c r="A49" s="233" t="s">
        <v>520</v>
      </c>
      <c r="B49" s="198">
        <v>0</v>
      </c>
      <c r="C49" s="202">
        <v>0</v>
      </c>
      <c r="D49" s="263">
        <v>1</v>
      </c>
      <c r="E49" s="234">
        <v>1</v>
      </c>
      <c r="F49" s="162" t="s">
        <v>335</v>
      </c>
      <c r="G49" s="200">
        <v>0</v>
      </c>
      <c r="H49" s="165">
        <v>5</v>
      </c>
      <c r="I49" s="266">
        <v>0</v>
      </c>
      <c r="J49" s="161">
        <f t="shared" si="7"/>
        <v>5</v>
      </c>
    </row>
    <row r="50" spans="1:10" ht="14.95" thickBot="1" x14ac:dyDescent="0.3">
      <c r="A50" s="233" t="s">
        <v>500</v>
      </c>
      <c r="B50" s="198">
        <v>0</v>
      </c>
      <c r="C50" s="202">
        <v>0</v>
      </c>
      <c r="D50" s="263">
        <v>1</v>
      </c>
      <c r="E50" s="234">
        <v>1</v>
      </c>
      <c r="F50" s="162" t="s">
        <v>520</v>
      </c>
      <c r="G50" s="200">
        <v>0</v>
      </c>
      <c r="H50" s="165">
        <v>0</v>
      </c>
      <c r="I50" s="266">
        <v>5</v>
      </c>
      <c r="J50" s="161">
        <v>5</v>
      </c>
    </row>
    <row r="51" spans="1:10" ht="14.95" thickBot="1" x14ac:dyDescent="0.3">
      <c r="A51" s="233" t="s">
        <v>501</v>
      </c>
      <c r="B51" s="198">
        <v>0</v>
      </c>
      <c r="C51" s="202">
        <v>0</v>
      </c>
      <c r="D51" s="263">
        <v>1</v>
      </c>
      <c r="E51" s="234">
        <v>1</v>
      </c>
      <c r="F51" s="162" t="s">
        <v>500</v>
      </c>
      <c r="G51" s="200">
        <v>0</v>
      </c>
      <c r="H51" s="165">
        <v>0</v>
      </c>
      <c r="I51" s="266">
        <v>5</v>
      </c>
      <c r="J51" s="161">
        <v>5</v>
      </c>
    </row>
    <row r="52" spans="1:10" ht="14.95" thickBot="1" x14ac:dyDescent="0.3">
      <c r="A52" s="233" t="s">
        <v>502</v>
      </c>
      <c r="B52" s="198">
        <v>0</v>
      </c>
      <c r="C52" s="202">
        <v>0</v>
      </c>
      <c r="D52" s="263">
        <v>0</v>
      </c>
      <c r="E52" s="234">
        <f t="shared" ref="E52:E70" si="8">SUM(B52:C52)</f>
        <v>0</v>
      </c>
      <c r="F52" s="162" t="s">
        <v>501</v>
      </c>
      <c r="G52" s="200">
        <v>0</v>
      </c>
      <c r="H52" s="165">
        <v>0</v>
      </c>
      <c r="I52" s="266">
        <v>5</v>
      </c>
      <c r="J52" s="161">
        <v>5</v>
      </c>
    </row>
    <row r="53" spans="1:10" ht="14.95" thickBot="1" x14ac:dyDescent="0.3">
      <c r="A53" s="233" t="s">
        <v>333</v>
      </c>
      <c r="B53" s="198">
        <v>0</v>
      </c>
      <c r="C53" s="202">
        <v>0</v>
      </c>
      <c r="D53" s="263">
        <v>0</v>
      </c>
      <c r="E53" s="234">
        <f t="shared" si="8"/>
        <v>0</v>
      </c>
      <c r="F53" s="162" t="s">
        <v>425</v>
      </c>
      <c r="G53" s="200">
        <v>0</v>
      </c>
      <c r="H53" s="165">
        <v>4</v>
      </c>
      <c r="I53" s="266">
        <v>2</v>
      </c>
      <c r="J53" s="161">
        <f t="shared" ref="J53:J70" si="9">SUM(G53:H53)</f>
        <v>4</v>
      </c>
    </row>
    <row r="54" spans="1:10" ht="14.95" thickBot="1" x14ac:dyDescent="0.3">
      <c r="A54" s="233" t="s">
        <v>503</v>
      </c>
      <c r="B54" s="198">
        <v>0</v>
      </c>
      <c r="C54" s="202">
        <v>0</v>
      </c>
      <c r="D54" s="263">
        <v>0</v>
      </c>
      <c r="E54" s="234">
        <f t="shared" si="8"/>
        <v>0</v>
      </c>
      <c r="F54" s="162" t="s">
        <v>502</v>
      </c>
      <c r="G54" s="200">
        <v>0</v>
      </c>
      <c r="H54" s="165">
        <v>0</v>
      </c>
      <c r="I54" s="266">
        <v>0</v>
      </c>
      <c r="J54" s="161">
        <f t="shared" si="9"/>
        <v>0</v>
      </c>
    </row>
    <row r="55" spans="1:10" ht="14.95" thickBot="1" x14ac:dyDescent="0.3">
      <c r="A55" s="233" t="s">
        <v>504</v>
      </c>
      <c r="B55" s="198">
        <v>0</v>
      </c>
      <c r="C55" s="202">
        <v>0</v>
      </c>
      <c r="D55" s="263">
        <v>0</v>
      </c>
      <c r="E55" s="234">
        <f t="shared" si="8"/>
        <v>0</v>
      </c>
      <c r="F55" s="162" t="s">
        <v>503</v>
      </c>
      <c r="G55" s="200">
        <v>0</v>
      </c>
      <c r="H55" s="165">
        <v>0</v>
      </c>
      <c r="I55" s="266">
        <v>0</v>
      </c>
      <c r="J55" s="161">
        <f t="shared" si="9"/>
        <v>0</v>
      </c>
    </row>
    <row r="56" spans="1:10" ht="14.95" thickBot="1" x14ac:dyDescent="0.3">
      <c r="A56" s="233" t="s">
        <v>505</v>
      </c>
      <c r="B56" s="198">
        <v>0</v>
      </c>
      <c r="C56" s="202">
        <v>0</v>
      </c>
      <c r="D56" s="263">
        <v>0</v>
      </c>
      <c r="E56" s="234">
        <f t="shared" si="8"/>
        <v>0</v>
      </c>
      <c r="F56" s="162" t="s">
        <v>504</v>
      </c>
      <c r="G56" s="200">
        <v>0</v>
      </c>
      <c r="H56" s="165">
        <v>0</v>
      </c>
      <c r="I56" s="266">
        <v>0</v>
      </c>
      <c r="J56" s="161">
        <f t="shared" si="9"/>
        <v>0</v>
      </c>
    </row>
    <row r="57" spans="1:10" ht="14.95" thickBot="1" x14ac:dyDescent="0.3">
      <c r="A57" s="233" t="s">
        <v>506</v>
      </c>
      <c r="B57" s="198">
        <v>0</v>
      </c>
      <c r="C57" s="202">
        <v>0</v>
      </c>
      <c r="D57" s="263">
        <v>0</v>
      </c>
      <c r="E57" s="234">
        <f t="shared" si="8"/>
        <v>0</v>
      </c>
      <c r="F57" s="162" t="s">
        <v>505</v>
      </c>
      <c r="G57" s="200">
        <v>0</v>
      </c>
      <c r="H57" s="165">
        <v>0</v>
      </c>
      <c r="I57" s="266">
        <v>0</v>
      </c>
      <c r="J57" s="161">
        <f t="shared" si="9"/>
        <v>0</v>
      </c>
    </row>
    <row r="58" spans="1:10" ht="14.95" thickBot="1" x14ac:dyDescent="0.3">
      <c r="A58" s="233" t="s">
        <v>507</v>
      </c>
      <c r="B58" s="198">
        <v>0</v>
      </c>
      <c r="C58" s="202">
        <v>0</v>
      </c>
      <c r="D58" s="263">
        <v>0</v>
      </c>
      <c r="E58" s="234">
        <f t="shared" si="8"/>
        <v>0</v>
      </c>
      <c r="F58" s="162" t="s">
        <v>506</v>
      </c>
      <c r="G58" s="200">
        <v>0</v>
      </c>
      <c r="H58" s="165">
        <v>0</v>
      </c>
      <c r="I58" s="266">
        <v>0</v>
      </c>
      <c r="J58" s="161">
        <f t="shared" si="9"/>
        <v>0</v>
      </c>
    </row>
    <row r="59" spans="1:10" ht="14.95" thickBot="1" x14ac:dyDescent="0.3">
      <c r="A59" s="233" t="s">
        <v>508</v>
      </c>
      <c r="B59" s="198">
        <v>0</v>
      </c>
      <c r="C59" s="202">
        <v>0</v>
      </c>
      <c r="D59" s="263">
        <v>0</v>
      </c>
      <c r="E59" s="234">
        <f t="shared" si="8"/>
        <v>0</v>
      </c>
      <c r="F59" s="162" t="s">
        <v>507</v>
      </c>
      <c r="G59" s="200">
        <v>0</v>
      </c>
      <c r="H59" s="165">
        <v>0</v>
      </c>
      <c r="I59" s="266">
        <v>0</v>
      </c>
      <c r="J59" s="161">
        <f t="shared" si="9"/>
        <v>0</v>
      </c>
    </row>
    <row r="60" spans="1:10" ht="14.95" thickBot="1" x14ac:dyDescent="0.3">
      <c r="A60" s="233" t="s">
        <v>425</v>
      </c>
      <c r="B60" s="198">
        <v>0</v>
      </c>
      <c r="C60" s="202">
        <v>0</v>
      </c>
      <c r="D60" s="263">
        <v>0</v>
      </c>
      <c r="E60" s="234">
        <f t="shared" si="8"/>
        <v>0</v>
      </c>
      <c r="F60" s="162" t="s">
        <v>508</v>
      </c>
      <c r="G60" s="200">
        <v>0</v>
      </c>
      <c r="H60" s="165">
        <v>0</v>
      </c>
      <c r="I60" s="266">
        <v>0</v>
      </c>
      <c r="J60" s="161">
        <f t="shared" si="9"/>
        <v>0</v>
      </c>
    </row>
    <row r="61" spans="1:10" ht="14.95" thickBot="1" x14ac:dyDescent="0.3">
      <c r="A61" s="233" t="s">
        <v>510</v>
      </c>
      <c r="B61" s="198">
        <v>0</v>
      </c>
      <c r="C61" s="202">
        <v>0</v>
      </c>
      <c r="D61" s="263">
        <v>0</v>
      </c>
      <c r="E61" s="234">
        <f t="shared" si="8"/>
        <v>0</v>
      </c>
      <c r="F61" s="162" t="s">
        <v>510</v>
      </c>
      <c r="G61" s="200">
        <v>0</v>
      </c>
      <c r="H61" s="165">
        <v>0</v>
      </c>
      <c r="I61" s="266">
        <v>0</v>
      </c>
      <c r="J61" s="161">
        <f t="shared" si="9"/>
        <v>0</v>
      </c>
    </row>
    <row r="62" spans="1:10" ht="14.95" thickBot="1" x14ac:dyDescent="0.3">
      <c r="A62" s="233" t="s">
        <v>511</v>
      </c>
      <c r="B62" s="198">
        <v>0</v>
      </c>
      <c r="C62" s="202">
        <v>0</v>
      </c>
      <c r="D62" s="263">
        <v>0</v>
      </c>
      <c r="E62" s="234">
        <f t="shared" si="8"/>
        <v>0</v>
      </c>
      <c r="F62" s="162" t="s">
        <v>511</v>
      </c>
      <c r="G62" s="200">
        <v>0</v>
      </c>
      <c r="H62" s="165">
        <v>0</v>
      </c>
      <c r="I62" s="266">
        <v>0</v>
      </c>
      <c r="J62" s="161">
        <f t="shared" si="9"/>
        <v>0</v>
      </c>
    </row>
    <row r="63" spans="1:10" ht="14.95" thickBot="1" x14ac:dyDescent="0.3">
      <c r="A63" s="233" t="s">
        <v>512</v>
      </c>
      <c r="B63" s="198">
        <v>0</v>
      </c>
      <c r="C63" s="202">
        <v>0</v>
      </c>
      <c r="D63" s="263">
        <v>0</v>
      </c>
      <c r="E63" s="234">
        <f t="shared" si="8"/>
        <v>0</v>
      </c>
      <c r="F63" s="162" t="s">
        <v>512</v>
      </c>
      <c r="G63" s="200">
        <v>0</v>
      </c>
      <c r="H63" s="165">
        <v>0</v>
      </c>
      <c r="I63" s="266">
        <v>0</v>
      </c>
      <c r="J63" s="161">
        <f t="shared" si="9"/>
        <v>0</v>
      </c>
    </row>
    <row r="64" spans="1:10" ht="14.95" thickBot="1" x14ac:dyDescent="0.3">
      <c r="A64" s="233" t="s">
        <v>513</v>
      </c>
      <c r="B64" s="198">
        <v>0</v>
      </c>
      <c r="C64" s="202">
        <v>0</v>
      </c>
      <c r="D64" s="263">
        <v>0</v>
      </c>
      <c r="E64" s="234">
        <f t="shared" si="8"/>
        <v>0</v>
      </c>
      <c r="F64" s="162" t="s">
        <v>513</v>
      </c>
      <c r="G64" s="200">
        <v>0</v>
      </c>
      <c r="H64" s="165">
        <v>0</v>
      </c>
      <c r="I64" s="266">
        <v>0</v>
      </c>
      <c r="J64" s="161">
        <f t="shared" si="9"/>
        <v>0</v>
      </c>
    </row>
    <row r="65" spans="1:10" ht="14.95" thickBot="1" x14ac:dyDescent="0.3">
      <c r="A65" s="233" t="s">
        <v>514</v>
      </c>
      <c r="B65" s="198">
        <v>0</v>
      </c>
      <c r="C65" s="202">
        <v>0</v>
      </c>
      <c r="D65" s="263">
        <v>0</v>
      </c>
      <c r="E65" s="234">
        <f t="shared" si="8"/>
        <v>0</v>
      </c>
      <c r="F65" s="162" t="s">
        <v>514</v>
      </c>
      <c r="G65" s="200">
        <v>0</v>
      </c>
      <c r="H65" s="165">
        <v>0</v>
      </c>
      <c r="I65" s="266">
        <v>0</v>
      </c>
      <c r="J65" s="161">
        <f t="shared" si="9"/>
        <v>0</v>
      </c>
    </row>
    <row r="66" spans="1:10" ht="14.95" thickBot="1" x14ac:dyDescent="0.3">
      <c r="A66" s="233" t="s">
        <v>515</v>
      </c>
      <c r="B66" s="198">
        <v>0</v>
      </c>
      <c r="C66" s="202">
        <v>0</v>
      </c>
      <c r="D66" s="263">
        <v>0</v>
      </c>
      <c r="E66" s="234">
        <f t="shared" si="8"/>
        <v>0</v>
      </c>
      <c r="F66" s="162" t="s">
        <v>515</v>
      </c>
      <c r="G66" s="200">
        <v>0</v>
      </c>
      <c r="H66" s="165">
        <v>0</v>
      </c>
      <c r="I66" s="266">
        <v>0</v>
      </c>
      <c r="J66" s="161">
        <f t="shared" si="9"/>
        <v>0</v>
      </c>
    </row>
    <row r="67" spans="1:10" ht="14.95" thickBot="1" x14ac:dyDescent="0.3">
      <c r="A67" s="233" t="s">
        <v>516</v>
      </c>
      <c r="B67" s="198">
        <v>0</v>
      </c>
      <c r="C67" s="202">
        <v>0</v>
      </c>
      <c r="D67" s="263">
        <v>0</v>
      </c>
      <c r="E67" s="234">
        <f t="shared" si="8"/>
        <v>0</v>
      </c>
      <c r="F67" s="162" t="s">
        <v>516</v>
      </c>
      <c r="G67" s="200">
        <v>0</v>
      </c>
      <c r="H67" s="165">
        <v>0</v>
      </c>
      <c r="I67" s="266">
        <v>0</v>
      </c>
      <c r="J67" s="161">
        <f t="shared" si="9"/>
        <v>0</v>
      </c>
    </row>
    <row r="68" spans="1:10" ht="14.95" thickBot="1" x14ac:dyDescent="0.3">
      <c r="A68" s="233" t="s">
        <v>517</v>
      </c>
      <c r="B68" s="198">
        <v>0</v>
      </c>
      <c r="C68" s="202">
        <v>0</v>
      </c>
      <c r="D68" s="263">
        <v>0</v>
      </c>
      <c r="E68" s="234">
        <f t="shared" si="8"/>
        <v>0</v>
      </c>
      <c r="F68" s="162" t="s">
        <v>517</v>
      </c>
      <c r="G68" s="200">
        <v>0</v>
      </c>
      <c r="H68" s="165">
        <v>0</v>
      </c>
      <c r="I68" s="266">
        <v>0</v>
      </c>
      <c r="J68" s="161">
        <f t="shared" si="9"/>
        <v>0</v>
      </c>
    </row>
    <row r="69" spans="1:10" ht="14.95" thickBot="1" x14ac:dyDescent="0.3">
      <c r="A69" s="233" t="s">
        <v>518</v>
      </c>
      <c r="B69" s="198">
        <v>0</v>
      </c>
      <c r="C69" s="202">
        <v>0</v>
      </c>
      <c r="D69" s="263">
        <v>0</v>
      </c>
      <c r="E69" s="234">
        <f t="shared" si="8"/>
        <v>0</v>
      </c>
      <c r="F69" s="162" t="s">
        <v>518</v>
      </c>
      <c r="G69" s="200">
        <v>0</v>
      </c>
      <c r="H69" s="165">
        <v>0</v>
      </c>
      <c r="I69" s="266">
        <v>0</v>
      </c>
      <c r="J69" s="161">
        <f t="shared" si="9"/>
        <v>0</v>
      </c>
    </row>
    <row r="70" spans="1:10" ht="14.95" thickBot="1" x14ac:dyDescent="0.3">
      <c r="A70" s="233" t="s">
        <v>519</v>
      </c>
      <c r="B70" s="198">
        <v>0</v>
      </c>
      <c r="C70" s="202">
        <v>0</v>
      </c>
      <c r="D70" s="263">
        <v>0</v>
      </c>
      <c r="E70" s="234">
        <f t="shared" si="8"/>
        <v>0</v>
      </c>
      <c r="F70" s="162" t="s">
        <v>519</v>
      </c>
      <c r="G70" s="200">
        <v>0</v>
      </c>
      <c r="H70" s="165">
        <v>0</v>
      </c>
      <c r="I70" s="266">
        <v>0</v>
      </c>
      <c r="J70" s="161">
        <f t="shared" si="9"/>
        <v>0</v>
      </c>
    </row>
    <row r="71" spans="1:10" ht="14.95" thickBot="1" x14ac:dyDescent="0.3">
      <c r="A71" s="233" t="s">
        <v>3</v>
      </c>
      <c r="B71" s="198">
        <f>SUM(B39:B70)</f>
        <v>5</v>
      </c>
      <c r="C71" s="202">
        <f>SUM(C39:C70)</f>
        <v>10</v>
      </c>
      <c r="D71" s="263">
        <f>SUM(D39:D70)</f>
        <v>7</v>
      </c>
      <c r="E71" s="234">
        <v>22</v>
      </c>
      <c r="F71" s="163" t="s">
        <v>3</v>
      </c>
      <c r="G71" s="199">
        <f>SUM(G39:G70)</f>
        <v>39</v>
      </c>
      <c r="H71" s="164">
        <f>SUM(H39:H70)</f>
        <v>60</v>
      </c>
      <c r="I71" s="265">
        <f>SUM(I39:I70)</f>
        <v>49</v>
      </c>
      <c r="J71" s="159">
        <v>148</v>
      </c>
    </row>
    <row r="72" spans="1:10" x14ac:dyDescent="0.25">
      <c r="A72" s="317" t="s">
        <v>11</v>
      </c>
      <c r="B72" s="317"/>
      <c r="C72" s="318"/>
    </row>
  </sheetData>
  <sortState xmlns:xlrd2="http://schemas.microsoft.com/office/spreadsheetml/2017/richdata2" ref="F39:J70">
    <sortCondition descending="1" ref="J39:J70"/>
  </sortState>
  <mergeCells count="10">
    <mergeCell ref="O1:Q2"/>
    <mergeCell ref="R1:R2"/>
    <mergeCell ref="A72:C72"/>
    <mergeCell ref="A1:J1"/>
    <mergeCell ref="K1:K2"/>
    <mergeCell ref="L1:N2"/>
    <mergeCell ref="K7:K8"/>
    <mergeCell ref="L7:N8"/>
    <mergeCell ref="K12:K13"/>
    <mergeCell ref="L12:N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577D-2580-4A0F-9EEF-2FC6E51A3462}">
  <dimension ref="A1:R74"/>
  <sheetViews>
    <sheetView workbookViewId="0">
      <selection activeCell="S23" sqref="S23"/>
    </sheetView>
  </sheetViews>
  <sheetFormatPr defaultRowHeight="14.3" x14ac:dyDescent="0.25"/>
  <cols>
    <col min="1" max="1" width="16.5" customWidth="1"/>
    <col min="2" max="5" width="4.5" customWidth="1"/>
    <col min="6" max="6" width="16.5" customWidth="1"/>
    <col min="7" max="10" width="4.5" customWidth="1"/>
    <col min="11" max="11" width="16.5" customWidth="1"/>
    <col min="12" max="18" width="5.75" customWidth="1"/>
  </cols>
  <sheetData>
    <row r="1" spans="1:18" ht="17" thickBot="1" x14ac:dyDescent="0.3">
      <c r="A1" s="328" t="s">
        <v>338</v>
      </c>
      <c r="B1" s="329"/>
      <c r="C1" s="329"/>
      <c r="D1" s="329"/>
      <c r="E1" s="329"/>
      <c r="F1" s="329"/>
      <c r="G1" s="329"/>
      <c r="H1" s="329"/>
      <c r="I1" s="329"/>
      <c r="J1" s="330"/>
      <c r="K1" s="331" t="s">
        <v>16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</row>
    <row r="2" spans="1:18" ht="14.95" thickBot="1" x14ac:dyDescent="0.3">
      <c r="A2" s="167" t="s">
        <v>0</v>
      </c>
      <c r="B2" s="172" t="s">
        <v>339</v>
      </c>
      <c r="C2" s="87" t="s">
        <v>12</v>
      </c>
      <c r="D2" s="268" t="s">
        <v>396</v>
      </c>
      <c r="E2" s="250" t="s">
        <v>1</v>
      </c>
      <c r="F2" s="89" t="s">
        <v>2</v>
      </c>
      <c r="G2" s="174" t="s">
        <v>339</v>
      </c>
      <c r="H2" s="82" t="s">
        <v>12</v>
      </c>
      <c r="I2" s="270" t="s">
        <v>396</v>
      </c>
      <c r="J2" s="49" t="s">
        <v>1</v>
      </c>
      <c r="K2" s="332"/>
      <c r="L2" s="312"/>
      <c r="M2" s="313"/>
      <c r="N2" s="314"/>
      <c r="O2" s="312"/>
      <c r="P2" s="313"/>
      <c r="Q2" s="314"/>
      <c r="R2" s="316"/>
    </row>
    <row r="3" spans="1:18" ht="14.95" thickBot="1" x14ac:dyDescent="0.3">
      <c r="A3" s="222" t="s">
        <v>472</v>
      </c>
      <c r="B3" s="173">
        <v>0</v>
      </c>
      <c r="C3" s="43">
        <v>0</v>
      </c>
      <c r="D3" s="269">
        <v>0</v>
      </c>
      <c r="E3" s="224">
        <f>SUM(B3:D3)</f>
        <v>0</v>
      </c>
      <c r="F3" s="20" t="s">
        <v>472</v>
      </c>
      <c r="G3" s="175">
        <v>0</v>
      </c>
      <c r="H3" s="15">
        <v>0</v>
      </c>
      <c r="I3" s="271">
        <v>0</v>
      </c>
      <c r="J3" s="21">
        <f>SUM(G3:I3)</f>
        <v>0</v>
      </c>
      <c r="K3" s="223"/>
      <c r="L3" s="31" t="s">
        <v>18</v>
      </c>
      <c r="M3" s="31" t="s">
        <v>5</v>
      </c>
      <c r="N3" s="31" t="s">
        <v>6</v>
      </c>
      <c r="O3" s="84" t="s">
        <v>18</v>
      </c>
      <c r="P3" s="31" t="s">
        <v>5</v>
      </c>
      <c r="Q3" s="31" t="s">
        <v>6</v>
      </c>
      <c r="R3" s="1"/>
    </row>
    <row r="4" spans="1:18" ht="14.95" customHeight="1" thickBot="1" x14ac:dyDescent="0.3">
      <c r="A4" s="222" t="s">
        <v>466</v>
      </c>
      <c r="B4" s="173">
        <v>0</v>
      </c>
      <c r="C4" s="43">
        <v>1</v>
      </c>
      <c r="D4" s="269">
        <v>1</v>
      </c>
      <c r="E4" s="224">
        <f t="shared" ref="E4:E36" si="0">SUM(B4:D4)</f>
        <v>2</v>
      </c>
      <c r="F4" s="20" t="s">
        <v>466</v>
      </c>
      <c r="G4" s="175">
        <v>0</v>
      </c>
      <c r="H4" s="15">
        <v>5</v>
      </c>
      <c r="I4" s="271">
        <v>5</v>
      </c>
      <c r="J4" s="21">
        <f t="shared" ref="J4:J36" si="1">SUM(G4:I4)</f>
        <v>10</v>
      </c>
      <c r="K4" s="222" t="s">
        <v>344</v>
      </c>
      <c r="L4" s="224">
        <v>19</v>
      </c>
      <c r="M4" s="224">
        <v>31</v>
      </c>
      <c r="N4" s="225">
        <f t="shared" ref="N4" si="2">SUM(L4/M4)*100</f>
        <v>61.29032258064516</v>
      </c>
      <c r="O4" s="224" t="s">
        <v>8</v>
      </c>
      <c r="P4" s="224" t="s">
        <v>8</v>
      </c>
      <c r="Q4" s="225" t="s">
        <v>8</v>
      </c>
      <c r="R4" s="226">
        <v>2</v>
      </c>
    </row>
    <row r="5" spans="1:18" ht="14.95" thickBot="1" x14ac:dyDescent="0.3">
      <c r="A5" s="222" t="s">
        <v>467</v>
      </c>
      <c r="B5" s="173">
        <v>0</v>
      </c>
      <c r="C5" s="43">
        <v>1</v>
      </c>
      <c r="D5" s="269">
        <v>0</v>
      </c>
      <c r="E5" s="224">
        <f t="shared" si="0"/>
        <v>1</v>
      </c>
      <c r="F5" s="19" t="s">
        <v>467</v>
      </c>
      <c r="G5" s="175">
        <v>0</v>
      </c>
      <c r="H5" s="15">
        <v>5</v>
      </c>
      <c r="I5" s="271">
        <v>0</v>
      </c>
      <c r="J5" s="21">
        <f t="shared" si="1"/>
        <v>5</v>
      </c>
      <c r="K5" s="222" t="s">
        <v>399</v>
      </c>
      <c r="L5" s="224">
        <v>9</v>
      </c>
      <c r="M5" s="224">
        <v>18</v>
      </c>
      <c r="N5" s="225">
        <f t="shared" ref="N5" si="3">SUM(L5/M5)*100</f>
        <v>50</v>
      </c>
      <c r="O5" s="224" t="s">
        <v>8</v>
      </c>
      <c r="P5" s="224" t="s">
        <v>8</v>
      </c>
      <c r="Q5" s="225" t="s">
        <v>8</v>
      </c>
      <c r="R5" s="226">
        <v>-2</v>
      </c>
    </row>
    <row r="6" spans="1:18" ht="14.95" thickBot="1" x14ac:dyDescent="0.3">
      <c r="A6" s="222" t="s">
        <v>342</v>
      </c>
      <c r="B6" s="173">
        <v>2</v>
      </c>
      <c r="C6" s="43">
        <v>0</v>
      </c>
      <c r="D6" s="269">
        <v>0</v>
      </c>
      <c r="E6" s="224">
        <f t="shared" si="0"/>
        <v>2</v>
      </c>
      <c r="F6" s="19" t="s">
        <v>342</v>
      </c>
      <c r="G6" s="175">
        <v>10</v>
      </c>
      <c r="H6" s="15">
        <v>0</v>
      </c>
      <c r="I6" s="271">
        <v>0</v>
      </c>
      <c r="J6" s="21">
        <f t="shared" si="1"/>
        <v>10</v>
      </c>
      <c r="O6" s="9"/>
      <c r="P6" s="9"/>
      <c r="Q6" s="9"/>
    </row>
    <row r="7" spans="1:18" ht="15.8" customHeight="1" thickBot="1" x14ac:dyDescent="0.3">
      <c r="A7" s="222" t="s">
        <v>469</v>
      </c>
      <c r="B7" s="173">
        <v>0</v>
      </c>
      <c r="C7" s="43">
        <v>0</v>
      </c>
      <c r="D7" s="269">
        <v>1</v>
      </c>
      <c r="E7" s="224">
        <f t="shared" si="0"/>
        <v>1</v>
      </c>
      <c r="F7" s="19" t="s">
        <v>469</v>
      </c>
      <c r="G7" s="175">
        <v>0</v>
      </c>
      <c r="H7" s="15">
        <v>0</v>
      </c>
      <c r="I7" s="271">
        <v>5</v>
      </c>
      <c r="J7" s="21">
        <f t="shared" si="1"/>
        <v>5</v>
      </c>
      <c r="K7" s="324" t="s">
        <v>345</v>
      </c>
      <c r="L7" s="309">
        <v>2022</v>
      </c>
      <c r="M7" s="310"/>
      <c r="N7" s="311"/>
    </row>
    <row r="8" spans="1:18" ht="15.8" customHeight="1" thickBot="1" x14ac:dyDescent="0.3">
      <c r="A8" s="222" t="s">
        <v>484</v>
      </c>
      <c r="B8" s="173">
        <v>0</v>
      </c>
      <c r="C8" s="43">
        <v>1</v>
      </c>
      <c r="D8" s="269">
        <v>0</v>
      </c>
      <c r="E8" s="224">
        <f t="shared" si="0"/>
        <v>1</v>
      </c>
      <c r="F8" s="19" t="s">
        <v>484</v>
      </c>
      <c r="G8" s="175">
        <v>13</v>
      </c>
      <c r="H8" s="15">
        <v>10</v>
      </c>
      <c r="I8" s="271">
        <v>24</v>
      </c>
      <c r="J8" s="21">
        <f t="shared" si="1"/>
        <v>47</v>
      </c>
      <c r="K8" s="325"/>
      <c r="L8" s="312"/>
      <c r="M8" s="313"/>
      <c r="N8" s="314"/>
    </row>
    <row r="9" spans="1:18" ht="14.95" thickBot="1" x14ac:dyDescent="0.3">
      <c r="A9" s="222" t="s">
        <v>340</v>
      </c>
      <c r="B9" s="173">
        <v>2</v>
      </c>
      <c r="C9" s="43">
        <v>0</v>
      </c>
      <c r="D9" s="269">
        <v>1</v>
      </c>
      <c r="E9" s="224">
        <f t="shared" si="0"/>
        <v>3</v>
      </c>
      <c r="F9" s="19" t="s">
        <v>340</v>
      </c>
      <c r="G9" s="175">
        <v>10</v>
      </c>
      <c r="H9" s="15">
        <v>0</v>
      </c>
      <c r="I9" s="271">
        <v>5</v>
      </c>
      <c r="J9" s="21">
        <f t="shared" si="1"/>
        <v>15</v>
      </c>
      <c r="K9" s="176"/>
      <c r="L9" s="31" t="s">
        <v>18</v>
      </c>
      <c r="M9" s="31" t="s">
        <v>5</v>
      </c>
      <c r="N9" s="31" t="s">
        <v>6</v>
      </c>
    </row>
    <row r="10" spans="1:18" ht="14.95" thickBot="1" x14ac:dyDescent="0.3">
      <c r="A10" s="222" t="s">
        <v>360</v>
      </c>
      <c r="B10" s="173">
        <v>1</v>
      </c>
      <c r="C10" s="43">
        <v>0</v>
      </c>
      <c r="D10" s="269">
        <v>0</v>
      </c>
      <c r="E10" s="224">
        <f t="shared" si="0"/>
        <v>1</v>
      </c>
      <c r="F10" s="19" t="s">
        <v>360</v>
      </c>
      <c r="G10" s="175">
        <v>5</v>
      </c>
      <c r="H10" s="15">
        <v>0</v>
      </c>
      <c r="I10" s="271">
        <v>0</v>
      </c>
      <c r="J10" s="21">
        <f t="shared" si="1"/>
        <v>5</v>
      </c>
      <c r="K10" s="222" t="s">
        <v>344</v>
      </c>
      <c r="L10" s="224">
        <v>6</v>
      </c>
      <c r="M10" s="224">
        <v>10</v>
      </c>
      <c r="N10" s="225">
        <f t="shared" ref="N10" si="4">SUM(L10/M10)*100</f>
        <v>60</v>
      </c>
    </row>
    <row r="11" spans="1:18" ht="14.95" thickBot="1" x14ac:dyDescent="0.3">
      <c r="A11" s="222" t="s">
        <v>397</v>
      </c>
      <c r="B11" s="173">
        <v>0</v>
      </c>
      <c r="C11" s="43">
        <v>4</v>
      </c>
      <c r="D11" s="269">
        <v>4</v>
      </c>
      <c r="E11" s="224">
        <f t="shared" si="0"/>
        <v>8</v>
      </c>
      <c r="F11" s="19" t="s">
        <v>397</v>
      </c>
      <c r="G11" s="175">
        <v>0</v>
      </c>
      <c r="H11" s="15">
        <v>20</v>
      </c>
      <c r="I11" s="271">
        <v>20</v>
      </c>
      <c r="J11" s="21">
        <f t="shared" si="1"/>
        <v>40</v>
      </c>
    </row>
    <row r="12" spans="1:18" ht="14.95" thickBot="1" x14ac:dyDescent="0.3">
      <c r="A12" s="222" t="s">
        <v>431</v>
      </c>
      <c r="B12" s="173">
        <v>0</v>
      </c>
      <c r="C12" s="43">
        <v>1</v>
      </c>
      <c r="D12" s="269">
        <v>0</v>
      </c>
      <c r="E12" s="224">
        <f t="shared" si="0"/>
        <v>1</v>
      </c>
      <c r="F12" s="19" t="s">
        <v>431</v>
      </c>
      <c r="G12" s="175">
        <v>0</v>
      </c>
      <c r="H12" s="15">
        <v>5</v>
      </c>
      <c r="I12" s="271">
        <v>0</v>
      </c>
      <c r="J12" s="21">
        <f t="shared" si="1"/>
        <v>5</v>
      </c>
      <c r="K12" s="326" t="s">
        <v>521</v>
      </c>
      <c r="L12" s="309">
        <v>2022</v>
      </c>
      <c r="M12" s="310"/>
      <c r="N12" s="311"/>
    </row>
    <row r="13" spans="1:18" ht="14.95" thickBot="1" x14ac:dyDescent="0.3">
      <c r="A13" s="222" t="s">
        <v>480</v>
      </c>
      <c r="B13" s="173">
        <v>0</v>
      </c>
      <c r="C13" s="43">
        <v>0</v>
      </c>
      <c r="D13" s="269">
        <v>0</v>
      </c>
      <c r="E13" s="224">
        <f t="shared" si="0"/>
        <v>0</v>
      </c>
      <c r="F13" s="19" t="s">
        <v>480</v>
      </c>
      <c r="G13" s="175">
        <v>0</v>
      </c>
      <c r="H13" s="15">
        <v>0</v>
      </c>
      <c r="I13" s="271">
        <v>0</v>
      </c>
      <c r="J13" s="21">
        <f t="shared" si="1"/>
        <v>0</v>
      </c>
      <c r="K13" s="327"/>
      <c r="L13" s="312"/>
      <c r="M13" s="313"/>
      <c r="N13" s="314"/>
    </row>
    <row r="14" spans="1:18" ht="14.95" thickBot="1" x14ac:dyDescent="0.3">
      <c r="A14" s="222" t="s">
        <v>199</v>
      </c>
      <c r="B14" s="173">
        <v>0</v>
      </c>
      <c r="C14" s="43">
        <v>2</v>
      </c>
      <c r="D14" s="269">
        <v>0</v>
      </c>
      <c r="E14" s="224">
        <f t="shared" si="0"/>
        <v>2</v>
      </c>
      <c r="F14" s="19" t="s">
        <v>199</v>
      </c>
      <c r="G14" s="175">
        <v>0</v>
      </c>
      <c r="H14" s="15">
        <v>10</v>
      </c>
      <c r="I14" s="271">
        <v>0</v>
      </c>
      <c r="J14" s="21">
        <f t="shared" si="1"/>
        <v>10</v>
      </c>
      <c r="K14" s="267"/>
      <c r="L14" s="31" t="s">
        <v>18</v>
      </c>
      <c r="M14" s="31" t="s">
        <v>5</v>
      </c>
      <c r="N14" s="31" t="s">
        <v>6</v>
      </c>
    </row>
    <row r="15" spans="1:18" ht="14.95" thickBot="1" x14ac:dyDescent="0.3">
      <c r="A15" s="222" t="s">
        <v>470</v>
      </c>
      <c r="B15" s="173">
        <v>0</v>
      </c>
      <c r="C15" s="43">
        <v>0</v>
      </c>
      <c r="D15" s="269">
        <v>0</v>
      </c>
      <c r="E15" s="224">
        <f t="shared" si="0"/>
        <v>0</v>
      </c>
      <c r="F15" s="19" t="s">
        <v>470</v>
      </c>
      <c r="G15" s="175">
        <v>0</v>
      </c>
      <c r="H15" s="15">
        <v>0</v>
      </c>
      <c r="I15" s="271">
        <v>0</v>
      </c>
      <c r="J15" s="21">
        <f t="shared" si="1"/>
        <v>0</v>
      </c>
      <c r="K15" s="222" t="s">
        <v>344</v>
      </c>
      <c r="L15" s="224">
        <v>11</v>
      </c>
      <c r="M15" s="224">
        <v>18</v>
      </c>
      <c r="N15" s="225">
        <v>61</v>
      </c>
    </row>
    <row r="16" spans="1:18" ht="14.95" thickBot="1" x14ac:dyDescent="0.3">
      <c r="A16" s="222" t="s">
        <v>341</v>
      </c>
      <c r="B16" s="173">
        <v>1</v>
      </c>
      <c r="C16" s="43">
        <v>0</v>
      </c>
      <c r="D16" s="269">
        <v>0</v>
      </c>
      <c r="E16" s="224">
        <f t="shared" si="0"/>
        <v>1</v>
      </c>
      <c r="F16" s="19" t="s">
        <v>341</v>
      </c>
      <c r="G16" s="175">
        <v>5</v>
      </c>
      <c r="H16" s="15">
        <v>0</v>
      </c>
      <c r="I16" s="271">
        <v>0</v>
      </c>
      <c r="J16" s="21">
        <f t="shared" si="1"/>
        <v>5</v>
      </c>
      <c r="K16" s="222" t="s">
        <v>399</v>
      </c>
      <c r="L16" s="224">
        <v>2</v>
      </c>
      <c r="M16" s="224">
        <v>6</v>
      </c>
      <c r="N16" s="225">
        <v>33</v>
      </c>
      <c r="O16" s="9"/>
      <c r="P16" s="9"/>
      <c r="Q16" s="9"/>
    </row>
    <row r="17" spans="1:17" ht="14.95" thickBot="1" x14ac:dyDescent="0.3">
      <c r="A17" s="222" t="s">
        <v>76</v>
      </c>
      <c r="B17" s="173">
        <v>0</v>
      </c>
      <c r="C17" s="43">
        <v>0</v>
      </c>
      <c r="D17" s="269">
        <v>1</v>
      </c>
      <c r="E17" s="224">
        <f t="shared" si="0"/>
        <v>1</v>
      </c>
      <c r="F17" s="19" t="s">
        <v>76</v>
      </c>
      <c r="G17" s="175">
        <v>0</v>
      </c>
      <c r="H17" s="15">
        <v>0</v>
      </c>
      <c r="I17" s="271">
        <v>5</v>
      </c>
      <c r="J17" s="21">
        <f t="shared" si="1"/>
        <v>5</v>
      </c>
      <c r="K17" s="222" t="s">
        <v>470</v>
      </c>
      <c r="L17" s="224">
        <v>0</v>
      </c>
      <c r="M17" s="224">
        <v>1</v>
      </c>
      <c r="N17" s="225">
        <v>0</v>
      </c>
      <c r="O17" s="22"/>
      <c r="P17" s="22"/>
      <c r="Q17" s="25"/>
    </row>
    <row r="18" spans="1:17" ht="14.95" thickBot="1" x14ac:dyDescent="0.3">
      <c r="A18" s="222" t="s">
        <v>398</v>
      </c>
      <c r="B18" s="173">
        <v>0</v>
      </c>
      <c r="C18" s="43">
        <v>2</v>
      </c>
      <c r="D18" s="269">
        <v>1</v>
      </c>
      <c r="E18" s="224">
        <f t="shared" si="0"/>
        <v>3</v>
      </c>
      <c r="F18" s="19" t="s">
        <v>398</v>
      </c>
      <c r="G18" s="175">
        <v>0</v>
      </c>
      <c r="H18" s="15">
        <v>10</v>
      </c>
      <c r="I18" s="271">
        <v>5</v>
      </c>
      <c r="J18" s="21">
        <f t="shared" si="1"/>
        <v>15</v>
      </c>
    </row>
    <row r="19" spans="1:17" ht="14.95" thickBot="1" x14ac:dyDescent="0.3">
      <c r="A19" s="222" t="s">
        <v>471</v>
      </c>
      <c r="B19" s="173">
        <v>0</v>
      </c>
      <c r="C19" s="43">
        <v>0</v>
      </c>
      <c r="D19" s="269">
        <v>0</v>
      </c>
      <c r="E19" s="224">
        <f t="shared" si="0"/>
        <v>0</v>
      </c>
      <c r="F19" s="19" t="s">
        <v>471</v>
      </c>
      <c r="G19" s="175">
        <v>0</v>
      </c>
      <c r="H19" s="15">
        <v>0</v>
      </c>
      <c r="I19" s="271">
        <v>0</v>
      </c>
      <c r="J19" s="21">
        <f t="shared" si="1"/>
        <v>0</v>
      </c>
    </row>
    <row r="20" spans="1:17" ht="14.95" thickBot="1" x14ac:dyDescent="0.3">
      <c r="A20" s="222" t="s">
        <v>483</v>
      </c>
      <c r="B20" s="173">
        <v>0</v>
      </c>
      <c r="C20" s="43">
        <v>0</v>
      </c>
      <c r="D20" s="269">
        <v>0</v>
      </c>
      <c r="E20" s="224">
        <f t="shared" si="0"/>
        <v>0</v>
      </c>
      <c r="F20" s="19" t="s">
        <v>483</v>
      </c>
      <c r="G20" s="175">
        <v>0</v>
      </c>
      <c r="H20" s="15">
        <v>0</v>
      </c>
      <c r="I20" s="271">
        <v>0</v>
      </c>
      <c r="J20" s="21">
        <f t="shared" si="1"/>
        <v>0</v>
      </c>
    </row>
    <row r="21" spans="1:17" ht="14.95" thickBot="1" x14ac:dyDescent="0.3">
      <c r="A21" s="222" t="s">
        <v>479</v>
      </c>
      <c r="B21" s="173">
        <v>0</v>
      </c>
      <c r="C21" s="43">
        <v>0</v>
      </c>
      <c r="D21" s="269">
        <v>0</v>
      </c>
      <c r="E21" s="224">
        <f t="shared" si="0"/>
        <v>0</v>
      </c>
      <c r="F21" s="19" t="s">
        <v>479</v>
      </c>
      <c r="G21" s="175">
        <v>0</v>
      </c>
      <c r="H21" s="15">
        <v>0</v>
      </c>
      <c r="I21" s="271">
        <v>0</v>
      </c>
      <c r="J21" s="21">
        <f t="shared" si="1"/>
        <v>0</v>
      </c>
    </row>
    <row r="22" spans="1:17" ht="14.95" thickBot="1" x14ac:dyDescent="0.3">
      <c r="A22" s="222" t="s">
        <v>399</v>
      </c>
      <c r="B22" s="173">
        <v>0</v>
      </c>
      <c r="C22" s="43">
        <v>0</v>
      </c>
      <c r="D22" s="269">
        <v>2</v>
      </c>
      <c r="E22" s="224">
        <f t="shared" si="0"/>
        <v>2</v>
      </c>
      <c r="F22" s="19" t="s">
        <v>399</v>
      </c>
      <c r="G22" s="175">
        <v>0</v>
      </c>
      <c r="H22" s="15">
        <v>14</v>
      </c>
      <c r="I22" s="271">
        <v>14</v>
      </c>
      <c r="J22" s="21">
        <f t="shared" si="1"/>
        <v>28</v>
      </c>
    </row>
    <row r="23" spans="1:17" ht="14.95" thickBot="1" x14ac:dyDescent="0.3">
      <c r="A23" s="222" t="s">
        <v>31</v>
      </c>
      <c r="B23" s="173">
        <v>0</v>
      </c>
      <c r="C23" s="43">
        <v>0</v>
      </c>
      <c r="D23" s="269">
        <v>2</v>
      </c>
      <c r="E23" s="224">
        <f t="shared" si="0"/>
        <v>2</v>
      </c>
      <c r="F23" s="19" t="s">
        <v>31</v>
      </c>
      <c r="G23" s="175">
        <v>0</v>
      </c>
      <c r="H23" s="15">
        <v>0</v>
      </c>
      <c r="I23" s="271">
        <v>10</v>
      </c>
      <c r="J23" s="21">
        <f t="shared" si="1"/>
        <v>10</v>
      </c>
    </row>
    <row r="24" spans="1:17" ht="14.95" thickBot="1" x14ac:dyDescent="0.3">
      <c r="A24" s="222" t="s">
        <v>476</v>
      </c>
      <c r="B24" s="173">
        <v>0</v>
      </c>
      <c r="C24" s="43">
        <v>0</v>
      </c>
      <c r="D24" s="269">
        <v>2</v>
      </c>
      <c r="E24" s="224">
        <f t="shared" si="0"/>
        <v>2</v>
      </c>
      <c r="F24" s="19" t="s">
        <v>476</v>
      </c>
      <c r="G24" s="175">
        <v>0</v>
      </c>
      <c r="H24" s="15">
        <v>0</v>
      </c>
      <c r="I24" s="271">
        <v>10</v>
      </c>
      <c r="J24" s="21">
        <f t="shared" si="1"/>
        <v>10</v>
      </c>
    </row>
    <row r="25" spans="1:17" ht="14.95" thickBot="1" x14ac:dyDescent="0.3">
      <c r="A25" s="222" t="s">
        <v>361</v>
      </c>
      <c r="B25" s="173">
        <v>1</v>
      </c>
      <c r="C25" s="43">
        <v>1</v>
      </c>
      <c r="D25" s="269">
        <v>0</v>
      </c>
      <c r="E25" s="224">
        <f t="shared" si="0"/>
        <v>2</v>
      </c>
      <c r="F25" s="19" t="s">
        <v>361</v>
      </c>
      <c r="G25" s="175">
        <v>5</v>
      </c>
      <c r="H25" s="15">
        <v>5</v>
      </c>
      <c r="I25" s="271">
        <v>0</v>
      </c>
      <c r="J25" s="21">
        <f t="shared" si="1"/>
        <v>10</v>
      </c>
    </row>
    <row r="26" spans="1:17" ht="14.95" thickBot="1" x14ac:dyDescent="0.3">
      <c r="A26" s="222" t="s">
        <v>343</v>
      </c>
      <c r="B26" s="173">
        <v>1</v>
      </c>
      <c r="C26" s="43">
        <v>0</v>
      </c>
      <c r="D26" s="269">
        <v>0</v>
      </c>
      <c r="E26" s="224">
        <f t="shared" si="0"/>
        <v>1</v>
      </c>
      <c r="F26" s="19" t="s">
        <v>343</v>
      </c>
      <c r="G26" s="175">
        <v>5</v>
      </c>
      <c r="H26" s="15">
        <v>0</v>
      </c>
      <c r="I26" s="271">
        <v>0</v>
      </c>
      <c r="J26" s="21">
        <f t="shared" si="1"/>
        <v>5</v>
      </c>
    </row>
    <row r="27" spans="1:17" ht="14.95" thickBot="1" x14ac:dyDescent="0.3">
      <c r="A27" s="222" t="s">
        <v>481</v>
      </c>
      <c r="B27" s="173">
        <v>0</v>
      </c>
      <c r="C27" s="43">
        <v>0</v>
      </c>
      <c r="D27" s="269">
        <v>0</v>
      </c>
      <c r="E27" s="224">
        <f t="shared" si="0"/>
        <v>0</v>
      </c>
      <c r="F27" s="19" t="s">
        <v>481</v>
      </c>
      <c r="G27" s="175">
        <v>0</v>
      </c>
      <c r="H27" s="15">
        <v>0</v>
      </c>
      <c r="I27" s="271">
        <v>0</v>
      </c>
      <c r="J27" s="21">
        <f t="shared" si="1"/>
        <v>0</v>
      </c>
    </row>
    <row r="28" spans="1:17" ht="14.95" thickBot="1" x14ac:dyDescent="0.3">
      <c r="A28" s="222" t="s">
        <v>477</v>
      </c>
      <c r="B28" s="173">
        <v>0</v>
      </c>
      <c r="C28" s="43">
        <v>0</v>
      </c>
      <c r="D28" s="269">
        <v>0</v>
      </c>
      <c r="E28" s="224">
        <f t="shared" si="0"/>
        <v>0</v>
      </c>
      <c r="F28" s="19" t="s">
        <v>477</v>
      </c>
      <c r="G28" s="175">
        <v>0</v>
      </c>
      <c r="H28" s="15">
        <v>0</v>
      </c>
      <c r="I28" s="271">
        <v>0</v>
      </c>
      <c r="J28" s="21">
        <f t="shared" si="1"/>
        <v>0</v>
      </c>
    </row>
    <row r="29" spans="1:17" ht="14.95" thickBot="1" x14ac:dyDescent="0.3">
      <c r="A29" s="222" t="s">
        <v>475</v>
      </c>
      <c r="B29" s="173">
        <v>0</v>
      </c>
      <c r="C29" s="43">
        <v>0</v>
      </c>
      <c r="D29" s="269">
        <v>0</v>
      </c>
      <c r="E29" s="224">
        <f t="shared" si="0"/>
        <v>0</v>
      </c>
      <c r="F29" s="19" t="s">
        <v>475</v>
      </c>
      <c r="G29" s="175">
        <v>0</v>
      </c>
      <c r="H29" s="15">
        <v>0</v>
      </c>
      <c r="I29" s="271">
        <v>0</v>
      </c>
      <c r="J29" s="21">
        <f t="shared" si="1"/>
        <v>0</v>
      </c>
    </row>
    <row r="30" spans="1:17" ht="14.95" thickBot="1" x14ac:dyDescent="0.3">
      <c r="A30" s="222" t="s">
        <v>474</v>
      </c>
      <c r="B30" s="173">
        <v>0</v>
      </c>
      <c r="C30" s="43">
        <v>0</v>
      </c>
      <c r="D30" s="269">
        <v>0</v>
      </c>
      <c r="E30" s="224">
        <f t="shared" si="0"/>
        <v>0</v>
      </c>
      <c r="F30" s="19" t="s">
        <v>474</v>
      </c>
      <c r="G30" s="175">
        <v>0</v>
      </c>
      <c r="H30" s="15">
        <v>0</v>
      </c>
      <c r="I30" s="271">
        <v>0</v>
      </c>
      <c r="J30" s="21">
        <f t="shared" si="1"/>
        <v>0</v>
      </c>
    </row>
    <row r="31" spans="1:17" ht="14.95" thickBot="1" x14ac:dyDescent="0.3">
      <c r="A31" s="222" t="s">
        <v>482</v>
      </c>
      <c r="B31" s="173">
        <v>0</v>
      </c>
      <c r="C31" s="43">
        <v>0</v>
      </c>
      <c r="D31" s="269">
        <v>0</v>
      </c>
      <c r="E31" s="224">
        <f t="shared" si="0"/>
        <v>0</v>
      </c>
      <c r="F31" s="19" t="s">
        <v>482</v>
      </c>
      <c r="G31" s="175">
        <v>0</v>
      </c>
      <c r="H31" s="15">
        <v>0</v>
      </c>
      <c r="I31" s="271">
        <v>0</v>
      </c>
      <c r="J31" s="21">
        <f t="shared" si="1"/>
        <v>0</v>
      </c>
    </row>
    <row r="32" spans="1:17" ht="14.95" thickBot="1" x14ac:dyDescent="0.3">
      <c r="A32" s="222" t="s">
        <v>473</v>
      </c>
      <c r="B32" s="173">
        <v>0</v>
      </c>
      <c r="C32" s="43">
        <v>0</v>
      </c>
      <c r="D32" s="269">
        <v>0</v>
      </c>
      <c r="E32" s="224">
        <f t="shared" si="0"/>
        <v>0</v>
      </c>
      <c r="F32" s="19" t="s">
        <v>473</v>
      </c>
      <c r="G32" s="175">
        <v>0</v>
      </c>
      <c r="H32" s="15">
        <v>0</v>
      </c>
      <c r="I32" s="271">
        <v>0</v>
      </c>
      <c r="J32" s="21">
        <f t="shared" si="1"/>
        <v>0</v>
      </c>
    </row>
    <row r="33" spans="1:10" ht="14.95" thickBot="1" x14ac:dyDescent="0.3">
      <c r="A33" s="222" t="s">
        <v>468</v>
      </c>
      <c r="B33" s="173">
        <v>0</v>
      </c>
      <c r="C33" s="43">
        <v>0</v>
      </c>
      <c r="D33" s="269">
        <v>2</v>
      </c>
      <c r="E33" s="224">
        <f t="shared" si="0"/>
        <v>2</v>
      </c>
      <c r="F33" s="19" t="s">
        <v>468</v>
      </c>
      <c r="G33" s="175">
        <v>0</v>
      </c>
      <c r="H33" s="15">
        <v>0</v>
      </c>
      <c r="I33" s="271">
        <v>10</v>
      </c>
      <c r="J33" s="21">
        <f t="shared" si="1"/>
        <v>10</v>
      </c>
    </row>
    <row r="34" spans="1:10" ht="14.95" thickBot="1" x14ac:dyDescent="0.3">
      <c r="A34" s="222" t="s">
        <v>478</v>
      </c>
      <c r="B34" s="173">
        <v>0</v>
      </c>
      <c r="C34" s="43">
        <v>0</v>
      </c>
      <c r="D34" s="269">
        <v>0</v>
      </c>
      <c r="E34" s="224">
        <f t="shared" si="0"/>
        <v>0</v>
      </c>
      <c r="F34" s="19" t="s">
        <v>478</v>
      </c>
      <c r="G34" s="175">
        <v>0</v>
      </c>
      <c r="H34" s="15">
        <v>0</v>
      </c>
      <c r="I34" s="271">
        <v>0</v>
      </c>
      <c r="J34" s="21">
        <f t="shared" si="1"/>
        <v>0</v>
      </c>
    </row>
    <row r="35" spans="1:10" ht="14.95" thickBot="1" x14ac:dyDescent="0.3">
      <c r="A35" s="222" t="s">
        <v>362</v>
      </c>
      <c r="B35" s="173">
        <v>1</v>
      </c>
      <c r="C35" s="43">
        <v>1</v>
      </c>
      <c r="D35" s="269">
        <v>6</v>
      </c>
      <c r="E35" s="224">
        <f t="shared" si="0"/>
        <v>8</v>
      </c>
      <c r="F35" s="19" t="s">
        <v>362</v>
      </c>
      <c r="G35" s="175">
        <v>5</v>
      </c>
      <c r="H35" s="15">
        <v>5</v>
      </c>
      <c r="I35" s="271">
        <v>30</v>
      </c>
      <c r="J35" s="21">
        <f t="shared" si="1"/>
        <v>40</v>
      </c>
    </row>
    <row r="36" spans="1:10" ht="14.95" thickBot="1" x14ac:dyDescent="0.3">
      <c r="A36" s="222" t="s">
        <v>3</v>
      </c>
      <c r="B36" s="173">
        <f>SUM(B3:B35)</f>
        <v>9</v>
      </c>
      <c r="C36" s="43">
        <f>SUM(C3:C35)</f>
        <v>14</v>
      </c>
      <c r="D36" s="269">
        <f>SUM(D3:D35)</f>
        <v>23</v>
      </c>
      <c r="E36" s="224">
        <f t="shared" si="0"/>
        <v>46</v>
      </c>
      <c r="F36" s="56" t="s">
        <v>3</v>
      </c>
      <c r="G36" s="174">
        <f>SUM(G3:G35)</f>
        <v>58</v>
      </c>
      <c r="H36" s="82">
        <f>SUM(H3:H35)</f>
        <v>89</v>
      </c>
      <c r="I36" s="270">
        <f>SUM(I3:I35)</f>
        <v>143</v>
      </c>
      <c r="J36" s="49">
        <f t="shared" si="1"/>
        <v>290</v>
      </c>
    </row>
    <row r="37" spans="1:10" ht="16.3" x14ac:dyDescent="0.25">
      <c r="C37" s="57"/>
      <c r="D37" s="57"/>
      <c r="F37" s="3"/>
      <c r="G37" s="3"/>
      <c r="H37" s="58"/>
      <c r="I37" s="58"/>
      <c r="J37" s="3"/>
    </row>
    <row r="38" spans="1:10" ht="17" thickBot="1" x14ac:dyDescent="0.3">
      <c r="A38" t="s">
        <v>7</v>
      </c>
      <c r="C38" s="57"/>
      <c r="D38" s="57"/>
      <c r="F38" s="3"/>
      <c r="G38" s="3"/>
      <c r="H38" s="58"/>
      <c r="I38" s="58"/>
      <c r="J38" s="3"/>
    </row>
    <row r="39" spans="1:10" ht="14.95" thickBot="1" x14ac:dyDescent="0.3">
      <c r="A39" s="167" t="s">
        <v>0</v>
      </c>
      <c r="B39" s="172" t="s">
        <v>339</v>
      </c>
      <c r="C39" s="87" t="s">
        <v>12</v>
      </c>
      <c r="D39" s="268" t="s">
        <v>396</v>
      </c>
      <c r="E39" s="250" t="s">
        <v>1</v>
      </c>
      <c r="F39" s="89" t="s">
        <v>2</v>
      </c>
      <c r="G39" s="174" t="s">
        <v>339</v>
      </c>
      <c r="H39" s="82" t="s">
        <v>12</v>
      </c>
      <c r="I39" s="270" t="s">
        <v>396</v>
      </c>
      <c r="J39" s="49" t="s">
        <v>1</v>
      </c>
    </row>
    <row r="40" spans="1:10" ht="14.95" thickBot="1" x14ac:dyDescent="0.3">
      <c r="A40" s="222" t="s">
        <v>362</v>
      </c>
      <c r="B40" s="173">
        <v>1</v>
      </c>
      <c r="C40" s="43">
        <v>1</v>
      </c>
      <c r="D40" s="269">
        <v>6</v>
      </c>
      <c r="E40" s="224">
        <v>8</v>
      </c>
      <c r="F40" s="20" t="s">
        <v>484</v>
      </c>
      <c r="G40" s="175">
        <v>13</v>
      </c>
      <c r="H40" s="15">
        <v>10</v>
      </c>
      <c r="I40" s="271">
        <v>24</v>
      </c>
      <c r="J40" s="21">
        <v>47</v>
      </c>
    </row>
    <row r="41" spans="1:10" ht="14.95" thickBot="1" x14ac:dyDescent="0.3">
      <c r="A41" s="222" t="s">
        <v>397</v>
      </c>
      <c r="B41" s="173">
        <v>0</v>
      </c>
      <c r="C41" s="43">
        <v>4</v>
      </c>
      <c r="D41" s="269">
        <v>4</v>
      </c>
      <c r="E41" s="224">
        <v>8</v>
      </c>
      <c r="F41" s="20" t="s">
        <v>362</v>
      </c>
      <c r="G41" s="175">
        <v>5</v>
      </c>
      <c r="H41" s="15">
        <v>5</v>
      </c>
      <c r="I41" s="271">
        <v>30</v>
      </c>
      <c r="J41" s="21">
        <v>40</v>
      </c>
    </row>
    <row r="42" spans="1:10" ht="14.95" thickBot="1" x14ac:dyDescent="0.3">
      <c r="A42" s="222" t="s">
        <v>398</v>
      </c>
      <c r="B42" s="173">
        <v>0</v>
      </c>
      <c r="C42" s="43">
        <v>2</v>
      </c>
      <c r="D42" s="269">
        <v>1</v>
      </c>
      <c r="E42" s="224">
        <v>3</v>
      </c>
      <c r="F42" s="19" t="s">
        <v>397</v>
      </c>
      <c r="G42" s="175">
        <v>0</v>
      </c>
      <c r="H42" s="15">
        <v>20</v>
      </c>
      <c r="I42" s="271">
        <v>20</v>
      </c>
      <c r="J42" s="21">
        <v>40</v>
      </c>
    </row>
    <row r="43" spans="1:10" ht="14.95" thickBot="1" x14ac:dyDescent="0.3">
      <c r="A43" s="222" t="s">
        <v>340</v>
      </c>
      <c r="B43" s="173">
        <v>2</v>
      </c>
      <c r="C43" s="43">
        <v>0</v>
      </c>
      <c r="D43" s="269">
        <v>1</v>
      </c>
      <c r="E43" s="224">
        <v>3</v>
      </c>
      <c r="F43" s="19" t="s">
        <v>399</v>
      </c>
      <c r="G43" s="175">
        <v>0</v>
      </c>
      <c r="H43" s="15">
        <v>14</v>
      </c>
      <c r="I43" s="271">
        <v>14</v>
      </c>
      <c r="J43" s="21">
        <v>28</v>
      </c>
    </row>
    <row r="44" spans="1:10" ht="14.95" thickBot="1" x14ac:dyDescent="0.3">
      <c r="A44" s="222" t="s">
        <v>342</v>
      </c>
      <c r="B44" s="173">
        <v>2</v>
      </c>
      <c r="C44" s="43">
        <v>0</v>
      </c>
      <c r="D44" s="269">
        <v>0</v>
      </c>
      <c r="E44" s="224">
        <f>SUM(B44:C44)</f>
        <v>2</v>
      </c>
      <c r="F44" s="19" t="s">
        <v>398</v>
      </c>
      <c r="G44" s="175">
        <v>0</v>
      </c>
      <c r="H44" s="15">
        <v>10</v>
      </c>
      <c r="I44" s="271">
        <v>5</v>
      </c>
      <c r="J44" s="21">
        <v>15</v>
      </c>
    </row>
    <row r="45" spans="1:10" ht="14.95" thickBot="1" x14ac:dyDescent="0.3">
      <c r="A45" s="222" t="s">
        <v>199</v>
      </c>
      <c r="B45" s="173">
        <v>0</v>
      </c>
      <c r="C45" s="43">
        <v>2</v>
      </c>
      <c r="D45" s="269">
        <v>0</v>
      </c>
      <c r="E45" s="224">
        <f>SUM(B45:C45)</f>
        <v>2</v>
      </c>
      <c r="F45" s="19" t="s">
        <v>340</v>
      </c>
      <c r="G45" s="175">
        <v>10</v>
      </c>
      <c r="H45" s="15">
        <v>0</v>
      </c>
      <c r="I45" s="271">
        <v>5</v>
      </c>
      <c r="J45" s="21">
        <v>15</v>
      </c>
    </row>
    <row r="46" spans="1:10" ht="14.95" thickBot="1" x14ac:dyDescent="0.3">
      <c r="A46" s="222" t="s">
        <v>361</v>
      </c>
      <c r="B46" s="173">
        <v>1</v>
      </c>
      <c r="C46" s="43">
        <v>1</v>
      </c>
      <c r="D46" s="269">
        <v>0</v>
      </c>
      <c r="E46" s="224">
        <f>SUM(B46:C46)</f>
        <v>2</v>
      </c>
      <c r="F46" s="19" t="s">
        <v>342</v>
      </c>
      <c r="G46" s="175">
        <v>10</v>
      </c>
      <c r="H46" s="15">
        <v>0</v>
      </c>
      <c r="I46" s="271">
        <v>0</v>
      </c>
      <c r="J46" s="21">
        <f>SUM(G46:H46)</f>
        <v>10</v>
      </c>
    </row>
    <row r="47" spans="1:10" ht="14.95" thickBot="1" x14ac:dyDescent="0.3">
      <c r="A47" s="222" t="s">
        <v>399</v>
      </c>
      <c r="B47" s="173">
        <v>0</v>
      </c>
      <c r="C47" s="43">
        <v>0</v>
      </c>
      <c r="D47" s="269">
        <v>2</v>
      </c>
      <c r="E47" s="224">
        <v>2</v>
      </c>
      <c r="F47" s="19" t="s">
        <v>199</v>
      </c>
      <c r="G47" s="175">
        <v>0</v>
      </c>
      <c r="H47" s="15">
        <v>10</v>
      </c>
      <c r="I47" s="271">
        <v>0</v>
      </c>
      <c r="J47" s="21">
        <f>SUM(G47:H47)</f>
        <v>10</v>
      </c>
    </row>
    <row r="48" spans="1:10" ht="14.95" thickBot="1" x14ac:dyDescent="0.3">
      <c r="A48" s="222" t="s">
        <v>31</v>
      </c>
      <c r="B48" s="173">
        <v>0</v>
      </c>
      <c r="C48" s="43">
        <v>0</v>
      </c>
      <c r="D48" s="269">
        <v>2</v>
      </c>
      <c r="E48" s="224">
        <v>2</v>
      </c>
      <c r="F48" s="19" t="s">
        <v>361</v>
      </c>
      <c r="G48" s="175">
        <v>5</v>
      </c>
      <c r="H48" s="15">
        <v>5</v>
      </c>
      <c r="I48" s="271">
        <v>0</v>
      </c>
      <c r="J48" s="21">
        <f>SUM(G48:H48)</f>
        <v>10</v>
      </c>
    </row>
    <row r="49" spans="1:10" ht="14.95" thickBot="1" x14ac:dyDescent="0.3">
      <c r="A49" s="222" t="s">
        <v>468</v>
      </c>
      <c r="B49" s="173">
        <v>0</v>
      </c>
      <c r="C49" s="43">
        <v>0</v>
      </c>
      <c r="D49" s="269">
        <v>2</v>
      </c>
      <c r="E49" s="224">
        <v>2</v>
      </c>
      <c r="F49" s="19" t="s">
        <v>31</v>
      </c>
      <c r="G49" s="175">
        <v>0</v>
      </c>
      <c r="H49" s="15">
        <v>0</v>
      </c>
      <c r="I49" s="271">
        <v>10</v>
      </c>
      <c r="J49" s="21">
        <v>10</v>
      </c>
    </row>
    <row r="50" spans="1:10" ht="14.95" thickBot="1" x14ac:dyDescent="0.3">
      <c r="A50" s="222" t="s">
        <v>466</v>
      </c>
      <c r="B50" s="173">
        <v>0</v>
      </c>
      <c r="C50" s="43">
        <v>1</v>
      </c>
      <c r="D50" s="269">
        <v>1</v>
      </c>
      <c r="E50" s="224">
        <v>2</v>
      </c>
      <c r="F50" s="19" t="s">
        <v>468</v>
      </c>
      <c r="G50" s="175">
        <v>0</v>
      </c>
      <c r="H50" s="15">
        <v>0</v>
      </c>
      <c r="I50" s="271">
        <v>10</v>
      </c>
      <c r="J50" s="21">
        <v>10</v>
      </c>
    </row>
    <row r="51" spans="1:10" ht="14.95" thickBot="1" x14ac:dyDescent="0.3">
      <c r="A51" s="222" t="s">
        <v>476</v>
      </c>
      <c r="B51" s="173">
        <v>0</v>
      </c>
      <c r="C51" s="43">
        <v>0</v>
      </c>
      <c r="D51" s="269">
        <v>2</v>
      </c>
      <c r="E51" s="224">
        <v>2</v>
      </c>
      <c r="F51" s="19" t="s">
        <v>466</v>
      </c>
      <c r="G51" s="175">
        <v>0</v>
      </c>
      <c r="H51" s="15">
        <v>5</v>
      </c>
      <c r="I51" s="271">
        <v>5</v>
      </c>
      <c r="J51" s="21">
        <v>10</v>
      </c>
    </row>
    <row r="52" spans="1:10" ht="14.95" thickBot="1" x14ac:dyDescent="0.3">
      <c r="A52" s="222" t="s">
        <v>467</v>
      </c>
      <c r="B52" s="173">
        <v>0</v>
      </c>
      <c r="C52" s="43">
        <v>1</v>
      </c>
      <c r="D52" s="269">
        <v>0</v>
      </c>
      <c r="E52" s="224">
        <f t="shared" ref="E52:E57" si="5">SUM(B52:C52)</f>
        <v>1</v>
      </c>
      <c r="F52" s="19" t="s">
        <v>476</v>
      </c>
      <c r="G52" s="175">
        <v>0</v>
      </c>
      <c r="H52" s="15">
        <v>0</v>
      </c>
      <c r="I52" s="271">
        <v>10</v>
      </c>
      <c r="J52" s="21">
        <v>10</v>
      </c>
    </row>
    <row r="53" spans="1:10" ht="14.95" thickBot="1" x14ac:dyDescent="0.3">
      <c r="A53" s="222" t="s">
        <v>484</v>
      </c>
      <c r="B53" s="173">
        <v>0</v>
      </c>
      <c r="C53" s="43">
        <v>1</v>
      </c>
      <c r="D53" s="269">
        <v>0</v>
      </c>
      <c r="E53" s="224">
        <f t="shared" si="5"/>
        <v>1</v>
      </c>
      <c r="F53" s="19" t="s">
        <v>467</v>
      </c>
      <c r="G53" s="175">
        <v>0</v>
      </c>
      <c r="H53" s="15">
        <v>5</v>
      </c>
      <c r="I53" s="271">
        <v>0</v>
      </c>
      <c r="J53" s="21">
        <f>SUM(G53:H53)</f>
        <v>5</v>
      </c>
    </row>
    <row r="54" spans="1:10" ht="14.95" thickBot="1" x14ac:dyDescent="0.3">
      <c r="A54" s="222" t="s">
        <v>360</v>
      </c>
      <c r="B54" s="173">
        <v>1</v>
      </c>
      <c r="C54" s="43">
        <v>0</v>
      </c>
      <c r="D54" s="269">
        <v>0</v>
      </c>
      <c r="E54" s="224">
        <f t="shared" si="5"/>
        <v>1</v>
      </c>
      <c r="F54" s="19" t="s">
        <v>360</v>
      </c>
      <c r="G54" s="175">
        <v>5</v>
      </c>
      <c r="H54" s="15">
        <v>0</v>
      </c>
      <c r="I54" s="271">
        <v>0</v>
      </c>
      <c r="J54" s="21">
        <f>SUM(G54:H54)</f>
        <v>5</v>
      </c>
    </row>
    <row r="55" spans="1:10" ht="14.95" thickBot="1" x14ac:dyDescent="0.3">
      <c r="A55" s="222" t="s">
        <v>431</v>
      </c>
      <c r="B55" s="173">
        <v>0</v>
      </c>
      <c r="C55" s="43">
        <v>1</v>
      </c>
      <c r="D55" s="269">
        <v>0</v>
      </c>
      <c r="E55" s="224">
        <f t="shared" si="5"/>
        <v>1</v>
      </c>
      <c r="F55" s="19" t="s">
        <v>431</v>
      </c>
      <c r="G55" s="175">
        <v>0</v>
      </c>
      <c r="H55" s="15">
        <v>5</v>
      </c>
      <c r="I55" s="271">
        <v>0</v>
      </c>
      <c r="J55" s="21">
        <f>SUM(G55:H55)</f>
        <v>5</v>
      </c>
    </row>
    <row r="56" spans="1:10" ht="14.95" thickBot="1" x14ac:dyDescent="0.3">
      <c r="A56" s="222" t="s">
        <v>341</v>
      </c>
      <c r="B56" s="173">
        <v>1</v>
      </c>
      <c r="C56" s="43">
        <v>0</v>
      </c>
      <c r="D56" s="269">
        <v>0</v>
      </c>
      <c r="E56" s="224">
        <f t="shared" si="5"/>
        <v>1</v>
      </c>
      <c r="F56" s="19" t="s">
        <v>341</v>
      </c>
      <c r="G56" s="175">
        <v>5</v>
      </c>
      <c r="H56" s="15">
        <v>0</v>
      </c>
      <c r="I56" s="271">
        <v>0</v>
      </c>
      <c r="J56" s="21">
        <f>SUM(G56:H56)</f>
        <v>5</v>
      </c>
    </row>
    <row r="57" spans="1:10" ht="14.95" thickBot="1" x14ac:dyDescent="0.3">
      <c r="A57" s="222" t="s">
        <v>343</v>
      </c>
      <c r="B57" s="173">
        <v>1</v>
      </c>
      <c r="C57" s="43">
        <v>0</v>
      </c>
      <c r="D57" s="269">
        <v>0</v>
      </c>
      <c r="E57" s="224">
        <f t="shared" si="5"/>
        <v>1</v>
      </c>
      <c r="F57" s="19" t="s">
        <v>343</v>
      </c>
      <c r="G57" s="175">
        <v>5</v>
      </c>
      <c r="H57" s="15">
        <v>0</v>
      </c>
      <c r="I57" s="271">
        <v>0</v>
      </c>
      <c r="J57" s="21">
        <f>SUM(G57:H57)</f>
        <v>5</v>
      </c>
    </row>
    <row r="58" spans="1:10" ht="14.95" thickBot="1" x14ac:dyDescent="0.3">
      <c r="A58" s="222" t="s">
        <v>76</v>
      </c>
      <c r="B58" s="173">
        <v>0</v>
      </c>
      <c r="C58" s="43">
        <v>0</v>
      </c>
      <c r="D58" s="269">
        <v>1</v>
      </c>
      <c r="E58" s="224">
        <v>1</v>
      </c>
      <c r="F58" s="19" t="s">
        <v>76</v>
      </c>
      <c r="G58" s="175">
        <v>0</v>
      </c>
      <c r="H58" s="15">
        <v>0</v>
      </c>
      <c r="I58" s="271">
        <v>5</v>
      </c>
      <c r="J58" s="21">
        <v>5</v>
      </c>
    </row>
    <row r="59" spans="1:10" ht="14.95" thickBot="1" x14ac:dyDescent="0.3">
      <c r="A59" s="222" t="s">
        <v>469</v>
      </c>
      <c r="B59" s="173">
        <v>0</v>
      </c>
      <c r="C59" s="43">
        <v>0</v>
      </c>
      <c r="D59" s="269">
        <v>1</v>
      </c>
      <c r="E59" s="224">
        <v>1</v>
      </c>
      <c r="F59" s="19" t="s">
        <v>469</v>
      </c>
      <c r="G59" s="175">
        <v>0</v>
      </c>
      <c r="H59" s="15">
        <v>0</v>
      </c>
      <c r="I59" s="271">
        <v>5</v>
      </c>
      <c r="J59" s="21">
        <v>5</v>
      </c>
    </row>
    <row r="60" spans="1:10" ht="14.95" thickBot="1" x14ac:dyDescent="0.3">
      <c r="A60" s="222" t="s">
        <v>472</v>
      </c>
      <c r="B60" s="173">
        <v>0</v>
      </c>
      <c r="C60" s="43">
        <v>0</v>
      </c>
      <c r="D60" s="269">
        <v>0</v>
      </c>
      <c r="E60" s="224">
        <f t="shared" ref="E60:E72" si="6">SUM(B60:C60)</f>
        <v>0</v>
      </c>
      <c r="F60" s="19" t="s">
        <v>472</v>
      </c>
      <c r="G60" s="175">
        <v>0</v>
      </c>
      <c r="H60" s="15">
        <v>0</v>
      </c>
      <c r="I60" s="271">
        <v>0</v>
      </c>
      <c r="J60" s="21">
        <f t="shared" ref="J60:J72" si="7">SUM(G60:H60)</f>
        <v>0</v>
      </c>
    </row>
    <row r="61" spans="1:10" ht="14.95" thickBot="1" x14ac:dyDescent="0.3">
      <c r="A61" s="222" t="s">
        <v>480</v>
      </c>
      <c r="B61" s="173">
        <v>0</v>
      </c>
      <c r="C61" s="43">
        <v>0</v>
      </c>
      <c r="D61" s="269">
        <v>0</v>
      </c>
      <c r="E61" s="224">
        <f t="shared" si="6"/>
        <v>0</v>
      </c>
      <c r="F61" s="19" t="s">
        <v>480</v>
      </c>
      <c r="G61" s="175">
        <v>0</v>
      </c>
      <c r="H61" s="15">
        <v>0</v>
      </c>
      <c r="I61" s="271">
        <v>0</v>
      </c>
      <c r="J61" s="21">
        <f t="shared" si="7"/>
        <v>0</v>
      </c>
    </row>
    <row r="62" spans="1:10" ht="14.95" thickBot="1" x14ac:dyDescent="0.3">
      <c r="A62" s="222" t="s">
        <v>470</v>
      </c>
      <c r="B62" s="173">
        <v>0</v>
      </c>
      <c r="C62" s="43">
        <v>0</v>
      </c>
      <c r="D62" s="269">
        <v>0</v>
      </c>
      <c r="E62" s="224">
        <f t="shared" si="6"/>
        <v>0</v>
      </c>
      <c r="F62" s="19" t="s">
        <v>470</v>
      </c>
      <c r="G62" s="175">
        <v>0</v>
      </c>
      <c r="H62" s="15">
        <v>0</v>
      </c>
      <c r="I62" s="271">
        <v>0</v>
      </c>
      <c r="J62" s="21">
        <f t="shared" si="7"/>
        <v>0</v>
      </c>
    </row>
    <row r="63" spans="1:10" ht="14.95" thickBot="1" x14ac:dyDescent="0.3">
      <c r="A63" s="222" t="s">
        <v>471</v>
      </c>
      <c r="B63" s="173">
        <v>0</v>
      </c>
      <c r="C63" s="43">
        <v>0</v>
      </c>
      <c r="D63" s="269">
        <v>0</v>
      </c>
      <c r="E63" s="224">
        <f t="shared" si="6"/>
        <v>0</v>
      </c>
      <c r="F63" s="19" t="s">
        <v>471</v>
      </c>
      <c r="G63" s="175">
        <v>0</v>
      </c>
      <c r="H63" s="15">
        <v>0</v>
      </c>
      <c r="I63" s="271">
        <v>0</v>
      </c>
      <c r="J63" s="21">
        <f t="shared" si="7"/>
        <v>0</v>
      </c>
    </row>
    <row r="64" spans="1:10" ht="14.95" thickBot="1" x14ac:dyDescent="0.3">
      <c r="A64" s="222" t="s">
        <v>483</v>
      </c>
      <c r="B64" s="173">
        <v>0</v>
      </c>
      <c r="C64" s="43">
        <v>0</v>
      </c>
      <c r="D64" s="269">
        <v>0</v>
      </c>
      <c r="E64" s="224">
        <f t="shared" si="6"/>
        <v>0</v>
      </c>
      <c r="F64" s="19" t="s">
        <v>483</v>
      </c>
      <c r="G64" s="175">
        <v>0</v>
      </c>
      <c r="H64" s="15">
        <v>0</v>
      </c>
      <c r="I64" s="271">
        <v>0</v>
      </c>
      <c r="J64" s="21">
        <f t="shared" si="7"/>
        <v>0</v>
      </c>
    </row>
    <row r="65" spans="1:10" ht="14.95" thickBot="1" x14ac:dyDescent="0.3">
      <c r="A65" s="222" t="s">
        <v>479</v>
      </c>
      <c r="B65" s="173">
        <v>0</v>
      </c>
      <c r="C65" s="43">
        <v>0</v>
      </c>
      <c r="D65" s="269">
        <v>0</v>
      </c>
      <c r="E65" s="224">
        <f t="shared" si="6"/>
        <v>0</v>
      </c>
      <c r="F65" s="19" t="s">
        <v>479</v>
      </c>
      <c r="G65" s="175">
        <v>0</v>
      </c>
      <c r="H65" s="15">
        <v>0</v>
      </c>
      <c r="I65" s="271">
        <v>0</v>
      </c>
      <c r="J65" s="21">
        <f t="shared" si="7"/>
        <v>0</v>
      </c>
    </row>
    <row r="66" spans="1:10" ht="14.95" thickBot="1" x14ac:dyDescent="0.3">
      <c r="A66" s="222" t="s">
        <v>481</v>
      </c>
      <c r="B66" s="173">
        <v>0</v>
      </c>
      <c r="C66" s="43">
        <v>0</v>
      </c>
      <c r="D66" s="269">
        <v>0</v>
      </c>
      <c r="E66" s="224">
        <f t="shared" si="6"/>
        <v>0</v>
      </c>
      <c r="F66" s="19" t="s">
        <v>481</v>
      </c>
      <c r="G66" s="175">
        <v>0</v>
      </c>
      <c r="H66" s="15">
        <v>0</v>
      </c>
      <c r="I66" s="271">
        <v>0</v>
      </c>
      <c r="J66" s="21">
        <f t="shared" si="7"/>
        <v>0</v>
      </c>
    </row>
    <row r="67" spans="1:10" ht="14.95" thickBot="1" x14ac:dyDescent="0.3">
      <c r="A67" s="222" t="s">
        <v>477</v>
      </c>
      <c r="B67" s="173">
        <v>0</v>
      </c>
      <c r="C67" s="43">
        <v>0</v>
      </c>
      <c r="D67" s="269">
        <v>0</v>
      </c>
      <c r="E67" s="224">
        <f t="shared" si="6"/>
        <v>0</v>
      </c>
      <c r="F67" s="19" t="s">
        <v>477</v>
      </c>
      <c r="G67" s="175">
        <v>0</v>
      </c>
      <c r="H67" s="15">
        <v>0</v>
      </c>
      <c r="I67" s="271">
        <v>0</v>
      </c>
      <c r="J67" s="21">
        <f t="shared" si="7"/>
        <v>0</v>
      </c>
    </row>
    <row r="68" spans="1:10" ht="14.95" thickBot="1" x14ac:dyDescent="0.3">
      <c r="A68" s="222" t="s">
        <v>475</v>
      </c>
      <c r="B68" s="173">
        <v>0</v>
      </c>
      <c r="C68" s="43">
        <v>0</v>
      </c>
      <c r="D68" s="269">
        <v>0</v>
      </c>
      <c r="E68" s="224">
        <f t="shared" si="6"/>
        <v>0</v>
      </c>
      <c r="F68" s="19" t="s">
        <v>475</v>
      </c>
      <c r="G68" s="175">
        <v>0</v>
      </c>
      <c r="H68" s="15">
        <v>0</v>
      </c>
      <c r="I68" s="271">
        <v>0</v>
      </c>
      <c r="J68" s="21">
        <f t="shared" si="7"/>
        <v>0</v>
      </c>
    </row>
    <row r="69" spans="1:10" ht="14.95" thickBot="1" x14ac:dyDescent="0.3">
      <c r="A69" s="222" t="s">
        <v>474</v>
      </c>
      <c r="B69" s="173">
        <v>0</v>
      </c>
      <c r="C69" s="43">
        <v>0</v>
      </c>
      <c r="D69" s="269">
        <v>0</v>
      </c>
      <c r="E69" s="224">
        <f t="shared" si="6"/>
        <v>0</v>
      </c>
      <c r="F69" s="19" t="s">
        <v>474</v>
      </c>
      <c r="G69" s="175">
        <v>0</v>
      </c>
      <c r="H69" s="15">
        <v>0</v>
      </c>
      <c r="I69" s="271">
        <v>0</v>
      </c>
      <c r="J69" s="21">
        <f t="shared" si="7"/>
        <v>0</v>
      </c>
    </row>
    <row r="70" spans="1:10" ht="14.95" thickBot="1" x14ac:dyDescent="0.3">
      <c r="A70" s="222" t="s">
        <v>482</v>
      </c>
      <c r="B70" s="173">
        <v>0</v>
      </c>
      <c r="C70" s="43">
        <v>0</v>
      </c>
      <c r="D70" s="269">
        <v>0</v>
      </c>
      <c r="E70" s="224">
        <f t="shared" si="6"/>
        <v>0</v>
      </c>
      <c r="F70" s="19" t="s">
        <v>482</v>
      </c>
      <c r="G70" s="175">
        <v>0</v>
      </c>
      <c r="H70" s="15">
        <v>0</v>
      </c>
      <c r="I70" s="271">
        <v>0</v>
      </c>
      <c r="J70" s="21">
        <f t="shared" si="7"/>
        <v>0</v>
      </c>
    </row>
    <row r="71" spans="1:10" ht="14.95" thickBot="1" x14ac:dyDescent="0.3">
      <c r="A71" s="222" t="s">
        <v>473</v>
      </c>
      <c r="B71" s="173">
        <v>0</v>
      </c>
      <c r="C71" s="43">
        <v>0</v>
      </c>
      <c r="D71" s="269">
        <v>0</v>
      </c>
      <c r="E71" s="224">
        <f t="shared" si="6"/>
        <v>0</v>
      </c>
      <c r="F71" s="19" t="s">
        <v>473</v>
      </c>
      <c r="G71" s="175">
        <v>0</v>
      </c>
      <c r="H71" s="15">
        <v>0</v>
      </c>
      <c r="I71" s="271">
        <v>0</v>
      </c>
      <c r="J71" s="21">
        <f t="shared" si="7"/>
        <v>0</v>
      </c>
    </row>
    <row r="72" spans="1:10" ht="14.95" thickBot="1" x14ac:dyDescent="0.3">
      <c r="A72" s="222" t="s">
        <v>478</v>
      </c>
      <c r="B72" s="173">
        <v>0</v>
      </c>
      <c r="C72" s="43">
        <v>0</v>
      </c>
      <c r="D72" s="269">
        <v>0</v>
      </c>
      <c r="E72" s="224">
        <f t="shared" si="6"/>
        <v>0</v>
      </c>
      <c r="F72" s="19" t="s">
        <v>478</v>
      </c>
      <c r="G72" s="175">
        <v>0</v>
      </c>
      <c r="H72" s="15">
        <v>0</v>
      </c>
      <c r="I72" s="271">
        <v>0</v>
      </c>
      <c r="J72" s="21">
        <f t="shared" si="7"/>
        <v>0</v>
      </c>
    </row>
    <row r="73" spans="1:10" ht="14.95" thickBot="1" x14ac:dyDescent="0.3">
      <c r="A73" s="222" t="s">
        <v>3</v>
      </c>
      <c r="B73" s="173">
        <f>SUM(B40:B72)</f>
        <v>9</v>
      </c>
      <c r="C73" s="43">
        <f>SUM(C40:C72)</f>
        <v>14</v>
      </c>
      <c r="D73" s="269">
        <f>SUM(D40:D72)</f>
        <v>23</v>
      </c>
      <c r="E73" s="224">
        <v>46</v>
      </c>
      <c r="F73" s="56" t="s">
        <v>3</v>
      </c>
      <c r="G73" s="174">
        <f>SUM(G40:G72)</f>
        <v>58</v>
      </c>
      <c r="H73" s="82">
        <f>SUM(H40:H72)</f>
        <v>89</v>
      </c>
      <c r="I73" s="270">
        <f>SUM(I40:I72)</f>
        <v>143</v>
      </c>
      <c r="J73" s="49">
        <v>290</v>
      </c>
    </row>
    <row r="74" spans="1:10" x14ac:dyDescent="0.25">
      <c r="A74" s="317" t="s">
        <v>11</v>
      </c>
      <c r="B74" s="317"/>
      <c r="C74" s="318"/>
    </row>
  </sheetData>
  <sortState xmlns:xlrd2="http://schemas.microsoft.com/office/spreadsheetml/2017/richdata2" ref="F40:J72">
    <sortCondition descending="1" ref="J40:J72"/>
  </sortState>
  <mergeCells count="10">
    <mergeCell ref="O1:Q2"/>
    <mergeCell ref="R1:R2"/>
    <mergeCell ref="A74:C74"/>
    <mergeCell ref="K7:K8"/>
    <mergeCell ref="L7:N8"/>
    <mergeCell ref="A1:J1"/>
    <mergeCell ref="K1:K2"/>
    <mergeCell ref="L1:N2"/>
    <mergeCell ref="K12:K13"/>
    <mergeCell ref="L12:N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92"/>
  <sheetViews>
    <sheetView zoomScaleNormal="100" workbookViewId="0">
      <selection activeCell="Q22" sqref="Q22"/>
    </sheetView>
  </sheetViews>
  <sheetFormatPr defaultRowHeight="14.3" x14ac:dyDescent="0.25"/>
  <cols>
    <col min="1" max="1" width="16.5" customWidth="1"/>
    <col min="2" max="4" width="4.5" customWidth="1"/>
    <col min="5" max="5" width="4.75" customWidth="1"/>
    <col min="6" max="6" width="16.5" customWidth="1"/>
    <col min="7" max="10" width="5.25" customWidth="1"/>
    <col min="11" max="11" width="15.25" customWidth="1"/>
    <col min="12" max="16" width="5.5" customWidth="1"/>
    <col min="17" max="17" width="5.75" customWidth="1"/>
    <col min="18" max="30" width="5.5" customWidth="1"/>
  </cols>
  <sheetData>
    <row r="1" spans="1:24" ht="14.95" customHeight="1" thickBot="1" x14ac:dyDescent="0.3">
      <c r="A1" s="339" t="s">
        <v>35</v>
      </c>
      <c r="B1" s="340"/>
      <c r="C1" s="340"/>
      <c r="D1" s="340"/>
      <c r="E1" s="340"/>
      <c r="F1" s="340"/>
      <c r="G1" s="340"/>
      <c r="H1" s="340"/>
      <c r="I1" s="340"/>
      <c r="J1" s="341"/>
      <c r="K1" s="342" t="s">
        <v>16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  <c r="S1" s="110"/>
      <c r="T1" s="64"/>
      <c r="U1" s="64"/>
      <c r="V1" s="63"/>
      <c r="W1" s="63"/>
      <c r="X1" s="63"/>
    </row>
    <row r="2" spans="1:24" ht="14.95" customHeight="1" thickBot="1" x14ac:dyDescent="0.3">
      <c r="A2" s="72" t="s">
        <v>0</v>
      </c>
      <c r="B2" s="122" t="s">
        <v>15</v>
      </c>
      <c r="C2" s="125" t="s">
        <v>12</v>
      </c>
      <c r="D2" s="273" t="s">
        <v>396</v>
      </c>
      <c r="E2" s="78" t="s">
        <v>1</v>
      </c>
      <c r="F2" s="89" t="s">
        <v>2</v>
      </c>
      <c r="G2" s="120" t="s">
        <v>15</v>
      </c>
      <c r="H2" s="136" t="s">
        <v>12</v>
      </c>
      <c r="I2" s="270" t="s">
        <v>396</v>
      </c>
      <c r="J2" s="49" t="s">
        <v>1</v>
      </c>
      <c r="K2" s="343"/>
      <c r="L2" s="312"/>
      <c r="M2" s="313"/>
      <c r="N2" s="314"/>
      <c r="O2" s="312"/>
      <c r="P2" s="313"/>
      <c r="Q2" s="314"/>
      <c r="R2" s="316"/>
      <c r="S2" s="110"/>
      <c r="T2" s="64"/>
      <c r="U2" s="64"/>
      <c r="V2" s="63"/>
      <c r="W2" s="63"/>
      <c r="X2" s="63"/>
    </row>
    <row r="3" spans="1:24" ht="14.95" customHeight="1" thickBot="1" x14ac:dyDescent="0.3">
      <c r="A3" s="69" t="s">
        <v>71</v>
      </c>
      <c r="B3" s="123">
        <v>1</v>
      </c>
      <c r="C3" s="126">
        <v>0</v>
      </c>
      <c r="D3" s="272">
        <v>0</v>
      </c>
      <c r="E3" s="66">
        <f>SUM(B3:D3)</f>
        <v>1</v>
      </c>
      <c r="F3" s="20" t="s">
        <v>71</v>
      </c>
      <c r="G3" s="121">
        <v>5</v>
      </c>
      <c r="H3" s="137">
        <v>0</v>
      </c>
      <c r="I3" s="271">
        <v>0</v>
      </c>
      <c r="J3" s="21">
        <f>SUM(G3:I3)</f>
        <v>5</v>
      </c>
      <c r="K3" s="4"/>
      <c r="L3" s="31" t="s">
        <v>18</v>
      </c>
      <c r="M3" s="31" t="s">
        <v>5</v>
      </c>
      <c r="N3" s="31" t="s">
        <v>6</v>
      </c>
      <c r="O3" s="84" t="s">
        <v>18</v>
      </c>
      <c r="P3" s="31" t="s">
        <v>5</v>
      </c>
      <c r="Q3" s="31" t="s">
        <v>6</v>
      </c>
      <c r="R3" s="1"/>
      <c r="S3" s="83"/>
      <c r="T3" s="63"/>
      <c r="U3" s="63"/>
      <c r="V3" s="63"/>
      <c r="W3" s="63"/>
      <c r="X3" s="63"/>
    </row>
    <row r="4" spans="1:24" ht="14.95" customHeight="1" thickBot="1" x14ac:dyDescent="0.3">
      <c r="A4" s="69" t="s">
        <v>49</v>
      </c>
      <c r="B4" s="123">
        <v>0</v>
      </c>
      <c r="C4" s="126">
        <v>0</v>
      </c>
      <c r="D4" s="272">
        <v>1</v>
      </c>
      <c r="E4" s="66">
        <f t="shared" ref="E4:E45" si="0">SUM(B4:D4)</f>
        <v>1</v>
      </c>
      <c r="F4" s="20" t="s">
        <v>49</v>
      </c>
      <c r="G4" s="121">
        <v>0</v>
      </c>
      <c r="H4" s="137">
        <v>0</v>
      </c>
      <c r="I4" s="271">
        <v>5</v>
      </c>
      <c r="J4" s="21">
        <f t="shared" ref="J4:J45" si="1">SUM(G4:I4)</f>
        <v>5</v>
      </c>
      <c r="K4" s="69" t="s">
        <v>75</v>
      </c>
      <c r="L4" s="70">
        <v>16</v>
      </c>
      <c r="M4" s="70">
        <v>31</v>
      </c>
      <c r="N4" s="71">
        <f t="shared" ref="N4:N5" si="2">SUM(L4/M4)*100</f>
        <v>51.612903225806448</v>
      </c>
      <c r="O4" s="70" t="s">
        <v>8</v>
      </c>
      <c r="P4" s="70" t="s">
        <v>8</v>
      </c>
      <c r="Q4" s="71" t="s">
        <v>8</v>
      </c>
      <c r="R4" s="70">
        <v>-1</v>
      </c>
      <c r="S4" s="83"/>
      <c r="T4" s="63"/>
      <c r="U4" s="63"/>
      <c r="V4" s="63"/>
      <c r="W4" s="63"/>
      <c r="X4" s="63"/>
    </row>
    <row r="5" spans="1:24" ht="14.95" customHeight="1" thickBot="1" x14ac:dyDescent="0.3">
      <c r="A5" s="69" t="s">
        <v>50</v>
      </c>
      <c r="B5" s="123">
        <v>0</v>
      </c>
      <c r="C5" s="126">
        <v>0</v>
      </c>
      <c r="D5" s="272">
        <v>0</v>
      </c>
      <c r="E5" s="66">
        <f t="shared" si="0"/>
        <v>0</v>
      </c>
      <c r="F5" s="19" t="s">
        <v>50</v>
      </c>
      <c r="G5" s="121">
        <v>0</v>
      </c>
      <c r="H5" s="137">
        <v>0</v>
      </c>
      <c r="I5" s="271">
        <v>0</v>
      </c>
      <c r="J5" s="21">
        <f t="shared" si="1"/>
        <v>0</v>
      </c>
      <c r="K5" s="69" t="s">
        <v>82</v>
      </c>
      <c r="L5" s="70">
        <v>1</v>
      </c>
      <c r="M5" s="70">
        <v>1</v>
      </c>
      <c r="N5" s="71">
        <f t="shared" si="2"/>
        <v>100</v>
      </c>
      <c r="O5" s="70" t="s">
        <v>8</v>
      </c>
      <c r="P5" s="70" t="s">
        <v>8</v>
      </c>
      <c r="Q5" s="71" t="s">
        <v>8</v>
      </c>
      <c r="R5" s="70">
        <v>1</v>
      </c>
      <c r="S5" s="83"/>
      <c r="T5" s="63"/>
      <c r="U5" s="63"/>
      <c r="V5" s="63"/>
      <c r="W5" s="63"/>
      <c r="X5" s="63"/>
    </row>
    <row r="6" spans="1:24" ht="14.95" customHeight="1" thickBot="1" x14ac:dyDescent="0.3">
      <c r="A6" s="69" t="s">
        <v>51</v>
      </c>
      <c r="B6" s="123">
        <v>5</v>
      </c>
      <c r="C6" s="126">
        <v>0</v>
      </c>
      <c r="D6" s="272">
        <v>0</v>
      </c>
      <c r="E6" s="66">
        <f t="shared" si="0"/>
        <v>5</v>
      </c>
      <c r="F6" s="19" t="s">
        <v>51</v>
      </c>
      <c r="G6" s="121">
        <v>25</v>
      </c>
      <c r="H6" s="137">
        <v>0</v>
      </c>
      <c r="I6" s="271">
        <v>0</v>
      </c>
      <c r="J6" s="21">
        <f t="shared" si="1"/>
        <v>25</v>
      </c>
      <c r="K6" s="69" t="s">
        <v>83</v>
      </c>
      <c r="L6" s="70">
        <v>7</v>
      </c>
      <c r="M6" s="70">
        <v>11</v>
      </c>
      <c r="N6" s="71">
        <f t="shared" ref="N6:N7" si="3">SUM(L6/M6)*100</f>
        <v>63.636363636363633</v>
      </c>
      <c r="O6" s="70" t="s">
        <v>8</v>
      </c>
      <c r="P6" s="70" t="s">
        <v>8</v>
      </c>
      <c r="Q6" s="71" t="s">
        <v>8</v>
      </c>
      <c r="R6" s="70">
        <v>5</v>
      </c>
      <c r="S6" s="83"/>
      <c r="T6" s="63"/>
      <c r="U6" s="63"/>
      <c r="V6" s="63"/>
      <c r="W6" s="63"/>
      <c r="X6" s="63"/>
    </row>
    <row r="7" spans="1:24" ht="15.8" customHeight="1" thickBot="1" x14ac:dyDescent="0.3">
      <c r="A7" s="69" t="s">
        <v>52</v>
      </c>
      <c r="B7" s="123">
        <v>1</v>
      </c>
      <c r="C7" s="126">
        <v>1</v>
      </c>
      <c r="D7" s="272">
        <v>0</v>
      </c>
      <c r="E7" s="66">
        <f t="shared" si="0"/>
        <v>2</v>
      </c>
      <c r="F7" s="19" t="s">
        <v>52</v>
      </c>
      <c r="G7" s="121">
        <v>5</v>
      </c>
      <c r="H7" s="137">
        <v>5</v>
      </c>
      <c r="I7" s="271">
        <v>0</v>
      </c>
      <c r="J7" s="21">
        <f t="shared" si="1"/>
        <v>10</v>
      </c>
      <c r="K7" s="69" t="s">
        <v>84</v>
      </c>
      <c r="L7" s="70">
        <v>41</v>
      </c>
      <c r="M7" s="70">
        <v>60</v>
      </c>
      <c r="N7" s="71">
        <f t="shared" si="3"/>
        <v>68.333333333333329</v>
      </c>
      <c r="O7" s="70">
        <v>3</v>
      </c>
      <c r="P7" s="70">
        <v>5</v>
      </c>
      <c r="Q7" s="71">
        <f t="shared" ref="Q7" si="4">SUM(O7/P7)*100</f>
        <v>60</v>
      </c>
      <c r="R7" s="70">
        <v>1</v>
      </c>
      <c r="S7" s="63"/>
      <c r="T7" s="63"/>
      <c r="U7" s="63"/>
      <c r="V7" s="63"/>
      <c r="W7" s="63"/>
      <c r="X7" s="63"/>
    </row>
    <row r="8" spans="1:24" ht="15.8" customHeight="1" thickBot="1" x14ac:dyDescent="0.3">
      <c r="A8" s="69" t="s">
        <v>72</v>
      </c>
      <c r="B8" s="123">
        <v>2</v>
      </c>
      <c r="C8" s="126">
        <v>2</v>
      </c>
      <c r="D8" s="272">
        <v>0</v>
      </c>
      <c r="E8" s="66">
        <f t="shared" si="0"/>
        <v>4</v>
      </c>
      <c r="F8" s="19" t="s">
        <v>72</v>
      </c>
      <c r="G8" s="121">
        <v>10</v>
      </c>
      <c r="H8" s="137">
        <v>10</v>
      </c>
      <c r="I8" s="271">
        <v>0</v>
      </c>
      <c r="J8" s="21">
        <f t="shared" si="1"/>
        <v>20</v>
      </c>
      <c r="K8" s="48"/>
      <c r="L8" s="48"/>
      <c r="M8" s="48"/>
      <c r="N8" s="48"/>
      <c r="O8" s="48"/>
      <c r="P8" s="48"/>
      <c r="Q8" s="48"/>
      <c r="R8" s="7"/>
      <c r="S8" s="63"/>
      <c r="T8" s="63"/>
      <c r="U8" s="63"/>
      <c r="V8" s="63"/>
      <c r="W8" s="63"/>
      <c r="X8" s="63"/>
    </row>
    <row r="9" spans="1:24" ht="14.95" customHeight="1" thickBot="1" x14ac:dyDescent="0.3">
      <c r="A9" s="69" t="s">
        <v>53</v>
      </c>
      <c r="B9" s="123">
        <v>2</v>
      </c>
      <c r="C9" s="126">
        <v>0</v>
      </c>
      <c r="D9" s="272">
        <v>1</v>
      </c>
      <c r="E9" s="66">
        <f t="shared" si="0"/>
        <v>3</v>
      </c>
      <c r="F9" s="19" t="s">
        <v>53</v>
      </c>
      <c r="G9" s="121">
        <v>10</v>
      </c>
      <c r="H9" s="137">
        <v>0</v>
      </c>
      <c r="I9" s="271">
        <v>5</v>
      </c>
      <c r="J9" s="21">
        <f t="shared" si="1"/>
        <v>15</v>
      </c>
      <c r="K9" s="344" t="s">
        <v>14</v>
      </c>
      <c r="L9" s="333">
        <v>2022</v>
      </c>
      <c r="M9" s="334"/>
      <c r="N9" s="335"/>
      <c r="O9" s="110"/>
      <c r="P9" s="118"/>
      <c r="Q9" s="118"/>
      <c r="R9" s="64"/>
      <c r="S9" s="64"/>
      <c r="T9" s="64"/>
    </row>
    <row r="10" spans="1:24" ht="14.95" customHeight="1" thickBot="1" x14ac:dyDescent="0.3">
      <c r="A10" s="69" t="s">
        <v>54</v>
      </c>
      <c r="B10" s="123">
        <v>0</v>
      </c>
      <c r="C10" s="126">
        <v>0</v>
      </c>
      <c r="D10" s="272">
        <v>0</v>
      </c>
      <c r="E10" s="66">
        <f t="shared" si="0"/>
        <v>0</v>
      </c>
      <c r="F10" s="19" t="s">
        <v>54</v>
      </c>
      <c r="G10" s="121">
        <v>0</v>
      </c>
      <c r="H10" s="137">
        <v>0</v>
      </c>
      <c r="I10" s="271">
        <v>0</v>
      </c>
      <c r="J10" s="21">
        <f t="shared" si="1"/>
        <v>0</v>
      </c>
      <c r="K10" s="345"/>
      <c r="L10" s="336"/>
      <c r="M10" s="337"/>
      <c r="N10" s="338"/>
      <c r="O10" s="119"/>
      <c r="P10" s="118"/>
      <c r="Q10" s="118"/>
      <c r="R10" s="118"/>
      <c r="S10" s="118"/>
      <c r="T10" s="118"/>
      <c r="U10" s="116"/>
    </row>
    <row r="11" spans="1:24" ht="17" thickBot="1" x14ac:dyDescent="0.3">
      <c r="A11" s="69" t="s">
        <v>55</v>
      </c>
      <c r="B11" s="123">
        <v>0</v>
      </c>
      <c r="C11" s="126">
        <v>0</v>
      </c>
      <c r="D11" s="272">
        <v>0</v>
      </c>
      <c r="E11" s="66">
        <f t="shared" si="0"/>
        <v>0</v>
      </c>
      <c r="F11" s="19" t="s">
        <v>55</v>
      </c>
      <c r="G11" s="121">
        <v>0</v>
      </c>
      <c r="H11" s="137">
        <v>0</v>
      </c>
      <c r="I11" s="271">
        <v>0</v>
      </c>
      <c r="J11" s="21">
        <f t="shared" si="1"/>
        <v>0</v>
      </c>
      <c r="K11" s="4"/>
      <c r="L11" s="88" t="s">
        <v>18</v>
      </c>
      <c r="M11" s="88" t="s">
        <v>5</v>
      </c>
      <c r="N11" s="88" t="s">
        <v>6</v>
      </c>
      <c r="O11" s="83"/>
      <c r="P11" s="63"/>
      <c r="Q11" s="63"/>
      <c r="R11" s="63"/>
      <c r="S11" s="118"/>
      <c r="T11" s="118"/>
      <c r="U11" s="116"/>
    </row>
    <row r="12" spans="1:24" ht="14.95" thickBot="1" x14ac:dyDescent="0.3">
      <c r="A12" s="69" t="s">
        <v>56</v>
      </c>
      <c r="B12" s="123">
        <v>0</v>
      </c>
      <c r="C12" s="126">
        <v>0</v>
      </c>
      <c r="D12" s="272">
        <v>0</v>
      </c>
      <c r="E12" s="66">
        <f t="shared" si="0"/>
        <v>0</v>
      </c>
      <c r="F12" s="19" t="s">
        <v>56</v>
      </c>
      <c r="G12" s="121">
        <v>0</v>
      </c>
      <c r="H12" s="137">
        <v>0</v>
      </c>
      <c r="I12" s="271">
        <v>0</v>
      </c>
      <c r="J12" s="21">
        <f t="shared" si="1"/>
        <v>0</v>
      </c>
      <c r="K12" s="69" t="s">
        <v>75</v>
      </c>
      <c r="L12" s="70">
        <v>9</v>
      </c>
      <c r="M12" s="70">
        <v>18</v>
      </c>
      <c r="N12" s="71">
        <f t="shared" ref="N12" si="5">SUM(L12/M12)*100</f>
        <v>50</v>
      </c>
      <c r="O12" s="83"/>
      <c r="P12" s="63"/>
      <c r="Q12" s="63"/>
      <c r="R12" s="63"/>
      <c r="S12" s="63"/>
      <c r="T12" s="63"/>
      <c r="U12" s="117"/>
    </row>
    <row r="13" spans="1:24" ht="14.95" thickBot="1" x14ac:dyDescent="0.3">
      <c r="A13" s="69" t="s">
        <v>57</v>
      </c>
      <c r="B13" s="123">
        <v>3</v>
      </c>
      <c r="C13" s="126">
        <v>0</v>
      </c>
      <c r="D13" s="272">
        <v>2</v>
      </c>
      <c r="E13" s="66">
        <f t="shared" si="0"/>
        <v>5</v>
      </c>
      <c r="F13" s="19" t="s">
        <v>57</v>
      </c>
      <c r="G13" s="121">
        <v>15</v>
      </c>
      <c r="H13" s="137">
        <v>0</v>
      </c>
      <c r="I13" s="271">
        <v>10</v>
      </c>
      <c r="J13" s="21">
        <f t="shared" si="1"/>
        <v>25</v>
      </c>
      <c r="K13" s="69" t="s">
        <v>83</v>
      </c>
      <c r="L13" s="70">
        <v>5</v>
      </c>
      <c r="M13" s="70">
        <v>9</v>
      </c>
      <c r="N13" s="71">
        <f t="shared" ref="N13" si="6">SUM(L13/M13)*100</f>
        <v>55.555555555555557</v>
      </c>
      <c r="O13" s="83"/>
      <c r="P13" s="63"/>
      <c r="Q13" s="63"/>
      <c r="R13" s="63"/>
      <c r="S13" s="63"/>
      <c r="T13" s="63"/>
      <c r="U13" s="117"/>
    </row>
    <row r="14" spans="1:24" ht="14.95" thickBot="1" x14ac:dyDescent="0.3">
      <c r="A14" s="69" t="s">
        <v>58</v>
      </c>
      <c r="B14" s="123">
        <v>0</v>
      </c>
      <c r="C14" s="126">
        <v>3</v>
      </c>
      <c r="D14" s="272">
        <v>6</v>
      </c>
      <c r="E14" s="66">
        <f t="shared" si="0"/>
        <v>9</v>
      </c>
      <c r="F14" s="19" t="s">
        <v>58</v>
      </c>
      <c r="G14" s="121">
        <v>0</v>
      </c>
      <c r="H14" s="137">
        <v>15</v>
      </c>
      <c r="I14" s="271">
        <v>30</v>
      </c>
      <c r="J14" s="21">
        <f t="shared" si="1"/>
        <v>45</v>
      </c>
      <c r="K14" s="69" t="s">
        <v>84</v>
      </c>
      <c r="L14" s="70">
        <v>14</v>
      </c>
      <c r="M14" s="70">
        <v>19</v>
      </c>
      <c r="N14" s="71">
        <f t="shared" ref="N14" si="7">SUM(L14/M14)*100</f>
        <v>73.68421052631578</v>
      </c>
      <c r="O14" s="83"/>
      <c r="P14" s="63"/>
      <c r="Q14" s="63"/>
      <c r="R14" s="63"/>
      <c r="S14" s="63"/>
      <c r="T14" s="63"/>
      <c r="U14" s="117"/>
    </row>
    <row r="15" spans="1:24" ht="14.95" customHeight="1" thickBot="1" x14ac:dyDescent="0.3">
      <c r="A15" s="69" t="s">
        <v>59</v>
      </c>
      <c r="B15" s="123">
        <v>0</v>
      </c>
      <c r="C15" s="126">
        <v>0</v>
      </c>
      <c r="D15" s="272">
        <v>0</v>
      </c>
      <c r="E15" s="66">
        <f t="shared" si="0"/>
        <v>0</v>
      </c>
      <c r="F15" s="19" t="s">
        <v>59</v>
      </c>
      <c r="G15" s="121">
        <v>0</v>
      </c>
      <c r="H15" s="137">
        <v>0</v>
      </c>
      <c r="I15" s="271">
        <v>0</v>
      </c>
      <c r="J15" s="21">
        <f t="shared" si="1"/>
        <v>0</v>
      </c>
      <c r="K15" s="138" t="s">
        <v>9</v>
      </c>
      <c r="O15" s="63"/>
      <c r="P15" s="63"/>
      <c r="Q15" s="63"/>
      <c r="R15" s="63"/>
      <c r="S15" s="63"/>
      <c r="T15" s="63"/>
      <c r="U15" s="117"/>
    </row>
    <row r="16" spans="1:24" ht="14.95" customHeight="1" thickBot="1" x14ac:dyDescent="0.3">
      <c r="A16" s="69" t="s">
        <v>73</v>
      </c>
      <c r="B16" s="123">
        <v>1</v>
      </c>
      <c r="C16" s="126">
        <v>0</v>
      </c>
      <c r="D16" s="272">
        <v>0</v>
      </c>
      <c r="E16" s="66">
        <f t="shared" si="0"/>
        <v>1</v>
      </c>
      <c r="F16" s="19" t="s">
        <v>73</v>
      </c>
      <c r="G16" s="121">
        <v>5</v>
      </c>
      <c r="H16" s="137">
        <v>0</v>
      </c>
      <c r="I16" s="271">
        <v>0</v>
      </c>
      <c r="J16" s="21">
        <f t="shared" si="1"/>
        <v>5</v>
      </c>
      <c r="K16" s="326" t="s">
        <v>521</v>
      </c>
      <c r="L16" s="309">
        <v>2022</v>
      </c>
      <c r="M16" s="310"/>
      <c r="N16" s="311"/>
      <c r="O16" s="9"/>
      <c r="P16" s="9"/>
      <c r="Q16" s="9"/>
      <c r="S16" s="63"/>
      <c r="T16" s="63"/>
      <c r="U16" s="117"/>
    </row>
    <row r="17" spans="1:17" ht="14.95" customHeight="1" thickBot="1" x14ac:dyDescent="0.3">
      <c r="A17" s="69" t="s">
        <v>60</v>
      </c>
      <c r="B17" s="123">
        <v>5</v>
      </c>
      <c r="C17" s="126">
        <v>0</v>
      </c>
      <c r="D17" s="272">
        <v>0</v>
      </c>
      <c r="E17" s="66">
        <f t="shared" si="0"/>
        <v>5</v>
      </c>
      <c r="F17" s="19" t="s">
        <v>60</v>
      </c>
      <c r="G17" s="121">
        <v>25</v>
      </c>
      <c r="H17" s="137">
        <v>0</v>
      </c>
      <c r="I17" s="271">
        <v>0</v>
      </c>
      <c r="J17" s="21">
        <f t="shared" si="1"/>
        <v>25</v>
      </c>
      <c r="K17" s="327"/>
      <c r="L17" s="312"/>
      <c r="M17" s="313"/>
      <c r="N17" s="314"/>
    </row>
    <row r="18" spans="1:17" ht="14.95" thickBot="1" x14ac:dyDescent="0.3">
      <c r="A18" s="69" t="s">
        <v>74</v>
      </c>
      <c r="B18" s="123">
        <v>1</v>
      </c>
      <c r="C18" s="126">
        <v>0</v>
      </c>
      <c r="D18" s="272">
        <v>4</v>
      </c>
      <c r="E18" s="66">
        <f t="shared" si="0"/>
        <v>5</v>
      </c>
      <c r="F18" s="19" t="s">
        <v>74</v>
      </c>
      <c r="G18" s="121">
        <v>5</v>
      </c>
      <c r="H18" s="137">
        <v>0</v>
      </c>
      <c r="I18" s="271">
        <v>20</v>
      </c>
      <c r="J18" s="21">
        <f t="shared" si="1"/>
        <v>25</v>
      </c>
      <c r="K18" s="267"/>
      <c r="L18" s="31" t="s">
        <v>18</v>
      </c>
      <c r="M18" s="31" t="s">
        <v>5</v>
      </c>
      <c r="N18" s="31" t="s">
        <v>6</v>
      </c>
    </row>
    <row r="19" spans="1:17" ht="14.95" customHeight="1" thickBot="1" x14ac:dyDescent="0.3">
      <c r="A19" s="69" t="s">
        <v>61</v>
      </c>
      <c r="B19" s="123">
        <v>1</v>
      </c>
      <c r="C19" s="126">
        <v>0</v>
      </c>
      <c r="D19" s="272">
        <v>0</v>
      </c>
      <c r="E19" s="66">
        <f t="shared" si="0"/>
        <v>1</v>
      </c>
      <c r="F19" s="19" t="s">
        <v>61</v>
      </c>
      <c r="G19" s="121">
        <v>5</v>
      </c>
      <c r="H19" s="137">
        <v>0</v>
      </c>
      <c r="I19" s="271">
        <v>0</v>
      </c>
      <c r="J19" s="21">
        <f t="shared" si="1"/>
        <v>5</v>
      </c>
      <c r="K19" s="69" t="s">
        <v>75</v>
      </c>
      <c r="L19" s="70">
        <v>6</v>
      </c>
      <c r="M19" s="70">
        <v>12</v>
      </c>
      <c r="N19" s="71">
        <v>50</v>
      </c>
    </row>
    <row r="20" spans="1:17" ht="14.95" thickBot="1" x14ac:dyDescent="0.3">
      <c r="A20" s="69" t="s">
        <v>62</v>
      </c>
      <c r="B20" s="123">
        <v>0</v>
      </c>
      <c r="C20" s="126">
        <v>0</v>
      </c>
      <c r="D20" s="272">
        <v>3</v>
      </c>
      <c r="E20" s="66">
        <f t="shared" si="0"/>
        <v>3</v>
      </c>
      <c r="F20" s="19" t="s">
        <v>62</v>
      </c>
      <c r="G20" s="121">
        <v>0</v>
      </c>
      <c r="H20" s="137">
        <v>0</v>
      </c>
      <c r="I20" s="271">
        <v>15</v>
      </c>
      <c r="J20" s="21">
        <f t="shared" si="1"/>
        <v>15</v>
      </c>
      <c r="K20" s="69" t="s">
        <v>82</v>
      </c>
      <c r="L20" s="70" t="s">
        <v>8</v>
      </c>
      <c r="M20" s="70" t="s">
        <v>8</v>
      </c>
      <c r="N20" s="71" t="s">
        <v>8</v>
      </c>
    </row>
    <row r="21" spans="1:17" ht="14.95" thickBot="1" x14ac:dyDescent="0.3">
      <c r="A21" s="69" t="s">
        <v>63</v>
      </c>
      <c r="B21" s="123">
        <v>0</v>
      </c>
      <c r="C21" s="126">
        <v>0</v>
      </c>
      <c r="D21" s="272">
        <v>0</v>
      </c>
      <c r="E21" s="66">
        <f t="shared" si="0"/>
        <v>0</v>
      </c>
      <c r="F21" s="19" t="s">
        <v>63</v>
      </c>
      <c r="G21" s="121">
        <v>0</v>
      </c>
      <c r="H21" s="137">
        <v>0</v>
      </c>
      <c r="I21" s="271">
        <v>0</v>
      </c>
      <c r="J21" s="21">
        <f t="shared" si="1"/>
        <v>0</v>
      </c>
      <c r="K21" s="69" t="s">
        <v>83</v>
      </c>
      <c r="L21" s="70">
        <v>2</v>
      </c>
      <c r="M21" s="70">
        <v>2</v>
      </c>
      <c r="N21" s="71">
        <v>100</v>
      </c>
    </row>
    <row r="22" spans="1:17" ht="14.95" customHeight="1" thickBot="1" x14ac:dyDescent="0.3">
      <c r="A22" s="69" t="s">
        <v>75</v>
      </c>
      <c r="B22" s="123">
        <v>0</v>
      </c>
      <c r="C22" s="126">
        <v>0</v>
      </c>
      <c r="D22" s="272">
        <v>0</v>
      </c>
      <c r="E22" s="66">
        <f t="shared" si="0"/>
        <v>0</v>
      </c>
      <c r="F22" s="19" t="s">
        <v>75</v>
      </c>
      <c r="G22" s="121">
        <v>18</v>
      </c>
      <c r="H22" s="137">
        <v>2</v>
      </c>
      <c r="I22" s="271">
        <v>12</v>
      </c>
      <c r="J22" s="21">
        <f t="shared" si="1"/>
        <v>32</v>
      </c>
      <c r="K22" s="69" t="s">
        <v>84</v>
      </c>
      <c r="L22" s="70">
        <v>17</v>
      </c>
      <c r="M22" s="70">
        <v>30</v>
      </c>
      <c r="N22" s="71">
        <v>56</v>
      </c>
    </row>
    <row r="23" spans="1:17" ht="14.95" thickBot="1" x14ac:dyDescent="0.3">
      <c r="A23" s="69" t="s">
        <v>76</v>
      </c>
      <c r="B23" s="123">
        <v>0</v>
      </c>
      <c r="C23" s="126">
        <v>1</v>
      </c>
      <c r="D23" s="272">
        <v>0</v>
      </c>
      <c r="E23" s="66">
        <f t="shared" si="0"/>
        <v>1</v>
      </c>
      <c r="F23" s="19" t="s">
        <v>76</v>
      </c>
      <c r="G23" s="121">
        <v>0</v>
      </c>
      <c r="H23" s="137">
        <v>5</v>
      </c>
      <c r="I23" s="271">
        <v>0</v>
      </c>
      <c r="J23" s="21">
        <f t="shared" si="1"/>
        <v>5</v>
      </c>
      <c r="K23" s="69" t="s">
        <v>71</v>
      </c>
      <c r="L23" s="70">
        <v>0</v>
      </c>
      <c r="M23" s="70">
        <v>4</v>
      </c>
      <c r="N23" s="71">
        <v>0</v>
      </c>
    </row>
    <row r="24" spans="1:17" ht="14.95" thickBot="1" x14ac:dyDescent="0.3">
      <c r="A24" s="69" t="s">
        <v>64</v>
      </c>
      <c r="B24" s="123">
        <v>1</v>
      </c>
      <c r="C24" s="126">
        <v>0</v>
      </c>
      <c r="D24" s="272">
        <v>1</v>
      </c>
      <c r="E24" s="66">
        <f t="shared" si="0"/>
        <v>2</v>
      </c>
      <c r="F24" s="19" t="s">
        <v>64</v>
      </c>
      <c r="G24" s="121">
        <v>5</v>
      </c>
      <c r="H24" s="137">
        <v>0</v>
      </c>
      <c r="I24" s="271">
        <v>5</v>
      </c>
      <c r="J24" s="21">
        <f t="shared" si="1"/>
        <v>10</v>
      </c>
    </row>
    <row r="25" spans="1:17" ht="14.95" thickBot="1" x14ac:dyDescent="0.3">
      <c r="A25" s="69" t="s">
        <v>77</v>
      </c>
      <c r="B25" s="123">
        <v>1</v>
      </c>
      <c r="C25" s="126">
        <v>0</v>
      </c>
      <c r="D25" s="272">
        <v>1</v>
      </c>
      <c r="E25" s="66">
        <f t="shared" si="0"/>
        <v>2</v>
      </c>
      <c r="F25" s="19" t="s">
        <v>77</v>
      </c>
      <c r="G25" s="121">
        <v>5</v>
      </c>
      <c r="H25" s="137">
        <v>0</v>
      </c>
      <c r="I25" s="271">
        <v>5</v>
      </c>
      <c r="J25" s="21">
        <f t="shared" si="1"/>
        <v>10</v>
      </c>
      <c r="O25" s="9"/>
      <c r="P25" s="9"/>
      <c r="Q25" s="9"/>
    </row>
    <row r="26" spans="1:17" ht="14.95" thickBot="1" x14ac:dyDescent="0.3">
      <c r="A26" s="69" t="s">
        <v>65</v>
      </c>
      <c r="B26" s="123">
        <v>0</v>
      </c>
      <c r="C26" s="126">
        <v>0</v>
      </c>
      <c r="D26" s="272">
        <v>2</v>
      </c>
      <c r="E26" s="66">
        <f t="shared" si="0"/>
        <v>2</v>
      </c>
      <c r="F26" s="19" t="s">
        <v>65</v>
      </c>
      <c r="G26" s="121">
        <v>0</v>
      </c>
      <c r="H26" s="137">
        <v>0</v>
      </c>
      <c r="I26" s="271">
        <v>10</v>
      </c>
      <c r="J26" s="21">
        <f t="shared" si="1"/>
        <v>10</v>
      </c>
      <c r="O26" s="22"/>
      <c r="P26" s="22"/>
      <c r="Q26" s="25"/>
    </row>
    <row r="27" spans="1:17" ht="14.95" thickBot="1" x14ac:dyDescent="0.3">
      <c r="A27" s="69" t="s">
        <v>78</v>
      </c>
      <c r="B27" s="123">
        <v>2</v>
      </c>
      <c r="C27" s="126">
        <v>2</v>
      </c>
      <c r="D27" s="272">
        <v>1</v>
      </c>
      <c r="E27" s="66">
        <f t="shared" si="0"/>
        <v>5</v>
      </c>
      <c r="F27" s="19" t="s">
        <v>78</v>
      </c>
      <c r="G27" s="121">
        <v>10</v>
      </c>
      <c r="H27" s="137">
        <v>10</v>
      </c>
      <c r="I27" s="271">
        <v>5</v>
      </c>
      <c r="J27" s="21">
        <f t="shared" si="1"/>
        <v>25</v>
      </c>
      <c r="O27" s="22"/>
      <c r="P27" s="22"/>
      <c r="Q27" s="25"/>
    </row>
    <row r="28" spans="1:17" ht="14.95" thickBot="1" x14ac:dyDescent="0.3">
      <c r="A28" s="69" t="s">
        <v>463</v>
      </c>
      <c r="B28" s="123">
        <v>0</v>
      </c>
      <c r="C28" s="126">
        <v>2</v>
      </c>
      <c r="D28" s="272">
        <v>4</v>
      </c>
      <c r="E28" s="66">
        <f t="shared" si="0"/>
        <v>6</v>
      </c>
      <c r="F28" s="19" t="s">
        <v>463</v>
      </c>
      <c r="G28" s="121">
        <v>0</v>
      </c>
      <c r="H28" s="137">
        <v>10</v>
      </c>
      <c r="I28" s="271">
        <v>20</v>
      </c>
      <c r="J28" s="21">
        <f t="shared" si="1"/>
        <v>30</v>
      </c>
    </row>
    <row r="29" spans="1:17" ht="14.95" thickBot="1" x14ac:dyDescent="0.3">
      <c r="A29" s="69" t="s">
        <v>66</v>
      </c>
      <c r="B29" s="123">
        <v>2</v>
      </c>
      <c r="C29" s="126">
        <v>1</v>
      </c>
      <c r="D29" s="272">
        <v>1</v>
      </c>
      <c r="E29" s="66">
        <f t="shared" si="0"/>
        <v>4</v>
      </c>
      <c r="F29" s="19" t="s">
        <v>66</v>
      </c>
      <c r="G29" s="121">
        <v>10</v>
      </c>
      <c r="H29" s="137">
        <v>5</v>
      </c>
      <c r="I29" s="271">
        <v>5</v>
      </c>
      <c r="J29" s="21">
        <f t="shared" si="1"/>
        <v>20</v>
      </c>
    </row>
    <row r="30" spans="1:17" ht="14.95" thickBot="1" x14ac:dyDescent="0.3">
      <c r="A30" s="69" t="s">
        <v>79</v>
      </c>
      <c r="B30" s="123">
        <v>2</v>
      </c>
      <c r="C30" s="126">
        <v>0</v>
      </c>
      <c r="D30" s="272">
        <v>0</v>
      </c>
      <c r="E30" s="66">
        <f t="shared" si="0"/>
        <v>2</v>
      </c>
      <c r="F30" s="19" t="s">
        <v>79</v>
      </c>
      <c r="G30" s="121">
        <v>10</v>
      </c>
      <c r="H30" s="137">
        <v>0</v>
      </c>
      <c r="I30" s="271">
        <v>0</v>
      </c>
      <c r="J30" s="21">
        <f t="shared" si="1"/>
        <v>10</v>
      </c>
    </row>
    <row r="31" spans="1:17" ht="14.95" thickBot="1" x14ac:dyDescent="0.3">
      <c r="A31" s="69" t="s">
        <v>67</v>
      </c>
      <c r="B31" s="123">
        <v>0</v>
      </c>
      <c r="C31" s="126">
        <v>0</v>
      </c>
      <c r="D31" s="272">
        <v>0</v>
      </c>
      <c r="E31" s="66">
        <f t="shared" si="0"/>
        <v>0</v>
      </c>
      <c r="F31" s="19" t="s">
        <v>67</v>
      </c>
      <c r="G31" s="121">
        <v>0</v>
      </c>
      <c r="H31" s="137">
        <v>0</v>
      </c>
      <c r="I31" s="271">
        <v>0</v>
      </c>
      <c r="J31" s="21">
        <f t="shared" si="1"/>
        <v>0</v>
      </c>
    </row>
    <row r="32" spans="1:17" ht="14.95" thickBot="1" x14ac:dyDescent="0.3">
      <c r="A32" s="69" t="s">
        <v>68</v>
      </c>
      <c r="B32" s="123">
        <v>0</v>
      </c>
      <c r="C32" s="126">
        <v>0</v>
      </c>
      <c r="D32" s="272">
        <v>0</v>
      </c>
      <c r="E32" s="66">
        <f t="shared" si="0"/>
        <v>0</v>
      </c>
      <c r="F32" s="19" t="s">
        <v>68</v>
      </c>
      <c r="G32" s="121">
        <v>0</v>
      </c>
      <c r="H32" s="137">
        <v>0</v>
      </c>
      <c r="I32" s="271">
        <v>0</v>
      </c>
      <c r="J32" s="21">
        <f t="shared" si="1"/>
        <v>0</v>
      </c>
    </row>
    <row r="33" spans="1:10" ht="14.95" thickBot="1" x14ac:dyDescent="0.3">
      <c r="A33" s="69" t="s">
        <v>80</v>
      </c>
      <c r="B33" s="123">
        <v>0</v>
      </c>
      <c r="C33" s="126">
        <v>0</v>
      </c>
      <c r="D33" s="272">
        <v>0</v>
      </c>
      <c r="E33" s="66">
        <f t="shared" si="0"/>
        <v>0</v>
      </c>
      <c r="F33" s="19" t="s">
        <v>80</v>
      </c>
      <c r="G33" s="121">
        <v>0</v>
      </c>
      <c r="H33" s="137">
        <v>0</v>
      </c>
      <c r="I33" s="271">
        <v>0</v>
      </c>
      <c r="J33" s="21">
        <f t="shared" si="1"/>
        <v>0</v>
      </c>
    </row>
    <row r="34" spans="1:10" ht="14.95" thickBot="1" x14ac:dyDescent="0.3">
      <c r="A34" s="69" t="s">
        <v>81</v>
      </c>
      <c r="B34" s="123">
        <v>4</v>
      </c>
      <c r="C34" s="126">
        <v>1</v>
      </c>
      <c r="D34" s="272">
        <v>6</v>
      </c>
      <c r="E34" s="66">
        <f t="shared" si="0"/>
        <v>11</v>
      </c>
      <c r="F34" s="19" t="s">
        <v>81</v>
      </c>
      <c r="G34" s="121">
        <v>20</v>
      </c>
      <c r="H34" s="137">
        <v>5</v>
      </c>
      <c r="I34" s="271">
        <v>30</v>
      </c>
      <c r="J34" s="21">
        <f t="shared" si="1"/>
        <v>55</v>
      </c>
    </row>
    <row r="35" spans="1:10" ht="14.95" thickBot="1" x14ac:dyDescent="0.3">
      <c r="A35" s="69" t="s">
        <v>302</v>
      </c>
      <c r="B35" s="123">
        <v>0</v>
      </c>
      <c r="C35" s="126">
        <v>1</v>
      </c>
      <c r="D35" s="272">
        <v>0</v>
      </c>
      <c r="E35" s="66">
        <f t="shared" si="0"/>
        <v>1</v>
      </c>
      <c r="F35" s="19" t="s">
        <v>302</v>
      </c>
      <c r="G35" s="121">
        <v>0</v>
      </c>
      <c r="H35" s="137">
        <v>7</v>
      </c>
      <c r="I35" s="271">
        <v>0</v>
      </c>
      <c r="J35" s="21">
        <f t="shared" si="1"/>
        <v>7</v>
      </c>
    </row>
    <row r="36" spans="1:10" ht="14.95" thickBot="1" x14ac:dyDescent="0.3">
      <c r="A36" s="69" t="s">
        <v>69</v>
      </c>
      <c r="B36" s="123">
        <v>1</v>
      </c>
      <c r="C36" s="126">
        <v>0</v>
      </c>
      <c r="D36" s="272">
        <v>4</v>
      </c>
      <c r="E36" s="66">
        <f t="shared" si="0"/>
        <v>5</v>
      </c>
      <c r="F36" s="19" t="s">
        <v>69</v>
      </c>
      <c r="G36" s="121">
        <v>5</v>
      </c>
      <c r="H36" s="137">
        <v>0</v>
      </c>
      <c r="I36" s="271">
        <v>20</v>
      </c>
      <c r="J36" s="21">
        <f t="shared" si="1"/>
        <v>25</v>
      </c>
    </row>
    <row r="37" spans="1:10" ht="14.95" thickBot="1" x14ac:dyDescent="0.3">
      <c r="A37" s="69" t="s">
        <v>82</v>
      </c>
      <c r="B37" s="123">
        <v>0</v>
      </c>
      <c r="C37" s="126">
        <v>0</v>
      </c>
      <c r="D37" s="272">
        <v>0</v>
      </c>
      <c r="E37" s="66">
        <f t="shared" si="0"/>
        <v>0</v>
      </c>
      <c r="F37" s="19" t="s">
        <v>82</v>
      </c>
      <c r="G37" s="121">
        <v>0</v>
      </c>
      <c r="H37" s="137">
        <v>2</v>
      </c>
      <c r="I37" s="271">
        <v>0</v>
      </c>
      <c r="J37" s="21">
        <f t="shared" si="1"/>
        <v>2</v>
      </c>
    </row>
    <row r="38" spans="1:10" ht="14.95" thickBot="1" x14ac:dyDescent="0.3">
      <c r="A38" s="69" t="s">
        <v>83</v>
      </c>
      <c r="B38" s="123">
        <v>0</v>
      </c>
      <c r="C38" s="126">
        <v>3</v>
      </c>
      <c r="D38" s="272">
        <v>1</v>
      </c>
      <c r="E38" s="66">
        <f t="shared" si="0"/>
        <v>4</v>
      </c>
      <c r="F38" s="19" t="s">
        <v>83</v>
      </c>
      <c r="G38" s="121">
        <v>10</v>
      </c>
      <c r="H38" s="137">
        <v>19</v>
      </c>
      <c r="I38" s="271">
        <v>9</v>
      </c>
      <c r="J38" s="21">
        <f t="shared" si="1"/>
        <v>38</v>
      </c>
    </row>
    <row r="39" spans="1:10" ht="14.95" thickBot="1" x14ac:dyDescent="0.3">
      <c r="A39" s="69" t="s">
        <v>84</v>
      </c>
      <c r="B39" s="123">
        <v>2</v>
      </c>
      <c r="C39" s="126">
        <v>2</v>
      </c>
      <c r="D39" s="272">
        <v>1</v>
      </c>
      <c r="E39" s="66">
        <f t="shared" si="0"/>
        <v>5</v>
      </c>
      <c r="F39" s="19" t="s">
        <v>84</v>
      </c>
      <c r="G39" s="121">
        <v>39</v>
      </c>
      <c r="H39" s="137">
        <v>30</v>
      </c>
      <c r="I39" s="271">
        <v>44</v>
      </c>
      <c r="J39" s="21">
        <f t="shared" si="1"/>
        <v>113</v>
      </c>
    </row>
    <row r="40" spans="1:10" ht="14.95" thickBot="1" x14ac:dyDescent="0.3">
      <c r="A40" s="69" t="s">
        <v>85</v>
      </c>
      <c r="B40" s="123">
        <v>1</v>
      </c>
      <c r="C40" s="126">
        <v>0</v>
      </c>
      <c r="D40" s="272">
        <v>0</v>
      </c>
      <c r="E40" s="66">
        <f t="shared" si="0"/>
        <v>1</v>
      </c>
      <c r="F40" s="19" t="s">
        <v>85</v>
      </c>
      <c r="G40" s="121">
        <v>5</v>
      </c>
      <c r="H40" s="137">
        <v>0</v>
      </c>
      <c r="I40" s="271">
        <v>0</v>
      </c>
      <c r="J40" s="21">
        <f t="shared" si="1"/>
        <v>5</v>
      </c>
    </row>
    <row r="41" spans="1:10" ht="14.95" thickBot="1" x14ac:dyDescent="0.3">
      <c r="A41" s="69" t="s">
        <v>87</v>
      </c>
      <c r="B41" s="123">
        <v>5</v>
      </c>
      <c r="C41" s="126">
        <v>0</v>
      </c>
      <c r="D41" s="272">
        <v>2</v>
      </c>
      <c r="E41" s="66">
        <f t="shared" si="0"/>
        <v>7</v>
      </c>
      <c r="F41" s="19" t="s">
        <v>87</v>
      </c>
      <c r="G41" s="121">
        <v>25</v>
      </c>
      <c r="H41" s="137">
        <v>0</v>
      </c>
      <c r="I41" s="271">
        <v>10</v>
      </c>
      <c r="J41" s="21">
        <f t="shared" si="1"/>
        <v>35</v>
      </c>
    </row>
    <row r="42" spans="1:10" ht="14.95" thickBot="1" x14ac:dyDescent="0.3">
      <c r="A42" s="69" t="s">
        <v>86</v>
      </c>
      <c r="B42" s="123">
        <v>0</v>
      </c>
      <c r="C42" s="126">
        <v>0</v>
      </c>
      <c r="D42" s="272">
        <v>0</v>
      </c>
      <c r="E42" s="66">
        <f t="shared" si="0"/>
        <v>0</v>
      </c>
      <c r="F42" s="19" t="s">
        <v>86</v>
      </c>
      <c r="G42" s="121">
        <v>0</v>
      </c>
      <c r="H42" s="137">
        <v>0</v>
      </c>
      <c r="I42" s="271">
        <v>0</v>
      </c>
      <c r="J42" s="21">
        <f t="shared" si="1"/>
        <v>0</v>
      </c>
    </row>
    <row r="43" spans="1:10" ht="14.95" thickBot="1" x14ac:dyDescent="0.3">
      <c r="A43" s="69" t="s">
        <v>70</v>
      </c>
      <c r="B43" s="123">
        <v>2</v>
      </c>
      <c r="C43" s="126">
        <v>0</v>
      </c>
      <c r="D43" s="272">
        <v>2</v>
      </c>
      <c r="E43" s="66">
        <f t="shared" si="0"/>
        <v>4</v>
      </c>
      <c r="F43" s="19" t="s">
        <v>70</v>
      </c>
      <c r="G43" s="121">
        <v>10</v>
      </c>
      <c r="H43" s="137">
        <v>0</v>
      </c>
      <c r="I43" s="271">
        <v>10</v>
      </c>
      <c r="J43" s="21">
        <f t="shared" si="1"/>
        <v>20</v>
      </c>
    </row>
    <row r="44" spans="1:10" ht="14.95" thickBot="1" x14ac:dyDescent="0.3">
      <c r="A44" s="69" t="s">
        <v>88</v>
      </c>
      <c r="B44" s="123">
        <v>0</v>
      </c>
      <c r="C44" s="126">
        <v>0</v>
      </c>
      <c r="D44" s="272">
        <v>0</v>
      </c>
      <c r="E44" s="66">
        <f t="shared" si="0"/>
        <v>0</v>
      </c>
      <c r="F44" s="19" t="s">
        <v>88</v>
      </c>
      <c r="G44" s="121">
        <v>0</v>
      </c>
      <c r="H44" s="137">
        <v>0</v>
      </c>
      <c r="I44" s="271">
        <v>0</v>
      </c>
      <c r="J44" s="21">
        <f t="shared" si="1"/>
        <v>0</v>
      </c>
    </row>
    <row r="45" spans="1:10" ht="14.95" thickBot="1" x14ac:dyDescent="0.3">
      <c r="A45" s="69" t="s">
        <v>3</v>
      </c>
      <c r="B45" s="123">
        <f>SUM(B3:B44)</f>
        <v>45</v>
      </c>
      <c r="C45" s="126">
        <f>SUM(C3:C44)</f>
        <v>19</v>
      </c>
      <c r="D45" s="272">
        <f>SUM(D3:D44)</f>
        <v>43</v>
      </c>
      <c r="E45" s="66">
        <f t="shared" si="0"/>
        <v>107</v>
      </c>
      <c r="F45" s="56" t="s">
        <v>3</v>
      </c>
      <c r="G45" s="120">
        <f>SUM(G3:G44)</f>
        <v>282</v>
      </c>
      <c r="H45" s="136">
        <f>SUM(H3:H44)</f>
        <v>125</v>
      </c>
      <c r="I45" s="270">
        <f>SUM(I3:I44)</f>
        <v>270</v>
      </c>
      <c r="J45" s="49">
        <f t="shared" si="1"/>
        <v>677</v>
      </c>
    </row>
    <row r="46" spans="1:10" ht="16.3" x14ac:dyDescent="0.25">
      <c r="C46" s="57"/>
      <c r="D46" s="57"/>
      <c r="F46" s="3"/>
      <c r="G46" s="3"/>
      <c r="H46" s="58"/>
      <c r="I46" s="58"/>
      <c r="J46" s="3"/>
    </row>
    <row r="47" spans="1:10" ht="17" thickBot="1" x14ac:dyDescent="0.3">
      <c r="A47" t="s">
        <v>7</v>
      </c>
      <c r="C47" s="57"/>
      <c r="D47" s="57"/>
      <c r="F47" s="3"/>
      <c r="G47" s="3"/>
      <c r="H47" s="58"/>
      <c r="I47" s="58"/>
      <c r="J47" s="3"/>
    </row>
    <row r="48" spans="1:10" ht="14.95" thickBot="1" x14ac:dyDescent="0.3">
      <c r="A48" s="72" t="s">
        <v>0</v>
      </c>
      <c r="B48" s="122" t="s">
        <v>15</v>
      </c>
      <c r="C48" s="125" t="s">
        <v>12</v>
      </c>
      <c r="D48" s="273" t="s">
        <v>396</v>
      </c>
      <c r="E48" s="78" t="s">
        <v>1</v>
      </c>
      <c r="F48" s="89" t="s">
        <v>2</v>
      </c>
      <c r="G48" s="120" t="s">
        <v>15</v>
      </c>
      <c r="H48" s="136" t="s">
        <v>12</v>
      </c>
      <c r="I48" s="270" t="s">
        <v>396</v>
      </c>
      <c r="J48" s="49" t="s">
        <v>1</v>
      </c>
    </row>
    <row r="49" spans="1:10" ht="14.95" thickBot="1" x14ac:dyDescent="0.3">
      <c r="A49" s="69" t="s">
        <v>81</v>
      </c>
      <c r="B49" s="123">
        <v>4</v>
      </c>
      <c r="C49" s="126">
        <v>1</v>
      </c>
      <c r="D49" s="272">
        <v>6</v>
      </c>
      <c r="E49" s="66">
        <f>SUM(B49:D49)</f>
        <v>11</v>
      </c>
      <c r="F49" s="20" t="s">
        <v>84</v>
      </c>
      <c r="G49" s="121">
        <v>39</v>
      </c>
      <c r="H49" s="137">
        <v>30</v>
      </c>
      <c r="I49" s="271">
        <v>44</v>
      </c>
      <c r="J49" s="21">
        <f>SUM(G49:I49)</f>
        <v>113</v>
      </c>
    </row>
    <row r="50" spans="1:10" ht="14.95" thickBot="1" x14ac:dyDescent="0.3">
      <c r="A50" s="69" t="s">
        <v>58</v>
      </c>
      <c r="B50" s="123">
        <v>0</v>
      </c>
      <c r="C50" s="126">
        <v>3</v>
      </c>
      <c r="D50" s="272">
        <v>6</v>
      </c>
      <c r="E50" s="66">
        <f>SUM(B50:D50)</f>
        <v>9</v>
      </c>
      <c r="F50" s="20" t="s">
        <v>81</v>
      </c>
      <c r="G50" s="121">
        <v>20</v>
      </c>
      <c r="H50" s="137">
        <v>5</v>
      </c>
      <c r="I50" s="271">
        <v>30</v>
      </c>
      <c r="J50" s="21">
        <f>SUM(G50:I50)</f>
        <v>55</v>
      </c>
    </row>
    <row r="51" spans="1:10" ht="14.95" thickBot="1" x14ac:dyDescent="0.3">
      <c r="A51" s="69" t="s">
        <v>87</v>
      </c>
      <c r="B51" s="123">
        <v>5</v>
      </c>
      <c r="C51" s="126">
        <v>0</v>
      </c>
      <c r="D51" s="272">
        <v>2</v>
      </c>
      <c r="E51" s="66">
        <f>SUM(B51:D51)</f>
        <v>7</v>
      </c>
      <c r="F51" s="19" t="s">
        <v>58</v>
      </c>
      <c r="G51" s="121">
        <v>0</v>
      </c>
      <c r="H51" s="137">
        <v>15</v>
      </c>
      <c r="I51" s="271">
        <v>30</v>
      </c>
      <c r="J51" s="21">
        <f>SUM(G51:I51)</f>
        <v>45</v>
      </c>
    </row>
    <row r="52" spans="1:10" ht="14.95" thickBot="1" x14ac:dyDescent="0.3">
      <c r="A52" s="69" t="s">
        <v>463</v>
      </c>
      <c r="B52" s="123">
        <v>0</v>
      </c>
      <c r="C52" s="126">
        <v>2</v>
      </c>
      <c r="D52" s="272">
        <v>4</v>
      </c>
      <c r="E52" s="66">
        <f>SUM(B52:D52)</f>
        <v>6</v>
      </c>
      <c r="F52" s="19" t="s">
        <v>83</v>
      </c>
      <c r="G52" s="121">
        <v>10</v>
      </c>
      <c r="H52" s="137">
        <v>19</v>
      </c>
      <c r="I52" s="271">
        <v>9</v>
      </c>
      <c r="J52" s="21">
        <f>SUM(G52:I52)</f>
        <v>38</v>
      </c>
    </row>
    <row r="53" spans="1:10" ht="14.95" thickBot="1" x14ac:dyDescent="0.3">
      <c r="A53" s="69" t="s">
        <v>51</v>
      </c>
      <c r="B53" s="123">
        <v>5</v>
      </c>
      <c r="C53" s="126">
        <v>0</v>
      </c>
      <c r="D53" s="272">
        <v>0</v>
      </c>
      <c r="E53" s="66">
        <f>SUM(B53:D53)</f>
        <v>5</v>
      </c>
      <c r="F53" s="19" t="s">
        <v>87</v>
      </c>
      <c r="G53" s="121">
        <v>25</v>
      </c>
      <c r="H53" s="137">
        <v>0</v>
      </c>
      <c r="I53" s="271">
        <v>10</v>
      </c>
      <c r="J53" s="21">
        <f>SUM(G53:I53)</f>
        <v>35</v>
      </c>
    </row>
    <row r="54" spans="1:10" ht="14.95" thickBot="1" x14ac:dyDescent="0.3">
      <c r="A54" s="69" t="s">
        <v>57</v>
      </c>
      <c r="B54" s="123">
        <v>3</v>
      </c>
      <c r="C54" s="126">
        <v>0</v>
      </c>
      <c r="D54" s="272">
        <v>2</v>
      </c>
      <c r="E54" s="66">
        <f>SUM(B54:D54)</f>
        <v>5</v>
      </c>
      <c r="F54" s="19" t="s">
        <v>75</v>
      </c>
      <c r="G54" s="121">
        <v>18</v>
      </c>
      <c r="H54" s="137">
        <v>2</v>
      </c>
      <c r="I54" s="271">
        <v>12</v>
      </c>
      <c r="J54" s="21">
        <f>SUM(G54:I54)</f>
        <v>32</v>
      </c>
    </row>
    <row r="55" spans="1:10" ht="14.95" thickBot="1" x14ac:dyDescent="0.3">
      <c r="A55" s="69" t="s">
        <v>60</v>
      </c>
      <c r="B55" s="123">
        <v>5</v>
      </c>
      <c r="C55" s="126">
        <v>0</v>
      </c>
      <c r="D55" s="272">
        <v>0</v>
      </c>
      <c r="E55" s="66">
        <f>SUM(B55:D55)</f>
        <v>5</v>
      </c>
      <c r="F55" s="19" t="s">
        <v>463</v>
      </c>
      <c r="G55" s="121">
        <v>0</v>
      </c>
      <c r="H55" s="137">
        <v>10</v>
      </c>
      <c r="I55" s="271">
        <v>20</v>
      </c>
      <c r="J55" s="21">
        <f>SUM(G55:I55)</f>
        <v>30</v>
      </c>
    </row>
    <row r="56" spans="1:10" ht="14.95" thickBot="1" x14ac:dyDescent="0.3">
      <c r="A56" s="69" t="s">
        <v>74</v>
      </c>
      <c r="B56" s="123">
        <v>1</v>
      </c>
      <c r="C56" s="126">
        <v>0</v>
      </c>
      <c r="D56" s="272">
        <v>4</v>
      </c>
      <c r="E56" s="66">
        <f>SUM(B56:D56)</f>
        <v>5</v>
      </c>
      <c r="F56" s="19" t="s">
        <v>51</v>
      </c>
      <c r="G56" s="121">
        <v>25</v>
      </c>
      <c r="H56" s="137">
        <v>0</v>
      </c>
      <c r="I56" s="271">
        <v>0</v>
      </c>
      <c r="J56" s="21">
        <f>SUM(G56:I56)</f>
        <v>25</v>
      </c>
    </row>
    <row r="57" spans="1:10" ht="14.95" thickBot="1" x14ac:dyDescent="0.3">
      <c r="A57" s="69" t="s">
        <v>78</v>
      </c>
      <c r="B57" s="123">
        <v>2</v>
      </c>
      <c r="C57" s="126">
        <v>2</v>
      </c>
      <c r="D57" s="272">
        <v>1</v>
      </c>
      <c r="E57" s="66">
        <f>SUM(B57:D57)</f>
        <v>5</v>
      </c>
      <c r="F57" s="19" t="s">
        <v>57</v>
      </c>
      <c r="G57" s="121">
        <v>15</v>
      </c>
      <c r="H57" s="137">
        <v>0</v>
      </c>
      <c r="I57" s="271">
        <v>10</v>
      </c>
      <c r="J57" s="21">
        <f>SUM(G57:I57)</f>
        <v>25</v>
      </c>
    </row>
    <row r="58" spans="1:10" ht="14.95" thickBot="1" x14ac:dyDescent="0.3">
      <c r="A58" s="69" t="s">
        <v>69</v>
      </c>
      <c r="B58" s="123">
        <v>1</v>
      </c>
      <c r="C58" s="126">
        <v>0</v>
      </c>
      <c r="D58" s="272">
        <v>4</v>
      </c>
      <c r="E58" s="66">
        <f>SUM(B58:D58)</f>
        <v>5</v>
      </c>
      <c r="F58" s="19" t="s">
        <v>60</v>
      </c>
      <c r="G58" s="121">
        <v>25</v>
      </c>
      <c r="H58" s="137">
        <v>0</v>
      </c>
      <c r="I58" s="271">
        <v>0</v>
      </c>
      <c r="J58" s="21">
        <f>SUM(G58:I58)</f>
        <v>25</v>
      </c>
    </row>
    <row r="59" spans="1:10" ht="14.95" thickBot="1" x14ac:dyDescent="0.3">
      <c r="A59" s="69" t="s">
        <v>84</v>
      </c>
      <c r="B59" s="123">
        <v>2</v>
      </c>
      <c r="C59" s="126">
        <v>2</v>
      </c>
      <c r="D59" s="272">
        <v>1</v>
      </c>
      <c r="E59" s="66">
        <f>SUM(B59:D59)</f>
        <v>5</v>
      </c>
      <c r="F59" s="19" t="s">
        <v>74</v>
      </c>
      <c r="G59" s="121">
        <v>5</v>
      </c>
      <c r="H59" s="137">
        <v>0</v>
      </c>
      <c r="I59" s="271">
        <v>20</v>
      </c>
      <c r="J59" s="21">
        <f>SUM(G59:I59)</f>
        <v>25</v>
      </c>
    </row>
    <row r="60" spans="1:10" ht="14.95" thickBot="1" x14ac:dyDescent="0.3">
      <c r="A60" s="69" t="s">
        <v>72</v>
      </c>
      <c r="B60" s="123">
        <v>2</v>
      </c>
      <c r="C60" s="126">
        <v>2</v>
      </c>
      <c r="D60" s="272">
        <v>0</v>
      </c>
      <c r="E60" s="66">
        <f>SUM(B60:D60)</f>
        <v>4</v>
      </c>
      <c r="F60" s="19" t="s">
        <v>78</v>
      </c>
      <c r="G60" s="121">
        <v>10</v>
      </c>
      <c r="H60" s="137">
        <v>10</v>
      </c>
      <c r="I60" s="271">
        <v>5</v>
      </c>
      <c r="J60" s="21">
        <f>SUM(G60:I60)</f>
        <v>25</v>
      </c>
    </row>
    <row r="61" spans="1:10" ht="14.95" thickBot="1" x14ac:dyDescent="0.3">
      <c r="A61" s="69" t="s">
        <v>66</v>
      </c>
      <c r="B61" s="123">
        <v>2</v>
      </c>
      <c r="C61" s="126">
        <v>1</v>
      </c>
      <c r="D61" s="272">
        <v>1</v>
      </c>
      <c r="E61" s="66">
        <f>SUM(B61:D61)</f>
        <v>4</v>
      </c>
      <c r="F61" s="19" t="s">
        <v>69</v>
      </c>
      <c r="G61" s="121">
        <v>5</v>
      </c>
      <c r="H61" s="137">
        <v>0</v>
      </c>
      <c r="I61" s="271">
        <v>20</v>
      </c>
      <c r="J61" s="21">
        <f>SUM(G61:I61)</f>
        <v>25</v>
      </c>
    </row>
    <row r="62" spans="1:10" ht="14.95" thickBot="1" x14ac:dyDescent="0.3">
      <c r="A62" s="69" t="s">
        <v>83</v>
      </c>
      <c r="B62" s="123">
        <v>0</v>
      </c>
      <c r="C62" s="126">
        <v>3</v>
      </c>
      <c r="D62" s="272">
        <v>1</v>
      </c>
      <c r="E62" s="66">
        <f>SUM(B62:D62)</f>
        <v>4</v>
      </c>
      <c r="F62" s="19" t="s">
        <v>72</v>
      </c>
      <c r="G62" s="121">
        <v>10</v>
      </c>
      <c r="H62" s="137">
        <v>10</v>
      </c>
      <c r="I62" s="271">
        <v>0</v>
      </c>
      <c r="J62" s="21">
        <f>SUM(G62:I62)</f>
        <v>20</v>
      </c>
    </row>
    <row r="63" spans="1:10" ht="14.95" thickBot="1" x14ac:dyDescent="0.3">
      <c r="A63" s="69" t="s">
        <v>70</v>
      </c>
      <c r="B63" s="123">
        <v>2</v>
      </c>
      <c r="C63" s="126">
        <v>0</v>
      </c>
      <c r="D63" s="272">
        <v>2</v>
      </c>
      <c r="E63" s="66">
        <f>SUM(B63:D63)</f>
        <v>4</v>
      </c>
      <c r="F63" s="19" t="s">
        <v>66</v>
      </c>
      <c r="G63" s="121">
        <v>10</v>
      </c>
      <c r="H63" s="137">
        <v>5</v>
      </c>
      <c r="I63" s="271">
        <v>5</v>
      </c>
      <c r="J63" s="21">
        <f>SUM(G63:I63)</f>
        <v>20</v>
      </c>
    </row>
    <row r="64" spans="1:10" ht="14.95" thickBot="1" x14ac:dyDescent="0.3">
      <c r="A64" s="69" t="s">
        <v>53</v>
      </c>
      <c r="B64" s="123">
        <v>2</v>
      </c>
      <c r="C64" s="126">
        <v>0</v>
      </c>
      <c r="D64" s="272">
        <v>1</v>
      </c>
      <c r="E64" s="66">
        <f>SUM(B64:D64)</f>
        <v>3</v>
      </c>
      <c r="F64" s="19" t="s">
        <v>70</v>
      </c>
      <c r="G64" s="121">
        <v>10</v>
      </c>
      <c r="H64" s="137">
        <v>0</v>
      </c>
      <c r="I64" s="271">
        <v>10</v>
      </c>
      <c r="J64" s="21">
        <f>SUM(G64:I64)</f>
        <v>20</v>
      </c>
    </row>
    <row r="65" spans="1:10" ht="14.95" thickBot="1" x14ac:dyDescent="0.3">
      <c r="A65" s="69" t="s">
        <v>62</v>
      </c>
      <c r="B65" s="123">
        <v>0</v>
      </c>
      <c r="C65" s="126">
        <v>0</v>
      </c>
      <c r="D65" s="272">
        <v>3</v>
      </c>
      <c r="E65" s="66">
        <f>SUM(B65:D65)</f>
        <v>3</v>
      </c>
      <c r="F65" s="19" t="s">
        <v>53</v>
      </c>
      <c r="G65" s="121">
        <v>10</v>
      </c>
      <c r="H65" s="137">
        <v>0</v>
      </c>
      <c r="I65" s="271">
        <v>5</v>
      </c>
      <c r="J65" s="21">
        <f>SUM(G65:I65)</f>
        <v>15</v>
      </c>
    </row>
    <row r="66" spans="1:10" ht="14.95" thickBot="1" x14ac:dyDescent="0.3">
      <c r="A66" s="69" t="s">
        <v>52</v>
      </c>
      <c r="B66" s="123">
        <v>1</v>
      </c>
      <c r="C66" s="126">
        <v>1</v>
      </c>
      <c r="D66" s="272">
        <v>0</v>
      </c>
      <c r="E66" s="66">
        <f>SUM(B66:D66)</f>
        <v>2</v>
      </c>
      <c r="F66" s="19" t="s">
        <v>62</v>
      </c>
      <c r="G66" s="121">
        <v>0</v>
      </c>
      <c r="H66" s="137">
        <v>0</v>
      </c>
      <c r="I66" s="271">
        <v>15</v>
      </c>
      <c r="J66" s="21">
        <f>SUM(G66:I66)</f>
        <v>15</v>
      </c>
    </row>
    <row r="67" spans="1:10" ht="14.95" thickBot="1" x14ac:dyDescent="0.3">
      <c r="A67" s="69" t="s">
        <v>64</v>
      </c>
      <c r="B67" s="123">
        <v>1</v>
      </c>
      <c r="C67" s="126">
        <v>0</v>
      </c>
      <c r="D67" s="272">
        <v>1</v>
      </c>
      <c r="E67" s="66">
        <f>SUM(B67:D67)</f>
        <v>2</v>
      </c>
      <c r="F67" s="19" t="s">
        <v>52</v>
      </c>
      <c r="G67" s="121">
        <v>5</v>
      </c>
      <c r="H67" s="137">
        <v>5</v>
      </c>
      <c r="I67" s="271">
        <v>0</v>
      </c>
      <c r="J67" s="21">
        <f>SUM(G67:I67)</f>
        <v>10</v>
      </c>
    </row>
    <row r="68" spans="1:10" ht="14.95" thickBot="1" x14ac:dyDescent="0.3">
      <c r="A68" s="69" t="s">
        <v>77</v>
      </c>
      <c r="B68" s="123">
        <v>1</v>
      </c>
      <c r="C68" s="126">
        <v>0</v>
      </c>
      <c r="D68" s="272">
        <v>1</v>
      </c>
      <c r="E68" s="66">
        <f>SUM(B68:D68)</f>
        <v>2</v>
      </c>
      <c r="F68" s="19" t="s">
        <v>64</v>
      </c>
      <c r="G68" s="121">
        <v>5</v>
      </c>
      <c r="H68" s="137">
        <v>0</v>
      </c>
      <c r="I68" s="271">
        <v>5</v>
      </c>
      <c r="J68" s="21">
        <f>SUM(G68:I68)</f>
        <v>10</v>
      </c>
    </row>
    <row r="69" spans="1:10" ht="14.95" thickBot="1" x14ac:dyDescent="0.3">
      <c r="A69" s="69" t="s">
        <v>65</v>
      </c>
      <c r="B69" s="123">
        <v>0</v>
      </c>
      <c r="C69" s="126">
        <v>0</v>
      </c>
      <c r="D69" s="272">
        <v>2</v>
      </c>
      <c r="E69" s="66">
        <f>SUM(B69:D69)</f>
        <v>2</v>
      </c>
      <c r="F69" s="19" t="s">
        <v>77</v>
      </c>
      <c r="G69" s="121">
        <v>5</v>
      </c>
      <c r="H69" s="137">
        <v>0</v>
      </c>
      <c r="I69" s="271">
        <v>5</v>
      </c>
      <c r="J69" s="21">
        <f>SUM(G69:I69)</f>
        <v>10</v>
      </c>
    </row>
    <row r="70" spans="1:10" ht="14.95" thickBot="1" x14ac:dyDescent="0.3">
      <c r="A70" s="69" t="s">
        <v>79</v>
      </c>
      <c r="B70" s="123">
        <v>2</v>
      </c>
      <c r="C70" s="126">
        <v>0</v>
      </c>
      <c r="D70" s="272">
        <v>0</v>
      </c>
      <c r="E70" s="66">
        <f>SUM(B70:D70)</f>
        <v>2</v>
      </c>
      <c r="F70" s="19" t="s">
        <v>65</v>
      </c>
      <c r="G70" s="121">
        <v>0</v>
      </c>
      <c r="H70" s="137">
        <v>0</v>
      </c>
      <c r="I70" s="271">
        <v>10</v>
      </c>
      <c r="J70" s="21">
        <f>SUM(G70:I70)</f>
        <v>10</v>
      </c>
    </row>
    <row r="71" spans="1:10" ht="14.95" thickBot="1" x14ac:dyDescent="0.3">
      <c r="A71" s="69" t="s">
        <v>71</v>
      </c>
      <c r="B71" s="123">
        <v>1</v>
      </c>
      <c r="C71" s="126">
        <v>0</v>
      </c>
      <c r="D71" s="272">
        <v>0</v>
      </c>
      <c r="E71" s="66">
        <f>SUM(B71:D71)</f>
        <v>1</v>
      </c>
      <c r="F71" s="19" t="s">
        <v>79</v>
      </c>
      <c r="G71" s="121">
        <v>10</v>
      </c>
      <c r="H71" s="137">
        <v>0</v>
      </c>
      <c r="I71" s="271">
        <v>0</v>
      </c>
      <c r="J71" s="21">
        <f>SUM(G71:I71)</f>
        <v>10</v>
      </c>
    </row>
    <row r="72" spans="1:10" ht="14.95" thickBot="1" x14ac:dyDescent="0.3">
      <c r="A72" s="69" t="s">
        <v>49</v>
      </c>
      <c r="B72" s="123">
        <v>0</v>
      </c>
      <c r="C72" s="126">
        <v>0</v>
      </c>
      <c r="D72" s="272">
        <v>1</v>
      </c>
      <c r="E72" s="66">
        <f>SUM(B72:D72)</f>
        <v>1</v>
      </c>
      <c r="F72" s="19" t="s">
        <v>302</v>
      </c>
      <c r="G72" s="121">
        <v>0</v>
      </c>
      <c r="H72" s="137">
        <v>7</v>
      </c>
      <c r="I72" s="271">
        <v>0</v>
      </c>
      <c r="J72" s="21">
        <f>SUM(G72:I72)</f>
        <v>7</v>
      </c>
    </row>
    <row r="73" spans="1:10" ht="14.95" thickBot="1" x14ac:dyDescent="0.3">
      <c r="A73" s="69" t="s">
        <v>73</v>
      </c>
      <c r="B73" s="123">
        <v>1</v>
      </c>
      <c r="C73" s="126">
        <v>0</v>
      </c>
      <c r="D73" s="272">
        <v>0</v>
      </c>
      <c r="E73" s="66">
        <f>SUM(B73:D73)</f>
        <v>1</v>
      </c>
      <c r="F73" s="19" t="s">
        <v>71</v>
      </c>
      <c r="G73" s="121">
        <v>5</v>
      </c>
      <c r="H73" s="137">
        <v>0</v>
      </c>
      <c r="I73" s="271">
        <v>0</v>
      </c>
      <c r="J73" s="21">
        <f>SUM(G73:I73)</f>
        <v>5</v>
      </c>
    </row>
    <row r="74" spans="1:10" ht="14.95" thickBot="1" x14ac:dyDescent="0.3">
      <c r="A74" s="69" t="s">
        <v>61</v>
      </c>
      <c r="B74" s="123">
        <v>1</v>
      </c>
      <c r="C74" s="126">
        <v>0</v>
      </c>
      <c r="D74" s="272">
        <v>0</v>
      </c>
      <c r="E74" s="66">
        <f>SUM(B74:D74)</f>
        <v>1</v>
      </c>
      <c r="F74" s="19" t="s">
        <v>49</v>
      </c>
      <c r="G74" s="121">
        <v>0</v>
      </c>
      <c r="H74" s="137">
        <v>0</v>
      </c>
      <c r="I74" s="271">
        <v>5</v>
      </c>
      <c r="J74" s="21">
        <f>SUM(G74:I74)</f>
        <v>5</v>
      </c>
    </row>
    <row r="75" spans="1:10" ht="14.95" thickBot="1" x14ac:dyDescent="0.3">
      <c r="A75" s="69" t="s">
        <v>76</v>
      </c>
      <c r="B75" s="123">
        <v>0</v>
      </c>
      <c r="C75" s="126">
        <v>1</v>
      </c>
      <c r="D75" s="272">
        <v>0</v>
      </c>
      <c r="E75" s="66">
        <f>SUM(B75:D75)</f>
        <v>1</v>
      </c>
      <c r="F75" s="19" t="s">
        <v>73</v>
      </c>
      <c r="G75" s="121">
        <v>5</v>
      </c>
      <c r="H75" s="137">
        <v>0</v>
      </c>
      <c r="I75" s="271">
        <v>0</v>
      </c>
      <c r="J75" s="21">
        <f>SUM(G75:I75)</f>
        <v>5</v>
      </c>
    </row>
    <row r="76" spans="1:10" ht="14.95" thickBot="1" x14ac:dyDescent="0.3">
      <c r="A76" s="69" t="s">
        <v>302</v>
      </c>
      <c r="B76" s="123">
        <v>0</v>
      </c>
      <c r="C76" s="126">
        <v>1</v>
      </c>
      <c r="D76" s="272">
        <v>0</v>
      </c>
      <c r="E76" s="66">
        <f>SUM(B76:D76)</f>
        <v>1</v>
      </c>
      <c r="F76" s="19" t="s">
        <v>61</v>
      </c>
      <c r="G76" s="121">
        <v>5</v>
      </c>
      <c r="H76" s="137">
        <v>0</v>
      </c>
      <c r="I76" s="271">
        <v>0</v>
      </c>
      <c r="J76" s="21">
        <f>SUM(G76:I76)</f>
        <v>5</v>
      </c>
    </row>
    <row r="77" spans="1:10" ht="14.95" thickBot="1" x14ac:dyDescent="0.3">
      <c r="A77" s="69" t="s">
        <v>85</v>
      </c>
      <c r="B77" s="123">
        <v>1</v>
      </c>
      <c r="C77" s="126">
        <v>0</v>
      </c>
      <c r="D77" s="272">
        <v>0</v>
      </c>
      <c r="E77" s="66">
        <f>SUM(B77:D77)</f>
        <v>1</v>
      </c>
      <c r="F77" s="19" t="s">
        <v>76</v>
      </c>
      <c r="G77" s="121">
        <v>0</v>
      </c>
      <c r="H77" s="137">
        <v>5</v>
      </c>
      <c r="I77" s="271">
        <v>0</v>
      </c>
      <c r="J77" s="21">
        <f>SUM(G77:I77)</f>
        <v>5</v>
      </c>
    </row>
    <row r="78" spans="1:10" ht="14.95" thickBot="1" x14ac:dyDescent="0.3">
      <c r="A78" s="69" t="s">
        <v>50</v>
      </c>
      <c r="B78" s="123">
        <v>0</v>
      </c>
      <c r="C78" s="126">
        <v>0</v>
      </c>
      <c r="D78" s="272">
        <v>0</v>
      </c>
      <c r="E78" s="66">
        <f>SUM(B78:D78)</f>
        <v>0</v>
      </c>
      <c r="F78" s="19" t="s">
        <v>85</v>
      </c>
      <c r="G78" s="121">
        <v>5</v>
      </c>
      <c r="H78" s="137">
        <v>0</v>
      </c>
      <c r="I78" s="271">
        <v>0</v>
      </c>
      <c r="J78" s="21">
        <f>SUM(G78:I78)</f>
        <v>5</v>
      </c>
    </row>
    <row r="79" spans="1:10" ht="14.95" thickBot="1" x14ac:dyDescent="0.3">
      <c r="A79" s="69" t="s">
        <v>54</v>
      </c>
      <c r="B79" s="123">
        <v>0</v>
      </c>
      <c r="C79" s="126">
        <v>0</v>
      </c>
      <c r="D79" s="272">
        <v>0</v>
      </c>
      <c r="E79" s="66">
        <f>SUM(B79:D79)</f>
        <v>0</v>
      </c>
      <c r="F79" s="19" t="s">
        <v>82</v>
      </c>
      <c r="G79" s="121">
        <v>0</v>
      </c>
      <c r="H79" s="137">
        <v>2</v>
      </c>
      <c r="I79" s="271">
        <v>0</v>
      </c>
      <c r="J79" s="21">
        <f>SUM(G79:I79)</f>
        <v>2</v>
      </c>
    </row>
    <row r="80" spans="1:10" ht="14.95" thickBot="1" x14ac:dyDescent="0.3">
      <c r="A80" s="69" t="s">
        <v>55</v>
      </c>
      <c r="B80" s="123">
        <v>0</v>
      </c>
      <c r="C80" s="126">
        <v>0</v>
      </c>
      <c r="D80" s="272">
        <v>0</v>
      </c>
      <c r="E80" s="66">
        <f>SUM(B80:D80)</f>
        <v>0</v>
      </c>
      <c r="F80" s="19" t="s">
        <v>50</v>
      </c>
      <c r="G80" s="121">
        <v>0</v>
      </c>
      <c r="H80" s="137">
        <v>0</v>
      </c>
      <c r="I80" s="271">
        <v>0</v>
      </c>
      <c r="J80" s="21">
        <f>SUM(G80:I80)</f>
        <v>0</v>
      </c>
    </row>
    <row r="81" spans="1:10" ht="14.95" thickBot="1" x14ac:dyDescent="0.3">
      <c r="A81" s="69" t="s">
        <v>56</v>
      </c>
      <c r="B81" s="123">
        <v>0</v>
      </c>
      <c r="C81" s="126">
        <v>0</v>
      </c>
      <c r="D81" s="272">
        <v>0</v>
      </c>
      <c r="E81" s="66">
        <f>SUM(B81:D81)</f>
        <v>0</v>
      </c>
      <c r="F81" s="19" t="s">
        <v>54</v>
      </c>
      <c r="G81" s="121">
        <v>0</v>
      </c>
      <c r="H81" s="137">
        <v>0</v>
      </c>
      <c r="I81" s="271">
        <v>0</v>
      </c>
      <c r="J81" s="21">
        <f>SUM(G81:I81)</f>
        <v>0</v>
      </c>
    </row>
    <row r="82" spans="1:10" ht="14.95" thickBot="1" x14ac:dyDescent="0.3">
      <c r="A82" s="69" t="s">
        <v>59</v>
      </c>
      <c r="B82" s="123">
        <v>0</v>
      </c>
      <c r="C82" s="126">
        <v>0</v>
      </c>
      <c r="D82" s="272">
        <v>0</v>
      </c>
      <c r="E82" s="66">
        <f>SUM(B82:D82)</f>
        <v>0</v>
      </c>
      <c r="F82" s="19" t="s">
        <v>55</v>
      </c>
      <c r="G82" s="121">
        <v>0</v>
      </c>
      <c r="H82" s="137">
        <v>0</v>
      </c>
      <c r="I82" s="271">
        <v>0</v>
      </c>
      <c r="J82" s="21">
        <f>SUM(G82:I82)</f>
        <v>0</v>
      </c>
    </row>
    <row r="83" spans="1:10" ht="14.95" thickBot="1" x14ac:dyDescent="0.3">
      <c r="A83" s="69" t="s">
        <v>63</v>
      </c>
      <c r="B83" s="123">
        <v>0</v>
      </c>
      <c r="C83" s="126">
        <v>0</v>
      </c>
      <c r="D83" s="272">
        <v>0</v>
      </c>
      <c r="E83" s="66">
        <f>SUM(B83:D83)</f>
        <v>0</v>
      </c>
      <c r="F83" s="19" t="s">
        <v>56</v>
      </c>
      <c r="G83" s="121">
        <v>0</v>
      </c>
      <c r="H83" s="137">
        <v>0</v>
      </c>
      <c r="I83" s="271">
        <v>0</v>
      </c>
      <c r="J83" s="21">
        <f>SUM(G83:I83)</f>
        <v>0</v>
      </c>
    </row>
    <row r="84" spans="1:10" ht="14.95" thickBot="1" x14ac:dyDescent="0.3">
      <c r="A84" s="69" t="s">
        <v>75</v>
      </c>
      <c r="B84" s="123">
        <v>0</v>
      </c>
      <c r="C84" s="126">
        <v>0</v>
      </c>
      <c r="D84" s="272">
        <v>0</v>
      </c>
      <c r="E84" s="66">
        <f>SUM(B84:D84)</f>
        <v>0</v>
      </c>
      <c r="F84" s="19" t="s">
        <v>59</v>
      </c>
      <c r="G84" s="121">
        <v>0</v>
      </c>
      <c r="H84" s="137">
        <v>0</v>
      </c>
      <c r="I84" s="271">
        <v>0</v>
      </c>
      <c r="J84" s="21">
        <f>SUM(G84:I84)</f>
        <v>0</v>
      </c>
    </row>
    <row r="85" spans="1:10" ht="14.95" thickBot="1" x14ac:dyDescent="0.3">
      <c r="A85" s="69" t="s">
        <v>67</v>
      </c>
      <c r="B85" s="123">
        <v>0</v>
      </c>
      <c r="C85" s="126">
        <v>0</v>
      </c>
      <c r="D85" s="272">
        <v>0</v>
      </c>
      <c r="E85" s="66">
        <f>SUM(B85:D85)</f>
        <v>0</v>
      </c>
      <c r="F85" s="19" t="s">
        <v>63</v>
      </c>
      <c r="G85" s="121">
        <v>0</v>
      </c>
      <c r="H85" s="137">
        <v>0</v>
      </c>
      <c r="I85" s="271">
        <v>0</v>
      </c>
      <c r="J85" s="21">
        <f>SUM(G85:I85)</f>
        <v>0</v>
      </c>
    </row>
    <row r="86" spans="1:10" ht="14.95" thickBot="1" x14ac:dyDescent="0.3">
      <c r="A86" s="69" t="s">
        <v>68</v>
      </c>
      <c r="B86" s="123">
        <v>0</v>
      </c>
      <c r="C86" s="126">
        <v>0</v>
      </c>
      <c r="D86" s="272">
        <v>0</v>
      </c>
      <c r="E86" s="66">
        <f>SUM(B86:D86)</f>
        <v>0</v>
      </c>
      <c r="F86" s="19" t="s">
        <v>67</v>
      </c>
      <c r="G86" s="121">
        <v>0</v>
      </c>
      <c r="H86" s="137">
        <v>0</v>
      </c>
      <c r="I86" s="271">
        <v>0</v>
      </c>
      <c r="J86" s="21">
        <f>SUM(G86:I86)</f>
        <v>0</v>
      </c>
    </row>
    <row r="87" spans="1:10" ht="14.95" thickBot="1" x14ac:dyDescent="0.3">
      <c r="A87" s="69" t="s">
        <v>80</v>
      </c>
      <c r="B87" s="123">
        <v>0</v>
      </c>
      <c r="C87" s="126">
        <v>0</v>
      </c>
      <c r="D87" s="272">
        <v>0</v>
      </c>
      <c r="E87" s="66">
        <f>SUM(B87:D87)</f>
        <v>0</v>
      </c>
      <c r="F87" s="19" t="s">
        <v>68</v>
      </c>
      <c r="G87" s="121">
        <v>0</v>
      </c>
      <c r="H87" s="137">
        <v>0</v>
      </c>
      <c r="I87" s="271">
        <v>0</v>
      </c>
      <c r="J87" s="21">
        <f>SUM(G87:I87)</f>
        <v>0</v>
      </c>
    </row>
    <row r="88" spans="1:10" ht="14.95" thickBot="1" x14ac:dyDescent="0.3">
      <c r="A88" s="69" t="s">
        <v>82</v>
      </c>
      <c r="B88" s="123">
        <v>0</v>
      </c>
      <c r="C88" s="126">
        <v>0</v>
      </c>
      <c r="D88" s="272">
        <v>0</v>
      </c>
      <c r="E88" s="66">
        <f>SUM(B88:D88)</f>
        <v>0</v>
      </c>
      <c r="F88" s="19" t="s">
        <v>80</v>
      </c>
      <c r="G88" s="121">
        <v>0</v>
      </c>
      <c r="H88" s="137">
        <v>0</v>
      </c>
      <c r="I88" s="271">
        <v>0</v>
      </c>
      <c r="J88" s="21">
        <f>SUM(G88:I88)</f>
        <v>0</v>
      </c>
    </row>
    <row r="89" spans="1:10" ht="14.95" customHeight="1" thickBot="1" x14ac:dyDescent="0.3">
      <c r="A89" s="69" t="s">
        <v>86</v>
      </c>
      <c r="B89" s="123">
        <v>0</v>
      </c>
      <c r="C89" s="126">
        <v>0</v>
      </c>
      <c r="D89" s="272">
        <v>0</v>
      </c>
      <c r="E89" s="66">
        <f>SUM(B89:D89)</f>
        <v>0</v>
      </c>
      <c r="F89" s="19" t="s">
        <v>86</v>
      </c>
      <c r="G89" s="121">
        <v>0</v>
      </c>
      <c r="H89" s="137">
        <v>0</v>
      </c>
      <c r="I89" s="271">
        <v>0</v>
      </c>
      <c r="J89" s="21">
        <f>SUM(G89:I89)</f>
        <v>0</v>
      </c>
    </row>
    <row r="90" spans="1:10" ht="14.95" thickBot="1" x14ac:dyDescent="0.3">
      <c r="A90" s="69" t="s">
        <v>88</v>
      </c>
      <c r="B90" s="123">
        <v>0</v>
      </c>
      <c r="C90" s="126">
        <v>0</v>
      </c>
      <c r="D90" s="272">
        <v>0</v>
      </c>
      <c r="E90" s="66">
        <f>SUM(B90:D90)</f>
        <v>0</v>
      </c>
      <c r="F90" s="19" t="s">
        <v>88</v>
      </c>
      <c r="G90" s="121">
        <v>0</v>
      </c>
      <c r="H90" s="137">
        <v>0</v>
      </c>
      <c r="I90" s="271">
        <v>0</v>
      </c>
      <c r="J90" s="21">
        <f>SUM(G90:I90)</f>
        <v>0</v>
      </c>
    </row>
    <row r="91" spans="1:10" ht="14.95" customHeight="1" thickBot="1" x14ac:dyDescent="0.3">
      <c r="A91" s="69" t="s">
        <v>3</v>
      </c>
      <c r="B91" s="123">
        <f>SUM(B49:B90)</f>
        <v>45</v>
      </c>
      <c r="C91" s="126">
        <f>SUM(C49:C90)</f>
        <v>19</v>
      </c>
      <c r="D91" s="272">
        <f>SUM(D49:D90)</f>
        <v>43</v>
      </c>
      <c r="E91" s="66">
        <f t="shared" ref="E50:E91" si="8">SUM(B91:D91)</f>
        <v>107</v>
      </c>
      <c r="F91" s="56" t="s">
        <v>3</v>
      </c>
      <c r="G91" s="120">
        <f>SUM(G49:G90)</f>
        <v>282</v>
      </c>
      <c r="H91" s="136">
        <f>SUM(H49:H90)</f>
        <v>125</v>
      </c>
      <c r="I91" s="270">
        <f>SUM(I49:I90)</f>
        <v>270</v>
      </c>
      <c r="J91" s="49">
        <f t="shared" ref="J50:J91" si="9">SUM(G91:I91)</f>
        <v>677</v>
      </c>
    </row>
    <row r="92" spans="1:10" x14ac:dyDescent="0.25">
      <c r="A92" s="317" t="s">
        <v>11</v>
      </c>
      <c r="B92" s="317"/>
      <c r="C92" s="318"/>
    </row>
  </sheetData>
  <sortState xmlns:xlrd2="http://schemas.microsoft.com/office/spreadsheetml/2017/richdata2" ref="F49:J90">
    <sortCondition descending="1" ref="J49:J90"/>
  </sortState>
  <mergeCells count="10">
    <mergeCell ref="A92:C92"/>
    <mergeCell ref="L9:N10"/>
    <mergeCell ref="L1:N2"/>
    <mergeCell ref="A1:J1"/>
    <mergeCell ref="R1:R2"/>
    <mergeCell ref="K1:K2"/>
    <mergeCell ref="O1:Q2"/>
    <mergeCell ref="K9:K10"/>
    <mergeCell ref="K16:K17"/>
    <mergeCell ref="L16:N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1EB6-180F-4222-8C94-B16A91BDFD4A}">
  <dimension ref="A1:R76"/>
  <sheetViews>
    <sheetView workbookViewId="0">
      <selection activeCell="N45" sqref="N45"/>
    </sheetView>
  </sheetViews>
  <sheetFormatPr defaultRowHeight="14.3" x14ac:dyDescent="0.25"/>
  <cols>
    <col min="1" max="1" width="16.5" customWidth="1"/>
    <col min="2" max="5" width="4.5" customWidth="1"/>
    <col min="6" max="6" width="16.5" customWidth="1"/>
    <col min="7" max="10" width="4.5" customWidth="1"/>
    <col min="11" max="11" width="16.5" customWidth="1"/>
    <col min="12" max="18" width="5.75" customWidth="1"/>
  </cols>
  <sheetData>
    <row r="1" spans="1:18" ht="17" thickBot="1" x14ac:dyDescent="0.3">
      <c r="A1" s="347" t="s">
        <v>320</v>
      </c>
      <c r="B1" s="348"/>
      <c r="C1" s="348"/>
      <c r="D1" s="348"/>
      <c r="E1" s="348"/>
      <c r="F1" s="348"/>
      <c r="G1" s="348"/>
      <c r="H1" s="348"/>
      <c r="I1" s="348"/>
      <c r="J1" s="349"/>
      <c r="K1" s="342" t="s">
        <v>522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</row>
    <row r="2" spans="1:18" ht="14.95" thickBot="1" x14ac:dyDescent="0.3">
      <c r="A2" s="149" t="s">
        <v>0</v>
      </c>
      <c r="B2" s="125" t="s">
        <v>12</v>
      </c>
      <c r="C2" s="210" t="s">
        <v>370</v>
      </c>
      <c r="D2" s="273" t="s">
        <v>396</v>
      </c>
      <c r="E2" s="78" t="s">
        <v>1</v>
      </c>
      <c r="F2" s="89" t="s">
        <v>2</v>
      </c>
      <c r="G2" s="136" t="s">
        <v>12</v>
      </c>
      <c r="H2" s="93" t="s">
        <v>370</v>
      </c>
      <c r="I2" s="270" t="s">
        <v>396</v>
      </c>
      <c r="J2" s="49" t="s">
        <v>1</v>
      </c>
      <c r="K2" s="343"/>
      <c r="L2" s="312"/>
      <c r="M2" s="313"/>
      <c r="N2" s="314"/>
      <c r="O2" s="312"/>
      <c r="P2" s="313"/>
      <c r="Q2" s="314"/>
      <c r="R2" s="316"/>
    </row>
    <row r="3" spans="1:18" ht="14.95" thickBot="1" x14ac:dyDescent="0.3">
      <c r="A3" s="150" t="s">
        <v>391</v>
      </c>
      <c r="B3" s="126">
        <v>0</v>
      </c>
      <c r="C3" s="211">
        <v>1</v>
      </c>
      <c r="D3" s="272">
        <v>0</v>
      </c>
      <c r="E3" s="66">
        <f>SUM(B3:D3)</f>
        <v>1</v>
      </c>
      <c r="F3" s="20" t="s">
        <v>391</v>
      </c>
      <c r="G3" s="137">
        <v>0</v>
      </c>
      <c r="H3" s="77">
        <v>5</v>
      </c>
      <c r="I3" s="271">
        <v>0</v>
      </c>
      <c r="J3" s="21">
        <f>SUM(G3:I3)</f>
        <v>5</v>
      </c>
      <c r="K3" s="4"/>
      <c r="L3" s="31" t="s">
        <v>18</v>
      </c>
      <c r="M3" s="31" t="s">
        <v>5</v>
      </c>
      <c r="N3" s="31" t="s">
        <v>6</v>
      </c>
      <c r="O3" s="84" t="s">
        <v>18</v>
      </c>
      <c r="P3" s="31" t="s">
        <v>5</v>
      </c>
      <c r="Q3" s="31" t="s">
        <v>6</v>
      </c>
      <c r="R3" s="1"/>
    </row>
    <row r="4" spans="1:18" ht="14.95" thickBot="1" x14ac:dyDescent="0.3">
      <c r="A4" s="150" t="s">
        <v>322</v>
      </c>
      <c r="B4" s="126">
        <v>1</v>
      </c>
      <c r="C4" s="211">
        <v>0</v>
      </c>
      <c r="D4" s="272">
        <v>0</v>
      </c>
      <c r="E4" s="66">
        <f t="shared" ref="E4:E37" si="0">SUM(B4:D4)</f>
        <v>1</v>
      </c>
      <c r="F4" s="20" t="s">
        <v>322</v>
      </c>
      <c r="G4" s="137">
        <v>5</v>
      </c>
      <c r="H4" s="77">
        <v>0</v>
      </c>
      <c r="I4" s="271">
        <v>0</v>
      </c>
      <c r="J4" s="21">
        <f t="shared" ref="J4:J37" si="1">SUM(G4:I4)</f>
        <v>5</v>
      </c>
      <c r="K4" s="150" t="s">
        <v>323</v>
      </c>
      <c r="L4" s="66">
        <v>14</v>
      </c>
      <c r="M4" s="66" t="s">
        <v>524</v>
      </c>
      <c r="N4" s="66" t="s">
        <v>524</v>
      </c>
      <c r="O4" s="66"/>
      <c r="P4" s="66"/>
      <c r="Q4" s="151"/>
      <c r="R4" s="66" t="s">
        <v>524</v>
      </c>
    </row>
    <row r="5" spans="1:18" ht="14.95" thickBot="1" x14ac:dyDescent="0.3">
      <c r="A5" s="150" t="s">
        <v>579</v>
      </c>
      <c r="B5" s="126">
        <v>0</v>
      </c>
      <c r="C5" s="211">
        <v>0</v>
      </c>
      <c r="D5" s="272">
        <v>1</v>
      </c>
      <c r="E5" s="66">
        <v>1</v>
      </c>
      <c r="F5" s="20" t="s">
        <v>579</v>
      </c>
      <c r="G5" s="137">
        <v>0</v>
      </c>
      <c r="H5" s="77">
        <v>0</v>
      </c>
      <c r="I5" s="271">
        <v>15</v>
      </c>
      <c r="J5" s="21">
        <v>15</v>
      </c>
      <c r="K5" s="150" t="s">
        <v>374</v>
      </c>
      <c r="L5" s="66">
        <v>1</v>
      </c>
      <c r="M5" s="66" t="s">
        <v>524</v>
      </c>
      <c r="N5" s="66" t="s">
        <v>524</v>
      </c>
      <c r="O5" s="66"/>
      <c r="P5" s="66"/>
      <c r="Q5" s="151"/>
      <c r="R5" s="66" t="s">
        <v>524</v>
      </c>
    </row>
    <row r="6" spans="1:18" ht="14.95" thickBot="1" x14ac:dyDescent="0.3">
      <c r="A6" s="150" t="s">
        <v>372</v>
      </c>
      <c r="B6" s="126">
        <v>0</v>
      </c>
      <c r="C6" s="211">
        <v>1</v>
      </c>
      <c r="D6" s="272">
        <v>0</v>
      </c>
      <c r="E6" s="66">
        <f t="shared" si="0"/>
        <v>1</v>
      </c>
      <c r="F6" s="19" t="s">
        <v>372</v>
      </c>
      <c r="G6" s="137">
        <v>0</v>
      </c>
      <c r="H6" s="77">
        <v>5</v>
      </c>
      <c r="I6" s="271">
        <v>0</v>
      </c>
      <c r="J6" s="21">
        <f t="shared" si="1"/>
        <v>5</v>
      </c>
      <c r="K6" s="150" t="s">
        <v>377</v>
      </c>
      <c r="L6" s="66">
        <v>4</v>
      </c>
      <c r="M6" s="66" t="s">
        <v>524</v>
      </c>
      <c r="N6" s="66" t="s">
        <v>524</v>
      </c>
      <c r="O6" s="66"/>
      <c r="P6" s="66"/>
      <c r="Q6" s="151"/>
      <c r="R6" s="274">
        <v>2</v>
      </c>
    </row>
    <row r="7" spans="1:18" ht="14.95" thickBot="1" x14ac:dyDescent="0.3">
      <c r="A7" s="150" t="s">
        <v>369</v>
      </c>
      <c r="B7" s="126">
        <v>0</v>
      </c>
      <c r="C7" s="211">
        <v>6</v>
      </c>
      <c r="D7" s="272">
        <v>1</v>
      </c>
      <c r="E7" s="66">
        <f t="shared" si="0"/>
        <v>7</v>
      </c>
      <c r="F7" s="19" t="s">
        <v>369</v>
      </c>
      <c r="G7" s="137">
        <v>0</v>
      </c>
      <c r="H7" s="77">
        <v>30</v>
      </c>
      <c r="I7" s="271">
        <v>5</v>
      </c>
      <c r="J7" s="21">
        <f t="shared" si="1"/>
        <v>35</v>
      </c>
      <c r="K7" s="150" t="s">
        <v>384</v>
      </c>
      <c r="L7" s="66">
        <v>8</v>
      </c>
      <c r="M7" s="66" t="s">
        <v>524</v>
      </c>
      <c r="N7" s="66" t="s">
        <v>524</v>
      </c>
      <c r="O7" s="66"/>
      <c r="P7" s="66"/>
      <c r="Q7" s="151"/>
      <c r="R7" s="66" t="s">
        <v>524</v>
      </c>
    </row>
    <row r="8" spans="1:18" ht="17" thickBot="1" x14ac:dyDescent="0.3">
      <c r="A8" s="150" t="s">
        <v>578</v>
      </c>
      <c r="B8" s="126">
        <v>0</v>
      </c>
      <c r="C8" s="211">
        <v>0</v>
      </c>
      <c r="D8" s="272">
        <v>1</v>
      </c>
      <c r="E8" s="66">
        <f t="shared" si="0"/>
        <v>1</v>
      </c>
      <c r="F8" s="19" t="s">
        <v>578</v>
      </c>
      <c r="G8" s="137">
        <v>0</v>
      </c>
      <c r="H8" s="77">
        <v>0</v>
      </c>
      <c r="I8" s="271">
        <v>5</v>
      </c>
      <c r="J8" s="21">
        <f t="shared" si="1"/>
        <v>5</v>
      </c>
      <c r="K8" s="28"/>
      <c r="L8" s="22"/>
      <c r="M8" s="22"/>
      <c r="N8" s="22"/>
      <c r="O8" s="118"/>
      <c r="P8" s="118"/>
      <c r="Q8" s="118"/>
    </row>
    <row r="9" spans="1:18" ht="14.95" thickBot="1" x14ac:dyDescent="0.3">
      <c r="A9" s="150" t="s">
        <v>388</v>
      </c>
      <c r="B9" s="126">
        <v>0</v>
      </c>
      <c r="C9" s="211">
        <v>0</v>
      </c>
      <c r="D9" s="272">
        <v>0</v>
      </c>
      <c r="E9" s="66">
        <f t="shared" si="0"/>
        <v>0</v>
      </c>
      <c r="F9" s="19" t="s">
        <v>388</v>
      </c>
      <c r="G9" s="137">
        <v>0</v>
      </c>
      <c r="H9" s="77">
        <v>0</v>
      </c>
      <c r="I9" s="271">
        <v>0</v>
      </c>
      <c r="J9" s="21">
        <f t="shared" si="1"/>
        <v>0</v>
      </c>
      <c r="K9" s="326" t="s">
        <v>521</v>
      </c>
      <c r="L9" s="309">
        <v>2022</v>
      </c>
      <c r="M9" s="310"/>
      <c r="N9" s="311"/>
      <c r="O9" s="63"/>
      <c r="P9" s="63"/>
      <c r="Q9" s="63"/>
    </row>
    <row r="10" spans="1:18" ht="14.95" thickBot="1" x14ac:dyDescent="0.3">
      <c r="A10" s="150" t="s">
        <v>373</v>
      </c>
      <c r="B10" s="126">
        <v>0</v>
      </c>
      <c r="C10" s="211">
        <v>2</v>
      </c>
      <c r="D10" s="272">
        <v>0</v>
      </c>
      <c r="E10" s="66">
        <f t="shared" si="0"/>
        <v>2</v>
      </c>
      <c r="F10" s="19" t="s">
        <v>373</v>
      </c>
      <c r="G10" s="137">
        <v>0</v>
      </c>
      <c r="H10" s="77">
        <v>10</v>
      </c>
      <c r="I10" s="271">
        <v>0</v>
      </c>
      <c r="J10" s="21">
        <f t="shared" si="1"/>
        <v>10</v>
      </c>
      <c r="K10" s="327"/>
      <c r="L10" s="312"/>
      <c r="M10" s="313"/>
      <c r="N10" s="314"/>
      <c r="O10" s="63"/>
      <c r="P10" s="63"/>
      <c r="Q10" s="63"/>
    </row>
    <row r="11" spans="1:18" ht="14.95" thickBot="1" x14ac:dyDescent="0.3">
      <c r="A11" s="150" t="s">
        <v>371</v>
      </c>
      <c r="B11" s="126">
        <v>0</v>
      </c>
      <c r="C11" s="211">
        <v>3</v>
      </c>
      <c r="D11" s="272">
        <v>0</v>
      </c>
      <c r="E11" s="66">
        <f t="shared" si="0"/>
        <v>3</v>
      </c>
      <c r="F11" s="19" t="s">
        <v>371</v>
      </c>
      <c r="G11" s="137">
        <v>0</v>
      </c>
      <c r="H11" s="77">
        <v>15</v>
      </c>
      <c r="I11" s="271">
        <v>0</v>
      </c>
      <c r="J11" s="21">
        <f t="shared" si="1"/>
        <v>15</v>
      </c>
      <c r="K11" s="267"/>
      <c r="L11" s="31" t="s">
        <v>18</v>
      </c>
      <c r="M11" s="31" t="s">
        <v>5</v>
      </c>
      <c r="N11" s="31" t="s">
        <v>6</v>
      </c>
      <c r="O11" s="63"/>
      <c r="P11" s="63"/>
      <c r="Q11" s="63"/>
    </row>
    <row r="12" spans="1:18" ht="14.95" thickBot="1" x14ac:dyDescent="0.3">
      <c r="A12" s="150" t="s">
        <v>389</v>
      </c>
      <c r="B12" s="126">
        <v>0</v>
      </c>
      <c r="C12" s="211">
        <v>0</v>
      </c>
      <c r="D12" s="272">
        <v>0</v>
      </c>
      <c r="E12" s="66">
        <f t="shared" si="0"/>
        <v>0</v>
      </c>
      <c r="F12" s="19" t="s">
        <v>389</v>
      </c>
      <c r="G12" s="137">
        <v>0</v>
      </c>
      <c r="H12" s="77">
        <v>0</v>
      </c>
      <c r="I12" s="271">
        <v>0</v>
      </c>
      <c r="J12" s="21">
        <f t="shared" si="1"/>
        <v>0</v>
      </c>
      <c r="K12" s="150" t="s">
        <v>579</v>
      </c>
      <c r="L12" s="66">
        <v>5</v>
      </c>
      <c r="M12" s="66">
        <v>7</v>
      </c>
      <c r="N12" s="151">
        <v>71</v>
      </c>
      <c r="O12" s="63"/>
      <c r="P12" s="63"/>
      <c r="Q12" s="63"/>
    </row>
    <row r="13" spans="1:18" ht="14.95" thickBot="1" x14ac:dyDescent="0.3">
      <c r="A13" s="150" t="s">
        <v>387</v>
      </c>
      <c r="B13" s="126">
        <v>0</v>
      </c>
      <c r="C13" s="211">
        <v>0</v>
      </c>
      <c r="D13" s="272">
        <v>0</v>
      </c>
      <c r="E13" s="66">
        <f t="shared" si="0"/>
        <v>0</v>
      </c>
      <c r="F13" s="19" t="s">
        <v>387</v>
      </c>
      <c r="G13" s="137">
        <v>0</v>
      </c>
      <c r="H13" s="77">
        <v>0</v>
      </c>
      <c r="I13" s="271">
        <v>0</v>
      </c>
      <c r="J13" s="21">
        <f t="shared" si="1"/>
        <v>0</v>
      </c>
      <c r="K13" s="150" t="s">
        <v>323</v>
      </c>
      <c r="L13" s="66" t="s">
        <v>8</v>
      </c>
      <c r="M13" s="66" t="s">
        <v>8</v>
      </c>
      <c r="N13" s="151" t="s">
        <v>8</v>
      </c>
      <c r="O13" s="63"/>
      <c r="P13" s="63"/>
      <c r="Q13" s="63"/>
    </row>
    <row r="14" spans="1:18" ht="14.95" thickBot="1" x14ac:dyDescent="0.3">
      <c r="A14" s="150" t="s">
        <v>386</v>
      </c>
      <c r="B14" s="126">
        <v>0</v>
      </c>
      <c r="C14" s="211">
        <v>0</v>
      </c>
      <c r="D14" s="272">
        <v>0</v>
      </c>
      <c r="E14" s="66">
        <f t="shared" si="0"/>
        <v>0</v>
      </c>
      <c r="F14" s="19" t="s">
        <v>386</v>
      </c>
      <c r="G14" s="137">
        <v>0</v>
      </c>
      <c r="H14" s="77">
        <v>0</v>
      </c>
      <c r="I14" s="271">
        <v>0</v>
      </c>
      <c r="J14" s="21">
        <f t="shared" si="1"/>
        <v>0</v>
      </c>
      <c r="K14" s="150" t="s">
        <v>374</v>
      </c>
      <c r="L14" s="66" t="s">
        <v>8</v>
      </c>
      <c r="M14" s="66" t="s">
        <v>8</v>
      </c>
      <c r="N14" s="151" t="s">
        <v>8</v>
      </c>
      <c r="O14" s="9"/>
      <c r="P14" s="9"/>
      <c r="Q14" s="9"/>
    </row>
    <row r="15" spans="1:18" ht="14.95" thickBot="1" x14ac:dyDescent="0.3">
      <c r="A15" s="150" t="s">
        <v>334</v>
      </c>
      <c r="B15" s="126">
        <v>2</v>
      </c>
      <c r="C15" s="211">
        <v>1</v>
      </c>
      <c r="D15" s="272">
        <v>0</v>
      </c>
      <c r="E15" s="66">
        <f t="shared" si="0"/>
        <v>3</v>
      </c>
      <c r="F15" s="19" t="s">
        <v>334</v>
      </c>
      <c r="G15" s="137">
        <v>10</v>
      </c>
      <c r="H15" s="77">
        <v>5</v>
      </c>
      <c r="I15" s="271">
        <v>0</v>
      </c>
      <c r="J15" s="21">
        <f t="shared" si="1"/>
        <v>15</v>
      </c>
      <c r="K15" s="150" t="s">
        <v>377</v>
      </c>
      <c r="L15" s="66" t="s">
        <v>8</v>
      </c>
      <c r="M15" s="66" t="s">
        <v>8</v>
      </c>
      <c r="N15" s="151" t="s">
        <v>8</v>
      </c>
    </row>
    <row r="16" spans="1:18" ht="14.95" thickBot="1" x14ac:dyDescent="0.3">
      <c r="A16" s="150" t="s">
        <v>374</v>
      </c>
      <c r="B16" s="126">
        <v>0</v>
      </c>
      <c r="C16" s="211">
        <v>1</v>
      </c>
      <c r="D16" s="272">
        <v>0</v>
      </c>
      <c r="E16" s="66">
        <f t="shared" si="0"/>
        <v>1</v>
      </c>
      <c r="F16" s="19" t="s">
        <v>374</v>
      </c>
      <c r="G16" s="137">
        <v>0</v>
      </c>
      <c r="H16" s="77">
        <v>7</v>
      </c>
      <c r="I16" s="271">
        <v>0</v>
      </c>
      <c r="J16" s="21">
        <f t="shared" si="1"/>
        <v>7</v>
      </c>
      <c r="K16" s="150" t="s">
        <v>384</v>
      </c>
      <c r="L16" s="66" t="s">
        <v>8</v>
      </c>
      <c r="M16" s="66" t="s">
        <v>8</v>
      </c>
      <c r="N16" s="151" t="s">
        <v>8</v>
      </c>
    </row>
    <row r="17" spans="1:18" ht="14.95" thickBot="1" x14ac:dyDescent="0.3">
      <c r="A17" s="150" t="s">
        <v>393</v>
      </c>
      <c r="B17" s="126">
        <v>0</v>
      </c>
      <c r="C17" s="211">
        <v>1</v>
      </c>
      <c r="D17" s="272">
        <v>0</v>
      </c>
      <c r="E17" s="66">
        <f t="shared" si="0"/>
        <v>1</v>
      </c>
      <c r="F17" s="19" t="s">
        <v>393</v>
      </c>
      <c r="G17" s="137">
        <v>0</v>
      </c>
      <c r="H17" s="77">
        <v>5</v>
      </c>
      <c r="I17" s="271">
        <v>0</v>
      </c>
      <c r="J17" s="21">
        <f t="shared" si="1"/>
        <v>5</v>
      </c>
      <c r="K17" s="346"/>
      <c r="L17" s="318"/>
      <c r="M17" s="318"/>
      <c r="N17" s="318"/>
      <c r="O17" s="318"/>
      <c r="P17" s="318"/>
      <c r="Q17" s="318"/>
      <c r="R17" s="318"/>
    </row>
    <row r="18" spans="1:18" ht="14.95" thickBot="1" x14ac:dyDescent="0.3">
      <c r="A18" s="150" t="s">
        <v>390</v>
      </c>
      <c r="B18" s="126">
        <v>0</v>
      </c>
      <c r="C18" s="211">
        <v>0</v>
      </c>
      <c r="D18" s="272">
        <v>0</v>
      </c>
      <c r="E18" s="66">
        <f t="shared" si="0"/>
        <v>0</v>
      </c>
      <c r="F18" s="19" t="s">
        <v>390</v>
      </c>
      <c r="G18" s="137">
        <v>0</v>
      </c>
      <c r="H18" s="77">
        <v>0</v>
      </c>
      <c r="I18" s="271">
        <v>0</v>
      </c>
      <c r="J18" s="21">
        <f t="shared" si="1"/>
        <v>0</v>
      </c>
      <c r="K18" s="346" t="s">
        <v>523</v>
      </c>
      <c r="L18" s="318"/>
      <c r="M18" s="318"/>
      <c r="N18" s="318"/>
      <c r="O18" s="318"/>
      <c r="P18" s="318"/>
      <c r="Q18" s="318"/>
      <c r="R18" s="318"/>
    </row>
    <row r="19" spans="1:18" ht="14.95" thickBot="1" x14ac:dyDescent="0.3">
      <c r="A19" s="150" t="s">
        <v>323</v>
      </c>
      <c r="B19" s="126">
        <v>3</v>
      </c>
      <c r="C19" s="211">
        <v>5</v>
      </c>
      <c r="D19" s="272">
        <v>0</v>
      </c>
      <c r="E19" s="66">
        <f t="shared" si="0"/>
        <v>8</v>
      </c>
      <c r="F19" s="19" t="s">
        <v>323</v>
      </c>
      <c r="G19" s="137">
        <v>23</v>
      </c>
      <c r="H19" s="77">
        <v>45</v>
      </c>
      <c r="I19" s="271">
        <v>0</v>
      </c>
      <c r="J19" s="21">
        <f t="shared" si="1"/>
        <v>68</v>
      </c>
    </row>
    <row r="20" spans="1:18" ht="14.95" thickBot="1" x14ac:dyDescent="0.3">
      <c r="A20" s="150" t="s">
        <v>464</v>
      </c>
      <c r="B20" s="126">
        <v>1</v>
      </c>
      <c r="C20" s="211">
        <v>0</v>
      </c>
      <c r="D20" s="272">
        <v>1</v>
      </c>
      <c r="E20" s="66">
        <f t="shared" si="0"/>
        <v>2</v>
      </c>
      <c r="F20" s="19" t="s">
        <v>464</v>
      </c>
      <c r="G20" s="137">
        <v>5</v>
      </c>
      <c r="H20" s="77">
        <v>0</v>
      </c>
      <c r="I20" s="271">
        <v>5</v>
      </c>
      <c r="J20" s="21">
        <f t="shared" si="1"/>
        <v>10</v>
      </c>
    </row>
    <row r="21" spans="1:18" ht="14.95" thickBot="1" x14ac:dyDescent="0.3">
      <c r="A21" s="150" t="s">
        <v>641</v>
      </c>
      <c r="B21" s="126">
        <v>0</v>
      </c>
      <c r="C21" s="211">
        <v>0</v>
      </c>
      <c r="D21" s="272">
        <v>1</v>
      </c>
      <c r="E21" s="66">
        <f t="shared" si="0"/>
        <v>1</v>
      </c>
      <c r="F21" s="19" t="s">
        <v>641</v>
      </c>
      <c r="G21" s="137">
        <v>0</v>
      </c>
      <c r="H21" s="77">
        <v>0</v>
      </c>
      <c r="I21" s="271">
        <v>5</v>
      </c>
      <c r="J21" s="21">
        <f t="shared" si="1"/>
        <v>5</v>
      </c>
    </row>
    <row r="22" spans="1:18" ht="14.95" thickBot="1" x14ac:dyDescent="0.3">
      <c r="A22" s="150" t="s">
        <v>375</v>
      </c>
      <c r="B22" s="126">
        <v>0</v>
      </c>
      <c r="C22" s="211">
        <v>1</v>
      </c>
      <c r="D22" s="272">
        <v>0</v>
      </c>
      <c r="E22" s="66">
        <f t="shared" si="0"/>
        <v>1</v>
      </c>
      <c r="F22" s="19" t="s">
        <v>375</v>
      </c>
      <c r="G22" s="137">
        <v>0</v>
      </c>
      <c r="H22" s="77">
        <v>5</v>
      </c>
      <c r="I22" s="271">
        <v>0</v>
      </c>
      <c r="J22" s="21">
        <f t="shared" si="1"/>
        <v>5</v>
      </c>
      <c r="O22" s="9"/>
      <c r="P22" s="9"/>
      <c r="Q22" s="9"/>
    </row>
    <row r="23" spans="1:18" ht="14.95" thickBot="1" x14ac:dyDescent="0.3">
      <c r="A23" s="150" t="s">
        <v>376</v>
      </c>
      <c r="B23" s="126">
        <v>0</v>
      </c>
      <c r="C23" s="211">
        <v>1</v>
      </c>
      <c r="D23" s="272">
        <v>0</v>
      </c>
      <c r="E23" s="66">
        <f t="shared" si="0"/>
        <v>1</v>
      </c>
      <c r="F23" s="19" t="s">
        <v>376</v>
      </c>
      <c r="G23" s="137">
        <v>0</v>
      </c>
      <c r="H23" s="77">
        <v>5</v>
      </c>
      <c r="I23" s="271">
        <v>0</v>
      </c>
      <c r="J23" s="21">
        <f t="shared" si="1"/>
        <v>5</v>
      </c>
      <c r="O23" s="22"/>
      <c r="P23" s="22"/>
      <c r="Q23" s="25"/>
    </row>
    <row r="24" spans="1:18" ht="14.95" thickBot="1" x14ac:dyDescent="0.3">
      <c r="A24" s="150" t="s">
        <v>321</v>
      </c>
      <c r="B24" s="126">
        <v>2</v>
      </c>
      <c r="C24" s="211">
        <v>0</v>
      </c>
      <c r="D24" s="272">
        <v>0</v>
      </c>
      <c r="E24" s="66">
        <f t="shared" si="0"/>
        <v>2</v>
      </c>
      <c r="F24" s="19" t="s">
        <v>321</v>
      </c>
      <c r="G24" s="137">
        <v>10</v>
      </c>
      <c r="H24" s="77">
        <v>0</v>
      </c>
      <c r="I24" s="271">
        <v>0</v>
      </c>
      <c r="J24" s="21">
        <f t="shared" si="1"/>
        <v>10</v>
      </c>
    </row>
    <row r="25" spans="1:18" ht="14.95" thickBot="1" x14ac:dyDescent="0.3">
      <c r="A25" s="150" t="s">
        <v>392</v>
      </c>
      <c r="B25" s="126">
        <v>0</v>
      </c>
      <c r="C25" s="211">
        <v>1</v>
      </c>
      <c r="D25" s="272">
        <v>0</v>
      </c>
      <c r="E25" s="66">
        <f t="shared" si="0"/>
        <v>1</v>
      </c>
      <c r="F25" s="19" t="s">
        <v>392</v>
      </c>
      <c r="G25" s="137">
        <v>0</v>
      </c>
      <c r="H25" s="77">
        <v>5</v>
      </c>
      <c r="I25" s="271">
        <v>0</v>
      </c>
      <c r="J25" s="21">
        <f t="shared" si="1"/>
        <v>5</v>
      </c>
    </row>
    <row r="26" spans="1:18" ht="14.95" thickBot="1" x14ac:dyDescent="0.3">
      <c r="A26" s="150" t="s">
        <v>377</v>
      </c>
      <c r="B26" s="126">
        <v>0</v>
      </c>
      <c r="C26" s="211">
        <v>1</v>
      </c>
      <c r="D26" s="272">
        <v>0</v>
      </c>
      <c r="E26" s="66">
        <f t="shared" si="0"/>
        <v>1</v>
      </c>
      <c r="F26" s="19" t="s">
        <v>377</v>
      </c>
      <c r="G26" s="137">
        <v>4</v>
      </c>
      <c r="H26" s="77">
        <v>9</v>
      </c>
      <c r="I26" s="271">
        <v>0</v>
      </c>
      <c r="J26" s="21">
        <f t="shared" si="1"/>
        <v>13</v>
      </c>
    </row>
    <row r="27" spans="1:18" ht="14.95" thickBot="1" x14ac:dyDescent="0.3">
      <c r="A27" s="150" t="s">
        <v>378</v>
      </c>
      <c r="B27" s="126">
        <v>1</v>
      </c>
      <c r="C27" s="211">
        <v>1</v>
      </c>
      <c r="D27" s="272">
        <v>0</v>
      </c>
      <c r="E27" s="66">
        <f t="shared" si="0"/>
        <v>2</v>
      </c>
      <c r="F27" s="19" t="s">
        <v>378</v>
      </c>
      <c r="G27" s="137">
        <v>5</v>
      </c>
      <c r="H27" s="77">
        <v>5</v>
      </c>
      <c r="I27" s="271">
        <v>0</v>
      </c>
      <c r="J27" s="21">
        <f t="shared" si="1"/>
        <v>10</v>
      </c>
    </row>
    <row r="28" spans="1:18" ht="14.95" thickBot="1" x14ac:dyDescent="0.3">
      <c r="A28" s="150" t="s">
        <v>379</v>
      </c>
      <c r="B28" s="126">
        <v>0</v>
      </c>
      <c r="C28" s="211">
        <v>1</v>
      </c>
      <c r="D28" s="272">
        <v>0</v>
      </c>
      <c r="E28" s="66">
        <f t="shared" si="0"/>
        <v>1</v>
      </c>
      <c r="F28" s="19" t="s">
        <v>379</v>
      </c>
      <c r="G28" s="137">
        <v>0</v>
      </c>
      <c r="H28" s="77">
        <v>5</v>
      </c>
      <c r="I28" s="271">
        <v>0</v>
      </c>
      <c r="J28" s="21">
        <f t="shared" si="1"/>
        <v>5</v>
      </c>
    </row>
    <row r="29" spans="1:18" ht="14.95" thickBot="1" x14ac:dyDescent="0.3">
      <c r="A29" s="150" t="s">
        <v>465</v>
      </c>
      <c r="B29" s="126">
        <v>1</v>
      </c>
      <c r="C29" s="211">
        <v>0</v>
      </c>
      <c r="D29" s="272">
        <v>1</v>
      </c>
      <c r="E29" s="66">
        <f t="shared" si="0"/>
        <v>2</v>
      </c>
      <c r="F29" s="19" t="s">
        <v>465</v>
      </c>
      <c r="G29" s="137">
        <v>5</v>
      </c>
      <c r="H29" s="77">
        <v>0</v>
      </c>
      <c r="I29" s="271">
        <v>5</v>
      </c>
      <c r="J29" s="21">
        <f t="shared" si="1"/>
        <v>10</v>
      </c>
    </row>
    <row r="30" spans="1:18" ht="14.95" thickBot="1" x14ac:dyDescent="0.3">
      <c r="A30" s="150" t="s">
        <v>380</v>
      </c>
      <c r="B30" s="126">
        <v>0</v>
      </c>
      <c r="C30" s="211">
        <v>1</v>
      </c>
      <c r="D30" s="272">
        <v>0</v>
      </c>
      <c r="E30" s="66">
        <f t="shared" si="0"/>
        <v>1</v>
      </c>
      <c r="F30" s="19" t="s">
        <v>380</v>
      </c>
      <c r="G30" s="137">
        <v>0</v>
      </c>
      <c r="H30" s="77">
        <v>5</v>
      </c>
      <c r="I30" s="271">
        <v>0</v>
      </c>
      <c r="J30" s="21">
        <f t="shared" si="1"/>
        <v>5</v>
      </c>
    </row>
    <row r="31" spans="1:18" ht="14.95" thickBot="1" x14ac:dyDescent="0.3">
      <c r="A31" s="150" t="s">
        <v>385</v>
      </c>
      <c r="B31" s="126">
        <v>0</v>
      </c>
      <c r="C31" s="211">
        <v>1</v>
      </c>
      <c r="D31" s="272">
        <v>0</v>
      </c>
      <c r="E31" s="66">
        <f t="shared" si="0"/>
        <v>1</v>
      </c>
      <c r="F31" s="19" t="s">
        <v>385</v>
      </c>
      <c r="G31" s="137">
        <v>0</v>
      </c>
      <c r="H31" s="77">
        <v>5</v>
      </c>
      <c r="I31" s="271">
        <v>0</v>
      </c>
      <c r="J31" s="21">
        <f t="shared" si="1"/>
        <v>5</v>
      </c>
    </row>
    <row r="32" spans="1:18" ht="14.95" thickBot="1" x14ac:dyDescent="0.3">
      <c r="A32" s="150" t="s">
        <v>381</v>
      </c>
      <c r="B32" s="126">
        <v>0</v>
      </c>
      <c r="C32" s="211">
        <v>1</v>
      </c>
      <c r="D32" s="272">
        <v>0</v>
      </c>
      <c r="E32" s="66">
        <f t="shared" si="0"/>
        <v>1</v>
      </c>
      <c r="F32" s="19" t="s">
        <v>381</v>
      </c>
      <c r="G32" s="137">
        <v>0</v>
      </c>
      <c r="H32" s="77">
        <v>5</v>
      </c>
      <c r="I32" s="271">
        <v>0</v>
      </c>
      <c r="J32" s="21">
        <f t="shared" si="1"/>
        <v>5</v>
      </c>
    </row>
    <row r="33" spans="1:10" ht="14.95" customHeight="1" thickBot="1" x14ac:dyDescent="0.3">
      <c r="A33" s="150" t="s">
        <v>382</v>
      </c>
      <c r="B33" s="126">
        <v>0</v>
      </c>
      <c r="C33" s="211">
        <v>2</v>
      </c>
      <c r="D33" s="272">
        <v>0</v>
      </c>
      <c r="E33" s="66">
        <f t="shared" si="0"/>
        <v>2</v>
      </c>
      <c r="F33" s="19" t="s">
        <v>382</v>
      </c>
      <c r="G33" s="137">
        <v>0</v>
      </c>
      <c r="H33" s="77">
        <v>10</v>
      </c>
      <c r="I33" s="271">
        <v>0</v>
      </c>
      <c r="J33" s="21">
        <f t="shared" si="1"/>
        <v>10</v>
      </c>
    </row>
    <row r="34" spans="1:10" ht="14.95" thickBot="1" x14ac:dyDescent="0.3">
      <c r="A34" s="150" t="s">
        <v>384</v>
      </c>
      <c r="B34" s="126">
        <v>0</v>
      </c>
      <c r="C34" s="211">
        <v>0</v>
      </c>
      <c r="D34" s="272">
        <v>0</v>
      </c>
      <c r="E34" s="66">
        <f t="shared" si="0"/>
        <v>0</v>
      </c>
      <c r="F34" s="19" t="s">
        <v>383</v>
      </c>
      <c r="G34" s="137">
        <v>0</v>
      </c>
      <c r="H34" s="77">
        <v>16</v>
      </c>
      <c r="I34" s="271">
        <v>0</v>
      </c>
      <c r="J34" s="21">
        <f t="shared" si="1"/>
        <v>16</v>
      </c>
    </row>
    <row r="35" spans="1:10" ht="14.95" thickBot="1" x14ac:dyDescent="0.3">
      <c r="A35" s="150" t="s">
        <v>383</v>
      </c>
      <c r="B35" s="126">
        <v>0</v>
      </c>
      <c r="C35" s="211">
        <v>1</v>
      </c>
      <c r="D35" s="272">
        <v>0</v>
      </c>
      <c r="E35" s="66">
        <f t="shared" si="0"/>
        <v>1</v>
      </c>
      <c r="F35" s="19" t="s">
        <v>383</v>
      </c>
      <c r="G35" s="137">
        <v>0</v>
      </c>
      <c r="H35" s="77">
        <v>5</v>
      </c>
      <c r="I35" s="271">
        <v>0</v>
      </c>
      <c r="J35" s="21">
        <f t="shared" si="1"/>
        <v>5</v>
      </c>
    </row>
    <row r="36" spans="1:10" ht="14.95" thickBot="1" x14ac:dyDescent="0.3">
      <c r="A36" s="150" t="s">
        <v>213</v>
      </c>
      <c r="B36" s="126">
        <v>1</v>
      </c>
      <c r="C36" s="211">
        <v>2</v>
      </c>
      <c r="D36" s="272">
        <v>0</v>
      </c>
      <c r="E36" s="66">
        <f t="shared" si="0"/>
        <v>3</v>
      </c>
      <c r="F36" s="19" t="s">
        <v>213</v>
      </c>
      <c r="G36" s="137">
        <v>5</v>
      </c>
      <c r="H36" s="77">
        <v>10</v>
      </c>
      <c r="I36" s="271">
        <v>0</v>
      </c>
      <c r="J36" s="21">
        <f t="shared" si="1"/>
        <v>15</v>
      </c>
    </row>
    <row r="37" spans="1:10" ht="14.95" thickBot="1" x14ac:dyDescent="0.3">
      <c r="A37" s="150" t="s">
        <v>3</v>
      </c>
      <c r="B37" s="126">
        <f>SUM(B3:B36)</f>
        <v>12</v>
      </c>
      <c r="C37" s="211">
        <f>SUM(C3:C36)</f>
        <v>35</v>
      </c>
      <c r="D37" s="272">
        <f>SUM(D3:D36)</f>
        <v>6</v>
      </c>
      <c r="E37" s="66">
        <f t="shared" si="0"/>
        <v>53</v>
      </c>
      <c r="F37" s="56" t="s">
        <v>3</v>
      </c>
      <c r="G37" s="136">
        <f>SUM(G3:G36)</f>
        <v>72</v>
      </c>
      <c r="H37" s="93">
        <f>SUM(H3:H36)</f>
        <v>217</v>
      </c>
      <c r="I37" s="270">
        <f>SUM(I3:I36)</f>
        <v>40</v>
      </c>
      <c r="J37" s="49">
        <f t="shared" si="1"/>
        <v>329</v>
      </c>
    </row>
    <row r="38" spans="1:10" ht="16.3" x14ac:dyDescent="0.25">
      <c r="B38" s="57"/>
      <c r="C38" s="57"/>
      <c r="D38" s="57"/>
      <c r="F38" s="3"/>
      <c r="G38" s="58"/>
      <c r="H38" s="58"/>
      <c r="I38" s="58"/>
      <c r="J38" s="3"/>
    </row>
    <row r="39" spans="1:10" ht="17" thickBot="1" x14ac:dyDescent="0.3">
      <c r="A39" t="s">
        <v>7</v>
      </c>
      <c r="B39" s="57"/>
      <c r="C39" s="57"/>
      <c r="D39" s="57"/>
      <c r="F39" s="3"/>
      <c r="G39" s="58"/>
      <c r="H39" s="58"/>
      <c r="I39" s="58"/>
      <c r="J39" s="3"/>
    </row>
    <row r="40" spans="1:10" ht="14.95" thickBot="1" x14ac:dyDescent="0.3">
      <c r="A40" s="149" t="s">
        <v>0</v>
      </c>
      <c r="B40" s="125" t="s">
        <v>12</v>
      </c>
      <c r="C40" s="210" t="s">
        <v>370</v>
      </c>
      <c r="D40" s="273" t="s">
        <v>396</v>
      </c>
      <c r="E40" s="78" t="s">
        <v>1</v>
      </c>
      <c r="F40" s="89" t="s">
        <v>2</v>
      </c>
      <c r="G40" s="136" t="s">
        <v>12</v>
      </c>
      <c r="H40" s="93" t="s">
        <v>370</v>
      </c>
      <c r="I40" s="270" t="s">
        <v>396</v>
      </c>
      <c r="J40" s="49" t="s">
        <v>1</v>
      </c>
    </row>
    <row r="41" spans="1:10" ht="14.95" thickBot="1" x14ac:dyDescent="0.3">
      <c r="A41" s="150" t="s">
        <v>323</v>
      </c>
      <c r="B41" s="126">
        <v>3</v>
      </c>
      <c r="C41" s="211">
        <v>5</v>
      </c>
      <c r="D41" s="211"/>
      <c r="E41" s="66">
        <f>SUM(B41:C41)</f>
        <v>8</v>
      </c>
      <c r="F41" s="20" t="s">
        <v>323</v>
      </c>
      <c r="G41" s="137">
        <v>23</v>
      </c>
      <c r="H41" s="77">
        <v>45</v>
      </c>
      <c r="I41" s="77"/>
      <c r="J41" s="21">
        <f>SUM(G41:H41)</f>
        <v>68</v>
      </c>
    </row>
    <row r="42" spans="1:10" ht="14.95" thickBot="1" x14ac:dyDescent="0.3">
      <c r="A42" s="150" t="s">
        <v>369</v>
      </c>
      <c r="B42" s="126">
        <v>0</v>
      </c>
      <c r="C42" s="211">
        <v>6</v>
      </c>
      <c r="D42" s="305">
        <v>1</v>
      </c>
      <c r="E42" s="66">
        <v>7</v>
      </c>
      <c r="F42" s="20" t="s">
        <v>369</v>
      </c>
      <c r="G42" s="137">
        <v>0</v>
      </c>
      <c r="H42" s="77">
        <v>30</v>
      </c>
      <c r="I42" s="306">
        <v>5</v>
      </c>
      <c r="J42" s="21">
        <v>35</v>
      </c>
    </row>
    <row r="43" spans="1:10" ht="14.95" thickBot="1" x14ac:dyDescent="0.3">
      <c r="A43" s="150" t="s">
        <v>371</v>
      </c>
      <c r="B43" s="126">
        <v>0</v>
      </c>
      <c r="C43" s="211">
        <v>3</v>
      </c>
      <c r="D43" s="211"/>
      <c r="E43" s="66">
        <f t="shared" ref="E43:E49" si="2">SUM(B43:C43)</f>
        <v>3</v>
      </c>
      <c r="F43" s="19" t="s">
        <v>383</v>
      </c>
      <c r="G43" s="137">
        <v>0</v>
      </c>
      <c r="H43" s="77">
        <v>16</v>
      </c>
      <c r="I43" s="77"/>
      <c r="J43" s="21">
        <f>SUM(G43:H43)</f>
        <v>16</v>
      </c>
    </row>
    <row r="44" spans="1:10" ht="14.95" thickBot="1" x14ac:dyDescent="0.3">
      <c r="A44" s="150" t="s">
        <v>334</v>
      </c>
      <c r="B44" s="126">
        <v>2</v>
      </c>
      <c r="C44" s="211">
        <v>1</v>
      </c>
      <c r="D44" s="211"/>
      <c r="E44" s="66">
        <f t="shared" si="2"/>
        <v>3</v>
      </c>
      <c r="F44" s="19" t="s">
        <v>371</v>
      </c>
      <c r="G44" s="137">
        <v>0</v>
      </c>
      <c r="H44" s="77">
        <v>15</v>
      </c>
      <c r="I44" s="77"/>
      <c r="J44" s="21">
        <f>SUM(G44:H44)</f>
        <v>15</v>
      </c>
    </row>
    <row r="45" spans="1:10" ht="14.95" thickBot="1" x14ac:dyDescent="0.3">
      <c r="A45" s="150" t="s">
        <v>213</v>
      </c>
      <c r="B45" s="126">
        <v>1</v>
      </c>
      <c r="C45" s="211">
        <v>2</v>
      </c>
      <c r="D45" s="211"/>
      <c r="E45" s="66">
        <f t="shared" si="2"/>
        <v>3</v>
      </c>
      <c r="F45" s="19" t="s">
        <v>334</v>
      </c>
      <c r="G45" s="137">
        <v>10</v>
      </c>
      <c r="H45" s="77">
        <v>5</v>
      </c>
      <c r="I45" s="77"/>
      <c r="J45" s="21">
        <f>SUM(G45:H45)</f>
        <v>15</v>
      </c>
    </row>
    <row r="46" spans="1:10" ht="14.95" thickBot="1" x14ac:dyDescent="0.3">
      <c r="A46" s="150" t="s">
        <v>373</v>
      </c>
      <c r="B46" s="126">
        <v>0</v>
      </c>
      <c r="C46" s="211">
        <v>2</v>
      </c>
      <c r="D46" s="211"/>
      <c r="E46" s="66">
        <f t="shared" si="2"/>
        <v>2</v>
      </c>
      <c r="F46" s="19" t="s">
        <v>213</v>
      </c>
      <c r="G46" s="137">
        <v>5</v>
      </c>
      <c r="H46" s="77">
        <v>10</v>
      </c>
      <c r="I46" s="77"/>
      <c r="J46" s="21">
        <f>SUM(G46:H46)</f>
        <v>15</v>
      </c>
    </row>
    <row r="47" spans="1:10" ht="14.95" thickBot="1" x14ac:dyDescent="0.3">
      <c r="A47" s="150" t="s">
        <v>321</v>
      </c>
      <c r="B47" s="126">
        <v>2</v>
      </c>
      <c r="C47" s="211">
        <v>0</v>
      </c>
      <c r="D47" s="211"/>
      <c r="E47" s="66">
        <f t="shared" si="2"/>
        <v>2</v>
      </c>
      <c r="F47" s="19" t="s">
        <v>579</v>
      </c>
      <c r="G47" s="137">
        <v>0</v>
      </c>
      <c r="H47" s="77">
        <v>0</v>
      </c>
      <c r="I47" s="271">
        <v>15</v>
      </c>
      <c r="J47" s="21">
        <v>15</v>
      </c>
    </row>
    <row r="48" spans="1:10" ht="14.95" thickBot="1" x14ac:dyDescent="0.3">
      <c r="A48" s="150" t="s">
        <v>378</v>
      </c>
      <c r="B48" s="126">
        <v>1</v>
      </c>
      <c r="C48" s="211">
        <v>1</v>
      </c>
      <c r="D48" s="211"/>
      <c r="E48" s="66">
        <f t="shared" si="2"/>
        <v>2</v>
      </c>
      <c r="F48" s="19" t="s">
        <v>377</v>
      </c>
      <c r="G48" s="137">
        <v>4</v>
      </c>
      <c r="H48" s="77">
        <v>9</v>
      </c>
      <c r="I48" s="77"/>
      <c r="J48" s="21">
        <f>SUM(G48:H48)</f>
        <v>13</v>
      </c>
    </row>
    <row r="49" spans="1:10" ht="14.95" thickBot="1" x14ac:dyDescent="0.3">
      <c r="A49" s="150" t="s">
        <v>382</v>
      </c>
      <c r="B49" s="126">
        <v>0</v>
      </c>
      <c r="C49" s="211">
        <v>2</v>
      </c>
      <c r="D49" s="211"/>
      <c r="E49" s="66">
        <f t="shared" si="2"/>
        <v>2</v>
      </c>
      <c r="F49" s="19" t="s">
        <v>373</v>
      </c>
      <c r="G49" s="137">
        <v>0</v>
      </c>
      <c r="H49" s="77">
        <v>10</v>
      </c>
      <c r="I49" s="77"/>
      <c r="J49" s="21">
        <f>SUM(G49:H49)</f>
        <v>10</v>
      </c>
    </row>
    <row r="50" spans="1:10" ht="14.95" thickBot="1" x14ac:dyDescent="0.3">
      <c r="A50" s="150" t="s">
        <v>464</v>
      </c>
      <c r="B50" s="126">
        <v>1</v>
      </c>
      <c r="C50" s="211">
        <v>0</v>
      </c>
      <c r="D50" s="272">
        <v>1</v>
      </c>
      <c r="E50" s="66">
        <v>2</v>
      </c>
      <c r="F50" s="19" t="s">
        <v>321</v>
      </c>
      <c r="G50" s="137">
        <v>10</v>
      </c>
      <c r="H50" s="77">
        <v>0</v>
      </c>
      <c r="I50" s="77"/>
      <c r="J50" s="21">
        <f>SUM(G50:H50)</f>
        <v>10</v>
      </c>
    </row>
    <row r="51" spans="1:10" ht="14.95" thickBot="1" x14ac:dyDescent="0.3">
      <c r="A51" s="150" t="s">
        <v>465</v>
      </c>
      <c r="B51" s="126">
        <v>1</v>
      </c>
      <c r="C51" s="211">
        <v>0</v>
      </c>
      <c r="D51" s="305">
        <v>1</v>
      </c>
      <c r="E51" s="66">
        <v>2</v>
      </c>
      <c r="F51" s="19" t="s">
        <v>378</v>
      </c>
      <c r="G51" s="137">
        <v>5</v>
      </c>
      <c r="H51" s="77">
        <v>5</v>
      </c>
      <c r="I51" s="77"/>
      <c r="J51" s="21">
        <f>SUM(G51:H51)</f>
        <v>10</v>
      </c>
    </row>
    <row r="52" spans="1:10" ht="14.95" thickBot="1" x14ac:dyDescent="0.3">
      <c r="A52" s="150" t="s">
        <v>391</v>
      </c>
      <c r="B52" s="126">
        <v>0</v>
      </c>
      <c r="C52" s="211">
        <v>1</v>
      </c>
      <c r="D52" s="211"/>
      <c r="E52" s="66">
        <f>SUM(B52:C52)</f>
        <v>1</v>
      </c>
      <c r="F52" s="19" t="s">
        <v>382</v>
      </c>
      <c r="G52" s="137">
        <v>0</v>
      </c>
      <c r="H52" s="77">
        <v>10</v>
      </c>
      <c r="I52" s="77"/>
      <c r="J52" s="21">
        <f>SUM(G52:H52)</f>
        <v>10</v>
      </c>
    </row>
    <row r="53" spans="1:10" ht="14.95" thickBot="1" x14ac:dyDescent="0.3">
      <c r="A53" s="150" t="s">
        <v>322</v>
      </c>
      <c r="B53" s="126">
        <v>1</v>
      </c>
      <c r="C53" s="211">
        <v>0</v>
      </c>
      <c r="D53" s="211"/>
      <c r="E53" s="66">
        <f>SUM(B53:C53)</f>
        <v>1</v>
      </c>
      <c r="F53" s="19" t="s">
        <v>464</v>
      </c>
      <c r="G53" s="137">
        <v>5</v>
      </c>
      <c r="H53" s="77">
        <v>0</v>
      </c>
      <c r="I53" s="271">
        <v>5</v>
      </c>
      <c r="J53" s="21">
        <v>10</v>
      </c>
    </row>
    <row r="54" spans="1:10" ht="14.95" thickBot="1" x14ac:dyDescent="0.3">
      <c r="A54" s="150" t="s">
        <v>372</v>
      </c>
      <c r="B54" s="126">
        <v>0</v>
      </c>
      <c r="C54" s="211">
        <v>1</v>
      </c>
      <c r="D54" s="211"/>
      <c r="E54" s="66">
        <f>SUM(B54:C54)</f>
        <v>1</v>
      </c>
      <c r="F54" s="19" t="s">
        <v>465</v>
      </c>
      <c r="G54" s="137">
        <v>5</v>
      </c>
      <c r="H54" s="77">
        <v>0</v>
      </c>
      <c r="I54" s="306">
        <v>5</v>
      </c>
      <c r="J54" s="21">
        <v>10</v>
      </c>
    </row>
    <row r="55" spans="1:10" ht="14.95" thickBot="1" x14ac:dyDescent="0.3">
      <c r="A55" s="150" t="s">
        <v>579</v>
      </c>
      <c r="B55" s="126">
        <v>0</v>
      </c>
      <c r="C55" s="211">
        <v>0</v>
      </c>
      <c r="D55" s="272">
        <v>1</v>
      </c>
      <c r="E55" s="66">
        <v>1</v>
      </c>
      <c r="F55" s="19" t="s">
        <v>374</v>
      </c>
      <c r="G55" s="137">
        <v>0</v>
      </c>
      <c r="H55" s="77">
        <v>7</v>
      </c>
      <c r="I55" s="77"/>
      <c r="J55" s="21">
        <f>SUM(G55:H55)</f>
        <v>7</v>
      </c>
    </row>
    <row r="56" spans="1:10" ht="14.95" thickBot="1" x14ac:dyDescent="0.3">
      <c r="A56" s="150" t="s">
        <v>578</v>
      </c>
      <c r="B56" s="126">
        <v>0</v>
      </c>
      <c r="C56" s="211">
        <v>0</v>
      </c>
      <c r="D56" s="272">
        <v>1</v>
      </c>
      <c r="E56" s="66">
        <v>1</v>
      </c>
      <c r="F56" s="19" t="s">
        <v>578</v>
      </c>
      <c r="G56" s="137">
        <v>0</v>
      </c>
      <c r="H56" s="77">
        <v>0</v>
      </c>
      <c r="I56" s="271">
        <v>5</v>
      </c>
      <c r="J56" s="21">
        <v>5</v>
      </c>
    </row>
    <row r="57" spans="1:10" ht="14.95" thickBot="1" x14ac:dyDescent="0.3">
      <c r="A57" s="150" t="s">
        <v>374</v>
      </c>
      <c r="B57" s="126">
        <v>0</v>
      </c>
      <c r="C57" s="211">
        <v>1</v>
      </c>
      <c r="D57" s="211"/>
      <c r="E57" s="66">
        <f t="shared" ref="E57:E67" si="3">SUM(B57:C57)</f>
        <v>1</v>
      </c>
      <c r="F57" s="19" t="s">
        <v>391</v>
      </c>
      <c r="G57" s="137">
        <v>0</v>
      </c>
      <c r="H57" s="77">
        <v>5</v>
      </c>
      <c r="I57" s="77"/>
      <c r="J57" s="21">
        <f t="shared" ref="J57:J68" si="4">SUM(G57:H57)</f>
        <v>5</v>
      </c>
    </row>
    <row r="58" spans="1:10" ht="14.95" thickBot="1" x14ac:dyDescent="0.3">
      <c r="A58" s="150" t="s">
        <v>393</v>
      </c>
      <c r="B58" s="126">
        <v>0</v>
      </c>
      <c r="C58" s="211">
        <v>1</v>
      </c>
      <c r="D58" s="211"/>
      <c r="E58" s="66">
        <f t="shared" si="3"/>
        <v>1</v>
      </c>
      <c r="F58" s="19" t="s">
        <v>322</v>
      </c>
      <c r="G58" s="137">
        <v>5</v>
      </c>
      <c r="H58" s="77">
        <v>0</v>
      </c>
      <c r="I58" s="77"/>
      <c r="J58" s="21">
        <f t="shared" si="4"/>
        <v>5</v>
      </c>
    </row>
    <row r="59" spans="1:10" ht="14.95" thickBot="1" x14ac:dyDescent="0.3">
      <c r="A59" s="150" t="s">
        <v>375</v>
      </c>
      <c r="B59" s="126">
        <v>0</v>
      </c>
      <c r="C59" s="211">
        <v>1</v>
      </c>
      <c r="D59" s="211"/>
      <c r="E59" s="66">
        <f t="shared" si="3"/>
        <v>1</v>
      </c>
      <c r="F59" s="19" t="s">
        <v>372</v>
      </c>
      <c r="G59" s="137">
        <v>0</v>
      </c>
      <c r="H59" s="77">
        <v>5</v>
      </c>
      <c r="I59" s="77"/>
      <c r="J59" s="21">
        <f t="shared" si="4"/>
        <v>5</v>
      </c>
    </row>
    <row r="60" spans="1:10" ht="14.95" thickBot="1" x14ac:dyDescent="0.3">
      <c r="A60" s="150" t="s">
        <v>376</v>
      </c>
      <c r="B60" s="126">
        <v>0</v>
      </c>
      <c r="C60" s="211">
        <v>1</v>
      </c>
      <c r="D60" s="211"/>
      <c r="E60" s="66">
        <f t="shared" si="3"/>
        <v>1</v>
      </c>
      <c r="F60" s="19" t="s">
        <v>393</v>
      </c>
      <c r="G60" s="137">
        <v>0</v>
      </c>
      <c r="H60" s="77">
        <v>5</v>
      </c>
      <c r="I60" s="77"/>
      <c r="J60" s="21">
        <f t="shared" si="4"/>
        <v>5</v>
      </c>
    </row>
    <row r="61" spans="1:10" ht="14.95" thickBot="1" x14ac:dyDescent="0.3">
      <c r="A61" s="150" t="s">
        <v>392</v>
      </c>
      <c r="B61" s="126">
        <v>0</v>
      </c>
      <c r="C61" s="211">
        <v>1</v>
      </c>
      <c r="D61" s="211"/>
      <c r="E61" s="66">
        <f t="shared" si="3"/>
        <v>1</v>
      </c>
      <c r="F61" s="19" t="s">
        <v>375</v>
      </c>
      <c r="G61" s="137">
        <v>0</v>
      </c>
      <c r="H61" s="77">
        <v>5</v>
      </c>
      <c r="I61" s="77"/>
      <c r="J61" s="21">
        <f t="shared" si="4"/>
        <v>5</v>
      </c>
    </row>
    <row r="62" spans="1:10" ht="14.95" thickBot="1" x14ac:dyDescent="0.3">
      <c r="A62" s="150" t="s">
        <v>377</v>
      </c>
      <c r="B62" s="126">
        <v>0</v>
      </c>
      <c r="C62" s="211">
        <v>1</v>
      </c>
      <c r="D62" s="211"/>
      <c r="E62" s="66">
        <f t="shared" si="3"/>
        <v>1</v>
      </c>
      <c r="F62" s="19" t="s">
        <v>376</v>
      </c>
      <c r="G62" s="137">
        <v>0</v>
      </c>
      <c r="H62" s="77">
        <v>5</v>
      </c>
      <c r="I62" s="77"/>
      <c r="J62" s="21">
        <f t="shared" si="4"/>
        <v>5</v>
      </c>
    </row>
    <row r="63" spans="1:10" ht="14.95" thickBot="1" x14ac:dyDescent="0.3">
      <c r="A63" s="150" t="s">
        <v>379</v>
      </c>
      <c r="B63" s="126">
        <v>0</v>
      </c>
      <c r="C63" s="211">
        <v>1</v>
      </c>
      <c r="D63" s="211"/>
      <c r="E63" s="66">
        <f t="shared" si="3"/>
        <v>1</v>
      </c>
      <c r="F63" s="19" t="s">
        <v>392</v>
      </c>
      <c r="G63" s="137">
        <v>0</v>
      </c>
      <c r="H63" s="77">
        <v>5</v>
      </c>
      <c r="I63" s="77"/>
      <c r="J63" s="21">
        <f t="shared" si="4"/>
        <v>5</v>
      </c>
    </row>
    <row r="64" spans="1:10" ht="14.95" thickBot="1" x14ac:dyDescent="0.3">
      <c r="A64" s="150" t="s">
        <v>380</v>
      </c>
      <c r="B64" s="126">
        <v>0</v>
      </c>
      <c r="C64" s="211">
        <v>1</v>
      </c>
      <c r="D64" s="211"/>
      <c r="E64" s="66">
        <f t="shared" si="3"/>
        <v>1</v>
      </c>
      <c r="F64" s="19" t="s">
        <v>379</v>
      </c>
      <c r="G64" s="137">
        <v>0</v>
      </c>
      <c r="H64" s="77">
        <v>5</v>
      </c>
      <c r="I64" s="77"/>
      <c r="J64" s="21">
        <f t="shared" si="4"/>
        <v>5</v>
      </c>
    </row>
    <row r="65" spans="1:10" ht="14.95" thickBot="1" x14ac:dyDescent="0.3">
      <c r="A65" s="150" t="s">
        <v>385</v>
      </c>
      <c r="B65" s="126">
        <v>0</v>
      </c>
      <c r="C65" s="211">
        <v>1</v>
      </c>
      <c r="D65" s="211"/>
      <c r="E65" s="66">
        <f t="shared" si="3"/>
        <v>1</v>
      </c>
      <c r="F65" s="19" t="s">
        <v>380</v>
      </c>
      <c r="G65" s="137">
        <v>0</v>
      </c>
      <c r="H65" s="77">
        <v>5</v>
      </c>
      <c r="I65" s="77"/>
      <c r="J65" s="21">
        <f t="shared" si="4"/>
        <v>5</v>
      </c>
    </row>
    <row r="66" spans="1:10" ht="14.95" thickBot="1" x14ac:dyDescent="0.3">
      <c r="A66" s="150" t="s">
        <v>381</v>
      </c>
      <c r="B66" s="126">
        <v>0</v>
      </c>
      <c r="C66" s="211">
        <v>1</v>
      </c>
      <c r="D66" s="211"/>
      <c r="E66" s="66">
        <f t="shared" si="3"/>
        <v>1</v>
      </c>
      <c r="F66" s="19" t="s">
        <v>385</v>
      </c>
      <c r="G66" s="137">
        <v>0</v>
      </c>
      <c r="H66" s="77">
        <v>5</v>
      </c>
      <c r="I66" s="77"/>
      <c r="J66" s="21">
        <f t="shared" si="4"/>
        <v>5</v>
      </c>
    </row>
    <row r="67" spans="1:10" ht="14.95" thickBot="1" x14ac:dyDescent="0.3">
      <c r="A67" s="150" t="s">
        <v>383</v>
      </c>
      <c r="B67" s="126">
        <v>0</v>
      </c>
      <c r="C67" s="211">
        <v>1</v>
      </c>
      <c r="D67" s="211"/>
      <c r="E67" s="66">
        <f t="shared" si="3"/>
        <v>1</v>
      </c>
      <c r="F67" s="19" t="s">
        <v>381</v>
      </c>
      <c r="G67" s="137">
        <v>0</v>
      </c>
      <c r="H67" s="77">
        <v>5</v>
      </c>
      <c r="I67" s="77"/>
      <c r="J67" s="21">
        <f t="shared" si="4"/>
        <v>5</v>
      </c>
    </row>
    <row r="68" spans="1:10" ht="14.95" thickBot="1" x14ac:dyDescent="0.3">
      <c r="A68" s="150" t="s">
        <v>641</v>
      </c>
      <c r="B68" s="126">
        <v>0</v>
      </c>
      <c r="C68" s="211">
        <v>0</v>
      </c>
      <c r="D68" s="305">
        <v>1</v>
      </c>
      <c r="E68" s="66">
        <v>1</v>
      </c>
      <c r="F68" s="19" t="s">
        <v>383</v>
      </c>
      <c r="G68" s="137">
        <v>0</v>
      </c>
      <c r="H68" s="77">
        <v>5</v>
      </c>
      <c r="I68" s="77"/>
      <c r="J68" s="21">
        <f t="shared" si="4"/>
        <v>5</v>
      </c>
    </row>
    <row r="69" spans="1:10" ht="14.95" thickBot="1" x14ac:dyDescent="0.3">
      <c r="A69" s="150" t="s">
        <v>388</v>
      </c>
      <c r="B69" s="126">
        <v>0</v>
      </c>
      <c r="C69" s="211">
        <v>0</v>
      </c>
      <c r="D69" s="211"/>
      <c r="E69" s="66">
        <f>SUM(B69:C69)</f>
        <v>0</v>
      </c>
      <c r="F69" s="19" t="s">
        <v>641</v>
      </c>
      <c r="G69" s="137">
        <v>0</v>
      </c>
      <c r="H69" s="77">
        <v>0</v>
      </c>
      <c r="I69" s="306">
        <v>5</v>
      </c>
      <c r="J69" s="21">
        <v>5</v>
      </c>
    </row>
    <row r="70" spans="1:10" ht="14.95" thickBot="1" x14ac:dyDescent="0.3">
      <c r="A70" s="150" t="s">
        <v>389</v>
      </c>
      <c r="B70" s="126">
        <v>0</v>
      </c>
      <c r="C70" s="211">
        <v>0</v>
      </c>
      <c r="D70" s="211"/>
      <c r="E70" s="66">
        <f>SUM(B70:C70)</f>
        <v>0</v>
      </c>
      <c r="F70" s="19" t="s">
        <v>388</v>
      </c>
      <c r="G70" s="137">
        <v>0</v>
      </c>
      <c r="H70" s="77">
        <v>0</v>
      </c>
      <c r="I70" s="77"/>
      <c r="J70" s="21">
        <f>SUM(G70:H70)</f>
        <v>0</v>
      </c>
    </row>
    <row r="71" spans="1:10" ht="14.95" customHeight="1" thickBot="1" x14ac:dyDescent="0.3">
      <c r="A71" s="150" t="s">
        <v>387</v>
      </c>
      <c r="B71" s="126">
        <v>0</v>
      </c>
      <c r="C71" s="211">
        <v>0</v>
      </c>
      <c r="D71" s="211"/>
      <c r="E71" s="66">
        <f>SUM(B71:C71)</f>
        <v>0</v>
      </c>
      <c r="F71" s="19" t="s">
        <v>389</v>
      </c>
      <c r="G71" s="137">
        <v>0</v>
      </c>
      <c r="H71" s="77">
        <v>0</v>
      </c>
      <c r="I71" s="77"/>
      <c r="J71" s="21">
        <f>SUM(G71:H71)</f>
        <v>0</v>
      </c>
    </row>
    <row r="72" spans="1:10" ht="14.95" customHeight="1" thickBot="1" x14ac:dyDescent="0.3">
      <c r="A72" s="150" t="s">
        <v>386</v>
      </c>
      <c r="B72" s="126">
        <v>0</v>
      </c>
      <c r="C72" s="211">
        <v>0</v>
      </c>
      <c r="D72" s="211"/>
      <c r="E72" s="66">
        <f>SUM(B72:C72)</f>
        <v>0</v>
      </c>
      <c r="F72" s="19" t="s">
        <v>387</v>
      </c>
      <c r="G72" s="137">
        <v>0</v>
      </c>
      <c r="H72" s="77">
        <v>0</v>
      </c>
      <c r="I72" s="77"/>
      <c r="J72" s="21">
        <f>SUM(G72:H72)</f>
        <v>0</v>
      </c>
    </row>
    <row r="73" spans="1:10" ht="14.95" customHeight="1" thickBot="1" x14ac:dyDescent="0.3">
      <c r="A73" s="150" t="s">
        <v>390</v>
      </c>
      <c r="B73" s="126">
        <v>0</v>
      </c>
      <c r="C73" s="211">
        <v>0</v>
      </c>
      <c r="D73" s="211"/>
      <c r="E73" s="66">
        <f>SUM(B73:C73)</f>
        <v>0</v>
      </c>
      <c r="F73" s="19" t="s">
        <v>386</v>
      </c>
      <c r="G73" s="137">
        <v>0</v>
      </c>
      <c r="H73" s="77">
        <v>0</v>
      </c>
      <c r="I73" s="77"/>
      <c r="J73" s="21">
        <f>SUM(G73:H73)</f>
        <v>0</v>
      </c>
    </row>
    <row r="74" spans="1:10" ht="14.95" thickBot="1" x14ac:dyDescent="0.3">
      <c r="A74" s="150" t="s">
        <v>384</v>
      </c>
      <c r="B74" s="126">
        <v>0</v>
      </c>
      <c r="C74" s="211">
        <v>0</v>
      </c>
      <c r="D74" s="211"/>
      <c r="E74" s="66">
        <v>0</v>
      </c>
      <c r="F74" s="19" t="s">
        <v>390</v>
      </c>
      <c r="G74" s="137">
        <v>0</v>
      </c>
      <c r="H74" s="77">
        <v>0</v>
      </c>
      <c r="I74" s="77"/>
      <c r="J74" s="21">
        <f>SUM(G74:H74)</f>
        <v>0</v>
      </c>
    </row>
    <row r="75" spans="1:10" ht="14.95" thickBot="1" x14ac:dyDescent="0.3">
      <c r="A75" s="150" t="s">
        <v>3</v>
      </c>
      <c r="B75" s="126">
        <f>SUM(B41:B74)</f>
        <v>12</v>
      </c>
      <c r="C75" s="211">
        <f>SUM(C41:C74)</f>
        <v>35</v>
      </c>
      <c r="D75" s="272">
        <v>6</v>
      </c>
      <c r="E75" s="66">
        <v>53</v>
      </c>
      <c r="F75" s="56" t="s">
        <v>3</v>
      </c>
      <c r="G75" s="136">
        <f>SUM(G41:G74)</f>
        <v>72</v>
      </c>
      <c r="H75" s="93">
        <f>SUM(H41:H74)</f>
        <v>217</v>
      </c>
      <c r="I75" s="270">
        <v>40</v>
      </c>
      <c r="J75" s="49">
        <v>329</v>
      </c>
    </row>
    <row r="76" spans="1:10" x14ac:dyDescent="0.25">
      <c r="A76" s="317" t="s">
        <v>11</v>
      </c>
      <c r="B76" s="317"/>
      <c r="C76" s="318"/>
    </row>
  </sheetData>
  <sortState xmlns:xlrd2="http://schemas.microsoft.com/office/spreadsheetml/2017/richdata2" ref="F41:J74">
    <sortCondition descending="1" ref="J41:J74"/>
  </sortState>
  <mergeCells count="10">
    <mergeCell ref="A76:C76"/>
    <mergeCell ref="K9:K10"/>
    <mergeCell ref="L9:N10"/>
    <mergeCell ref="K17:R17"/>
    <mergeCell ref="R1:R2"/>
    <mergeCell ref="A1:J1"/>
    <mergeCell ref="K1:K2"/>
    <mergeCell ref="L1:N2"/>
    <mergeCell ref="O1:Q2"/>
    <mergeCell ref="K18:R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92"/>
  <sheetViews>
    <sheetView zoomScaleNormal="100" workbookViewId="0">
      <selection activeCell="R10" sqref="R10"/>
    </sheetView>
  </sheetViews>
  <sheetFormatPr defaultRowHeight="14.3" x14ac:dyDescent="0.25"/>
  <cols>
    <col min="1" max="1" width="16.5" customWidth="1"/>
    <col min="2" max="4" width="4.5" customWidth="1"/>
    <col min="5" max="5" width="4.75" customWidth="1"/>
    <col min="6" max="6" width="16.5" customWidth="1"/>
    <col min="7" max="10" width="5.25" customWidth="1"/>
    <col min="11" max="11" width="15.25" customWidth="1"/>
    <col min="12" max="19" width="5.5" customWidth="1"/>
  </cols>
  <sheetData>
    <row r="1" spans="1:19" ht="14.95" customHeight="1" thickBot="1" x14ac:dyDescent="0.3">
      <c r="A1" s="350" t="s">
        <v>36</v>
      </c>
      <c r="B1" s="351"/>
      <c r="C1" s="351"/>
      <c r="D1" s="351"/>
      <c r="E1" s="351"/>
      <c r="F1" s="351"/>
      <c r="G1" s="351"/>
      <c r="H1" s="351"/>
      <c r="I1" s="351"/>
      <c r="J1" s="352"/>
      <c r="K1" s="353" t="s">
        <v>16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  <c r="S1" s="63"/>
    </row>
    <row r="2" spans="1:19" ht="14.95" customHeight="1" thickBot="1" x14ac:dyDescent="0.3">
      <c r="A2" s="245" t="s">
        <v>0</v>
      </c>
      <c r="B2" s="90" t="s">
        <v>15</v>
      </c>
      <c r="C2" s="91" t="s">
        <v>12</v>
      </c>
      <c r="D2" s="275" t="s">
        <v>396</v>
      </c>
      <c r="E2" s="92" t="s">
        <v>1</v>
      </c>
      <c r="F2" s="89" t="s">
        <v>2</v>
      </c>
      <c r="G2" s="93" t="s">
        <v>15</v>
      </c>
      <c r="H2" s="81" t="s">
        <v>12</v>
      </c>
      <c r="I2" s="270" t="s">
        <v>396</v>
      </c>
      <c r="J2" s="82" t="s">
        <v>1</v>
      </c>
      <c r="K2" s="354"/>
      <c r="L2" s="312"/>
      <c r="M2" s="313"/>
      <c r="N2" s="314"/>
      <c r="O2" s="312"/>
      <c r="P2" s="313"/>
      <c r="Q2" s="314"/>
      <c r="R2" s="316"/>
      <c r="S2" s="63"/>
    </row>
    <row r="3" spans="1:19" ht="14.95" customHeight="1" thickBot="1" x14ac:dyDescent="0.3">
      <c r="A3" s="246" t="s">
        <v>89</v>
      </c>
      <c r="B3" s="73">
        <v>0</v>
      </c>
      <c r="C3" s="74">
        <v>0</v>
      </c>
      <c r="D3" s="276">
        <v>0</v>
      </c>
      <c r="E3" s="38">
        <f>SUM(B3:D3)</f>
        <v>0</v>
      </c>
      <c r="F3" s="19" t="s">
        <v>89</v>
      </c>
      <c r="G3" s="77">
        <v>0</v>
      </c>
      <c r="H3" s="17">
        <v>0</v>
      </c>
      <c r="I3" s="271">
        <v>0</v>
      </c>
      <c r="J3" s="15">
        <f>SUM(G3:I3)</f>
        <v>0</v>
      </c>
      <c r="K3" s="4"/>
      <c r="L3" s="1" t="s">
        <v>18</v>
      </c>
      <c r="M3" s="1" t="s">
        <v>5</v>
      </c>
      <c r="N3" s="1" t="s">
        <v>6</v>
      </c>
      <c r="O3" s="84" t="s">
        <v>18</v>
      </c>
      <c r="P3" s="31" t="s">
        <v>5</v>
      </c>
      <c r="Q3" s="31" t="s">
        <v>6</v>
      </c>
      <c r="R3" s="1"/>
      <c r="S3" s="63"/>
    </row>
    <row r="4" spans="1:19" ht="14.95" customHeight="1" thickBot="1" x14ac:dyDescent="0.3">
      <c r="A4" s="246" t="s">
        <v>90</v>
      </c>
      <c r="B4" s="73">
        <v>0</v>
      </c>
      <c r="C4" s="74">
        <v>0</v>
      </c>
      <c r="D4" s="276">
        <v>0</v>
      </c>
      <c r="E4" s="38">
        <f t="shared" ref="E4:E43" si="0">SUM(B4:D4)</f>
        <v>0</v>
      </c>
      <c r="F4" s="19" t="s">
        <v>90</v>
      </c>
      <c r="G4" s="77">
        <v>0</v>
      </c>
      <c r="H4" s="17">
        <v>0</v>
      </c>
      <c r="I4" s="271">
        <v>0</v>
      </c>
      <c r="J4" s="15">
        <f t="shared" ref="J4:J44" si="1">SUM(G4:I4)</f>
        <v>0</v>
      </c>
      <c r="K4" s="246" t="s">
        <v>99</v>
      </c>
      <c r="L4" s="247">
        <v>28</v>
      </c>
      <c r="M4" s="247">
        <v>40</v>
      </c>
      <c r="N4" s="248">
        <f t="shared" ref="N4:N5" si="2">SUM(L4/M4)*100</f>
        <v>70</v>
      </c>
      <c r="O4" s="247">
        <v>4</v>
      </c>
      <c r="P4" s="247">
        <v>6</v>
      </c>
      <c r="Q4" s="248">
        <f t="shared" ref="Q4" si="3">SUM(O4/P4)*100</f>
        <v>66.666666666666657</v>
      </c>
      <c r="R4" s="247">
        <v>2</v>
      </c>
      <c r="S4" s="63"/>
    </row>
    <row r="5" spans="1:19" ht="14.95" customHeight="1" thickBot="1" x14ac:dyDescent="0.3">
      <c r="A5" s="246" t="s">
        <v>91</v>
      </c>
      <c r="B5" s="73">
        <v>0</v>
      </c>
      <c r="C5" s="74">
        <v>0</v>
      </c>
      <c r="D5" s="276">
        <v>0</v>
      </c>
      <c r="E5" s="38">
        <f t="shared" si="0"/>
        <v>0</v>
      </c>
      <c r="F5" s="19" t="s">
        <v>91</v>
      </c>
      <c r="G5" s="77">
        <v>0</v>
      </c>
      <c r="H5" s="17">
        <v>0</v>
      </c>
      <c r="I5" s="271">
        <v>0</v>
      </c>
      <c r="J5" s="15">
        <f t="shared" si="1"/>
        <v>0</v>
      </c>
      <c r="K5" s="246" t="s">
        <v>272</v>
      </c>
      <c r="L5" s="247">
        <v>15</v>
      </c>
      <c r="M5" s="247">
        <v>19</v>
      </c>
      <c r="N5" s="248">
        <f t="shared" si="2"/>
        <v>78.94736842105263</v>
      </c>
      <c r="O5" s="247" t="s">
        <v>8</v>
      </c>
      <c r="P5" s="247" t="s">
        <v>8</v>
      </c>
      <c r="Q5" s="248" t="s">
        <v>8</v>
      </c>
      <c r="R5" s="247">
        <v>1</v>
      </c>
      <c r="S5" s="63"/>
    </row>
    <row r="6" spans="1:19" ht="14.95" customHeight="1" thickBot="1" x14ac:dyDescent="0.3">
      <c r="A6" s="246" t="s">
        <v>92</v>
      </c>
      <c r="B6" s="73">
        <v>0</v>
      </c>
      <c r="C6" s="74">
        <v>0</v>
      </c>
      <c r="D6" s="276">
        <v>0</v>
      </c>
      <c r="E6" s="38">
        <f t="shared" si="0"/>
        <v>0</v>
      </c>
      <c r="F6" s="19" t="s">
        <v>92</v>
      </c>
      <c r="G6" s="77">
        <v>0</v>
      </c>
      <c r="H6" s="17">
        <v>0</v>
      </c>
      <c r="I6" s="271">
        <v>0</v>
      </c>
      <c r="J6" s="15">
        <f t="shared" si="1"/>
        <v>0</v>
      </c>
      <c r="S6" s="63"/>
    </row>
    <row r="7" spans="1:19" ht="14.95" customHeight="1" thickBot="1" x14ac:dyDescent="0.3">
      <c r="A7" s="246" t="s">
        <v>279</v>
      </c>
      <c r="B7" s="73">
        <v>0</v>
      </c>
      <c r="C7" s="74">
        <v>0</v>
      </c>
      <c r="D7" s="276">
        <v>0</v>
      </c>
      <c r="E7" s="38">
        <f t="shared" si="0"/>
        <v>0</v>
      </c>
      <c r="F7" s="19" t="s">
        <v>279</v>
      </c>
      <c r="G7" s="77">
        <v>0</v>
      </c>
      <c r="H7" s="17">
        <v>0</v>
      </c>
      <c r="I7" s="271">
        <v>0</v>
      </c>
      <c r="J7" s="15">
        <f t="shared" si="1"/>
        <v>0</v>
      </c>
      <c r="K7" s="344" t="s">
        <v>14</v>
      </c>
      <c r="L7" s="309">
        <v>2022</v>
      </c>
      <c r="M7" s="310"/>
      <c r="N7" s="311"/>
      <c r="O7" s="114"/>
      <c r="P7" s="114"/>
      <c r="Q7" s="63"/>
      <c r="R7" s="63"/>
      <c r="S7" s="63"/>
    </row>
    <row r="8" spans="1:19" ht="14.95" customHeight="1" thickBot="1" x14ac:dyDescent="0.3">
      <c r="A8" s="246" t="s">
        <v>307</v>
      </c>
      <c r="B8" s="73">
        <v>1</v>
      </c>
      <c r="C8" s="74">
        <v>0</v>
      </c>
      <c r="D8" s="276">
        <v>0</v>
      </c>
      <c r="E8" s="38">
        <f t="shared" si="0"/>
        <v>1</v>
      </c>
      <c r="F8" s="19" t="s">
        <v>307</v>
      </c>
      <c r="G8" s="77">
        <v>5</v>
      </c>
      <c r="H8" s="17">
        <v>0</v>
      </c>
      <c r="I8" s="271">
        <v>0</v>
      </c>
      <c r="J8" s="15">
        <f t="shared" si="1"/>
        <v>5</v>
      </c>
      <c r="K8" s="345"/>
      <c r="L8" s="312"/>
      <c r="M8" s="313"/>
      <c r="N8" s="314"/>
      <c r="O8" s="114"/>
      <c r="P8" s="114"/>
      <c r="Q8" s="63"/>
      <c r="R8" s="63"/>
      <c r="S8" s="63"/>
    </row>
    <row r="9" spans="1:19" ht="14.95" customHeight="1" thickBot="1" x14ac:dyDescent="0.3">
      <c r="A9" s="246" t="s">
        <v>280</v>
      </c>
      <c r="B9" s="73">
        <v>2</v>
      </c>
      <c r="C9" s="74">
        <v>0</v>
      </c>
      <c r="D9" s="276">
        <v>2</v>
      </c>
      <c r="E9" s="38">
        <f t="shared" si="0"/>
        <v>4</v>
      </c>
      <c r="F9" s="19" t="s">
        <v>280</v>
      </c>
      <c r="G9" s="77">
        <v>10</v>
      </c>
      <c r="H9" s="17">
        <v>0</v>
      </c>
      <c r="I9" s="271">
        <v>10</v>
      </c>
      <c r="J9" s="15">
        <f t="shared" si="1"/>
        <v>20</v>
      </c>
      <c r="K9" s="4"/>
      <c r="L9" s="1" t="s">
        <v>18</v>
      </c>
      <c r="M9" s="1" t="s">
        <v>5</v>
      </c>
      <c r="N9" s="1" t="s">
        <v>6</v>
      </c>
      <c r="O9" s="63"/>
      <c r="P9" s="63"/>
      <c r="Q9" s="63"/>
      <c r="R9" s="63"/>
      <c r="S9" s="63"/>
    </row>
    <row r="10" spans="1:19" ht="14.95" customHeight="1" thickBot="1" x14ac:dyDescent="0.3">
      <c r="A10" s="246" t="s">
        <v>709</v>
      </c>
      <c r="B10" s="73">
        <v>0</v>
      </c>
      <c r="C10" s="74">
        <v>0</v>
      </c>
      <c r="D10" s="276">
        <v>1</v>
      </c>
      <c r="E10" s="38">
        <f t="shared" si="0"/>
        <v>1</v>
      </c>
      <c r="F10" s="19" t="s">
        <v>709</v>
      </c>
      <c r="G10" s="77">
        <v>0</v>
      </c>
      <c r="H10" s="17">
        <v>0</v>
      </c>
      <c r="I10" s="271">
        <v>5</v>
      </c>
      <c r="J10" s="15">
        <f t="shared" si="1"/>
        <v>5</v>
      </c>
      <c r="K10" s="246" t="s">
        <v>99</v>
      </c>
      <c r="L10" s="247">
        <v>8</v>
      </c>
      <c r="M10" s="247">
        <v>14</v>
      </c>
      <c r="N10" s="248">
        <f t="shared" ref="N10:N11" si="4">SUM(L10/M10)*100</f>
        <v>57.142857142857139</v>
      </c>
      <c r="O10" s="63"/>
      <c r="P10" s="63"/>
      <c r="Q10" s="63"/>
      <c r="R10" s="63"/>
      <c r="S10" s="63"/>
    </row>
    <row r="11" spans="1:19" ht="14.95" customHeight="1" thickBot="1" x14ac:dyDescent="0.3">
      <c r="A11" s="246" t="s">
        <v>94</v>
      </c>
      <c r="B11" s="73">
        <v>0</v>
      </c>
      <c r="C11" s="74">
        <v>0</v>
      </c>
      <c r="D11" s="276">
        <v>0</v>
      </c>
      <c r="E11" s="38">
        <f t="shared" si="0"/>
        <v>0</v>
      </c>
      <c r="F11" s="19" t="s">
        <v>94</v>
      </c>
      <c r="G11" s="77">
        <v>0</v>
      </c>
      <c r="H11" s="17">
        <v>0</v>
      </c>
      <c r="I11" s="271">
        <v>0</v>
      </c>
      <c r="J11" s="15">
        <f t="shared" si="1"/>
        <v>0</v>
      </c>
      <c r="K11" s="246" t="s">
        <v>272</v>
      </c>
      <c r="L11" s="247">
        <v>11</v>
      </c>
      <c r="M11" s="247">
        <v>12</v>
      </c>
      <c r="N11" s="248">
        <f t="shared" si="4"/>
        <v>91.666666666666657</v>
      </c>
      <c r="O11" s="63"/>
      <c r="P11" s="63"/>
      <c r="Q11" s="63"/>
      <c r="R11" s="63"/>
      <c r="S11" s="63"/>
    </row>
    <row r="12" spans="1:19" ht="14.95" customHeight="1" thickBot="1" x14ac:dyDescent="0.3">
      <c r="A12" s="246" t="s">
        <v>95</v>
      </c>
      <c r="B12" s="73">
        <v>0</v>
      </c>
      <c r="C12" s="74">
        <v>0</v>
      </c>
      <c r="D12" s="276">
        <v>0</v>
      </c>
      <c r="E12" s="38">
        <f t="shared" si="0"/>
        <v>0</v>
      </c>
      <c r="F12" s="19" t="s">
        <v>95</v>
      </c>
      <c r="G12" s="77">
        <v>0</v>
      </c>
      <c r="H12" s="17">
        <v>0</v>
      </c>
      <c r="I12" s="271">
        <v>0</v>
      </c>
      <c r="J12" s="15">
        <f t="shared" si="1"/>
        <v>0</v>
      </c>
      <c r="O12" s="63"/>
      <c r="P12" s="63"/>
      <c r="Q12" s="63"/>
      <c r="R12" s="63"/>
    </row>
    <row r="13" spans="1:19" ht="14.95" customHeight="1" thickBot="1" x14ac:dyDescent="0.3">
      <c r="A13" s="246" t="s">
        <v>96</v>
      </c>
      <c r="B13" s="73">
        <v>1</v>
      </c>
      <c r="C13" s="74">
        <v>1</v>
      </c>
      <c r="D13" s="276">
        <v>1</v>
      </c>
      <c r="E13" s="38">
        <f t="shared" si="0"/>
        <v>3</v>
      </c>
      <c r="F13" s="19" t="s">
        <v>96</v>
      </c>
      <c r="G13" s="77">
        <v>5</v>
      </c>
      <c r="H13" s="17">
        <v>5</v>
      </c>
      <c r="I13" s="271">
        <v>5</v>
      </c>
      <c r="J13" s="15">
        <f t="shared" si="1"/>
        <v>15</v>
      </c>
      <c r="K13" s="326" t="s">
        <v>521</v>
      </c>
      <c r="L13" s="309">
        <v>2022</v>
      </c>
      <c r="M13" s="310"/>
      <c r="N13" s="311"/>
      <c r="O13" s="63"/>
      <c r="P13" s="63"/>
      <c r="Q13" s="63"/>
      <c r="R13" s="63"/>
      <c r="S13" s="63"/>
    </row>
    <row r="14" spans="1:19" ht="14.95" customHeight="1" thickBot="1" x14ac:dyDescent="0.3">
      <c r="A14" s="246" t="s">
        <v>97</v>
      </c>
      <c r="B14" s="73">
        <v>0</v>
      </c>
      <c r="C14" s="74">
        <v>0</v>
      </c>
      <c r="D14" s="276">
        <v>0</v>
      </c>
      <c r="E14" s="38">
        <f t="shared" si="0"/>
        <v>0</v>
      </c>
      <c r="F14" s="19" t="s">
        <v>97</v>
      </c>
      <c r="G14" s="77">
        <v>0</v>
      </c>
      <c r="H14" s="17">
        <v>0</v>
      </c>
      <c r="I14" s="271">
        <v>0</v>
      </c>
      <c r="J14" s="15">
        <f t="shared" si="1"/>
        <v>0</v>
      </c>
      <c r="K14" s="327"/>
      <c r="L14" s="312"/>
      <c r="M14" s="313"/>
      <c r="N14" s="314"/>
      <c r="O14" s="63"/>
      <c r="P14" s="63"/>
      <c r="Q14" s="63"/>
      <c r="R14" s="63"/>
      <c r="S14" s="63"/>
    </row>
    <row r="15" spans="1:19" ht="14.95" customHeight="1" thickBot="1" x14ac:dyDescent="0.3">
      <c r="A15" s="246" t="s">
        <v>98</v>
      </c>
      <c r="B15" s="73">
        <v>0</v>
      </c>
      <c r="C15" s="74">
        <v>0</v>
      </c>
      <c r="D15" s="276">
        <v>1</v>
      </c>
      <c r="E15" s="38">
        <f t="shared" si="0"/>
        <v>1</v>
      </c>
      <c r="F15" s="19" t="s">
        <v>98</v>
      </c>
      <c r="G15" s="77">
        <v>0</v>
      </c>
      <c r="H15" s="17">
        <v>0</v>
      </c>
      <c r="I15" s="271">
        <v>5</v>
      </c>
      <c r="J15" s="15">
        <f t="shared" si="1"/>
        <v>5</v>
      </c>
      <c r="K15" s="267"/>
      <c r="L15" s="31" t="s">
        <v>18</v>
      </c>
      <c r="M15" s="31" t="s">
        <v>5</v>
      </c>
      <c r="N15" s="31" t="s">
        <v>6</v>
      </c>
      <c r="O15" s="63"/>
      <c r="P15" s="63"/>
      <c r="Q15" s="63"/>
      <c r="R15" s="63"/>
      <c r="S15" s="63"/>
    </row>
    <row r="16" spans="1:19" ht="14.95" customHeight="1" thickBot="1" x14ac:dyDescent="0.3">
      <c r="A16" s="246" t="s">
        <v>99</v>
      </c>
      <c r="B16" s="73">
        <v>0</v>
      </c>
      <c r="C16" s="74">
        <v>0</v>
      </c>
      <c r="D16" s="276">
        <v>1</v>
      </c>
      <c r="E16" s="38">
        <f t="shared" si="0"/>
        <v>1</v>
      </c>
      <c r="F16" s="19" t="s">
        <v>99</v>
      </c>
      <c r="G16" s="77">
        <v>20</v>
      </c>
      <c r="H16" s="17">
        <v>10</v>
      </c>
      <c r="I16" s="271">
        <v>41</v>
      </c>
      <c r="J16" s="15">
        <f t="shared" si="1"/>
        <v>71</v>
      </c>
      <c r="K16" s="246" t="s">
        <v>99</v>
      </c>
      <c r="L16" s="247">
        <v>15</v>
      </c>
      <c r="M16" s="247">
        <v>21</v>
      </c>
      <c r="N16" s="248">
        <v>73</v>
      </c>
      <c r="O16" s="63"/>
      <c r="P16" s="63"/>
      <c r="Q16" s="63"/>
      <c r="R16" s="63"/>
      <c r="S16" s="63"/>
    </row>
    <row r="17" spans="1:19" ht="14.95" customHeight="1" thickBot="1" x14ac:dyDescent="0.3">
      <c r="A17" s="246" t="s">
        <v>100</v>
      </c>
      <c r="B17" s="73">
        <v>0</v>
      </c>
      <c r="C17" s="74">
        <v>0</v>
      </c>
      <c r="D17" s="276">
        <v>0</v>
      </c>
      <c r="E17" s="38">
        <f t="shared" si="0"/>
        <v>0</v>
      </c>
      <c r="F17" s="19" t="s">
        <v>100</v>
      </c>
      <c r="G17" s="77">
        <v>0</v>
      </c>
      <c r="H17" s="17">
        <v>0</v>
      </c>
      <c r="I17" s="271">
        <v>0</v>
      </c>
      <c r="J17" s="15">
        <f t="shared" si="1"/>
        <v>0</v>
      </c>
      <c r="K17" s="246" t="s">
        <v>272</v>
      </c>
      <c r="L17" s="247">
        <v>4</v>
      </c>
      <c r="M17" s="247">
        <v>7</v>
      </c>
      <c r="N17" s="248">
        <v>57</v>
      </c>
      <c r="S17" s="63"/>
    </row>
    <row r="18" spans="1:19" ht="14.95" customHeight="1" thickBot="1" x14ac:dyDescent="0.3">
      <c r="A18" s="246" t="s">
        <v>101</v>
      </c>
      <c r="B18" s="73">
        <v>1</v>
      </c>
      <c r="C18" s="74">
        <v>1</v>
      </c>
      <c r="D18" s="276">
        <v>1</v>
      </c>
      <c r="E18" s="38">
        <f t="shared" si="0"/>
        <v>3</v>
      </c>
      <c r="F18" s="19" t="s">
        <v>101</v>
      </c>
      <c r="G18" s="77">
        <v>5</v>
      </c>
      <c r="H18" s="17">
        <v>5</v>
      </c>
      <c r="I18" s="271">
        <v>5</v>
      </c>
      <c r="J18" s="15">
        <f t="shared" si="1"/>
        <v>15</v>
      </c>
      <c r="K18" s="246" t="s">
        <v>580</v>
      </c>
      <c r="L18" s="247">
        <v>4</v>
      </c>
      <c r="M18" s="247">
        <v>5</v>
      </c>
      <c r="N18" s="248">
        <v>80</v>
      </c>
      <c r="S18" s="63"/>
    </row>
    <row r="19" spans="1:19" ht="14.95" customHeight="1" thickBot="1" x14ac:dyDescent="0.3">
      <c r="A19" s="246" t="s">
        <v>102</v>
      </c>
      <c r="B19" s="73">
        <v>0</v>
      </c>
      <c r="C19" s="74">
        <v>0</v>
      </c>
      <c r="D19" s="276">
        <v>0</v>
      </c>
      <c r="E19" s="38">
        <f t="shared" si="0"/>
        <v>0</v>
      </c>
      <c r="F19" s="19" t="s">
        <v>102</v>
      </c>
      <c r="G19" s="77">
        <v>0</v>
      </c>
      <c r="H19" s="17">
        <v>0</v>
      </c>
      <c r="I19" s="271">
        <v>0</v>
      </c>
      <c r="J19" s="15">
        <f t="shared" si="1"/>
        <v>0</v>
      </c>
      <c r="S19" s="63"/>
    </row>
    <row r="20" spans="1:19" ht="14.95" customHeight="1" thickBot="1" x14ac:dyDescent="0.3">
      <c r="A20" s="246" t="s">
        <v>103</v>
      </c>
      <c r="B20" s="73">
        <v>0</v>
      </c>
      <c r="C20" s="74">
        <v>1</v>
      </c>
      <c r="D20" s="276">
        <v>0</v>
      </c>
      <c r="E20" s="38">
        <f t="shared" si="0"/>
        <v>1</v>
      </c>
      <c r="F20" s="19" t="s">
        <v>103</v>
      </c>
      <c r="G20" s="77">
        <v>0</v>
      </c>
      <c r="H20" s="17">
        <v>5</v>
      </c>
      <c r="I20" s="271">
        <v>0</v>
      </c>
      <c r="J20" s="15">
        <f t="shared" si="1"/>
        <v>5</v>
      </c>
      <c r="S20" s="63"/>
    </row>
    <row r="21" spans="1:19" ht="14.95" customHeight="1" thickBot="1" x14ac:dyDescent="0.3">
      <c r="A21" s="246" t="s">
        <v>104</v>
      </c>
      <c r="B21" s="73">
        <v>0</v>
      </c>
      <c r="C21" s="74">
        <v>0</v>
      </c>
      <c r="D21" s="276">
        <v>2</v>
      </c>
      <c r="E21" s="38">
        <f t="shared" si="0"/>
        <v>2</v>
      </c>
      <c r="F21" s="19" t="s">
        <v>104</v>
      </c>
      <c r="G21" s="77">
        <v>0</v>
      </c>
      <c r="H21" s="17">
        <v>0</v>
      </c>
      <c r="I21" s="271">
        <v>10</v>
      </c>
      <c r="J21" s="15">
        <f t="shared" si="1"/>
        <v>10</v>
      </c>
      <c r="S21" s="63"/>
    </row>
    <row r="22" spans="1:19" ht="14.95" customHeight="1" thickBot="1" x14ac:dyDescent="0.3">
      <c r="A22" s="246" t="s">
        <v>105</v>
      </c>
      <c r="B22" s="73">
        <v>1</v>
      </c>
      <c r="C22" s="74">
        <v>0</v>
      </c>
      <c r="D22" s="276">
        <v>0</v>
      </c>
      <c r="E22" s="38">
        <f t="shared" si="0"/>
        <v>1</v>
      </c>
      <c r="F22" s="19" t="s">
        <v>105</v>
      </c>
      <c r="G22" s="77">
        <v>5</v>
      </c>
      <c r="H22" s="17">
        <v>0</v>
      </c>
      <c r="I22" s="271">
        <v>0</v>
      </c>
      <c r="J22" s="15">
        <f t="shared" si="1"/>
        <v>5</v>
      </c>
      <c r="S22" s="63"/>
    </row>
    <row r="23" spans="1:19" ht="14.95" customHeight="1" thickBot="1" x14ac:dyDescent="0.3">
      <c r="A23" s="246" t="s">
        <v>577</v>
      </c>
      <c r="B23" s="73">
        <v>0</v>
      </c>
      <c r="C23" s="74">
        <v>0</v>
      </c>
      <c r="D23" s="276">
        <v>4</v>
      </c>
      <c r="E23" s="38">
        <f t="shared" si="0"/>
        <v>4</v>
      </c>
      <c r="F23" s="19" t="s">
        <v>577</v>
      </c>
      <c r="G23" s="77">
        <v>0</v>
      </c>
      <c r="H23" s="17">
        <v>0</v>
      </c>
      <c r="I23" s="271">
        <v>20</v>
      </c>
      <c r="J23" s="15">
        <f t="shared" si="1"/>
        <v>20</v>
      </c>
      <c r="S23" s="63"/>
    </row>
    <row r="24" spans="1:19" ht="14.95" customHeight="1" thickBot="1" x14ac:dyDescent="0.3">
      <c r="A24" s="246" t="s">
        <v>106</v>
      </c>
      <c r="B24" s="73">
        <v>1</v>
      </c>
      <c r="C24" s="74">
        <v>0</v>
      </c>
      <c r="D24" s="276">
        <v>1</v>
      </c>
      <c r="E24" s="38">
        <f t="shared" si="0"/>
        <v>2</v>
      </c>
      <c r="F24" s="19" t="s">
        <v>106</v>
      </c>
      <c r="G24" s="77">
        <v>5</v>
      </c>
      <c r="H24" s="17">
        <v>0</v>
      </c>
      <c r="I24" s="271">
        <v>5</v>
      </c>
      <c r="J24" s="15">
        <f t="shared" si="1"/>
        <v>10</v>
      </c>
    </row>
    <row r="25" spans="1:19" ht="14.95" customHeight="1" thickBot="1" x14ac:dyDescent="0.3">
      <c r="A25" s="246" t="s">
        <v>107</v>
      </c>
      <c r="B25" s="73">
        <v>1</v>
      </c>
      <c r="C25" s="74">
        <v>0</v>
      </c>
      <c r="D25" s="276">
        <v>1</v>
      </c>
      <c r="E25" s="38">
        <f t="shared" si="0"/>
        <v>2</v>
      </c>
      <c r="F25" s="19" t="s">
        <v>107</v>
      </c>
      <c r="G25" s="77">
        <v>5</v>
      </c>
      <c r="H25" s="17">
        <v>0</v>
      </c>
      <c r="I25" s="271">
        <v>5</v>
      </c>
      <c r="J25" s="15">
        <f t="shared" si="1"/>
        <v>10</v>
      </c>
    </row>
    <row r="26" spans="1:19" ht="14.95" customHeight="1" thickBot="1" x14ac:dyDescent="0.3">
      <c r="A26" s="246" t="s">
        <v>108</v>
      </c>
      <c r="B26" s="73">
        <v>2</v>
      </c>
      <c r="C26" s="74">
        <v>0</v>
      </c>
      <c r="D26" s="276">
        <v>0</v>
      </c>
      <c r="E26" s="38">
        <f t="shared" si="0"/>
        <v>2</v>
      </c>
      <c r="F26" s="19" t="s">
        <v>108</v>
      </c>
      <c r="G26" s="77">
        <v>10</v>
      </c>
      <c r="H26" s="17">
        <v>0</v>
      </c>
      <c r="I26" s="271">
        <v>0</v>
      </c>
      <c r="J26" s="15">
        <f t="shared" si="1"/>
        <v>10</v>
      </c>
    </row>
    <row r="27" spans="1:19" ht="14.95" customHeight="1" thickBot="1" x14ac:dyDescent="0.3">
      <c r="A27" s="246" t="s">
        <v>109</v>
      </c>
      <c r="B27" s="73">
        <v>1</v>
      </c>
      <c r="C27" s="74">
        <v>0</v>
      </c>
      <c r="D27" s="276">
        <v>0</v>
      </c>
      <c r="E27" s="38">
        <f t="shared" si="0"/>
        <v>1</v>
      </c>
      <c r="F27" s="19" t="s">
        <v>109</v>
      </c>
      <c r="G27" s="77">
        <v>5</v>
      </c>
      <c r="H27" s="17">
        <v>0</v>
      </c>
      <c r="I27" s="271">
        <v>0</v>
      </c>
      <c r="J27" s="15">
        <f t="shared" si="1"/>
        <v>5</v>
      </c>
    </row>
    <row r="28" spans="1:19" ht="14.95" customHeight="1" thickBot="1" x14ac:dyDescent="0.3">
      <c r="A28" s="246" t="s">
        <v>110</v>
      </c>
      <c r="B28" s="73">
        <v>0</v>
      </c>
      <c r="C28" s="74">
        <v>0</v>
      </c>
      <c r="D28" s="276">
        <v>0</v>
      </c>
      <c r="E28" s="38">
        <f t="shared" si="0"/>
        <v>0</v>
      </c>
      <c r="F28" s="19" t="s">
        <v>110</v>
      </c>
      <c r="G28" s="77">
        <v>0</v>
      </c>
      <c r="H28" s="17">
        <v>0</v>
      </c>
      <c r="I28" s="271">
        <v>0</v>
      </c>
      <c r="J28" s="15">
        <f t="shared" si="1"/>
        <v>0</v>
      </c>
    </row>
    <row r="29" spans="1:19" ht="14.95" customHeight="1" thickBot="1" x14ac:dyDescent="0.3">
      <c r="A29" s="246" t="s">
        <v>111</v>
      </c>
      <c r="B29" s="73">
        <v>0</v>
      </c>
      <c r="C29" s="74">
        <v>0</v>
      </c>
      <c r="D29" s="276">
        <v>0</v>
      </c>
      <c r="E29" s="38">
        <f t="shared" si="0"/>
        <v>0</v>
      </c>
      <c r="F29" s="19" t="s">
        <v>111</v>
      </c>
      <c r="G29" s="77">
        <v>0</v>
      </c>
      <c r="H29" s="17">
        <v>0</v>
      </c>
      <c r="I29" s="271">
        <v>0</v>
      </c>
      <c r="J29" s="15">
        <f t="shared" si="1"/>
        <v>0</v>
      </c>
    </row>
    <row r="30" spans="1:19" ht="14.95" customHeight="1" thickBot="1" x14ac:dyDescent="0.3">
      <c r="A30" s="246" t="s">
        <v>112</v>
      </c>
      <c r="B30" s="73">
        <v>1</v>
      </c>
      <c r="C30" s="74">
        <v>1</v>
      </c>
      <c r="D30" s="276">
        <v>1</v>
      </c>
      <c r="E30" s="38">
        <f t="shared" si="0"/>
        <v>3</v>
      </c>
      <c r="F30" s="19" t="s">
        <v>112</v>
      </c>
      <c r="G30" s="77">
        <v>5</v>
      </c>
      <c r="H30" s="17">
        <v>5</v>
      </c>
      <c r="I30" s="271">
        <v>5</v>
      </c>
      <c r="J30" s="15">
        <f t="shared" si="1"/>
        <v>15</v>
      </c>
    </row>
    <row r="31" spans="1:19" ht="14.95" customHeight="1" thickBot="1" x14ac:dyDescent="0.3">
      <c r="A31" s="246" t="s">
        <v>113</v>
      </c>
      <c r="B31" s="73">
        <v>0</v>
      </c>
      <c r="C31" s="74">
        <v>0</v>
      </c>
      <c r="D31" s="276">
        <v>0</v>
      </c>
      <c r="E31" s="38">
        <f t="shared" si="0"/>
        <v>0</v>
      </c>
      <c r="F31" s="19" t="s">
        <v>113</v>
      </c>
      <c r="G31" s="77">
        <v>0</v>
      </c>
      <c r="H31" s="17">
        <v>0</v>
      </c>
      <c r="I31" s="271">
        <v>0</v>
      </c>
      <c r="J31" s="15">
        <f t="shared" si="1"/>
        <v>0</v>
      </c>
    </row>
    <row r="32" spans="1:19" ht="14.95" customHeight="1" thickBot="1" x14ac:dyDescent="0.3">
      <c r="A32" s="246" t="s">
        <v>115</v>
      </c>
      <c r="B32" s="73">
        <v>0</v>
      </c>
      <c r="C32" s="74">
        <v>0</v>
      </c>
      <c r="D32" s="276">
        <v>3</v>
      </c>
      <c r="E32" s="38">
        <f t="shared" si="0"/>
        <v>3</v>
      </c>
      <c r="F32" s="20" t="s">
        <v>115</v>
      </c>
      <c r="G32" s="77">
        <v>0</v>
      </c>
      <c r="H32" s="17">
        <v>0</v>
      </c>
      <c r="I32" s="271">
        <v>15</v>
      </c>
      <c r="J32" s="15">
        <f t="shared" si="1"/>
        <v>15</v>
      </c>
    </row>
    <row r="33" spans="1:10" ht="14.95" customHeight="1" thickBot="1" x14ac:dyDescent="0.3">
      <c r="A33" s="246" t="s">
        <v>114</v>
      </c>
      <c r="B33" s="73">
        <v>1</v>
      </c>
      <c r="C33" s="74">
        <v>1</v>
      </c>
      <c r="D33" s="276">
        <v>2</v>
      </c>
      <c r="E33" s="38">
        <f t="shared" si="0"/>
        <v>4</v>
      </c>
      <c r="F33" s="20" t="s">
        <v>114</v>
      </c>
      <c r="G33" s="77">
        <v>5</v>
      </c>
      <c r="H33" s="17">
        <v>5</v>
      </c>
      <c r="I33" s="271">
        <v>10</v>
      </c>
      <c r="J33" s="15">
        <f t="shared" si="1"/>
        <v>20</v>
      </c>
    </row>
    <row r="34" spans="1:10" ht="14.95" customHeight="1" thickBot="1" x14ac:dyDescent="0.3">
      <c r="A34" s="246" t="s">
        <v>116</v>
      </c>
      <c r="B34" s="73">
        <v>1</v>
      </c>
      <c r="C34" s="74">
        <v>0</v>
      </c>
      <c r="D34" s="276">
        <v>0</v>
      </c>
      <c r="E34" s="38">
        <f t="shared" si="0"/>
        <v>1</v>
      </c>
      <c r="F34" s="20" t="s">
        <v>116</v>
      </c>
      <c r="G34" s="77">
        <v>5</v>
      </c>
      <c r="H34" s="17">
        <v>0</v>
      </c>
      <c r="I34" s="271">
        <v>0</v>
      </c>
      <c r="J34" s="15">
        <f t="shared" si="1"/>
        <v>5</v>
      </c>
    </row>
    <row r="35" spans="1:10" ht="14.95" customHeight="1" thickBot="1" x14ac:dyDescent="0.3">
      <c r="A35" s="246" t="s">
        <v>117</v>
      </c>
      <c r="B35" s="73">
        <v>0</v>
      </c>
      <c r="C35" s="74">
        <v>0</v>
      </c>
      <c r="D35" s="276">
        <v>0</v>
      </c>
      <c r="E35" s="38">
        <f t="shared" si="0"/>
        <v>0</v>
      </c>
      <c r="F35" s="20" t="s">
        <v>117</v>
      </c>
      <c r="G35" s="77">
        <v>0</v>
      </c>
      <c r="H35" s="17">
        <v>0</v>
      </c>
      <c r="I35" s="271">
        <v>0</v>
      </c>
      <c r="J35" s="15">
        <f t="shared" si="1"/>
        <v>0</v>
      </c>
    </row>
    <row r="36" spans="1:10" ht="14.95" customHeight="1" thickBot="1" x14ac:dyDescent="0.3">
      <c r="A36" s="246" t="s">
        <v>118</v>
      </c>
      <c r="B36" s="73">
        <v>0</v>
      </c>
      <c r="C36" s="74">
        <v>0</v>
      </c>
      <c r="D36" s="276">
        <v>0</v>
      </c>
      <c r="E36" s="38">
        <f t="shared" si="0"/>
        <v>0</v>
      </c>
      <c r="F36" s="20" t="s">
        <v>118</v>
      </c>
      <c r="G36" s="77">
        <v>0</v>
      </c>
      <c r="H36" s="17">
        <v>0</v>
      </c>
      <c r="I36" s="271">
        <v>0</v>
      </c>
      <c r="J36" s="15">
        <f t="shared" si="1"/>
        <v>0</v>
      </c>
    </row>
    <row r="37" spans="1:10" ht="14.95" customHeight="1" thickBot="1" x14ac:dyDescent="0.3">
      <c r="A37" s="246" t="s">
        <v>580</v>
      </c>
      <c r="B37" s="73">
        <v>0</v>
      </c>
      <c r="C37" s="74">
        <v>0</v>
      </c>
      <c r="D37" s="276">
        <v>0</v>
      </c>
      <c r="E37" s="38">
        <f t="shared" si="0"/>
        <v>0</v>
      </c>
      <c r="F37" s="20" t="s">
        <v>580</v>
      </c>
      <c r="G37" s="77">
        <v>0</v>
      </c>
      <c r="H37" s="17">
        <v>0</v>
      </c>
      <c r="I37" s="271">
        <v>8</v>
      </c>
      <c r="J37" s="15">
        <v>8</v>
      </c>
    </row>
    <row r="38" spans="1:10" ht="14.95" customHeight="1" thickBot="1" x14ac:dyDescent="0.3">
      <c r="A38" s="246" t="s">
        <v>119</v>
      </c>
      <c r="B38" s="73">
        <v>6</v>
      </c>
      <c r="C38" s="74">
        <v>1</v>
      </c>
      <c r="D38" s="276">
        <v>2</v>
      </c>
      <c r="E38" s="38">
        <f t="shared" si="0"/>
        <v>9</v>
      </c>
      <c r="F38" s="20" t="s">
        <v>119</v>
      </c>
      <c r="G38" s="77">
        <v>30</v>
      </c>
      <c r="H38" s="17">
        <v>5</v>
      </c>
      <c r="I38" s="271">
        <v>10</v>
      </c>
      <c r="J38" s="15">
        <f t="shared" si="1"/>
        <v>45</v>
      </c>
    </row>
    <row r="39" spans="1:10" ht="14.95" customHeight="1" thickBot="1" x14ac:dyDescent="0.3">
      <c r="A39" s="246" t="s">
        <v>120</v>
      </c>
      <c r="B39" s="73">
        <v>0</v>
      </c>
      <c r="C39" s="74">
        <v>0</v>
      </c>
      <c r="D39" s="276">
        <v>0</v>
      </c>
      <c r="E39" s="38">
        <f t="shared" si="0"/>
        <v>0</v>
      </c>
      <c r="F39" s="20" t="s">
        <v>120</v>
      </c>
      <c r="G39" s="77">
        <v>0</v>
      </c>
      <c r="H39" s="17">
        <v>0</v>
      </c>
      <c r="I39" s="271">
        <v>0</v>
      </c>
      <c r="J39" s="15">
        <f t="shared" si="1"/>
        <v>0</v>
      </c>
    </row>
    <row r="40" spans="1:10" ht="14.95" customHeight="1" thickBot="1" x14ac:dyDescent="0.3">
      <c r="A40" s="246" t="s">
        <v>121</v>
      </c>
      <c r="B40" s="73">
        <v>0</v>
      </c>
      <c r="C40" s="74">
        <v>0</v>
      </c>
      <c r="D40" s="276">
        <v>1</v>
      </c>
      <c r="E40" s="38">
        <f t="shared" si="0"/>
        <v>1</v>
      </c>
      <c r="F40" s="20" t="s">
        <v>121</v>
      </c>
      <c r="G40" s="77">
        <v>0</v>
      </c>
      <c r="H40" s="17">
        <v>0</v>
      </c>
      <c r="I40" s="271">
        <v>5</v>
      </c>
      <c r="J40" s="15">
        <f t="shared" si="1"/>
        <v>5</v>
      </c>
    </row>
    <row r="41" spans="1:10" ht="14.95" customHeight="1" thickBot="1" x14ac:dyDescent="0.3">
      <c r="A41" s="246" t="s">
        <v>122</v>
      </c>
      <c r="B41" s="73">
        <v>0</v>
      </c>
      <c r="C41" s="74">
        <v>0</v>
      </c>
      <c r="D41" s="276">
        <v>0</v>
      </c>
      <c r="E41" s="38">
        <f t="shared" si="0"/>
        <v>0</v>
      </c>
      <c r="F41" s="20" t="s">
        <v>122</v>
      </c>
      <c r="G41" s="77">
        <v>0</v>
      </c>
      <c r="H41" s="17">
        <v>0</v>
      </c>
      <c r="I41" s="271">
        <v>0</v>
      </c>
      <c r="J41" s="15">
        <f t="shared" si="1"/>
        <v>0</v>
      </c>
    </row>
    <row r="42" spans="1:10" ht="14.95" customHeight="1" thickBot="1" x14ac:dyDescent="0.3">
      <c r="A42" s="246" t="s">
        <v>272</v>
      </c>
      <c r="B42" s="73">
        <v>2</v>
      </c>
      <c r="C42" s="74">
        <v>0</v>
      </c>
      <c r="D42" s="276">
        <v>0</v>
      </c>
      <c r="E42" s="38">
        <f t="shared" si="0"/>
        <v>2</v>
      </c>
      <c r="F42" s="20" t="s">
        <v>272</v>
      </c>
      <c r="G42" s="77">
        <v>32</v>
      </c>
      <c r="H42" s="17">
        <v>0</v>
      </c>
      <c r="I42" s="271">
        <v>9</v>
      </c>
      <c r="J42" s="15">
        <f t="shared" si="1"/>
        <v>41</v>
      </c>
    </row>
    <row r="43" spans="1:10" ht="14.95" customHeight="1" thickBot="1" x14ac:dyDescent="0.3">
      <c r="A43" s="246" t="s">
        <v>123</v>
      </c>
      <c r="B43" s="73">
        <v>0</v>
      </c>
      <c r="C43" s="74">
        <v>0</v>
      </c>
      <c r="D43" s="276">
        <v>2</v>
      </c>
      <c r="E43" s="38">
        <f t="shared" si="0"/>
        <v>2</v>
      </c>
      <c r="F43" s="20" t="s">
        <v>123</v>
      </c>
      <c r="G43" s="77">
        <v>0</v>
      </c>
      <c r="H43" s="17">
        <v>0</v>
      </c>
      <c r="I43" s="271">
        <v>10</v>
      </c>
      <c r="J43" s="15">
        <f t="shared" si="1"/>
        <v>10</v>
      </c>
    </row>
    <row r="44" spans="1:10" ht="14.95" customHeight="1" thickBot="1" x14ac:dyDescent="0.3">
      <c r="A44" s="246" t="s">
        <v>302</v>
      </c>
      <c r="B44" s="73">
        <v>0</v>
      </c>
      <c r="C44" s="74">
        <v>0</v>
      </c>
      <c r="D44" s="276">
        <v>1</v>
      </c>
      <c r="E44" s="38">
        <v>1</v>
      </c>
      <c r="F44" s="20" t="s">
        <v>302</v>
      </c>
      <c r="G44" s="77">
        <v>0</v>
      </c>
      <c r="H44" s="17">
        <v>0</v>
      </c>
      <c r="I44" s="271">
        <v>7</v>
      </c>
      <c r="J44" s="15">
        <f t="shared" si="1"/>
        <v>7</v>
      </c>
    </row>
    <row r="45" spans="1:10" ht="14.95" customHeight="1" thickBot="1" x14ac:dyDescent="0.3">
      <c r="A45" s="246" t="s">
        <v>3</v>
      </c>
      <c r="B45" s="73">
        <f>SUM(B4:B44)</f>
        <v>22</v>
      </c>
      <c r="C45" s="74">
        <f>SUM(C4:C44)</f>
        <v>6</v>
      </c>
      <c r="D45" s="276">
        <f>SUM(D4:D44)</f>
        <v>27</v>
      </c>
      <c r="E45" s="38">
        <f t="shared" ref="E45" si="5">SUM(B45:D45)</f>
        <v>55</v>
      </c>
      <c r="F45" s="20" t="s">
        <v>3</v>
      </c>
      <c r="G45" s="77">
        <f>SUM(G4:G44)</f>
        <v>152</v>
      </c>
      <c r="H45" s="17">
        <f>SUM(H4:H44)</f>
        <v>40</v>
      </c>
      <c r="I45" s="271">
        <f>SUM(I4:I44)</f>
        <v>190</v>
      </c>
      <c r="J45" s="15">
        <f t="shared" ref="J45" si="6">SUM(G45:I45)</f>
        <v>382</v>
      </c>
    </row>
    <row r="46" spans="1:10" ht="14.95" thickBot="1" x14ac:dyDescent="0.3">
      <c r="A46" t="s">
        <v>7</v>
      </c>
      <c r="F46" s="5"/>
      <c r="G46" s="6"/>
      <c r="H46" s="6"/>
      <c r="I46" s="6"/>
      <c r="J46" s="6"/>
    </row>
    <row r="47" spans="1:10" ht="14.95" thickBot="1" x14ac:dyDescent="0.3">
      <c r="A47" s="245" t="s">
        <v>0</v>
      </c>
      <c r="B47" s="90" t="s">
        <v>15</v>
      </c>
      <c r="C47" s="91" t="s">
        <v>12</v>
      </c>
      <c r="D47" s="275" t="s">
        <v>396</v>
      </c>
      <c r="E47" s="92" t="s">
        <v>1</v>
      </c>
      <c r="F47" s="89" t="s">
        <v>2</v>
      </c>
      <c r="G47" s="93" t="s">
        <v>15</v>
      </c>
      <c r="H47" s="81" t="s">
        <v>12</v>
      </c>
      <c r="I47" s="270" t="s">
        <v>396</v>
      </c>
      <c r="J47" s="82" t="s">
        <v>1</v>
      </c>
    </row>
    <row r="48" spans="1:10" ht="14.95" thickBot="1" x14ac:dyDescent="0.3">
      <c r="A48" s="246" t="s">
        <v>119</v>
      </c>
      <c r="B48" s="73">
        <v>6</v>
      </c>
      <c r="C48" s="74">
        <v>1</v>
      </c>
      <c r="D48" s="276">
        <v>2</v>
      </c>
      <c r="E48" s="38">
        <f>SUM(B48:D48)</f>
        <v>9</v>
      </c>
      <c r="F48" s="19" t="s">
        <v>99</v>
      </c>
      <c r="G48" s="77">
        <v>20</v>
      </c>
      <c r="H48" s="17">
        <v>10</v>
      </c>
      <c r="I48" s="271">
        <v>41</v>
      </c>
      <c r="J48" s="15">
        <f>SUM(G48:I48)</f>
        <v>71</v>
      </c>
    </row>
    <row r="49" spans="1:10" ht="14.95" thickBot="1" x14ac:dyDescent="0.3">
      <c r="A49" s="246" t="s">
        <v>280</v>
      </c>
      <c r="B49" s="73">
        <v>2</v>
      </c>
      <c r="C49" s="74">
        <v>0</v>
      </c>
      <c r="D49" s="276">
        <v>2</v>
      </c>
      <c r="E49" s="38">
        <f>SUM(B49:D49)</f>
        <v>4</v>
      </c>
      <c r="F49" s="19" t="s">
        <v>119</v>
      </c>
      <c r="G49" s="77">
        <v>30</v>
      </c>
      <c r="H49" s="17">
        <v>5</v>
      </c>
      <c r="I49" s="271">
        <v>10</v>
      </c>
      <c r="J49" s="15">
        <f>SUM(G49:I49)</f>
        <v>45</v>
      </c>
    </row>
    <row r="50" spans="1:10" ht="14.95" thickBot="1" x14ac:dyDescent="0.3">
      <c r="A50" s="246" t="s">
        <v>577</v>
      </c>
      <c r="B50" s="73">
        <v>0</v>
      </c>
      <c r="C50" s="74">
        <v>0</v>
      </c>
      <c r="D50" s="276">
        <v>4</v>
      </c>
      <c r="E50" s="38">
        <f>SUM(B50:D50)</f>
        <v>4</v>
      </c>
      <c r="F50" s="19" t="s">
        <v>272</v>
      </c>
      <c r="G50" s="77">
        <v>32</v>
      </c>
      <c r="H50" s="17">
        <v>0</v>
      </c>
      <c r="I50" s="271">
        <v>9</v>
      </c>
      <c r="J50" s="15">
        <f>SUM(G50:I50)</f>
        <v>41</v>
      </c>
    </row>
    <row r="51" spans="1:10" ht="14.95" thickBot="1" x14ac:dyDescent="0.3">
      <c r="A51" s="246" t="s">
        <v>114</v>
      </c>
      <c r="B51" s="73">
        <v>1</v>
      </c>
      <c r="C51" s="74">
        <v>1</v>
      </c>
      <c r="D51" s="276">
        <v>2</v>
      </c>
      <c r="E51" s="38">
        <f>SUM(B51:D51)</f>
        <v>4</v>
      </c>
      <c r="F51" s="19" t="s">
        <v>280</v>
      </c>
      <c r="G51" s="77">
        <v>10</v>
      </c>
      <c r="H51" s="17">
        <v>0</v>
      </c>
      <c r="I51" s="271">
        <v>10</v>
      </c>
      <c r="J51" s="15">
        <f>SUM(G51:I51)</f>
        <v>20</v>
      </c>
    </row>
    <row r="52" spans="1:10" ht="14.95" thickBot="1" x14ac:dyDescent="0.3">
      <c r="A52" s="246" t="s">
        <v>96</v>
      </c>
      <c r="B52" s="73">
        <v>1</v>
      </c>
      <c r="C52" s="74">
        <v>1</v>
      </c>
      <c r="D52" s="276">
        <v>1</v>
      </c>
      <c r="E52" s="38">
        <f>SUM(B52:D52)</f>
        <v>3</v>
      </c>
      <c r="F52" s="19" t="s">
        <v>577</v>
      </c>
      <c r="G52" s="77">
        <v>0</v>
      </c>
      <c r="H52" s="17">
        <v>0</v>
      </c>
      <c r="I52" s="271">
        <v>20</v>
      </c>
      <c r="J52" s="15">
        <f>SUM(G52:I52)</f>
        <v>20</v>
      </c>
    </row>
    <row r="53" spans="1:10" ht="14.95" thickBot="1" x14ac:dyDescent="0.3">
      <c r="A53" s="246" t="s">
        <v>101</v>
      </c>
      <c r="B53" s="73">
        <v>1</v>
      </c>
      <c r="C53" s="74">
        <v>1</v>
      </c>
      <c r="D53" s="276">
        <v>1</v>
      </c>
      <c r="E53" s="38">
        <f>SUM(B53:D53)</f>
        <v>3</v>
      </c>
      <c r="F53" s="19" t="s">
        <v>114</v>
      </c>
      <c r="G53" s="77">
        <v>5</v>
      </c>
      <c r="H53" s="17">
        <v>5</v>
      </c>
      <c r="I53" s="271">
        <v>10</v>
      </c>
      <c r="J53" s="15">
        <f>SUM(G53:I53)</f>
        <v>20</v>
      </c>
    </row>
    <row r="54" spans="1:10" ht="14.95" thickBot="1" x14ac:dyDescent="0.3">
      <c r="A54" s="246" t="s">
        <v>112</v>
      </c>
      <c r="B54" s="73">
        <v>1</v>
      </c>
      <c r="C54" s="74">
        <v>1</v>
      </c>
      <c r="D54" s="276">
        <v>1</v>
      </c>
      <c r="E54" s="38">
        <f>SUM(B54:D54)</f>
        <v>3</v>
      </c>
      <c r="F54" s="19" t="s">
        <v>96</v>
      </c>
      <c r="G54" s="77">
        <v>5</v>
      </c>
      <c r="H54" s="17">
        <v>5</v>
      </c>
      <c r="I54" s="271">
        <v>5</v>
      </c>
      <c r="J54" s="15">
        <f>SUM(G54:I54)</f>
        <v>15</v>
      </c>
    </row>
    <row r="55" spans="1:10" ht="14.95" thickBot="1" x14ac:dyDescent="0.3">
      <c r="A55" s="246" t="s">
        <v>115</v>
      </c>
      <c r="B55" s="73">
        <v>0</v>
      </c>
      <c r="C55" s="74">
        <v>0</v>
      </c>
      <c r="D55" s="276">
        <v>3</v>
      </c>
      <c r="E55" s="38">
        <f>SUM(B55:D55)</f>
        <v>3</v>
      </c>
      <c r="F55" s="19" t="s">
        <v>101</v>
      </c>
      <c r="G55" s="77">
        <v>5</v>
      </c>
      <c r="H55" s="17">
        <v>5</v>
      </c>
      <c r="I55" s="271">
        <v>5</v>
      </c>
      <c r="J55" s="15">
        <f>SUM(G55:I55)</f>
        <v>15</v>
      </c>
    </row>
    <row r="56" spans="1:10" ht="14.95" thickBot="1" x14ac:dyDescent="0.3">
      <c r="A56" s="246" t="s">
        <v>104</v>
      </c>
      <c r="B56" s="73">
        <v>0</v>
      </c>
      <c r="C56" s="74">
        <v>0</v>
      </c>
      <c r="D56" s="276">
        <v>2</v>
      </c>
      <c r="E56" s="38">
        <f>SUM(B56:D56)</f>
        <v>2</v>
      </c>
      <c r="F56" s="19" t="s">
        <v>112</v>
      </c>
      <c r="G56" s="77">
        <v>5</v>
      </c>
      <c r="H56" s="17">
        <v>5</v>
      </c>
      <c r="I56" s="271">
        <v>5</v>
      </c>
      <c r="J56" s="15">
        <f>SUM(G56:I56)</f>
        <v>15</v>
      </c>
    </row>
    <row r="57" spans="1:10" ht="14.95" thickBot="1" x14ac:dyDescent="0.3">
      <c r="A57" s="246" t="s">
        <v>106</v>
      </c>
      <c r="B57" s="73">
        <v>1</v>
      </c>
      <c r="C57" s="74">
        <v>0</v>
      </c>
      <c r="D57" s="276">
        <v>1</v>
      </c>
      <c r="E57" s="38">
        <f>SUM(B57:D57)</f>
        <v>2</v>
      </c>
      <c r="F57" s="19" t="s">
        <v>115</v>
      </c>
      <c r="G57" s="77">
        <v>0</v>
      </c>
      <c r="H57" s="17">
        <v>0</v>
      </c>
      <c r="I57" s="271">
        <v>15</v>
      </c>
      <c r="J57" s="15">
        <f>SUM(G57:I57)</f>
        <v>15</v>
      </c>
    </row>
    <row r="58" spans="1:10" ht="14.95" thickBot="1" x14ac:dyDescent="0.3">
      <c r="A58" s="246" t="s">
        <v>107</v>
      </c>
      <c r="B58" s="73">
        <v>1</v>
      </c>
      <c r="C58" s="74">
        <v>0</v>
      </c>
      <c r="D58" s="276">
        <v>1</v>
      </c>
      <c r="E58" s="38">
        <f>SUM(B58:D58)</f>
        <v>2</v>
      </c>
      <c r="F58" s="19" t="s">
        <v>104</v>
      </c>
      <c r="G58" s="77">
        <v>0</v>
      </c>
      <c r="H58" s="17">
        <v>0</v>
      </c>
      <c r="I58" s="271">
        <v>10</v>
      </c>
      <c r="J58" s="15">
        <f>SUM(G58:I58)</f>
        <v>10</v>
      </c>
    </row>
    <row r="59" spans="1:10" ht="14.95" thickBot="1" x14ac:dyDescent="0.3">
      <c r="A59" s="246" t="s">
        <v>108</v>
      </c>
      <c r="B59" s="73">
        <v>2</v>
      </c>
      <c r="C59" s="74">
        <v>0</v>
      </c>
      <c r="D59" s="276">
        <v>0</v>
      </c>
      <c r="E59" s="38">
        <f>SUM(B59:D59)</f>
        <v>2</v>
      </c>
      <c r="F59" s="19" t="s">
        <v>106</v>
      </c>
      <c r="G59" s="77">
        <v>5</v>
      </c>
      <c r="H59" s="17">
        <v>0</v>
      </c>
      <c r="I59" s="271">
        <v>5</v>
      </c>
      <c r="J59" s="15">
        <f>SUM(G59:I59)</f>
        <v>10</v>
      </c>
    </row>
    <row r="60" spans="1:10" ht="14.95" thickBot="1" x14ac:dyDescent="0.3">
      <c r="A60" s="246" t="s">
        <v>272</v>
      </c>
      <c r="B60" s="73">
        <v>2</v>
      </c>
      <c r="C60" s="74">
        <v>0</v>
      </c>
      <c r="D60" s="276">
        <v>0</v>
      </c>
      <c r="E60" s="38">
        <f>SUM(B60:D60)</f>
        <v>2</v>
      </c>
      <c r="F60" s="19" t="s">
        <v>107</v>
      </c>
      <c r="G60" s="77">
        <v>5</v>
      </c>
      <c r="H60" s="17">
        <v>0</v>
      </c>
      <c r="I60" s="271">
        <v>5</v>
      </c>
      <c r="J60" s="15">
        <f>SUM(G60:I60)</f>
        <v>10</v>
      </c>
    </row>
    <row r="61" spans="1:10" ht="14.95" thickBot="1" x14ac:dyDescent="0.3">
      <c r="A61" s="246" t="s">
        <v>123</v>
      </c>
      <c r="B61" s="73">
        <v>0</v>
      </c>
      <c r="C61" s="74">
        <v>0</v>
      </c>
      <c r="D61" s="276">
        <v>2</v>
      </c>
      <c r="E61" s="38">
        <f>SUM(B61:D61)</f>
        <v>2</v>
      </c>
      <c r="F61" s="19" t="s">
        <v>108</v>
      </c>
      <c r="G61" s="77">
        <v>10</v>
      </c>
      <c r="H61" s="17">
        <v>0</v>
      </c>
      <c r="I61" s="271">
        <v>0</v>
      </c>
      <c r="J61" s="15">
        <f>SUM(G61:I61)</f>
        <v>10</v>
      </c>
    </row>
    <row r="62" spans="1:10" ht="14.95" thickBot="1" x14ac:dyDescent="0.3">
      <c r="A62" s="246" t="s">
        <v>307</v>
      </c>
      <c r="B62" s="73">
        <v>1</v>
      </c>
      <c r="C62" s="74">
        <v>0</v>
      </c>
      <c r="D62" s="276">
        <v>0</v>
      </c>
      <c r="E62" s="38">
        <f>SUM(B62:D62)</f>
        <v>1</v>
      </c>
      <c r="F62" s="19" t="s">
        <v>123</v>
      </c>
      <c r="G62" s="77">
        <v>0</v>
      </c>
      <c r="H62" s="17">
        <v>0</v>
      </c>
      <c r="I62" s="271">
        <v>10</v>
      </c>
      <c r="J62" s="15">
        <f>SUM(G62:I62)</f>
        <v>10</v>
      </c>
    </row>
    <row r="63" spans="1:10" ht="14.95" thickBot="1" x14ac:dyDescent="0.3">
      <c r="A63" s="246" t="s">
        <v>709</v>
      </c>
      <c r="B63" s="73">
        <v>0</v>
      </c>
      <c r="C63" s="74">
        <v>0</v>
      </c>
      <c r="D63" s="276">
        <v>1</v>
      </c>
      <c r="E63" s="38">
        <f>SUM(B63:D63)</f>
        <v>1</v>
      </c>
      <c r="F63" s="19" t="s">
        <v>580</v>
      </c>
      <c r="G63" s="77">
        <v>0</v>
      </c>
      <c r="H63" s="17">
        <v>0</v>
      </c>
      <c r="I63" s="271">
        <v>8</v>
      </c>
      <c r="J63" s="15">
        <v>8</v>
      </c>
    </row>
    <row r="64" spans="1:10" ht="14.95" thickBot="1" x14ac:dyDescent="0.3">
      <c r="A64" s="246" t="s">
        <v>98</v>
      </c>
      <c r="B64" s="73">
        <v>0</v>
      </c>
      <c r="C64" s="74">
        <v>0</v>
      </c>
      <c r="D64" s="276">
        <v>1</v>
      </c>
      <c r="E64" s="38">
        <f>SUM(B64:D64)</f>
        <v>1</v>
      </c>
      <c r="F64" s="19" t="s">
        <v>302</v>
      </c>
      <c r="G64" s="77">
        <v>0</v>
      </c>
      <c r="H64" s="17">
        <v>0</v>
      </c>
      <c r="I64" s="271">
        <v>7</v>
      </c>
      <c r="J64" s="15">
        <f>SUM(G64:I64)</f>
        <v>7</v>
      </c>
    </row>
    <row r="65" spans="1:10" ht="14.95" thickBot="1" x14ac:dyDescent="0.3">
      <c r="A65" s="246" t="s">
        <v>99</v>
      </c>
      <c r="B65" s="73">
        <v>0</v>
      </c>
      <c r="C65" s="74">
        <v>0</v>
      </c>
      <c r="D65" s="276">
        <v>1</v>
      </c>
      <c r="E65" s="38">
        <f>SUM(B65:D65)</f>
        <v>1</v>
      </c>
      <c r="F65" s="19" t="s">
        <v>307</v>
      </c>
      <c r="G65" s="77">
        <v>5</v>
      </c>
      <c r="H65" s="17">
        <v>0</v>
      </c>
      <c r="I65" s="271">
        <v>0</v>
      </c>
      <c r="J65" s="15">
        <f>SUM(G65:I65)</f>
        <v>5</v>
      </c>
    </row>
    <row r="66" spans="1:10" ht="14.95" thickBot="1" x14ac:dyDescent="0.3">
      <c r="A66" s="246" t="s">
        <v>103</v>
      </c>
      <c r="B66" s="73">
        <v>0</v>
      </c>
      <c r="C66" s="74">
        <v>1</v>
      </c>
      <c r="D66" s="276">
        <v>0</v>
      </c>
      <c r="E66" s="38">
        <f>SUM(B66:D66)</f>
        <v>1</v>
      </c>
      <c r="F66" s="19" t="s">
        <v>709</v>
      </c>
      <c r="G66" s="77">
        <v>0</v>
      </c>
      <c r="H66" s="17">
        <v>0</v>
      </c>
      <c r="I66" s="271">
        <v>5</v>
      </c>
      <c r="J66" s="15">
        <f>SUM(G66:I66)</f>
        <v>5</v>
      </c>
    </row>
    <row r="67" spans="1:10" ht="14.95" thickBot="1" x14ac:dyDescent="0.3">
      <c r="A67" s="246" t="s">
        <v>105</v>
      </c>
      <c r="B67" s="73">
        <v>1</v>
      </c>
      <c r="C67" s="74">
        <v>0</v>
      </c>
      <c r="D67" s="276">
        <v>0</v>
      </c>
      <c r="E67" s="38">
        <f>SUM(B67:D67)</f>
        <v>1</v>
      </c>
      <c r="F67" s="19" t="s">
        <v>98</v>
      </c>
      <c r="G67" s="77">
        <v>0</v>
      </c>
      <c r="H67" s="17">
        <v>0</v>
      </c>
      <c r="I67" s="271">
        <v>5</v>
      </c>
      <c r="J67" s="15">
        <f>SUM(G67:I67)</f>
        <v>5</v>
      </c>
    </row>
    <row r="68" spans="1:10" ht="14.95" customHeight="1" thickBot="1" x14ac:dyDescent="0.3">
      <c r="A68" s="246" t="s">
        <v>109</v>
      </c>
      <c r="B68" s="73">
        <v>1</v>
      </c>
      <c r="C68" s="74">
        <v>0</v>
      </c>
      <c r="D68" s="276">
        <v>0</v>
      </c>
      <c r="E68" s="38">
        <f>SUM(B68:D68)</f>
        <v>1</v>
      </c>
      <c r="F68" s="19" t="s">
        <v>103</v>
      </c>
      <c r="G68" s="77">
        <v>0</v>
      </c>
      <c r="H68" s="17">
        <v>5</v>
      </c>
      <c r="I68" s="271">
        <v>0</v>
      </c>
      <c r="J68" s="15">
        <f>SUM(G68:I68)</f>
        <v>5</v>
      </c>
    </row>
    <row r="69" spans="1:10" ht="14.95" thickBot="1" x14ac:dyDescent="0.3">
      <c r="A69" s="246" t="s">
        <v>116</v>
      </c>
      <c r="B69" s="73">
        <v>1</v>
      </c>
      <c r="C69" s="74">
        <v>0</v>
      </c>
      <c r="D69" s="276">
        <v>0</v>
      </c>
      <c r="E69" s="38">
        <f>SUM(B69:D69)</f>
        <v>1</v>
      </c>
      <c r="F69" s="19" t="s">
        <v>105</v>
      </c>
      <c r="G69" s="77">
        <v>5</v>
      </c>
      <c r="H69" s="17">
        <v>0</v>
      </c>
      <c r="I69" s="271">
        <v>0</v>
      </c>
      <c r="J69" s="15">
        <f>SUM(G69:I69)</f>
        <v>5</v>
      </c>
    </row>
    <row r="70" spans="1:10" ht="14.95" thickBot="1" x14ac:dyDescent="0.3">
      <c r="A70" s="246" t="s">
        <v>121</v>
      </c>
      <c r="B70" s="73">
        <v>0</v>
      </c>
      <c r="C70" s="74">
        <v>0</v>
      </c>
      <c r="D70" s="276">
        <v>1</v>
      </c>
      <c r="E70" s="38">
        <f>SUM(B70:D70)</f>
        <v>1</v>
      </c>
      <c r="F70" s="19" t="s">
        <v>109</v>
      </c>
      <c r="G70" s="77">
        <v>5</v>
      </c>
      <c r="H70" s="17">
        <v>0</v>
      </c>
      <c r="I70" s="271">
        <v>0</v>
      </c>
      <c r="J70" s="15">
        <f>SUM(G70:I70)</f>
        <v>5</v>
      </c>
    </row>
    <row r="71" spans="1:10" ht="14.95" thickBot="1" x14ac:dyDescent="0.3">
      <c r="A71" s="246" t="s">
        <v>302</v>
      </c>
      <c r="B71" s="73">
        <v>0</v>
      </c>
      <c r="C71" s="74">
        <v>0</v>
      </c>
      <c r="D71" s="276">
        <v>1</v>
      </c>
      <c r="E71" s="38">
        <v>1</v>
      </c>
      <c r="F71" s="19" t="s">
        <v>116</v>
      </c>
      <c r="G71" s="77">
        <v>5</v>
      </c>
      <c r="H71" s="17">
        <v>0</v>
      </c>
      <c r="I71" s="271">
        <v>0</v>
      </c>
      <c r="J71" s="15">
        <f>SUM(G71:I71)</f>
        <v>5</v>
      </c>
    </row>
    <row r="72" spans="1:10" ht="14.95" thickBot="1" x14ac:dyDescent="0.3">
      <c r="A72" s="246" t="s">
        <v>89</v>
      </c>
      <c r="B72" s="73">
        <v>0</v>
      </c>
      <c r="C72" s="74">
        <v>0</v>
      </c>
      <c r="D72" s="276">
        <v>0</v>
      </c>
      <c r="E72" s="38">
        <f>SUM(B72:D72)</f>
        <v>0</v>
      </c>
      <c r="F72" s="19" t="s">
        <v>121</v>
      </c>
      <c r="G72" s="77">
        <v>0</v>
      </c>
      <c r="H72" s="17">
        <v>0</v>
      </c>
      <c r="I72" s="271">
        <v>5</v>
      </c>
      <c r="J72" s="15">
        <f>SUM(G72:I72)</f>
        <v>5</v>
      </c>
    </row>
    <row r="73" spans="1:10" ht="14.95" thickBot="1" x14ac:dyDescent="0.3">
      <c r="A73" s="246" t="s">
        <v>90</v>
      </c>
      <c r="B73" s="73">
        <v>0</v>
      </c>
      <c r="C73" s="74">
        <v>0</v>
      </c>
      <c r="D73" s="276">
        <v>0</v>
      </c>
      <c r="E73" s="38">
        <f>SUM(B73:D73)</f>
        <v>0</v>
      </c>
      <c r="F73" s="19" t="s">
        <v>89</v>
      </c>
      <c r="G73" s="77">
        <v>0</v>
      </c>
      <c r="H73" s="17">
        <v>0</v>
      </c>
      <c r="I73" s="271">
        <v>0</v>
      </c>
      <c r="J73" s="15">
        <f>SUM(G73:I73)</f>
        <v>0</v>
      </c>
    </row>
    <row r="74" spans="1:10" ht="14.95" thickBot="1" x14ac:dyDescent="0.3">
      <c r="A74" s="246" t="s">
        <v>91</v>
      </c>
      <c r="B74" s="73">
        <v>0</v>
      </c>
      <c r="C74" s="74">
        <v>0</v>
      </c>
      <c r="D74" s="276">
        <v>0</v>
      </c>
      <c r="E74" s="38">
        <f>SUM(B74:D74)</f>
        <v>0</v>
      </c>
      <c r="F74" s="19" t="s">
        <v>90</v>
      </c>
      <c r="G74" s="77">
        <v>0</v>
      </c>
      <c r="H74" s="17">
        <v>0</v>
      </c>
      <c r="I74" s="271">
        <v>0</v>
      </c>
      <c r="J74" s="15">
        <f>SUM(G74:I74)</f>
        <v>0</v>
      </c>
    </row>
    <row r="75" spans="1:10" ht="14.95" thickBot="1" x14ac:dyDescent="0.3">
      <c r="A75" s="246" t="s">
        <v>92</v>
      </c>
      <c r="B75" s="73">
        <v>0</v>
      </c>
      <c r="C75" s="74">
        <v>0</v>
      </c>
      <c r="D75" s="276">
        <v>0</v>
      </c>
      <c r="E75" s="38">
        <f>SUM(B75:D75)</f>
        <v>0</v>
      </c>
      <c r="F75" s="19" t="s">
        <v>91</v>
      </c>
      <c r="G75" s="77">
        <v>0</v>
      </c>
      <c r="H75" s="17">
        <v>0</v>
      </c>
      <c r="I75" s="271">
        <v>0</v>
      </c>
      <c r="J75" s="15">
        <f>SUM(G75:I75)</f>
        <v>0</v>
      </c>
    </row>
    <row r="76" spans="1:10" ht="14.95" thickBot="1" x14ac:dyDescent="0.3">
      <c r="A76" s="246" t="s">
        <v>279</v>
      </c>
      <c r="B76" s="73">
        <v>0</v>
      </c>
      <c r="C76" s="74">
        <v>0</v>
      </c>
      <c r="D76" s="276">
        <v>0</v>
      </c>
      <c r="E76" s="38">
        <f>SUM(B76:D76)</f>
        <v>0</v>
      </c>
      <c r="F76" s="19" t="s">
        <v>92</v>
      </c>
      <c r="G76" s="77">
        <v>0</v>
      </c>
      <c r="H76" s="17">
        <v>0</v>
      </c>
      <c r="I76" s="271">
        <v>0</v>
      </c>
      <c r="J76" s="15">
        <f>SUM(G76:I76)</f>
        <v>0</v>
      </c>
    </row>
    <row r="77" spans="1:10" ht="14.95" thickBot="1" x14ac:dyDescent="0.3">
      <c r="A77" s="246" t="s">
        <v>94</v>
      </c>
      <c r="B77" s="73">
        <v>0</v>
      </c>
      <c r="C77" s="74">
        <v>0</v>
      </c>
      <c r="D77" s="276">
        <v>0</v>
      </c>
      <c r="E77" s="38">
        <f>SUM(B77:D77)</f>
        <v>0</v>
      </c>
      <c r="F77" s="20" t="s">
        <v>279</v>
      </c>
      <c r="G77" s="77">
        <v>0</v>
      </c>
      <c r="H77" s="17">
        <v>0</v>
      </c>
      <c r="I77" s="271">
        <v>0</v>
      </c>
      <c r="J77" s="15">
        <f>SUM(G77:I77)</f>
        <v>0</v>
      </c>
    </row>
    <row r="78" spans="1:10" ht="14.95" thickBot="1" x14ac:dyDescent="0.3">
      <c r="A78" s="246" t="s">
        <v>95</v>
      </c>
      <c r="B78" s="73">
        <v>0</v>
      </c>
      <c r="C78" s="74">
        <v>0</v>
      </c>
      <c r="D78" s="276">
        <v>0</v>
      </c>
      <c r="E78" s="38">
        <f>SUM(B78:D78)</f>
        <v>0</v>
      </c>
      <c r="F78" s="20" t="s">
        <v>94</v>
      </c>
      <c r="G78" s="77">
        <v>0</v>
      </c>
      <c r="H78" s="17">
        <v>0</v>
      </c>
      <c r="I78" s="271">
        <v>0</v>
      </c>
      <c r="J78" s="15">
        <f>SUM(G78:I78)</f>
        <v>0</v>
      </c>
    </row>
    <row r="79" spans="1:10" ht="14.95" thickBot="1" x14ac:dyDescent="0.3">
      <c r="A79" s="246" t="s">
        <v>97</v>
      </c>
      <c r="B79" s="73">
        <v>0</v>
      </c>
      <c r="C79" s="74">
        <v>0</v>
      </c>
      <c r="D79" s="276">
        <v>0</v>
      </c>
      <c r="E79" s="38">
        <f>SUM(B79:D79)</f>
        <v>0</v>
      </c>
      <c r="F79" s="20" t="s">
        <v>95</v>
      </c>
      <c r="G79" s="77">
        <v>0</v>
      </c>
      <c r="H79" s="17">
        <v>0</v>
      </c>
      <c r="I79" s="271">
        <v>0</v>
      </c>
      <c r="J79" s="15">
        <f>SUM(G79:I79)</f>
        <v>0</v>
      </c>
    </row>
    <row r="80" spans="1:10" ht="14.95" thickBot="1" x14ac:dyDescent="0.3">
      <c r="A80" s="246" t="s">
        <v>100</v>
      </c>
      <c r="B80" s="73">
        <v>0</v>
      </c>
      <c r="C80" s="74">
        <v>0</v>
      </c>
      <c r="D80" s="276">
        <v>0</v>
      </c>
      <c r="E80" s="38">
        <f>SUM(B80:D80)</f>
        <v>0</v>
      </c>
      <c r="F80" s="20" t="s">
        <v>97</v>
      </c>
      <c r="G80" s="77">
        <v>0</v>
      </c>
      <c r="H80" s="17">
        <v>0</v>
      </c>
      <c r="I80" s="271">
        <v>0</v>
      </c>
      <c r="J80" s="15">
        <f>SUM(G80:I80)</f>
        <v>0</v>
      </c>
    </row>
    <row r="81" spans="1:10" ht="14.95" thickBot="1" x14ac:dyDescent="0.3">
      <c r="A81" s="246" t="s">
        <v>102</v>
      </c>
      <c r="B81" s="73">
        <v>0</v>
      </c>
      <c r="C81" s="74">
        <v>0</v>
      </c>
      <c r="D81" s="276">
        <v>0</v>
      </c>
      <c r="E81" s="38">
        <f>SUM(B81:D81)</f>
        <v>0</v>
      </c>
      <c r="F81" s="20" t="s">
        <v>100</v>
      </c>
      <c r="G81" s="77">
        <v>0</v>
      </c>
      <c r="H81" s="17">
        <v>0</v>
      </c>
      <c r="I81" s="271">
        <v>0</v>
      </c>
      <c r="J81" s="15">
        <f>SUM(G81:I81)</f>
        <v>0</v>
      </c>
    </row>
    <row r="82" spans="1:10" ht="14.95" thickBot="1" x14ac:dyDescent="0.3">
      <c r="A82" s="246" t="s">
        <v>110</v>
      </c>
      <c r="B82" s="73">
        <v>0</v>
      </c>
      <c r="C82" s="74">
        <v>0</v>
      </c>
      <c r="D82" s="276">
        <v>0</v>
      </c>
      <c r="E82" s="38">
        <f>SUM(B82:D82)</f>
        <v>0</v>
      </c>
      <c r="F82" s="20" t="s">
        <v>102</v>
      </c>
      <c r="G82" s="77">
        <v>0</v>
      </c>
      <c r="H82" s="17">
        <v>0</v>
      </c>
      <c r="I82" s="271">
        <v>0</v>
      </c>
      <c r="J82" s="15">
        <f>SUM(G82:I82)</f>
        <v>0</v>
      </c>
    </row>
    <row r="83" spans="1:10" ht="14.95" thickBot="1" x14ac:dyDescent="0.3">
      <c r="A83" s="246" t="s">
        <v>111</v>
      </c>
      <c r="B83" s="73">
        <v>0</v>
      </c>
      <c r="C83" s="74">
        <v>0</v>
      </c>
      <c r="D83" s="276">
        <v>0</v>
      </c>
      <c r="E83" s="38">
        <f>SUM(B83:D83)</f>
        <v>0</v>
      </c>
      <c r="F83" s="20" t="s">
        <v>110</v>
      </c>
      <c r="G83" s="77">
        <v>0</v>
      </c>
      <c r="H83" s="17">
        <v>0</v>
      </c>
      <c r="I83" s="271">
        <v>0</v>
      </c>
      <c r="J83" s="15">
        <f>SUM(G83:I83)</f>
        <v>0</v>
      </c>
    </row>
    <row r="84" spans="1:10" ht="14.95" thickBot="1" x14ac:dyDescent="0.3">
      <c r="A84" s="246" t="s">
        <v>113</v>
      </c>
      <c r="B84" s="73">
        <v>0</v>
      </c>
      <c r="C84" s="74">
        <v>0</v>
      </c>
      <c r="D84" s="276">
        <v>0</v>
      </c>
      <c r="E84" s="38">
        <f>SUM(B84:D84)</f>
        <v>0</v>
      </c>
      <c r="F84" s="20" t="s">
        <v>111</v>
      </c>
      <c r="G84" s="77">
        <v>0</v>
      </c>
      <c r="H84" s="17">
        <v>0</v>
      </c>
      <c r="I84" s="271">
        <v>0</v>
      </c>
      <c r="J84" s="15">
        <f>SUM(G84:I84)</f>
        <v>0</v>
      </c>
    </row>
    <row r="85" spans="1:10" ht="14.95" thickBot="1" x14ac:dyDescent="0.3">
      <c r="A85" s="246" t="s">
        <v>117</v>
      </c>
      <c r="B85" s="73">
        <v>0</v>
      </c>
      <c r="C85" s="74">
        <v>0</v>
      </c>
      <c r="D85" s="276">
        <v>0</v>
      </c>
      <c r="E85" s="38">
        <f>SUM(B85:D85)</f>
        <v>0</v>
      </c>
      <c r="F85" s="20" t="s">
        <v>113</v>
      </c>
      <c r="G85" s="77">
        <v>0</v>
      </c>
      <c r="H85" s="17">
        <v>0</v>
      </c>
      <c r="I85" s="271">
        <v>0</v>
      </c>
      <c r="J85" s="15">
        <f>SUM(G85:I85)</f>
        <v>0</v>
      </c>
    </row>
    <row r="86" spans="1:10" ht="14.95" thickBot="1" x14ac:dyDescent="0.3">
      <c r="A86" s="246" t="s">
        <v>118</v>
      </c>
      <c r="B86" s="73">
        <v>0</v>
      </c>
      <c r="C86" s="74">
        <v>0</v>
      </c>
      <c r="D86" s="276">
        <v>0</v>
      </c>
      <c r="E86" s="38">
        <f>SUM(B86:D86)</f>
        <v>0</v>
      </c>
      <c r="F86" s="20" t="s">
        <v>117</v>
      </c>
      <c r="G86" s="77">
        <v>0</v>
      </c>
      <c r="H86" s="17">
        <v>0</v>
      </c>
      <c r="I86" s="271">
        <v>0</v>
      </c>
      <c r="J86" s="15">
        <f>SUM(G86:I86)</f>
        <v>0</v>
      </c>
    </row>
    <row r="87" spans="1:10" ht="14.95" thickBot="1" x14ac:dyDescent="0.3">
      <c r="A87" s="246" t="s">
        <v>580</v>
      </c>
      <c r="B87" s="73">
        <v>0</v>
      </c>
      <c r="C87" s="74">
        <v>0</v>
      </c>
      <c r="D87" s="276">
        <v>0</v>
      </c>
      <c r="E87" s="38">
        <f>SUM(B87:D87)</f>
        <v>0</v>
      </c>
      <c r="F87" s="20" t="s">
        <v>118</v>
      </c>
      <c r="G87" s="77">
        <v>0</v>
      </c>
      <c r="H87" s="17">
        <v>0</v>
      </c>
      <c r="I87" s="271">
        <v>0</v>
      </c>
      <c r="J87" s="15">
        <f>SUM(G87:I87)</f>
        <v>0</v>
      </c>
    </row>
    <row r="88" spans="1:10" ht="14.95" thickBot="1" x14ac:dyDescent="0.3">
      <c r="A88" s="246" t="s">
        <v>120</v>
      </c>
      <c r="B88" s="73">
        <v>0</v>
      </c>
      <c r="C88" s="74">
        <v>0</v>
      </c>
      <c r="D88" s="276">
        <v>0</v>
      </c>
      <c r="E88" s="38">
        <f>SUM(B88:D88)</f>
        <v>0</v>
      </c>
      <c r="F88" s="20" t="s">
        <v>120</v>
      </c>
      <c r="G88" s="77">
        <v>0</v>
      </c>
      <c r="H88" s="17">
        <v>0</v>
      </c>
      <c r="I88" s="271">
        <v>0</v>
      </c>
      <c r="J88" s="15">
        <f>SUM(G88:I88)</f>
        <v>0</v>
      </c>
    </row>
    <row r="89" spans="1:10" ht="14.95" customHeight="1" thickBot="1" x14ac:dyDescent="0.3">
      <c r="A89" s="246" t="s">
        <v>122</v>
      </c>
      <c r="B89" s="73">
        <v>0</v>
      </c>
      <c r="C89" s="74">
        <v>0</v>
      </c>
      <c r="D89" s="276">
        <v>0</v>
      </c>
      <c r="E89" s="38">
        <f>SUM(B89:D89)</f>
        <v>0</v>
      </c>
      <c r="F89" s="20" t="s">
        <v>122</v>
      </c>
      <c r="G89" s="77">
        <v>0</v>
      </c>
      <c r="H89" s="17">
        <v>0</v>
      </c>
      <c r="I89" s="271">
        <v>0</v>
      </c>
      <c r="J89" s="15">
        <f>SUM(G89:I89)</f>
        <v>0</v>
      </c>
    </row>
    <row r="90" spans="1:10" ht="14.95" thickBot="1" x14ac:dyDescent="0.3">
      <c r="A90" s="246" t="s">
        <v>3</v>
      </c>
      <c r="B90" s="73">
        <f>SUM(B49:B89)</f>
        <v>16</v>
      </c>
      <c r="C90" s="74">
        <f>SUM(C49:C89)</f>
        <v>5</v>
      </c>
      <c r="D90" s="276">
        <f>SUM(D49:D89)</f>
        <v>25</v>
      </c>
      <c r="E90" s="38">
        <f t="shared" ref="E90" si="7">SUM(B90:D90)</f>
        <v>46</v>
      </c>
      <c r="F90" s="20" t="s">
        <v>3</v>
      </c>
      <c r="G90" s="77">
        <f>SUM(G49:G89)</f>
        <v>132</v>
      </c>
      <c r="H90" s="17">
        <f>SUM(H49:H89)</f>
        <v>30</v>
      </c>
      <c r="I90" s="271">
        <f>SUM(I49:I89)</f>
        <v>149</v>
      </c>
      <c r="J90" s="15">
        <f t="shared" ref="J83:J90" si="8">SUM(G90:I90)</f>
        <v>311</v>
      </c>
    </row>
    <row r="92" spans="1:10" ht="27.2" x14ac:dyDescent="0.25">
      <c r="A92" s="308" t="s">
        <v>11</v>
      </c>
    </row>
  </sheetData>
  <sortState xmlns:xlrd2="http://schemas.microsoft.com/office/spreadsheetml/2017/richdata2" ref="F48:J89">
    <sortCondition descending="1" ref="J48:J89"/>
  </sortState>
  <mergeCells count="9">
    <mergeCell ref="R1:R2"/>
    <mergeCell ref="A1:J1"/>
    <mergeCell ref="K1:K2"/>
    <mergeCell ref="L1:N2"/>
    <mergeCell ref="K13:K14"/>
    <mergeCell ref="L13:N14"/>
    <mergeCell ref="L7:N8"/>
    <mergeCell ref="K7:K8"/>
    <mergeCell ref="O1:Q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88"/>
  <sheetViews>
    <sheetView workbookViewId="0">
      <selection activeCell="M4" sqref="M4:O4"/>
    </sheetView>
  </sheetViews>
  <sheetFormatPr defaultRowHeight="14.3" x14ac:dyDescent="0.25"/>
  <cols>
    <col min="1" max="1" width="16.5" customWidth="1"/>
    <col min="2" max="3" width="4.5" customWidth="1"/>
    <col min="4" max="4" width="4.75" customWidth="1"/>
    <col min="5" max="5" width="16.5" customWidth="1"/>
    <col min="6" max="8" width="5.25" customWidth="1"/>
    <col min="9" max="9" width="15.25" customWidth="1"/>
    <col min="10" max="27" width="5.5" customWidth="1"/>
  </cols>
  <sheetData>
    <row r="1" spans="1:21" ht="14.95" customHeight="1" thickBot="1" x14ac:dyDescent="0.3">
      <c r="A1" s="355" t="s">
        <v>37</v>
      </c>
      <c r="B1" s="356"/>
      <c r="C1" s="356"/>
      <c r="D1" s="356"/>
      <c r="E1" s="356"/>
      <c r="F1" s="356"/>
      <c r="G1" s="356"/>
      <c r="H1" s="357"/>
      <c r="I1" s="358" t="s">
        <v>16</v>
      </c>
      <c r="J1" s="309">
        <v>2022</v>
      </c>
      <c r="K1" s="310"/>
      <c r="L1" s="311"/>
      <c r="M1" s="309" t="s">
        <v>13</v>
      </c>
      <c r="N1" s="310"/>
      <c r="O1" s="311"/>
      <c r="P1" s="315" t="s">
        <v>17</v>
      </c>
      <c r="Q1" s="64"/>
      <c r="R1" s="64"/>
      <c r="S1" s="64"/>
      <c r="T1" s="63"/>
      <c r="U1" s="63"/>
    </row>
    <row r="2" spans="1:21" ht="14.95" customHeight="1" thickBot="1" x14ac:dyDescent="0.3">
      <c r="A2" s="94" t="s">
        <v>0</v>
      </c>
      <c r="B2" s="95" t="s">
        <v>15</v>
      </c>
      <c r="C2" s="134" t="s">
        <v>12</v>
      </c>
      <c r="D2" s="96" t="s">
        <v>1</v>
      </c>
      <c r="E2" s="79" t="s">
        <v>2</v>
      </c>
      <c r="F2" s="93" t="s">
        <v>15</v>
      </c>
      <c r="G2" s="136" t="s">
        <v>12</v>
      </c>
      <c r="H2" s="82" t="s">
        <v>1</v>
      </c>
      <c r="I2" s="359"/>
      <c r="J2" s="312"/>
      <c r="K2" s="313"/>
      <c r="L2" s="314"/>
      <c r="M2" s="312"/>
      <c r="N2" s="313"/>
      <c r="O2" s="314"/>
      <c r="P2" s="316"/>
      <c r="Q2" s="64"/>
      <c r="R2" s="64"/>
      <c r="S2" s="64"/>
      <c r="T2" s="63"/>
      <c r="U2" s="63"/>
    </row>
    <row r="3" spans="1:21" ht="14.95" customHeight="1" thickBot="1" x14ac:dyDescent="0.3">
      <c r="A3" s="50" t="s">
        <v>154</v>
      </c>
      <c r="B3" s="76">
        <v>0</v>
      </c>
      <c r="C3" s="135">
        <v>1</v>
      </c>
      <c r="D3" s="32">
        <f t="shared" ref="D3:D42" si="0">SUM(B3:C3)</f>
        <v>1</v>
      </c>
      <c r="E3" s="13" t="s">
        <v>154</v>
      </c>
      <c r="F3" s="77">
        <v>0</v>
      </c>
      <c r="G3" s="137">
        <v>5</v>
      </c>
      <c r="H3" s="15">
        <f t="shared" ref="H3:H42" si="1">SUM(F3:G3)</f>
        <v>5</v>
      </c>
      <c r="I3" s="4"/>
      <c r="J3" s="1" t="s">
        <v>18</v>
      </c>
      <c r="K3" s="1" t="s">
        <v>5</v>
      </c>
      <c r="L3" s="1" t="s">
        <v>6</v>
      </c>
      <c r="M3" s="85" t="s">
        <v>18</v>
      </c>
      <c r="N3" s="1" t="s">
        <v>5</v>
      </c>
      <c r="O3" s="1" t="s">
        <v>6</v>
      </c>
      <c r="P3" s="1"/>
      <c r="Q3" s="63"/>
      <c r="R3" s="63"/>
      <c r="S3" s="63"/>
      <c r="T3" s="63"/>
      <c r="U3" s="63"/>
    </row>
    <row r="4" spans="1:21" ht="14.95" customHeight="1" thickBot="1" x14ac:dyDescent="0.3">
      <c r="A4" s="50" t="s">
        <v>129</v>
      </c>
      <c r="B4" s="76">
        <v>0</v>
      </c>
      <c r="C4" s="135">
        <v>0</v>
      </c>
      <c r="D4" s="32">
        <f t="shared" si="0"/>
        <v>0</v>
      </c>
      <c r="E4" s="13" t="s">
        <v>129</v>
      </c>
      <c r="F4" s="77">
        <v>0</v>
      </c>
      <c r="G4" s="137">
        <v>0</v>
      </c>
      <c r="H4" s="15">
        <f t="shared" si="1"/>
        <v>0</v>
      </c>
      <c r="I4" s="111" t="s">
        <v>147</v>
      </c>
      <c r="J4" s="32">
        <v>1</v>
      </c>
      <c r="K4" s="32">
        <v>2</v>
      </c>
      <c r="L4" s="33">
        <f t="shared" ref="L4" si="2">SUM(J4/K4)*100</f>
        <v>50</v>
      </c>
      <c r="M4" s="32" t="s">
        <v>8</v>
      </c>
      <c r="N4" s="32" t="s">
        <v>8</v>
      </c>
      <c r="O4" s="33" t="s">
        <v>8</v>
      </c>
      <c r="P4" s="32">
        <v>1</v>
      </c>
      <c r="Q4" s="63"/>
      <c r="R4" s="63"/>
      <c r="S4" s="63"/>
      <c r="T4" s="63"/>
      <c r="U4" s="63"/>
    </row>
    <row r="5" spans="1:21" ht="14.95" customHeight="1" thickBot="1" x14ac:dyDescent="0.3">
      <c r="A5" s="50" t="s">
        <v>147</v>
      </c>
      <c r="B5" s="76">
        <v>1</v>
      </c>
      <c r="C5" s="135">
        <v>0</v>
      </c>
      <c r="D5" s="32">
        <f t="shared" si="0"/>
        <v>1</v>
      </c>
      <c r="E5" s="13" t="s">
        <v>147</v>
      </c>
      <c r="F5" s="77">
        <v>7</v>
      </c>
      <c r="G5" s="137">
        <v>0</v>
      </c>
      <c r="H5" s="15">
        <f t="shared" si="1"/>
        <v>7</v>
      </c>
      <c r="I5" s="111" t="s">
        <v>145</v>
      </c>
      <c r="J5" s="32">
        <v>3</v>
      </c>
      <c r="K5" s="32">
        <v>9</v>
      </c>
      <c r="L5" s="33">
        <f t="shared" ref="L5:L6" si="3">SUM(J5/K5)*100</f>
        <v>33.333333333333329</v>
      </c>
      <c r="M5" s="32" t="s">
        <v>8</v>
      </c>
      <c r="N5" s="32" t="s">
        <v>8</v>
      </c>
      <c r="O5" s="33" t="s">
        <v>8</v>
      </c>
      <c r="P5" s="32">
        <v>-3</v>
      </c>
      <c r="Q5" s="63"/>
      <c r="R5" s="63"/>
      <c r="S5" s="63"/>
      <c r="T5" s="63"/>
      <c r="U5" s="63"/>
    </row>
    <row r="6" spans="1:21" ht="14.95" customHeight="1" thickBot="1" x14ac:dyDescent="0.3">
      <c r="A6" s="50" t="s">
        <v>146</v>
      </c>
      <c r="B6" s="76">
        <v>0</v>
      </c>
      <c r="C6" s="135">
        <v>0</v>
      </c>
      <c r="D6" s="32">
        <f t="shared" si="0"/>
        <v>0</v>
      </c>
      <c r="E6" s="13" t="s">
        <v>146</v>
      </c>
      <c r="F6" s="77">
        <v>0</v>
      </c>
      <c r="G6" s="137">
        <v>0</v>
      </c>
      <c r="H6" s="15">
        <f>SUM(F6:G6)</f>
        <v>0</v>
      </c>
      <c r="I6" s="111" t="s">
        <v>420</v>
      </c>
      <c r="J6" s="32">
        <v>6</v>
      </c>
      <c r="K6" s="32">
        <v>11</v>
      </c>
      <c r="L6" s="33">
        <f t="shared" si="3"/>
        <v>54.54545454545454</v>
      </c>
      <c r="M6" s="32">
        <v>0</v>
      </c>
      <c r="N6" s="32">
        <v>2</v>
      </c>
      <c r="O6" s="33">
        <v>0</v>
      </c>
      <c r="P6" s="32">
        <v>-2</v>
      </c>
      <c r="Q6" s="63"/>
      <c r="R6" s="63"/>
      <c r="S6" s="63"/>
      <c r="T6" s="63"/>
      <c r="U6" s="63"/>
    </row>
    <row r="7" spans="1:21" ht="14.95" customHeight="1" thickBot="1" x14ac:dyDescent="0.3">
      <c r="A7" s="50" t="s">
        <v>149</v>
      </c>
      <c r="B7" s="76">
        <v>0</v>
      </c>
      <c r="C7" s="135">
        <v>0</v>
      </c>
      <c r="D7" s="32">
        <f t="shared" si="0"/>
        <v>0</v>
      </c>
      <c r="E7" s="13" t="s">
        <v>149</v>
      </c>
      <c r="F7" s="77">
        <v>0</v>
      </c>
      <c r="G7" s="137">
        <v>0</v>
      </c>
      <c r="H7" s="15">
        <f t="shared" si="1"/>
        <v>0</v>
      </c>
      <c r="I7" s="111" t="s">
        <v>317</v>
      </c>
      <c r="J7" s="32">
        <v>1</v>
      </c>
      <c r="K7" s="32">
        <v>2</v>
      </c>
      <c r="L7" s="33">
        <f t="shared" ref="L7" si="4">SUM(J7/K7)*100</f>
        <v>50</v>
      </c>
      <c r="M7" s="32" t="s">
        <v>8</v>
      </c>
      <c r="N7" s="32" t="s">
        <v>8</v>
      </c>
      <c r="O7" s="33" t="s">
        <v>8</v>
      </c>
      <c r="P7" s="32">
        <v>-1</v>
      </c>
      <c r="Q7" s="63"/>
      <c r="R7" s="63"/>
      <c r="S7" s="63"/>
      <c r="T7" s="63"/>
      <c r="U7" s="63"/>
    </row>
    <row r="8" spans="1:21" ht="14.95" customHeight="1" thickBot="1" x14ac:dyDescent="0.3">
      <c r="A8" s="50" t="s">
        <v>155</v>
      </c>
      <c r="B8" s="76">
        <v>0</v>
      </c>
      <c r="C8" s="135">
        <v>0</v>
      </c>
      <c r="D8" s="32">
        <f t="shared" si="0"/>
        <v>0</v>
      </c>
      <c r="E8" s="14" t="s">
        <v>155</v>
      </c>
      <c r="F8" s="77">
        <v>0</v>
      </c>
      <c r="G8" s="137">
        <v>0</v>
      </c>
      <c r="H8" s="15">
        <f t="shared" si="1"/>
        <v>0</v>
      </c>
      <c r="Q8" s="63"/>
      <c r="R8" s="63"/>
      <c r="S8" s="63"/>
      <c r="T8" s="63"/>
      <c r="U8" s="63"/>
    </row>
    <row r="9" spans="1:21" ht="14.95" customHeight="1" thickBot="1" x14ac:dyDescent="0.3">
      <c r="A9" s="50" t="s">
        <v>145</v>
      </c>
      <c r="B9" s="76">
        <v>0</v>
      </c>
      <c r="C9" s="135">
        <v>0</v>
      </c>
      <c r="D9" s="32">
        <f t="shared" si="0"/>
        <v>0</v>
      </c>
      <c r="E9" s="14" t="s">
        <v>145</v>
      </c>
      <c r="F9" s="77">
        <v>6</v>
      </c>
      <c r="G9" s="137">
        <v>0</v>
      </c>
      <c r="H9" s="15">
        <f t="shared" si="1"/>
        <v>6</v>
      </c>
      <c r="I9" s="344" t="s">
        <v>14</v>
      </c>
      <c r="J9" s="309">
        <v>2022</v>
      </c>
      <c r="K9" s="310"/>
      <c r="L9" s="311"/>
      <c r="M9" s="110"/>
      <c r="N9" s="114"/>
      <c r="O9" s="114"/>
      <c r="P9" s="63"/>
      <c r="Q9" s="63"/>
      <c r="R9" s="63"/>
      <c r="S9" s="63"/>
      <c r="T9" s="63"/>
      <c r="U9" s="63"/>
    </row>
    <row r="10" spans="1:21" ht="14.95" customHeight="1" thickBot="1" x14ac:dyDescent="0.3">
      <c r="A10" s="50" t="s">
        <v>256</v>
      </c>
      <c r="B10" s="76">
        <v>1</v>
      </c>
      <c r="C10" s="135">
        <v>0</v>
      </c>
      <c r="D10" s="32">
        <f t="shared" si="0"/>
        <v>1</v>
      </c>
      <c r="E10" s="14" t="s">
        <v>256</v>
      </c>
      <c r="F10" s="77">
        <v>5</v>
      </c>
      <c r="G10" s="137">
        <v>0</v>
      </c>
      <c r="H10" s="15">
        <f t="shared" si="1"/>
        <v>5</v>
      </c>
      <c r="I10" s="345"/>
      <c r="J10" s="312"/>
      <c r="K10" s="313"/>
      <c r="L10" s="314"/>
      <c r="M10" s="141"/>
      <c r="N10" s="114"/>
      <c r="O10" s="114"/>
      <c r="P10" s="63"/>
      <c r="Q10" s="63"/>
      <c r="R10" s="63"/>
      <c r="S10" s="63"/>
      <c r="T10" s="63"/>
      <c r="U10" s="63"/>
    </row>
    <row r="11" spans="1:21" ht="14.95" customHeight="1" thickBot="1" x14ac:dyDescent="0.3">
      <c r="A11" s="50" t="s">
        <v>418</v>
      </c>
      <c r="B11" s="76">
        <v>0</v>
      </c>
      <c r="C11" s="135">
        <v>1</v>
      </c>
      <c r="D11" s="32">
        <f t="shared" si="0"/>
        <v>1</v>
      </c>
      <c r="E11" s="14" t="s">
        <v>418</v>
      </c>
      <c r="F11" s="77">
        <v>0</v>
      </c>
      <c r="G11" s="137">
        <v>5</v>
      </c>
      <c r="H11" s="15">
        <f t="shared" si="1"/>
        <v>5</v>
      </c>
      <c r="I11" s="4" t="s">
        <v>9</v>
      </c>
      <c r="J11" s="1" t="s">
        <v>18</v>
      </c>
      <c r="K11" s="1" t="s">
        <v>5</v>
      </c>
      <c r="L11" s="1" t="s">
        <v>6</v>
      </c>
      <c r="M11" s="83"/>
      <c r="N11" s="63"/>
      <c r="O11" s="63"/>
      <c r="P11" s="63"/>
      <c r="Q11" s="63"/>
      <c r="R11" s="63"/>
      <c r="S11" s="63"/>
      <c r="T11" s="63"/>
      <c r="U11" s="63"/>
    </row>
    <row r="12" spans="1:21" ht="14.95" customHeight="1" thickBot="1" x14ac:dyDescent="0.3">
      <c r="A12" s="50" t="s">
        <v>419</v>
      </c>
      <c r="B12" s="76">
        <v>0</v>
      </c>
      <c r="C12" s="135">
        <v>1</v>
      </c>
      <c r="D12" s="32">
        <f t="shared" si="0"/>
        <v>1</v>
      </c>
      <c r="E12" s="14" t="s">
        <v>419</v>
      </c>
      <c r="F12" s="77">
        <v>0</v>
      </c>
      <c r="G12" s="137">
        <v>5</v>
      </c>
      <c r="H12" s="15">
        <f>SUM(F12:G12)</f>
        <v>5</v>
      </c>
      <c r="I12" s="111" t="s">
        <v>147</v>
      </c>
      <c r="J12" s="32">
        <v>1</v>
      </c>
      <c r="K12" s="32">
        <v>2</v>
      </c>
      <c r="L12" s="33">
        <f t="shared" ref="L12" si="5">SUM(J12/K12)*100</f>
        <v>50</v>
      </c>
      <c r="M12" s="83"/>
      <c r="N12" s="63"/>
      <c r="O12" s="63"/>
      <c r="P12" s="63"/>
      <c r="Q12" s="63"/>
      <c r="R12" s="63"/>
      <c r="S12" s="63"/>
      <c r="T12" s="63"/>
      <c r="U12" s="63"/>
    </row>
    <row r="13" spans="1:21" ht="14.95" customHeight="1" thickBot="1" x14ac:dyDescent="0.3">
      <c r="A13" s="50" t="s">
        <v>127</v>
      </c>
      <c r="B13" s="76">
        <v>1</v>
      </c>
      <c r="C13" s="135">
        <v>0</v>
      </c>
      <c r="D13" s="32">
        <f t="shared" si="0"/>
        <v>1</v>
      </c>
      <c r="E13" s="14" t="s">
        <v>127</v>
      </c>
      <c r="F13" s="77">
        <v>5</v>
      </c>
      <c r="G13" s="137">
        <v>0</v>
      </c>
      <c r="H13" s="15">
        <f t="shared" si="1"/>
        <v>5</v>
      </c>
      <c r="I13" s="111" t="s">
        <v>145</v>
      </c>
      <c r="J13" s="32">
        <v>3</v>
      </c>
      <c r="K13" s="32">
        <v>9</v>
      </c>
      <c r="L13" s="33">
        <f t="shared" ref="L13:L14" si="6">SUM(J13/K13)*100</f>
        <v>33.333333333333329</v>
      </c>
      <c r="M13" s="63"/>
      <c r="N13" s="63"/>
      <c r="O13" s="63"/>
      <c r="P13" s="63"/>
      <c r="Q13" s="63"/>
      <c r="R13" s="63"/>
      <c r="S13" s="63"/>
      <c r="T13" s="63"/>
      <c r="U13" s="63"/>
    </row>
    <row r="14" spans="1:21" ht="14.95" customHeight="1" thickBot="1" x14ac:dyDescent="0.3">
      <c r="A14" s="50" t="s">
        <v>153</v>
      </c>
      <c r="B14" s="76">
        <v>0</v>
      </c>
      <c r="C14" s="135">
        <v>1</v>
      </c>
      <c r="D14" s="32">
        <f t="shared" si="0"/>
        <v>1</v>
      </c>
      <c r="E14" s="14" t="s">
        <v>153</v>
      </c>
      <c r="F14" s="77">
        <v>0</v>
      </c>
      <c r="G14" s="137">
        <v>5</v>
      </c>
      <c r="H14" s="15">
        <f t="shared" si="1"/>
        <v>5</v>
      </c>
      <c r="I14" s="111" t="s">
        <v>317</v>
      </c>
      <c r="J14" s="32">
        <v>1</v>
      </c>
      <c r="K14" s="32">
        <v>2</v>
      </c>
      <c r="L14" s="33">
        <f t="shared" si="6"/>
        <v>50</v>
      </c>
      <c r="M14" s="63"/>
      <c r="N14" s="63"/>
      <c r="O14" s="63"/>
      <c r="P14" s="63"/>
      <c r="Q14" s="63"/>
      <c r="R14" s="63"/>
      <c r="S14" s="63"/>
      <c r="T14" s="63"/>
      <c r="U14" s="63"/>
    </row>
    <row r="15" spans="1:21" ht="14.95" customHeight="1" thickBot="1" x14ac:dyDescent="0.3">
      <c r="A15" s="50" t="s">
        <v>148</v>
      </c>
      <c r="B15" s="76">
        <v>1</v>
      </c>
      <c r="C15" s="135">
        <v>0</v>
      </c>
      <c r="D15" s="32">
        <f t="shared" si="0"/>
        <v>1</v>
      </c>
      <c r="E15" s="14" t="s">
        <v>148</v>
      </c>
      <c r="F15" s="77">
        <v>5</v>
      </c>
      <c r="G15" s="137">
        <v>0</v>
      </c>
      <c r="H15" s="15">
        <f t="shared" si="1"/>
        <v>5</v>
      </c>
      <c r="M15" s="63"/>
      <c r="N15" s="63"/>
      <c r="O15" s="63"/>
      <c r="P15" s="63"/>
      <c r="Q15" s="9"/>
      <c r="R15" s="9"/>
    </row>
    <row r="16" spans="1:21" ht="14.95" customHeight="1" thickBot="1" x14ac:dyDescent="0.3">
      <c r="A16" s="50" t="s">
        <v>132</v>
      </c>
      <c r="B16" s="76">
        <v>0</v>
      </c>
      <c r="C16" s="135">
        <v>0</v>
      </c>
      <c r="D16" s="32">
        <f t="shared" si="0"/>
        <v>0</v>
      </c>
      <c r="E16" s="14" t="s">
        <v>132</v>
      </c>
      <c r="F16" s="77">
        <v>0</v>
      </c>
      <c r="G16" s="137">
        <v>0</v>
      </c>
      <c r="H16" s="15">
        <f t="shared" si="1"/>
        <v>0</v>
      </c>
      <c r="M16" s="63"/>
      <c r="N16" s="63"/>
      <c r="O16" s="63"/>
      <c r="P16" s="63"/>
      <c r="Q16" s="63"/>
      <c r="R16" s="63"/>
    </row>
    <row r="17" spans="1:18" ht="14.95" customHeight="1" thickBot="1" x14ac:dyDescent="0.3">
      <c r="A17" s="50" t="s">
        <v>128</v>
      </c>
      <c r="B17" s="76">
        <v>0</v>
      </c>
      <c r="C17" s="135">
        <v>0</v>
      </c>
      <c r="D17" s="32">
        <f t="shared" si="0"/>
        <v>0</v>
      </c>
      <c r="E17" s="14" t="s">
        <v>128</v>
      </c>
      <c r="F17" s="77">
        <v>0</v>
      </c>
      <c r="G17" s="137">
        <v>0</v>
      </c>
      <c r="H17" s="15">
        <f t="shared" si="1"/>
        <v>0</v>
      </c>
      <c r="M17" s="63"/>
      <c r="N17" s="63"/>
      <c r="O17" s="63"/>
      <c r="P17" s="63"/>
      <c r="Q17" s="63"/>
      <c r="R17" s="63"/>
    </row>
    <row r="18" spans="1:18" ht="14.95" customHeight="1" thickBot="1" x14ac:dyDescent="0.3">
      <c r="A18" s="50" t="s">
        <v>150</v>
      </c>
      <c r="B18" s="76">
        <v>2</v>
      </c>
      <c r="C18" s="135">
        <v>0</v>
      </c>
      <c r="D18" s="32">
        <f t="shared" si="0"/>
        <v>2</v>
      </c>
      <c r="E18" s="14" t="s">
        <v>150</v>
      </c>
      <c r="F18" s="77">
        <v>10</v>
      </c>
      <c r="G18" s="137">
        <v>0</v>
      </c>
      <c r="H18" s="15">
        <f t="shared" si="1"/>
        <v>10</v>
      </c>
      <c r="M18" s="63"/>
      <c r="N18" s="63"/>
      <c r="O18" s="63"/>
      <c r="P18" s="63"/>
      <c r="Q18" s="63"/>
      <c r="R18" s="63"/>
    </row>
    <row r="19" spans="1:18" ht="14.95" customHeight="1" thickBot="1" x14ac:dyDescent="0.3">
      <c r="A19" s="50" t="s">
        <v>139</v>
      </c>
      <c r="B19" s="76">
        <v>0</v>
      </c>
      <c r="C19" s="135">
        <v>0</v>
      </c>
      <c r="D19" s="32">
        <f t="shared" si="0"/>
        <v>0</v>
      </c>
      <c r="E19" s="14" t="s">
        <v>139</v>
      </c>
      <c r="F19" s="77">
        <v>0</v>
      </c>
      <c r="G19" s="137">
        <v>0</v>
      </c>
      <c r="H19" s="15">
        <f t="shared" si="1"/>
        <v>0</v>
      </c>
      <c r="M19" s="23"/>
      <c r="N19" s="23"/>
      <c r="O19" s="23"/>
      <c r="Q19" s="63"/>
      <c r="R19" s="63"/>
    </row>
    <row r="20" spans="1:18" ht="14.95" customHeight="1" thickBot="1" x14ac:dyDescent="0.3">
      <c r="A20" s="50" t="s">
        <v>130</v>
      </c>
      <c r="B20" s="76">
        <v>0</v>
      </c>
      <c r="C20" s="135">
        <v>1</v>
      </c>
      <c r="D20" s="32">
        <f t="shared" si="0"/>
        <v>1</v>
      </c>
      <c r="E20" s="14" t="s">
        <v>130</v>
      </c>
      <c r="F20" s="77">
        <v>0</v>
      </c>
      <c r="G20" s="137">
        <v>5</v>
      </c>
      <c r="H20" s="15">
        <f>SUM(F20:G20)</f>
        <v>5</v>
      </c>
      <c r="Q20" s="63"/>
      <c r="R20" s="63"/>
    </row>
    <row r="21" spans="1:18" ht="14.95" customHeight="1" thickBot="1" x14ac:dyDescent="0.3">
      <c r="A21" s="50" t="s">
        <v>144</v>
      </c>
      <c r="B21" s="76">
        <v>0</v>
      </c>
      <c r="C21" s="135">
        <v>0</v>
      </c>
      <c r="D21" s="32">
        <f t="shared" si="0"/>
        <v>0</v>
      </c>
      <c r="E21" s="14" t="s">
        <v>144</v>
      </c>
      <c r="F21" s="77">
        <v>0</v>
      </c>
      <c r="G21" s="137">
        <v>0</v>
      </c>
      <c r="H21" s="15">
        <f t="shared" si="1"/>
        <v>0</v>
      </c>
      <c r="Q21" s="63"/>
      <c r="R21" s="63"/>
    </row>
    <row r="22" spans="1:18" ht="14.95" customHeight="1" thickBot="1" x14ac:dyDescent="0.3">
      <c r="A22" s="50" t="s">
        <v>157</v>
      </c>
      <c r="B22" s="76">
        <v>0</v>
      </c>
      <c r="C22" s="135">
        <v>0</v>
      </c>
      <c r="D22" s="32">
        <f t="shared" si="0"/>
        <v>0</v>
      </c>
      <c r="E22" s="14" t="s">
        <v>157</v>
      </c>
      <c r="F22" s="77">
        <v>0</v>
      </c>
      <c r="G22" s="137">
        <v>0</v>
      </c>
      <c r="H22" s="15">
        <f t="shared" si="1"/>
        <v>0</v>
      </c>
      <c r="I22" s="24"/>
      <c r="J22" s="23"/>
      <c r="K22" s="23"/>
      <c r="L22" s="12"/>
      <c r="Q22" s="63"/>
      <c r="R22" s="63"/>
    </row>
    <row r="23" spans="1:18" ht="14.95" thickBot="1" x14ac:dyDescent="0.3">
      <c r="A23" s="50" t="s">
        <v>131</v>
      </c>
      <c r="B23" s="76">
        <v>2</v>
      </c>
      <c r="C23" s="135">
        <v>3</v>
      </c>
      <c r="D23" s="32">
        <f t="shared" si="0"/>
        <v>5</v>
      </c>
      <c r="E23" s="14" t="s">
        <v>131</v>
      </c>
      <c r="F23" s="77">
        <v>10</v>
      </c>
      <c r="G23" s="137">
        <v>15</v>
      </c>
      <c r="H23" s="15">
        <f t="shared" si="1"/>
        <v>25</v>
      </c>
      <c r="Q23" s="63"/>
      <c r="R23" s="63"/>
    </row>
    <row r="24" spans="1:18" ht="14.95" thickBot="1" x14ac:dyDescent="0.3">
      <c r="A24" s="50" t="s">
        <v>134</v>
      </c>
      <c r="B24" s="76">
        <v>0</v>
      </c>
      <c r="C24" s="135">
        <v>0</v>
      </c>
      <c r="D24" s="32">
        <f t="shared" si="0"/>
        <v>0</v>
      </c>
      <c r="E24" s="14" t="s">
        <v>134</v>
      </c>
      <c r="F24" s="77">
        <v>0</v>
      </c>
      <c r="G24" s="137">
        <v>0</v>
      </c>
      <c r="H24" s="15">
        <f t="shared" si="1"/>
        <v>0</v>
      </c>
      <c r="Q24" s="63"/>
      <c r="R24" s="63"/>
    </row>
    <row r="25" spans="1:18" ht="14.95" thickBot="1" x14ac:dyDescent="0.3">
      <c r="A25" s="50" t="s">
        <v>135</v>
      </c>
      <c r="B25" s="76">
        <v>0</v>
      </c>
      <c r="C25" s="135">
        <v>0</v>
      </c>
      <c r="D25" s="32">
        <f t="shared" si="0"/>
        <v>0</v>
      </c>
      <c r="E25" s="14" t="s">
        <v>135</v>
      </c>
      <c r="F25" s="77">
        <v>0</v>
      </c>
      <c r="G25" s="137">
        <v>0</v>
      </c>
      <c r="H25" s="15">
        <f t="shared" si="1"/>
        <v>0</v>
      </c>
      <c r="Q25" s="63"/>
      <c r="R25" s="63"/>
    </row>
    <row r="26" spans="1:18" ht="14.95" thickBot="1" x14ac:dyDescent="0.3">
      <c r="A26" s="50" t="s">
        <v>140</v>
      </c>
      <c r="B26" s="76">
        <v>0</v>
      </c>
      <c r="C26" s="135">
        <v>0</v>
      </c>
      <c r="D26" s="32">
        <f t="shared" si="0"/>
        <v>0</v>
      </c>
      <c r="E26" s="14" t="s">
        <v>140</v>
      </c>
      <c r="F26" s="77">
        <v>0</v>
      </c>
      <c r="G26" s="137">
        <v>0</v>
      </c>
      <c r="H26" s="15">
        <f t="shared" si="1"/>
        <v>0</v>
      </c>
    </row>
    <row r="27" spans="1:18" ht="14.95" thickBot="1" x14ac:dyDescent="0.3">
      <c r="A27" s="50" t="s">
        <v>124</v>
      </c>
      <c r="B27" s="76">
        <v>0</v>
      </c>
      <c r="C27" s="135">
        <v>0</v>
      </c>
      <c r="D27" s="32">
        <f t="shared" si="0"/>
        <v>0</v>
      </c>
      <c r="E27" s="14" t="s">
        <v>124</v>
      </c>
      <c r="F27" s="77">
        <v>0</v>
      </c>
      <c r="G27" s="137">
        <v>0</v>
      </c>
      <c r="H27" s="15">
        <f t="shared" si="1"/>
        <v>0</v>
      </c>
      <c r="M27" s="23"/>
      <c r="N27" s="23"/>
      <c r="O27" s="23"/>
    </row>
    <row r="28" spans="1:18" ht="14.95" thickBot="1" x14ac:dyDescent="0.3">
      <c r="A28" s="50" t="s">
        <v>133</v>
      </c>
      <c r="B28" s="76">
        <v>0</v>
      </c>
      <c r="C28" s="135">
        <v>0</v>
      </c>
      <c r="D28" s="32">
        <f t="shared" si="0"/>
        <v>0</v>
      </c>
      <c r="E28" s="14" t="s">
        <v>133</v>
      </c>
      <c r="F28" s="77">
        <v>0</v>
      </c>
      <c r="G28" s="137">
        <v>0</v>
      </c>
      <c r="H28" s="15">
        <f t="shared" si="1"/>
        <v>0</v>
      </c>
      <c r="M28" s="23"/>
      <c r="N28" s="23"/>
      <c r="O28" s="12"/>
    </row>
    <row r="29" spans="1:18" ht="14.95" thickBot="1" x14ac:dyDescent="0.3">
      <c r="A29" s="50" t="s">
        <v>136</v>
      </c>
      <c r="B29" s="76">
        <v>0</v>
      </c>
      <c r="C29" s="135">
        <v>0</v>
      </c>
      <c r="D29" s="32">
        <f t="shared" si="0"/>
        <v>0</v>
      </c>
      <c r="E29" s="14" t="s">
        <v>136</v>
      </c>
      <c r="F29" s="77">
        <v>0</v>
      </c>
      <c r="G29" s="137">
        <v>0</v>
      </c>
      <c r="H29" s="15">
        <f t="shared" si="1"/>
        <v>0</v>
      </c>
      <c r="M29" s="23"/>
      <c r="N29" s="23"/>
      <c r="O29" s="12"/>
    </row>
    <row r="30" spans="1:18" ht="14.95" thickBot="1" x14ac:dyDescent="0.3">
      <c r="A30" s="50" t="s">
        <v>151</v>
      </c>
      <c r="B30" s="76">
        <v>1</v>
      </c>
      <c r="C30" s="135">
        <v>0</v>
      </c>
      <c r="D30" s="32">
        <f t="shared" si="0"/>
        <v>1</v>
      </c>
      <c r="E30" s="14" t="s">
        <v>151</v>
      </c>
      <c r="F30" s="77">
        <v>5</v>
      </c>
      <c r="G30" s="137">
        <v>0</v>
      </c>
      <c r="H30" s="15">
        <f t="shared" si="1"/>
        <v>5</v>
      </c>
      <c r="M30" s="23"/>
      <c r="N30" s="23"/>
      <c r="O30" s="23"/>
    </row>
    <row r="31" spans="1:18" ht="14.95" thickBot="1" x14ac:dyDescent="0.3">
      <c r="A31" s="50" t="s">
        <v>10</v>
      </c>
      <c r="B31" s="76">
        <v>0</v>
      </c>
      <c r="C31" s="135">
        <v>0</v>
      </c>
      <c r="D31" s="32">
        <f t="shared" si="0"/>
        <v>0</v>
      </c>
      <c r="E31" s="14" t="s">
        <v>10</v>
      </c>
      <c r="F31" s="77">
        <v>0</v>
      </c>
      <c r="G31" s="137">
        <v>0</v>
      </c>
      <c r="H31" s="15">
        <f t="shared" si="1"/>
        <v>0</v>
      </c>
      <c r="M31" s="23"/>
      <c r="N31" s="23"/>
      <c r="O31" s="23"/>
    </row>
    <row r="32" spans="1:18" ht="14.95" thickBot="1" x14ac:dyDescent="0.3">
      <c r="A32" s="50" t="s">
        <v>420</v>
      </c>
      <c r="B32" s="76">
        <v>0</v>
      </c>
      <c r="C32" s="135">
        <v>0</v>
      </c>
      <c r="D32" s="32">
        <f t="shared" si="0"/>
        <v>0</v>
      </c>
      <c r="E32" s="14" t="s">
        <v>420</v>
      </c>
      <c r="F32" s="77">
        <v>0</v>
      </c>
      <c r="G32" s="137">
        <v>12</v>
      </c>
      <c r="H32" s="15">
        <f t="shared" si="1"/>
        <v>12</v>
      </c>
      <c r="M32" s="23"/>
      <c r="N32" s="23"/>
      <c r="O32" s="23"/>
    </row>
    <row r="33" spans="1:8" ht="14.95" thickBot="1" x14ac:dyDescent="0.3">
      <c r="A33" s="50" t="s">
        <v>142</v>
      </c>
      <c r="B33" s="76">
        <v>0</v>
      </c>
      <c r="C33" s="135">
        <v>0</v>
      </c>
      <c r="D33" s="32">
        <f t="shared" si="0"/>
        <v>0</v>
      </c>
      <c r="E33" s="14" t="s">
        <v>142</v>
      </c>
      <c r="F33" s="77">
        <v>3</v>
      </c>
      <c r="G33" s="137">
        <v>0</v>
      </c>
      <c r="H33" s="15">
        <f t="shared" si="1"/>
        <v>3</v>
      </c>
    </row>
    <row r="34" spans="1:8" ht="14.95" thickBot="1" x14ac:dyDescent="0.3">
      <c r="A34" s="50" t="s">
        <v>141</v>
      </c>
      <c r="B34" s="76">
        <v>0</v>
      </c>
      <c r="C34" s="135">
        <v>0</v>
      </c>
      <c r="D34" s="32">
        <f t="shared" si="0"/>
        <v>0</v>
      </c>
      <c r="E34" s="14" t="s">
        <v>141</v>
      </c>
      <c r="F34" s="77">
        <v>0</v>
      </c>
      <c r="G34" s="137">
        <v>0</v>
      </c>
      <c r="H34" s="15">
        <f t="shared" si="1"/>
        <v>0</v>
      </c>
    </row>
    <row r="35" spans="1:8" ht="14.95" thickBot="1" x14ac:dyDescent="0.3">
      <c r="A35" s="50" t="s">
        <v>125</v>
      </c>
      <c r="B35" s="76">
        <v>1</v>
      </c>
      <c r="C35" s="135">
        <v>1</v>
      </c>
      <c r="D35" s="32">
        <f t="shared" si="0"/>
        <v>2</v>
      </c>
      <c r="E35" s="14" t="s">
        <v>125</v>
      </c>
      <c r="F35" s="77">
        <v>5</v>
      </c>
      <c r="G35" s="137">
        <v>5</v>
      </c>
      <c r="H35" s="15">
        <f t="shared" si="1"/>
        <v>10</v>
      </c>
    </row>
    <row r="36" spans="1:8" ht="14.95" thickBot="1" x14ac:dyDescent="0.3">
      <c r="A36" s="50" t="s">
        <v>152</v>
      </c>
      <c r="B36" s="76">
        <v>0</v>
      </c>
      <c r="C36" s="135">
        <v>0</v>
      </c>
      <c r="D36" s="32">
        <f t="shared" si="0"/>
        <v>0</v>
      </c>
      <c r="E36" s="14" t="s">
        <v>152</v>
      </c>
      <c r="F36" s="77">
        <v>0</v>
      </c>
      <c r="G36" s="137">
        <v>0</v>
      </c>
      <c r="H36" s="15">
        <f t="shared" si="1"/>
        <v>0</v>
      </c>
    </row>
    <row r="37" spans="1:8" ht="14.95" thickBot="1" x14ac:dyDescent="0.3">
      <c r="A37" s="50" t="s">
        <v>126</v>
      </c>
      <c r="B37" s="76">
        <v>0</v>
      </c>
      <c r="C37" s="135">
        <v>1</v>
      </c>
      <c r="D37" s="32">
        <f t="shared" si="0"/>
        <v>1</v>
      </c>
      <c r="E37" s="14" t="s">
        <v>126</v>
      </c>
      <c r="F37" s="77">
        <v>0</v>
      </c>
      <c r="G37" s="137">
        <v>5</v>
      </c>
      <c r="H37" s="15">
        <f t="shared" si="1"/>
        <v>5</v>
      </c>
    </row>
    <row r="38" spans="1:8" ht="14.95" thickBot="1" x14ac:dyDescent="0.3">
      <c r="A38" s="50" t="s">
        <v>302</v>
      </c>
      <c r="B38" s="76">
        <v>1</v>
      </c>
      <c r="C38" s="135">
        <v>0</v>
      </c>
      <c r="D38" s="32">
        <f t="shared" si="0"/>
        <v>1</v>
      </c>
      <c r="E38" s="14" t="s">
        <v>302</v>
      </c>
      <c r="F38" s="77">
        <v>7</v>
      </c>
      <c r="G38" s="137">
        <v>0</v>
      </c>
      <c r="H38" s="15">
        <f t="shared" si="1"/>
        <v>7</v>
      </c>
    </row>
    <row r="39" spans="1:8" ht="14.95" thickBot="1" x14ac:dyDescent="0.3">
      <c r="A39" s="50" t="s">
        <v>143</v>
      </c>
      <c r="B39" s="76">
        <v>0</v>
      </c>
      <c r="C39" s="135">
        <v>0</v>
      </c>
      <c r="D39" s="32">
        <f t="shared" si="0"/>
        <v>0</v>
      </c>
      <c r="E39" s="14" t="s">
        <v>143</v>
      </c>
      <c r="F39" s="77">
        <v>0</v>
      </c>
      <c r="G39" s="137">
        <v>0</v>
      </c>
      <c r="H39" s="15">
        <f t="shared" si="1"/>
        <v>0</v>
      </c>
    </row>
    <row r="40" spans="1:8" ht="14.95" thickBot="1" x14ac:dyDescent="0.3">
      <c r="A40" s="50" t="s">
        <v>156</v>
      </c>
      <c r="B40" s="76">
        <v>0</v>
      </c>
      <c r="C40" s="135">
        <v>1</v>
      </c>
      <c r="D40" s="32">
        <f t="shared" si="0"/>
        <v>1</v>
      </c>
      <c r="E40" s="14" t="s">
        <v>156</v>
      </c>
      <c r="F40" s="77">
        <v>0</v>
      </c>
      <c r="G40" s="137">
        <v>5</v>
      </c>
      <c r="H40" s="15">
        <f t="shared" si="1"/>
        <v>5</v>
      </c>
    </row>
    <row r="41" spans="1:8" ht="14.95" thickBot="1" x14ac:dyDescent="0.3">
      <c r="A41" s="50" t="s">
        <v>138</v>
      </c>
      <c r="B41" s="76">
        <v>0</v>
      </c>
      <c r="C41" s="135">
        <v>0</v>
      </c>
      <c r="D41" s="32">
        <f t="shared" si="0"/>
        <v>0</v>
      </c>
      <c r="E41" s="14" t="s">
        <v>138</v>
      </c>
      <c r="F41" s="77">
        <v>0</v>
      </c>
      <c r="G41" s="137">
        <v>0</v>
      </c>
      <c r="H41" s="15">
        <f t="shared" si="1"/>
        <v>0</v>
      </c>
    </row>
    <row r="42" spans="1:8" ht="14.95" customHeight="1" thickBot="1" x14ac:dyDescent="0.3">
      <c r="A42" s="50" t="s">
        <v>137</v>
      </c>
      <c r="B42" s="76">
        <v>0</v>
      </c>
      <c r="C42" s="135">
        <v>0</v>
      </c>
      <c r="D42" s="32">
        <f t="shared" si="0"/>
        <v>0</v>
      </c>
      <c r="E42" s="14" t="s">
        <v>137</v>
      </c>
      <c r="F42" s="77">
        <v>0</v>
      </c>
      <c r="G42" s="137">
        <v>0</v>
      </c>
      <c r="H42" s="15">
        <f t="shared" si="1"/>
        <v>0</v>
      </c>
    </row>
    <row r="43" spans="1:8" ht="14.95" thickBot="1" x14ac:dyDescent="0.3">
      <c r="A43" s="50" t="s">
        <v>3</v>
      </c>
      <c r="B43" s="76">
        <f>SUM(B3:B42)</f>
        <v>11</v>
      </c>
      <c r="C43" s="135">
        <f>SUM(C3:C42)</f>
        <v>11</v>
      </c>
      <c r="D43" s="32">
        <f>SUM(D3:D42)</f>
        <v>22</v>
      </c>
      <c r="E43" s="13" t="s">
        <v>3</v>
      </c>
      <c r="F43" s="77">
        <f>SUM(F3:F42)</f>
        <v>68</v>
      </c>
      <c r="G43" s="137">
        <f>SUM(G3:G42)</f>
        <v>67</v>
      </c>
      <c r="H43" s="15">
        <f>SUM(H3:H42)</f>
        <v>135</v>
      </c>
    </row>
    <row r="44" spans="1:8" x14ac:dyDescent="0.25">
      <c r="A44" s="2"/>
      <c r="B44" s="2"/>
      <c r="C44" s="2"/>
      <c r="D44" s="2"/>
      <c r="E44" s="7"/>
      <c r="F44" s="7"/>
      <c r="G44" s="7"/>
      <c r="H44" s="7"/>
    </row>
    <row r="45" spans="1:8" ht="14.95" thickBot="1" x14ac:dyDescent="0.3">
      <c r="A45" t="s">
        <v>7</v>
      </c>
      <c r="E45" s="6"/>
      <c r="F45" s="6"/>
      <c r="G45" s="6"/>
      <c r="H45" s="6"/>
    </row>
    <row r="46" spans="1:8" ht="14.95" thickBot="1" x14ac:dyDescent="0.3">
      <c r="A46" s="94" t="s">
        <v>0</v>
      </c>
      <c r="B46" s="95" t="s">
        <v>15</v>
      </c>
      <c r="C46" s="134" t="s">
        <v>12</v>
      </c>
      <c r="D46" s="96" t="s">
        <v>1</v>
      </c>
      <c r="E46" s="79" t="s">
        <v>2</v>
      </c>
      <c r="F46" s="93" t="s">
        <v>15</v>
      </c>
      <c r="G46" s="136" t="s">
        <v>12</v>
      </c>
      <c r="H46" s="82" t="s">
        <v>1</v>
      </c>
    </row>
    <row r="47" spans="1:8" ht="14.95" thickBot="1" x14ac:dyDescent="0.3">
      <c r="A47" s="50" t="s">
        <v>131</v>
      </c>
      <c r="B47" s="76">
        <v>2</v>
      </c>
      <c r="C47" s="135">
        <v>3</v>
      </c>
      <c r="D47" s="32">
        <f t="shared" ref="D47:D86" si="7">SUM(B47:C47)</f>
        <v>5</v>
      </c>
      <c r="E47" s="13" t="s">
        <v>131</v>
      </c>
      <c r="F47" s="77">
        <v>10</v>
      </c>
      <c r="G47" s="137">
        <v>15</v>
      </c>
      <c r="H47" s="15">
        <f t="shared" ref="H47:H86" si="8">SUM(F47:G47)</f>
        <v>25</v>
      </c>
    </row>
    <row r="48" spans="1:8" ht="14.95" thickBot="1" x14ac:dyDescent="0.3">
      <c r="A48" s="50" t="s">
        <v>150</v>
      </c>
      <c r="B48" s="76">
        <v>2</v>
      </c>
      <c r="C48" s="135">
        <v>0</v>
      </c>
      <c r="D48" s="32">
        <f t="shared" si="7"/>
        <v>2</v>
      </c>
      <c r="E48" s="13" t="s">
        <v>420</v>
      </c>
      <c r="F48" s="77">
        <v>0</v>
      </c>
      <c r="G48" s="137">
        <v>12</v>
      </c>
      <c r="H48" s="15">
        <f t="shared" si="8"/>
        <v>12</v>
      </c>
    </row>
    <row r="49" spans="1:8" ht="14.95" thickBot="1" x14ac:dyDescent="0.3">
      <c r="A49" s="50" t="s">
        <v>125</v>
      </c>
      <c r="B49" s="76">
        <v>1</v>
      </c>
      <c r="C49" s="135">
        <v>1</v>
      </c>
      <c r="D49" s="32">
        <f t="shared" si="7"/>
        <v>2</v>
      </c>
      <c r="E49" s="13" t="s">
        <v>150</v>
      </c>
      <c r="F49" s="77">
        <v>10</v>
      </c>
      <c r="G49" s="137">
        <v>0</v>
      </c>
      <c r="H49" s="15">
        <f t="shared" si="8"/>
        <v>10</v>
      </c>
    </row>
    <row r="50" spans="1:8" ht="14.95" thickBot="1" x14ac:dyDescent="0.3">
      <c r="A50" s="50" t="s">
        <v>154</v>
      </c>
      <c r="B50" s="76">
        <v>0</v>
      </c>
      <c r="C50" s="135">
        <v>1</v>
      </c>
      <c r="D50" s="32">
        <f t="shared" si="7"/>
        <v>1</v>
      </c>
      <c r="E50" s="13" t="s">
        <v>125</v>
      </c>
      <c r="F50" s="77">
        <v>5</v>
      </c>
      <c r="G50" s="137">
        <v>5</v>
      </c>
      <c r="H50" s="15">
        <f t="shared" si="8"/>
        <v>10</v>
      </c>
    </row>
    <row r="51" spans="1:8" ht="14.95" thickBot="1" x14ac:dyDescent="0.3">
      <c r="A51" s="50" t="s">
        <v>147</v>
      </c>
      <c r="B51" s="76">
        <v>1</v>
      </c>
      <c r="C51" s="135">
        <v>0</v>
      </c>
      <c r="D51" s="32">
        <f t="shared" si="7"/>
        <v>1</v>
      </c>
      <c r="E51" s="13" t="s">
        <v>147</v>
      </c>
      <c r="F51" s="77">
        <v>7</v>
      </c>
      <c r="G51" s="137">
        <v>0</v>
      </c>
      <c r="H51" s="15">
        <f t="shared" si="8"/>
        <v>7</v>
      </c>
    </row>
    <row r="52" spans="1:8" ht="14.95" thickBot="1" x14ac:dyDescent="0.3">
      <c r="A52" s="50" t="s">
        <v>256</v>
      </c>
      <c r="B52" s="76">
        <v>1</v>
      </c>
      <c r="C52" s="135">
        <v>0</v>
      </c>
      <c r="D52" s="32">
        <f t="shared" si="7"/>
        <v>1</v>
      </c>
      <c r="E52" s="14" t="s">
        <v>302</v>
      </c>
      <c r="F52" s="77">
        <v>7</v>
      </c>
      <c r="G52" s="137">
        <v>0</v>
      </c>
      <c r="H52" s="15">
        <f t="shared" si="8"/>
        <v>7</v>
      </c>
    </row>
    <row r="53" spans="1:8" ht="14.95" thickBot="1" x14ac:dyDescent="0.3">
      <c r="A53" s="50" t="s">
        <v>418</v>
      </c>
      <c r="B53" s="76">
        <v>0</v>
      </c>
      <c r="C53" s="135">
        <v>1</v>
      </c>
      <c r="D53" s="32">
        <f t="shared" si="7"/>
        <v>1</v>
      </c>
      <c r="E53" s="14" t="s">
        <v>145</v>
      </c>
      <c r="F53" s="77">
        <v>6</v>
      </c>
      <c r="G53" s="137">
        <v>0</v>
      </c>
      <c r="H53" s="15">
        <f t="shared" si="8"/>
        <v>6</v>
      </c>
    </row>
    <row r="54" spans="1:8" ht="14.95" thickBot="1" x14ac:dyDescent="0.3">
      <c r="A54" s="50" t="s">
        <v>419</v>
      </c>
      <c r="B54" s="76">
        <v>0</v>
      </c>
      <c r="C54" s="135">
        <v>1</v>
      </c>
      <c r="D54" s="32">
        <f t="shared" si="7"/>
        <v>1</v>
      </c>
      <c r="E54" s="14" t="s">
        <v>154</v>
      </c>
      <c r="F54" s="77">
        <v>0</v>
      </c>
      <c r="G54" s="137">
        <v>5</v>
      </c>
      <c r="H54" s="15">
        <f t="shared" si="8"/>
        <v>5</v>
      </c>
    </row>
    <row r="55" spans="1:8" ht="14.95" thickBot="1" x14ac:dyDescent="0.3">
      <c r="A55" s="50" t="s">
        <v>127</v>
      </c>
      <c r="B55" s="76">
        <v>1</v>
      </c>
      <c r="C55" s="135">
        <v>0</v>
      </c>
      <c r="D55" s="32">
        <f t="shared" si="7"/>
        <v>1</v>
      </c>
      <c r="E55" s="14" t="s">
        <v>256</v>
      </c>
      <c r="F55" s="77">
        <v>5</v>
      </c>
      <c r="G55" s="137">
        <v>0</v>
      </c>
      <c r="H55" s="15">
        <f t="shared" si="8"/>
        <v>5</v>
      </c>
    </row>
    <row r="56" spans="1:8" ht="14.95" thickBot="1" x14ac:dyDescent="0.3">
      <c r="A56" s="50" t="s">
        <v>153</v>
      </c>
      <c r="B56" s="76">
        <v>0</v>
      </c>
      <c r="C56" s="135">
        <v>1</v>
      </c>
      <c r="D56" s="32">
        <f t="shared" si="7"/>
        <v>1</v>
      </c>
      <c r="E56" s="14" t="s">
        <v>418</v>
      </c>
      <c r="F56" s="77">
        <v>0</v>
      </c>
      <c r="G56" s="137">
        <v>5</v>
      </c>
      <c r="H56" s="15">
        <f t="shared" si="8"/>
        <v>5</v>
      </c>
    </row>
    <row r="57" spans="1:8" ht="14.95" thickBot="1" x14ac:dyDescent="0.3">
      <c r="A57" s="50" t="s">
        <v>148</v>
      </c>
      <c r="B57" s="76">
        <v>1</v>
      </c>
      <c r="C57" s="135">
        <v>0</v>
      </c>
      <c r="D57" s="32">
        <f t="shared" si="7"/>
        <v>1</v>
      </c>
      <c r="E57" s="14" t="s">
        <v>419</v>
      </c>
      <c r="F57" s="77">
        <v>0</v>
      </c>
      <c r="G57" s="137">
        <v>5</v>
      </c>
      <c r="H57" s="15">
        <f t="shared" si="8"/>
        <v>5</v>
      </c>
    </row>
    <row r="58" spans="1:8" ht="14.95" thickBot="1" x14ac:dyDescent="0.3">
      <c r="A58" s="50" t="s">
        <v>130</v>
      </c>
      <c r="B58" s="76">
        <v>0</v>
      </c>
      <c r="C58" s="135">
        <v>1</v>
      </c>
      <c r="D58" s="32">
        <f t="shared" si="7"/>
        <v>1</v>
      </c>
      <c r="E58" s="14" t="s">
        <v>127</v>
      </c>
      <c r="F58" s="77">
        <v>5</v>
      </c>
      <c r="G58" s="137">
        <v>0</v>
      </c>
      <c r="H58" s="15">
        <f t="shared" si="8"/>
        <v>5</v>
      </c>
    </row>
    <row r="59" spans="1:8" ht="14.95" thickBot="1" x14ac:dyDescent="0.3">
      <c r="A59" s="50" t="s">
        <v>151</v>
      </c>
      <c r="B59" s="76">
        <v>1</v>
      </c>
      <c r="C59" s="135">
        <v>0</v>
      </c>
      <c r="D59" s="32">
        <f t="shared" si="7"/>
        <v>1</v>
      </c>
      <c r="E59" s="14" t="s">
        <v>153</v>
      </c>
      <c r="F59" s="77">
        <v>0</v>
      </c>
      <c r="G59" s="137">
        <v>5</v>
      </c>
      <c r="H59" s="15">
        <f t="shared" si="8"/>
        <v>5</v>
      </c>
    </row>
    <row r="60" spans="1:8" ht="14.95" thickBot="1" x14ac:dyDescent="0.3">
      <c r="A60" s="50" t="s">
        <v>126</v>
      </c>
      <c r="B60" s="76">
        <v>0</v>
      </c>
      <c r="C60" s="135">
        <v>1</v>
      </c>
      <c r="D60" s="32">
        <f t="shared" si="7"/>
        <v>1</v>
      </c>
      <c r="E60" s="14" t="s">
        <v>148</v>
      </c>
      <c r="F60" s="77">
        <v>5</v>
      </c>
      <c r="G60" s="137">
        <v>0</v>
      </c>
      <c r="H60" s="15">
        <f t="shared" si="8"/>
        <v>5</v>
      </c>
    </row>
    <row r="61" spans="1:8" ht="14.95" thickBot="1" x14ac:dyDescent="0.3">
      <c r="A61" s="50" t="s">
        <v>302</v>
      </c>
      <c r="B61" s="76">
        <v>1</v>
      </c>
      <c r="C61" s="135">
        <v>0</v>
      </c>
      <c r="D61" s="32">
        <f t="shared" si="7"/>
        <v>1</v>
      </c>
      <c r="E61" s="14" t="s">
        <v>130</v>
      </c>
      <c r="F61" s="77">
        <v>0</v>
      </c>
      <c r="G61" s="137">
        <v>5</v>
      </c>
      <c r="H61" s="15">
        <f t="shared" si="8"/>
        <v>5</v>
      </c>
    </row>
    <row r="62" spans="1:8" ht="14.95" thickBot="1" x14ac:dyDescent="0.3">
      <c r="A62" s="50" t="s">
        <v>156</v>
      </c>
      <c r="B62" s="76">
        <v>0</v>
      </c>
      <c r="C62" s="135">
        <v>1</v>
      </c>
      <c r="D62" s="32">
        <f t="shared" si="7"/>
        <v>1</v>
      </c>
      <c r="E62" s="14" t="s">
        <v>151</v>
      </c>
      <c r="F62" s="77">
        <v>5</v>
      </c>
      <c r="G62" s="137">
        <v>0</v>
      </c>
      <c r="H62" s="15">
        <f t="shared" si="8"/>
        <v>5</v>
      </c>
    </row>
    <row r="63" spans="1:8" ht="14.95" thickBot="1" x14ac:dyDescent="0.3">
      <c r="A63" s="50" t="s">
        <v>129</v>
      </c>
      <c r="B63" s="76">
        <v>0</v>
      </c>
      <c r="C63" s="135">
        <v>0</v>
      </c>
      <c r="D63" s="32">
        <f t="shared" si="7"/>
        <v>0</v>
      </c>
      <c r="E63" s="14" t="s">
        <v>126</v>
      </c>
      <c r="F63" s="77">
        <v>0</v>
      </c>
      <c r="G63" s="137">
        <v>5</v>
      </c>
      <c r="H63" s="15">
        <f t="shared" si="8"/>
        <v>5</v>
      </c>
    </row>
    <row r="64" spans="1:8" ht="14.95" thickBot="1" x14ac:dyDescent="0.3">
      <c r="A64" s="50" t="s">
        <v>146</v>
      </c>
      <c r="B64" s="76">
        <v>0</v>
      </c>
      <c r="C64" s="135">
        <v>0</v>
      </c>
      <c r="D64" s="32">
        <f t="shared" si="7"/>
        <v>0</v>
      </c>
      <c r="E64" s="14" t="s">
        <v>156</v>
      </c>
      <c r="F64" s="77">
        <v>0</v>
      </c>
      <c r="G64" s="137">
        <v>5</v>
      </c>
      <c r="H64" s="15">
        <f t="shared" si="8"/>
        <v>5</v>
      </c>
    </row>
    <row r="65" spans="1:8" ht="14.95" thickBot="1" x14ac:dyDescent="0.3">
      <c r="A65" s="50" t="s">
        <v>149</v>
      </c>
      <c r="B65" s="76">
        <v>0</v>
      </c>
      <c r="C65" s="135">
        <v>0</v>
      </c>
      <c r="D65" s="32">
        <f t="shared" si="7"/>
        <v>0</v>
      </c>
      <c r="E65" s="14" t="s">
        <v>142</v>
      </c>
      <c r="F65" s="77">
        <v>3</v>
      </c>
      <c r="G65" s="137">
        <v>0</v>
      </c>
      <c r="H65" s="15">
        <f t="shared" si="8"/>
        <v>3</v>
      </c>
    </row>
    <row r="66" spans="1:8" ht="14.95" thickBot="1" x14ac:dyDescent="0.3">
      <c r="A66" s="50" t="s">
        <v>155</v>
      </c>
      <c r="B66" s="76">
        <v>0</v>
      </c>
      <c r="C66" s="135">
        <v>0</v>
      </c>
      <c r="D66" s="32">
        <f t="shared" si="7"/>
        <v>0</v>
      </c>
      <c r="E66" s="14" t="s">
        <v>129</v>
      </c>
      <c r="F66" s="77">
        <v>0</v>
      </c>
      <c r="G66" s="137">
        <v>0</v>
      </c>
      <c r="H66" s="15">
        <f t="shared" si="8"/>
        <v>0</v>
      </c>
    </row>
    <row r="67" spans="1:8" ht="14.95" thickBot="1" x14ac:dyDescent="0.3">
      <c r="A67" s="50" t="s">
        <v>145</v>
      </c>
      <c r="B67" s="76">
        <v>0</v>
      </c>
      <c r="C67" s="135">
        <v>0</v>
      </c>
      <c r="D67" s="32">
        <f t="shared" si="7"/>
        <v>0</v>
      </c>
      <c r="E67" s="14" t="s">
        <v>146</v>
      </c>
      <c r="F67" s="77">
        <v>0</v>
      </c>
      <c r="G67" s="137">
        <v>0</v>
      </c>
      <c r="H67" s="15">
        <f t="shared" si="8"/>
        <v>0</v>
      </c>
    </row>
    <row r="68" spans="1:8" ht="14.95" thickBot="1" x14ac:dyDescent="0.3">
      <c r="A68" s="50" t="s">
        <v>132</v>
      </c>
      <c r="B68" s="76">
        <v>0</v>
      </c>
      <c r="C68" s="135">
        <v>0</v>
      </c>
      <c r="D68" s="32">
        <f t="shared" si="7"/>
        <v>0</v>
      </c>
      <c r="E68" s="14" t="s">
        <v>149</v>
      </c>
      <c r="F68" s="77">
        <v>0</v>
      </c>
      <c r="G68" s="137">
        <v>0</v>
      </c>
      <c r="H68" s="15">
        <f t="shared" si="8"/>
        <v>0</v>
      </c>
    </row>
    <row r="69" spans="1:8" ht="14.95" thickBot="1" x14ac:dyDescent="0.3">
      <c r="A69" s="50" t="s">
        <v>128</v>
      </c>
      <c r="B69" s="76">
        <v>0</v>
      </c>
      <c r="C69" s="135">
        <v>0</v>
      </c>
      <c r="D69" s="32">
        <f t="shared" si="7"/>
        <v>0</v>
      </c>
      <c r="E69" s="14" t="s">
        <v>155</v>
      </c>
      <c r="F69" s="77">
        <v>0</v>
      </c>
      <c r="G69" s="137">
        <v>0</v>
      </c>
      <c r="H69" s="15">
        <f t="shared" si="8"/>
        <v>0</v>
      </c>
    </row>
    <row r="70" spans="1:8" ht="14.95" thickBot="1" x14ac:dyDescent="0.3">
      <c r="A70" s="50" t="s">
        <v>139</v>
      </c>
      <c r="B70" s="76">
        <v>0</v>
      </c>
      <c r="C70" s="135">
        <v>0</v>
      </c>
      <c r="D70" s="32">
        <f t="shared" si="7"/>
        <v>0</v>
      </c>
      <c r="E70" s="14" t="s">
        <v>132</v>
      </c>
      <c r="F70" s="77">
        <v>0</v>
      </c>
      <c r="G70" s="137">
        <v>0</v>
      </c>
      <c r="H70" s="15">
        <f t="shared" si="8"/>
        <v>0</v>
      </c>
    </row>
    <row r="71" spans="1:8" ht="14.95" thickBot="1" x14ac:dyDescent="0.3">
      <c r="A71" s="50" t="s">
        <v>144</v>
      </c>
      <c r="B71" s="76">
        <v>0</v>
      </c>
      <c r="C71" s="135">
        <v>0</v>
      </c>
      <c r="D71" s="32">
        <f t="shared" si="7"/>
        <v>0</v>
      </c>
      <c r="E71" s="14" t="s">
        <v>128</v>
      </c>
      <c r="F71" s="77">
        <v>0</v>
      </c>
      <c r="G71" s="137">
        <v>0</v>
      </c>
      <c r="H71" s="15">
        <f t="shared" si="8"/>
        <v>0</v>
      </c>
    </row>
    <row r="72" spans="1:8" ht="14.95" thickBot="1" x14ac:dyDescent="0.3">
      <c r="A72" s="50" t="s">
        <v>157</v>
      </c>
      <c r="B72" s="76">
        <v>0</v>
      </c>
      <c r="C72" s="135">
        <v>0</v>
      </c>
      <c r="D72" s="32">
        <f t="shared" si="7"/>
        <v>0</v>
      </c>
      <c r="E72" s="14" t="s">
        <v>139</v>
      </c>
      <c r="F72" s="77">
        <v>0</v>
      </c>
      <c r="G72" s="137">
        <v>0</v>
      </c>
      <c r="H72" s="15">
        <f t="shared" si="8"/>
        <v>0</v>
      </c>
    </row>
    <row r="73" spans="1:8" ht="14.95" thickBot="1" x14ac:dyDescent="0.3">
      <c r="A73" s="50" t="s">
        <v>134</v>
      </c>
      <c r="B73" s="76">
        <v>0</v>
      </c>
      <c r="C73" s="135">
        <v>0</v>
      </c>
      <c r="D73" s="32">
        <f t="shared" si="7"/>
        <v>0</v>
      </c>
      <c r="E73" s="14" t="s">
        <v>144</v>
      </c>
      <c r="F73" s="77">
        <v>0</v>
      </c>
      <c r="G73" s="137">
        <v>0</v>
      </c>
      <c r="H73" s="15">
        <f t="shared" si="8"/>
        <v>0</v>
      </c>
    </row>
    <row r="74" spans="1:8" ht="14.95" thickBot="1" x14ac:dyDescent="0.3">
      <c r="A74" s="50" t="s">
        <v>135</v>
      </c>
      <c r="B74" s="76">
        <v>0</v>
      </c>
      <c r="C74" s="135">
        <v>0</v>
      </c>
      <c r="D74" s="32">
        <f t="shared" si="7"/>
        <v>0</v>
      </c>
      <c r="E74" s="14" t="s">
        <v>157</v>
      </c>
      <c r="F74" s="77">
        <v>0</v>
      </c>
      <c r="G74" s="137">
        <v>0</v>
      </c>
      <c r="H74" s="15">
        <f t="shared" si="8"/>
        <v>0</v>
      </c>
    </row>
    <row r="75" spans="1:8" ht="14.95" thickBot="1" x14ac:dyDescent="0.3">
      <c r="A75" s="50" t="s">
        <v>140</v>
      </c>
      <c r="B75" s="76">
        <v>0</v>
      </c>
      <c r="C75" s="135">
        <v>0</v>
      </c>
      <c r="D75" s="32">
        <f t="shared" si="7"/>
        <v>0</v>
      </c>
      <c r="E75" s="14" t="s">
        <v>134</v>
      </c>
      <c r="F75" s="77">
        <v>0</v>
      </c>
      <c r="G75" s="137">
        <v>0</v>
      </c>
      <c r="H75" s="15">
        <f t="shared" si="8"/>
        <v>0</v>
      </c>
    </row>
    <row r="76" spans="1:8" ht="14.95" thickBot="1" x14ac:dyDescent="0.3">
      <c r="A76" s="50" t="s">
        <v>124</v>
      </c>
      <c r="B76" s="76">
        <v>0</v>
      </c>
      <c r="C76" s="135">
        <v>0</v>
      </c>
      <c r="D76" s="32">
        <f t="shared" si="7"/>
        <v>0</v>
      </c>
      <c r="E76" s="14" t="s">
        <v>135</v>
      </c>
      <c r="F76" s="77">
        <v>0</v>
      </c>
      <c r="G76" s="137">
        <v>0</v>
      </c>
      <c r="H76" s="15">
        <f t="shared" si="8"/>
        <v>0</v>
      </c>
    </row>
    <row r="77" spans="1:8" ht="14.95" thickBot="1" x14ac:dyDescent="0.3">
      <c r="A77" s="50" t="s">
        <v>133</v>
      </c>
      <c r="B77" s="76">
        <v>0</v>
      </c>
      <c r="C77" s="135">
        <v>0</v>
      </c>
      <c r="D77" s="32">
        <f t="shared" si="7"/>
        <v>0</v>
      </c>
      <c r="E77" s="14" t="s">
        <v>140</v>
      </c>
      <c r="F77" s="77">
        <v>0</v>
      </c>
      <c r="G77" s="137">
        <v>0</v>
      </c>
      <c r="H77" s="15">
        <f t="shared" si="8"/>
        <v>0</v>
      </c>
    </row>
    <row r="78" spans="1:8" ht="14.95" thickBot="1" x14ac:dyDescent="0.3">
      <c r="A78" s="50" t="s">
        <v>136</v>
      </c>
      <c r="B78" s="76">
        <v>0</v>
      </c>
      <c r="C78" s="135">
        <v>0</v>
      </c>
      <c r="D78" s="32">
        <f t="shared" si="7"/>
        <v>0</v>
      </c>
      <c r="E78" s="14" t="s">
        <v>124</v>
      </c>
      <c r="F78" s="77">
        <v>0</v>
      </c>
      <c r="G78" s="137">
        <v>0</v>
      </c>
      <c r="H78" s="15">
        <f t="shared" si="8"/>
        <v>0</v>
      </c>
    </row>
    <row r="79" spans="1:8" ht="14.95" thickBot="1" x14ac:dyDescent="0.3">
      <c r="A79" s="50" t="s">
        <v>10</v>
      </c>
      <c r="B79" s="76">
        <v>0</v>
      </c>
      <c r="C79" s="135">
        <v>0</v>
      </c>
      <c r="D79" s="32">
        <f t="shared" si="7"/>
        <v>0</v>
      </c>
      <c r="E79" s="14" t="s">
        <v>133</v>
      </c>
      <c r="F79" s="77">
        <v>0</v>
      </c>
      <c r="G79" s="137">
        <v>0</v>
      </c>
      <c r="H79" s="15">
        <f t="shared" si="8"/>
        <v>0</v>
      </c>
    </row>
    <row r="80" spans="1:8" ht="14.95" thickBot="1" x14ac:dyDescent="0.3">
      <c r="A80" s="50" t="s">
        <v>420</v>
      </c>
      <c r="B80" s="76">
        <v>0</v>
      </c>
      <c r="C80" s="135">
        <v>0</v>
      </c>
      <c r="D80" s="32">
        <f t="shared" si="7"/>
        <v>0</v>
      </c>
      <c r="E80" s="14" t="s">
        <v>136</v>
      </c>
      <c r="F80" s="77">
        <v>0</v>
      </c>
      <c r="G80" s="137">
        <v>0</v>
      </c>
      <c r="H80" s="15">
        <f t="shared" si="8"/>
        <v>0</v>
      </c>
    </row>
    <row r="81" spans="1:8" ht="14.95" thickBot="1" x14ac:dyDescent="0.3">
      <c r="A81" s="50" t="s">
        <v>142</v>
      </c>
      <c r="B81" s="76">
        <v>0</v>
      </c>
      <c r="C81" s="135">
        <v>0</v>
      </c>
      <c r="D81" s="32">
        <f t="shared" si="7"/>
        <v>0</v>
      </c>
      <c r="E81" s="14" t="s">
        <v>10</v>
      </c>
      <c r="F81" s="77">
        <v>0</v>
      </c>
      <c r="G81" s="137">
        <v>0</v>
      </c>
      <c r="H81" s="15">
        <f t="shared" si="8"/>
        <v>0</v>
      </c>
    </row>
    <row r="82" spans="1:8" ht="14.95" thickBot="1" x14ac:dyDescent="0.3">
      <c r="A82" s="50" t="s">
        <v>141</v>
      </c>
      <c r="B82" s="76">
        <v>0</v>
      </c>
      <c r="C82" s="135">
        <v>0</v>
      </c>
      <c r="D82" s="32">
        <f t="shared" si="7"/>
        <v>0</v>
      </c>
      <c r="E82" s="14" t="s">
        <v>141</v>
      </c>
      <c r="F82" s="77">
        <v>0</v>
      </c>
      <c r="G82" s="137">
        <v>0</v>
      </c>
      <c r="H82" s="15">
        <f t="shared" si="8"/>
        <v>0</v>
      </c>
    </row>
    <row r="83" spans="1:8" ht="14.95" thickBot="1" x14ac:dyDescent="0.3">
      <c r="A83" s="50" t="s">
        <v>152</v>
      </c>
      <c r="B83" s="76">
        <v>0</v>
      </c>
      <c r="C83" s="135">
        <v>0</v>
      </c>
      <c r="D83" s="32">
        <f t="shared" si="7"/>
        <v>0</v>
      </c>
      <c r="E83" s="14" t="s">
        <v>152</v>
      </c>
      <c r="F83" s="77">
        <v>0</v>
      </c>
      <c r="G83" s="137">
        <v>0</v>
      </c>
      <c r="H83" s="15">
        <f t="shared" si="8"/>
        <v>0</v>
      </c>
    </row>
    <row r="84" spans="1:8" ht="14.95" thickBot="1" x14ac:dyDescent="0.3">
      <c r="A84" s="50" t="s">
        <v>143</v>
      </c>
      <c r="B84" s="76">
        <v>0</v>
      </c>
      <c r="C84" s="135">
        <v>0</v>
      </c>
      <c r="D84" s="32">
        <f t="shared" si="7"/>
        <v>0</v>
      </c>
      <c r="E84" s="14" t="s">
        <v>143</v>
      </c>
      <c r="F84" s="77">
        <v>0</v>
      </c>
      <c r="G84" s="137">
        <v>0</v>
      </c>
      <c r="H84" s="15">
        <f t="shared" si="8"/>
        <v>0</v>
      </c>
    </row>
    <row r="85" spans="1:8" ht="14.95" thickBot="1" x14ac:dyDescent="0.3">
      <c r="A85" s="50" t="s">
        <v>138</v>
      </c>
      <c r="B85" s="76">
        <v>0</v>
      </c>
      <c r="C85" s="135">
        <v>0</v>
      </c>
      <c r="D85" s="32">
        <f t="shared" si="7"/>
        <v>0</v>
      </c>
      <c r="E85" s="14" t="s">
        <v>138</v>
      </c>
      <c r="F85" s="77">
        <v>0</v>
      </c>
      <c r="G85" s="137">
        <v>0</v>
      </c>
      <c r="H85" s="15">
        <f t="shared" si="8"/>
        <v>0</v>
      </c>
    </row>
    <row r="86" spans="1:8" ht="14.95" thickBot="1" x14ac:dyDescent="0.3">
      <c r="A86" s="50" t="s">
        <v>137</v>
      </c>
      <c r="B86" s="76">
        <v>0</v>
      </c>
      <c r="C86" s="135">
        <v>0</v>
      </c>
      <c r="D86" s="32">
        <f t="shared" si="7"/>
        <v>0</v>
      </c>
      <c r="E86" s="14" t="s">
        <v>137</v>
      </c>
      <c r="F86" s="77">
        <v>0</v>
      </c>
      <c r="G86" s="137">
        <v>0</v>
      </c>
      <c r="H86" s="15">
        <f t="shared" si="8"/>
        <v>0</v>
      </c>
    </row>
    <row r="87" spans="1:8" ht="14.95" thickBot="1" x14ac:dyDescent="0.3">
      <c r="A87" s="50" t="s">
        <v>3</v>
      </c>
      <c r="B87" s="76">
        <f>SUM(B47:B86)</f>
        <v>11</v>
      </c>
      <c r="C87" s="135">
        <f>SUM(C47:C86)</f>
        <v>11</v>
      </c>
      <c r="D87" s="32">
        <f>SUM(D47:D86)</f>
        <v>22</v>
      </c>
      <c r="E87" s="13" t="s">
        <v>3</v>
      </c>
      <c r="F87" s="77">
        <f>SUM(F47:F86)</f>
        <v>68</v>
      </c>
      <c r="G87" s="137">
        <f>SUM(G47:G86)</f>
        <v>67</v>
      </c>
      <c r="H87" s="15">
        <f>SUM(H47:H86)</f>
        <v>135</v>
      </c>
    </row>
    <row r="88" spans="1:8" x14ac:dyDescent="0.25">
      <c r="A88" s="317" t="s">
        <v>11</v>
      </c>
      <c r="B88" s="318"/>
      <c r="C88" s="318"/>
      <c r="D88" s="318"/>
      <c r="E88" s="318"/>
      <c r="F88" s="318"/>
      <c r="G88" s="318"/>
      <c r="H88" s="318"/>
    </row>
  </sheetData>
  <sortState xmlns:xlrd2="http://schemas.microsoft.com/office/spreadsheetml/2017/richdata2" ref="E47:H86">
    <sortCondition descending="1" ref="H47:H86"/>
  </sortState>
  <mergeCells count="8">
    <mergeCell ref="P1:P2"/>
    <mergeCell ref="M1:O2"/>
    <mergeCell ref="A88:H88"/>
    <mergeCell ref="J9:L10"/>
    <mergeCell ref="A1:H1"/>
    <mergeCell ref="I9:I10"/>
    <mergeCell ref="I1:I2"/>
    <mergeCell ref="J1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6"/>
  <sheetViews>
    <sheetView zoomScaleNormal="100" workbookViewId="0">
      <selection activeCell="R6" sqref="R6"/>
    </sheetView>
  </sheetViews>
  <sheetFormatPr defaultRowHeight="14.3" x14ac:dyDescent="0.25"/>
  <cols>
    <col min="1" max="1" width="16.5" customWidth="1"/>
    <col min="2" max="4" width="4.5" customWidth="1"/>
    <col min="5" max="5" width="4.75" customWidth="1"/>
    <col min="6" max="6" width="16.5" customWidth="1"/>
    <col min="7" max="10" width="5.25" customWidth="1"/>
    <col min="11" max="11" width="15.25" customWidth="1"/>
    <col min="12" max="29" width="5.5" customWidth="1"/>
  </cols>
  <sheetData>
    <row r="1" spans="1:23" ht="14.95" customHeight="1" thickBot="1" x14ac:dyDescent="0.3">
      <c r="A1" s="360" t="s">
        <v>38</v>
      </c>
      <c r="B1" s="361"/>
      <c r="C1" s="361"/>
      <c r="D1" s="361"/>
      <c r="E1" s="361"/>
      <c r="F1" s="361"/>
      <c r="G1" s="361"/>
      <c r="H1" s="361"/>
      <c r="I1" s="361"/>
      <c r="J1" s="362"/>
      <c r="K1" s="363" t="s">
        <v>16</v>
      </c>
      <c r="L1" s="309">
        <v>2022</v>
      </c>
      <c r="M1" s="310"/>
      <c r="N1" s="311"/>
      <c r="O1" s="309" t="s">
        <v>13</v>
      </c>
      <c r="P1" s="310"/>
      <c r="Q1" s="311"/>
      <c r="R1" s="315" t="s">
        <v>17</v>
      </c>
      <c r="S1" s="112"/>
      <c r="T1" s="47"/>
      <c r="U1" s="47"/>
      <c r="V1" s="63"/>
      <c r="W1" s="63"/>
    </row>
    <row r="2" spans="1:23" ht="14.95" customHeight="1" thickBot="1" x14ac:dyDescent="0.3">
      <c r="A2" s="98" t="s">
        <v>0</v>
      </c>
      <c r="B2" s="127" t="s">
        <v>15</v>
      </c>
      <c r="C2" s="130" t="s">
        <v>12</v>
      </c>
      <c r="D2" s="277" t="s">
        <v>396</v>
      </c>
      <c r="E2" s="128" t="s">
        <v>1</v>
      </c>
      <c r="F2" s="79" t="s">
        <v>2</v>
      </c>
      <c r="G2" s="120" t="s">
        <v>15</v>
      </c>
      <c r="H2" s="132" t="s">
        <v>12</v>
      </c>
      <c r="I2" s="270" t="s">
        <v>396</v>
      </c>
      <c r="J2" s="82" t="s">
        <v>1</v>
      </c>
      <c r="K2" s="364"/>
      <c r="L2" s="312"/>
      <c r="M2" s="313"/>
      <c r="N2" s="314"/>
      <c r="O2" s="312"/>
      <c r="P2" s="313"/>
      <c r="Q2" s="314"/>
      <c r="R2" s="316"/>
      <c r="S2" s="112"/>
      <c r="T2" s="47"/>
      <c r="U2" s="47"/>
      <c r="V2" s="63"/>
      <c r="W2" s="63"/>
    </row>
    <row r="3" spans="1:23" ht="14.95" customHeight="1" thickBot="1" x14ac:dyDescent="0.3">
      <c r="A3" s="34" t="s">
        <v>158</v>
      </c>
      <c r="B3" s="129">
        <v>0</v>
      </c>
      <c r="C3" s="131">
        <v>0</v>
      </c>
      <c r="D3" s="278">
        <v>0</v>
      </c>
      <c r="E3" s="35">
        <f>SUM(B3:D3)</f>
        <v>0</v>
      </c>
      <c r="F3" s="14" t="s">
        <v>158</v>
      </c>
      <c r="G3" s="121">
        <v>0</v>
      </c>
      <c r="H3" s="133">
        <v>0</v>
      </c>
      <c r="I3" s="271">
        <v>0</v>
      </c>
      <c r="J3" s="15">
        <f>SUM(G3:I3)</f>
        <v>0</v>
      </c>
      <c r="K3" s="4"/>
      <c r="L3" s="1" t="s">
        <v>18</v>
      </c>
      <c r="M3" s="1" t="s">
        <v>5</v>
      </c>
      <c r="N3" s="1" t="s">
        <v>6</v>
      </c>
      <c r="O3" s="85" t="s">
        <v>18</v>
      </c>
      <c r="P3" s="1" t="s">
        <v>5</v>
      </c>
      <c r="Q3" s="1" t="s">
        <v>6</v>
      </c>
      <c r="R3" s="1"/>
      <c r="S3" s="83"/>
      <c r="T3" s="63"/>
      <c r="U3" s="63"/>
      <c r="V3" s="63"/>
      <c r="W3" s="63"/>
    </row>
    <row r="4" spans="1:23" ht="14.95" customHeight="1" thickBot="1" x14ac:dyDescent="0.3">
      <c r="A4" s="34" t="s">
        <v>159</v>
      </c>
      <c r="B4" s="129">
        <v>1</v>
      </c>
      <c r="C4" s="131">
        <v>0</v>
      </c>
      <c r="D4" s="278">
        <v>0</v>
      </c>
      <c r="E4" s="35">
        <f t="shared" ref="E4:E37" si="0">SUM(B4:D4)</f>
        <v>1</v>
      </c>
      <c r="F4" s="14" t="s">
        <v>159</v>
      </c>
      <c r="G4" s="121">
        <v>5</v>
      </c>
      <c r="H4" s="133">
        <v>0</v>
      </c>
      <c r="I4" s="271">
        <v>0</v>
      </c>
      <c r="J4" s="15">
        <f t="shared" ref="J4:J37" si="1">SUM(G4:I4)</f>
        <v>5</v>
      </c>
      <c r="K4" s="34" t="s">
        <v>180</v>
      </c>
      <c r="L4" s="35">
        <v>3</v>
      </c>
      <c r="M4" s="35">
        <v>5</v>
      </c>
      <c r="N4" s="36">
        <f t="shared" ref="N4" si="2">SUM(L4/M4)*100</f>
        <v>60</v>
      </c>
      <c r="O4" s="35">
        <v>2</v>
      </c>
      <c r="P4" s="35">
        <v>3</v>
      </c>
      <c r="Q4" s="36">
        <f t="shared" ref="Q4" si="3">SUM(O4/P4)*100</f>
        <v>66.666666666666657</v>
      </c>
      <c r="R4" s="35">
        <v>-1</v>
      </c>
      <c r="S4" s="83"/>
      <c r="T4" s="63"/>
      <c r="U4" s="63"/>
      <c r="V4" s="63"/>
      <c r="W4" s="63"/>
    </row>
    <row r="5" spans="1:23" ht="14.95" customHeight="1" thickBot="1" x14ac:dyDescent="0.3">
      <c r="A5" s="34" t="s">
        <v>160</v>
      </c>
      <c r="B5" s="129">
        <v>2</v>
      </c>
      <c r="C5" s="131">
        <v>1</v>
      </c>
      <c r="D5" s="278">
        <v>1</v>
      </c>
      <c r="E5" s="35">
        <f t="shared" si="0"/>
        <v>4</v>
      </c>
      <c r="F5" s="14" t="s">
        <v>160</v>
      </c>
      <c r="G5" s="121">
        <v>10</v>
      </c>
      <c r="H5" s="133">
        <v>5</v>
      </c>
      <c r="I5" s="271">
        <v>5</v>
      </c>
      <c r="J5" s="15">
        <f t="shared" si="1"/>
        <v>20</v>
      </c>
      <c r="K5" s="34" t="s">
        <v>183</v>
      </c>
      <c r="L5" s="35">
        <v>17</v>
      </c>
      <c r="M5" s="35">
        <v>24</v>
      </c>
      <c r="N5" s="36">
        <f t="shared" ref="N5" si="4">SUM(L5/M5)*100</f>
        <v>70.833333333333343</v>
      </c>
      <c r="O5" s="35">
        <v>1</v>
      </c>
      <c r="P5" s="35">
        <v>1</v>
      </c>
      <c r="Q5" s="36">
        <v>100</v>
      </c>
      <c r="R5" s="35">
        <v>5</v>
      </c>
      <c r="S5" s="83"/>
      <c r="T5" s="63"/>
      <c r="U5" s="63"/>
      <c r="V5" s="63"/>
      <c r="W5" s="63"/>
    </row>
    <row r="6" spans="1:23" ht="14.95" customHeight="1" thickBot="1" x14ac:dyDescent="0.3">
      <c r="A6" s="34" t="s">
        <v>161</v>
      </c>
      <c r="B6" s="129">
        <v>0</v>
      </c>
      <c r="C6" s="131">
        <v>0</v>
      </c>
      <c r="D6" s="278">
        <v>0</v>
      </c>
      <c r="E6" s="35">
        <f t="shared" si="0"/>
        <v>0</v>
      </c>
      <c r="F6" s="14" t="s">
        <v>161</v>
      </c>
      <c r="G6" s="121">
        <v>0</v>
      </c>
      <c r="H6" s="133">
        <v>0</v>
      </c>
      <c r="I6" s="271">
        <v>0</v>
      </c>
      <c r="J6" s="15">
        <f t="shared" si="1"/>
        <v>0</v>
      </c>
      <c r="R6" s="7"/>
      <c r="S6" s="63"/>
      <c r="T6" s="63"/>
      <c r="U6" s="63"/>
      <c r="V6" s="63"/>
      <c r="W6" s="63"/>
    </row>
    <row r="7" spans="1:23" ht="14.95" customHeight="1" thickBot="1" x14ac:dyDescent="0.3">
      <c r="A7" s="34" t="s">
        <v>306</v>
      </c>
      <c r="B7" s="129">
        <v>0</v>
      </c>
      <c r="C7" s="131">
        <v>0</v>
      </c>
      <c r="D7" s="278">
        <v>0</v>
      </c>
      <c r="E7" s="35">
        <f t="shared" si="0"/>
        <v>0</v>
      </c>
      <c r="F7" s="14" t="s">
        <v>306</v>
      </c>
      <c r="G7" s="121">
        <v>0</v>
      </c>
      <c r="H7" s="133">
        <v>0</v>
      </c>
      <c r="I7" s="271">
        <v>0</v>
      </c>
      <c r="J7" s="15">
        <f t="shared" si="1"/>
        <v>0</v>
      </c>
      <c r="K7" s="344" t="s">
        <v>14</v>
      </c>
      <c r="L7" s="309">
        <v>2022</v>
      </c>
      <c r="M7" s="310"/>
      <c r="N7" s="311"/>
      <c r="O7" s="110"/>
      <c r="P7" s="114"/>
      <c r="Q7" s="114"/>
      <c r="R7" s="63"/>
      <c r="S7" s="63"/>
      <c r="T7" s="63"/>
      <c r="U7" s="63"/>
      <c r="V7" s="63"/>
      <c r="W7" s="63"/>
    </row>
    <row r="8" spans="1:23" ht="14.95" customHeight="1" thickBot="1" x14ac:dyDescent="0.3">
      <c r="A8" s="34" t="s">
        <v>162</v>
      </c>
      <c r="B8" s="129">
        <v>0</v>
      </c>
      <c r="C8" s="131">
        <v>0</v>
      </c>
      <c r="D8" s="278">
        <v>0</v>
      </c>
      <c r="E8" s="35">
        <f t="shared" si="0"/>
        <v>0</v>
      </c>
      <c r="F8" s="14" t="s">
        <v>162</v>
      </c>
      <c r="G8" s="121">
        <v>0</v>
      </c>
      <c r="H8" s="133">
        <v>0</v>
      </c>
      <c r="I8" s="271">
        <v>0</v>
      </c>
      <c r="J8" s="15">
        <f t="shared" si="1"/>
        <v>0</v>
      </c>
      <c r="K8" s="345"/>
      <c r="L8" s="312"/>
      <c r="M8" s="313"/>
      <c r="N8" s="314"/>
      <c r="O8" s="141"/>
      <c r="P8" s="114"/>
      <c r="Q8" s="114"/>
      <c r="R8" s="63"/>
      <c r="S8" s="63"/>
      <c r="T8" s="63"/>
      <c r="U8" s="63"/>
      <c r="V8" s="63"/>
      <c r="W8" s="63"/>
    </row>
    <row r="9" spans="1:23" ht="14.95" customHeight="1" thickBot="1" x14ac:dyDescent="0.3">
      <c r="A9" s="34" t="s">
        <v>163</v>
      </c>
      <c r="B9" s="129">
        <v>0</v>
      </c>
      <c r="C9" s="131">
        <v>0</v>
      </c>
      <c r="D9" s="278">
        <v>0</v>
      </c>
      <c r="E9" s="35">
        <f t="shared" si="0"/>
        <v>0</v>
      </c>
      <c r="F9" s="14" t="s">
        <v>163</v>
      </c>
      <c r="G9" s="121">
        <v>0</v>
      </c>
      <c r="H9" s="133">
        <v>0</v>
      </c>
      <c r="I9" s="271">
        <v>0</v>
      </c>
      <c r="J9" s="15">
        <f t="shared" si="1"/>
        <v>0</v>
      </c>
      <c r="K9" s="4"/>
      <c r="L9" s="1" t="s">
        <v>18</v>
      </c>
      <c r="M9" s="1" t="s">
        <v>5</v>
      </c>
      <c r="N9" s="1" t="s">
        <v>6</v>
      </c>
      <c r="O9" s="83"/>
      <c r="P9" s="63"/>
      <c r="Q9" s="63"/>
      <c r="R9" s="63"/>
      <c r="S9" s="65"/>
      <c r="T9" s="65"/>
    </row>
    <row r="10" spans="1:23" ht="14.95" customHeight="1" thickBot="1" x14ac:dyDescent="0.3">
      <c r="A10" s="34" t="s">
        <v>164</v>
      </c>
      <c r="B10" s="129">
        <v>0</v>
      </c>
      <c r="C10" s="131">
        <v>0</v>
      </c>
      <c r="D10" s="278">
        <v>0</v>
      </c>
      <c r="E10" s="35">
        <f t="shared" si="0"/>
        <v>0</v>
      </c>
      <c r="F10" s="14" t="s">
        <v>164</v>
      </c>
      <c r="G10" s="121">
        <v>0</v>
      </c>
      <c r="H10" s="133">
        <v>0</v>
      </c>
      <c r="I10" s="271">
        <v>0</v>
      </c>
      <c r="J10" s="15">
        <f t="shared" si="1"/>
        <v>0</v>
      </c>
      <c r="K10" s="34" t="s">
        <v>180</v>
      </c>
      <c r="L10" s="35">
        <v>1</v>
      </c>
      <c r="M10" s="35">
        <v>2</v>
      </c>
      <c r="N10" s="36">
        <f t="shared" ref="N10" si="5">SUM(L10/M10)*100</f>
        <v>50</v>
      </c>
      <c r="O10" s="83"/>
      <c r="P10" s="63"/>
      <c r="Q10" s="63"/>
      <c r="R10" s="63"/>
      <c r="S10" s="63"/>
      <c r="T10" s="63"/>
    </row>
    <row r="11" spans="1:23" ht="14.95" customHeight="1" thickBot="1" x14ac:dyDescent="0.3">
      <c r="A11" s="34" t="s">
        <v>165</v>
      </c>
      <c r="B11" s="129">
        <v>0</v>
      </c>
      <c r="C11" s="131">
        <v>0</v>
      </c>
      <c r="D11" s="278">
        <v>0</v>
      </c>
      <c r="E11" s="35">
        <f t="shared" si="0"/>
        <v>0</v>
      </c>
      <c r="F11" s="14" t="s">
        <v>165</v>
      </c>
      <c r="G11" s="121">
        <v>0</v>
      </c>
      <c r="H11" s="133">
        <v>0</v>
      </c>
      <c r="I11" s="271">
        <v>0</v>
      </c>
      <c r="J11" s="15">
        <f t="shared" si="1"/>
        <v>0</v>
      </c>
      <c r="K11" s="34" t="s">
        <v>183</v>
      </c>
      <c r="L11" s="35">
        <v>8</v>
      </c>
      <c r="M11" s="35">
        <v>8</v>
      </c>
      <c r="N11" s="36">
        <f t="shared" ref="N11" si="6">SUM(L11/M11)*100</f>
        <v>100</v>
      </c>
      <c r="O11" s="83"/>
      <c r="P11" s="63"/>
      <c r="Q11" s="63"/>
      <c r="R11" s="63"/>
      <c r="S11" s="63"/>
      <c r="T11" s="63"/>
    </row>
    <row r="12" spans="1:23" ht="14.95" thickBot="1" x14ac:dyDescent="0.3">
      <c r="A12" s="34" t="s">
        <v>166</v>
      </c>
      <c r="B12" s="129">
        <v>0</v>
      </c>
      <c r="C12" s="131">
        <v>0</v>
      </c>
      <c r="D12" s="278">
        <v>0</v>
      </c>
      <c r="E12" s="35">
        <f t="shared" si="0"/>
        <v>0</v>
      </c>
      <c r="F12" s="14" t="s">
        <v>166</v>
      </c>
      <c r="G12" s="121">
        <v>0</v>
      </c>
      <c r="H12" s="133">
        <v>0</v>
      </c>
      <c r="I12" s="271">
        <v>0</v>
      </c>
      <c r="J12" s="15">
        <f t="shared" si="1"/>
        <v>0</v>
      </c>
      <c r="N12" s="7"/>
      <c r="O12" s="63"/>
      <c r="P12" s="63"/>
      <c r="Q12" s="63"/>
      <c r="R12" s="63"/>
      <c r="S12" s="63"/>
      <c r="T12" s="63"/>
    </row>
    <row r="13" spans="1:23" ht="14.95" customHeight="1" thickBot="1" x14ac:dyDescent="0.3">
      <c r="A13" s="34" t="s">
        <v>167</v>
      </c>
      <c r="B13" s="129">
        <v>0</v>
      </c>
      <c r="C13" s="131">
        <v>0</v>
      </c>
      <c r="D13" s="278">
        <v>0</v>
      </c>
      <c r="E13" s="35">
        <f t="shared" si="0"/>
        <v>0</v>
      </c>
      <c r="F13" s="14" t="s">
        <v>167</v>
      </c>
      <c r="G13" s="121">
        <v>0</v>
      </c>
      <c r="H13" s="133">
        <v>0</v>
      </c>
      <c r="I13" s="271">
        <v>0</v>
      </c>
      <c r="J13" s="15">
        <f t="shared" si="1"/>
        <v>0</v>
      </c>
      <c r="K13" s="326" t="s">
        <v>521</v>
      </c>
      <c r="L13" s="309">
        <v>2022</v>
      </c>
      <c r="M13" s="310"/>
      <c r="N13" s="311"/>
      <c r="O13" s="63"/>
      <c r="P13" s="63"/>
      <c r="Q13" s="63"/>
      <c r="R13" s="63"/>
      <c r="S13" s="63"/>
      <c r="T13" s="63"/>
    </row>
    <row r="14" spans="1:23" ht="14.95" thickBot="1" x14ac:dyDescent="0.3">
      <c r="A14" s="34" t="s">
        <v>168</v>
      </c>
      <c r="B14" s="129">
        <v>0</v>
      </c>
      <c r="C14" s="131">
        <v>0</v>
      </c>
      <c r="D14" s="278">
        <v>0</v>
      </c>
      <c r="E14" s="35">
        <f t="shared" si="0"/>
        <v>0</v>
      </c>
      <c r="F14" s="14" t="s">
        <v>168</v>
      </c>
      <c r="G14" s="121">
        <v>0</v>
      </c>
      <c r="H14" s="133">
        <v>0</v>
      </c>
      <c r="I14" s="271">
        <v>0</v>
      </c>
      <c r="J14" s="15">
        <f t="shared" si="1"/>
        <v>0</v>
      </c>
      <c r="K14" s="327"/>
      <c r="L14" s="312"/>
      <c r="M14" s="313"/>
      <c r="N14" s="314"/>
      <c r="O14" s="63"/>
      <c r="P14" s="63"/>
      <c r="Q14" s="63"/>
      <c r="R14" s="63"/>
      <c r="S14" s="63"/>
      <c r="T14" s="63"/>
    </row>
    <row r="15" spans="1:23" ht="14.95" customHeight="1" thickBot="1" x14ac:dyDescent="0.3">
      <c r="A15" s="34" t="s">
        <v>169</v>
      </c>
      <c r="B15" s="129">
        <v>0</v>
      </c>
      <c r="C15" s="131">
        <v>0</v>
      </c>
      <c r="D15" s="278">
        <v>0</v>
      </c>
      <c r="E15" s="35">
        <f t="shared" si="0"/>
        <v>0</v>
      </c>
      <c r="F15" s="14" t="s">
        <v>169</v>
      </c>
      <c r="G15" s="121">
        <v>0</v>
      </c>
      <c r="H15" s="133">
        <v>0</v>
      </c>
      <c r="I15" s="271">
        <v>0</v>
      </c>
      <c r="J15" s="15">
        <f t="shared" si="1"/>
        <v>0</v>
      </c>
      <c r="K15" s="267"/>
      <c r="L15" s="31" t="s">
        <v>18</v>
      </c>
      <c r="M15" s="31" t="s">
        <v>5</v>
      </c>
      <c r="N15" s="31" t="s">
        <v>6</v>
      </c>
      <c r="S15" s="63"/>
      <c r="T15" s="63"/>
    </row>
    <row r="16" spans="1:23" ht="14.95" customHeight="1" thickBot="1" x14ac:dyDescent="0.3">
      <c r="A16" s="34" t="s">
        <v>170</v>
      </c>
      <c r="B16" s="129">
        <v>0</v>
      </c>
      <c r="C16" s="131">
        <v>1</v>
      </c>
      <c r="D16" s="278">
        <v>1</v>
      </c>
      <c r="E16" s="35">
        <f t="shared" si="0"/>
        <v>2</v>
      </c>
      <c r="F16" s="14" t="s">
        <v>170</v>
      </c>
      <c r="G16" s="121">
        <v>0</v>
      </c>
      <c r="H16" s="133">
        <v>5</v>
      </c>
      <c r="I16" s="271">
        <v>5</v>
      </c>
      <c r="J16" s="15">
        <f t="shared" si="1"/>
        <v>10</v>
      </c>
      <c r="K16" s="34" t="s">
        <v>180</v>
      </c>
      <c r="L16" s="35" t="s">
        <v>8</v>
      </c>
      <c r="M16" s="35" t="s">
        <v>8</v>
      </c>
      <c r="N16" s="36" t="s">
        <v>8</v>
      </c>
      <c r="S16" s="63"/>
      <c r="T16" s="63"/>
    </row>
    <row r="17" spans="1:20" ht="14.95" thickBot="1" x14ac:dyDescent="0.3">
      <c r="A17" s="34" t="s">
        <v>171</v>
      </c>
      <c r="B17" s="129">
        <v>0</v>
      </c>
      <c r="C17" s="131">
        <v>0</v>
      </c>
      <c r="D17" s="278">
        <v>0</v>
      </c>
      <c r="E17" s="35">
        <f t="shared" si="0"/>
        <v>0</v>
      </c>
      <c r="F17" s="14" t="s">
        <v>171</v>
      </c>
      <c r="G17" s="121">
        <v>0</v>
      </c>
      <c r="H17" s="133">
        <v>0</v>
      </c>
      <c r="I17" s="271">
        <v>0</v>
      </c>
      <c r="J17" s="15">
        <f t="shared" si="1"/>
        <v>0</v>
      </c>
      <c r="K17" s="34" t="s">
        <v>183</v>
      </c>
      <c r="L17" s="35">
        <v>7</v>
      </c>
      <c r="M17" s="35">
        <v>12</v>
      </c>
      <c r="N17" s="36">
        <v>58</v>
      </c>
      <c r="S17" s="63"/>
      <c r="T17" s="63"/>
    </row>
    <row r="18" spans="1:20" ht="14.95" thickBot="1" x14ac:dyDescent="0.3">
      <c r="A18" s="34" t="s">
        <v>172</v>
      </c>
      <c r="B18" s="129">
        <v>0</v>
      </c>
      <c r="C18" s="131">
        <v>0</v>
      </c>
      <c r="D18" s="278">
        <v>0</v>
      </c>
      <c r="E18" s="35">
        <f t="shared" si="0"/>
        <v>0</v>
      </c>
      <c r="F18" s="14" t="s">
        <v>172</v>
      </c>
      <c r="G18" s="121">
        <v>0</v>
      </c>
      <c r="H18" s="133">
        <v>0</v>
      </c>
      <c r="I18" s="271">
        <v>0</v>
      </c>
      <c r="J18" s="15">
        <f t="shared" si="1"/>
        <v>0</v>
      </c>
    </row>
    <row r="19" spans="1:20" ht="14.95" thickBot="1" x14ac:dyDescent="0.3">
      <c r="A19" s="34" t="s">
        <v>173</v>
      </c>
      <c r="B19" s="129">
        <v>0</v>
      </c>
      <c r="C19" s="131">
        <v>0</v>
      </c>
      <c r="D19" s="278">
        <v>0</v>
      </c>
      <c r="E19" s="35">
        <f t="shared" si="0"/>
        <v>0</v>
      </c>
      <c r="F19" s="14" t="s">
        <v>173</v>
      </c>
      <c r="G19" s="121">
        <v>0</v>
      </c>
      <c r="H19" s="133">
        <v>0</v>
      </c>
      <c r="I19" s="271">
        <v>0</v>
      </c>
      <c r="J19" s="15">
        <f t="shared" si="1"/>
        <v>0</v>
      </c>
      <c r="O19" s="29"/>
      <c r="P19" s="29"/>
      <c r="Q19" s="30"/>
      <c r="R19" s="6"/>
    </row>
    <row r="20" spans="1:20" ht="14.95" thickBot="1" x14ac:dyDescent="0.3">
      <c r="A20" s="34" t="s">
        <v>174</v>
      </c>
      <c r="B20" s="129">
        <v>0</v>
      </c>
      <c r="C20" s="131">
        <v>1</v>
      </c>
      <c r="D20" s="278">
        <v>2</v>
      </c>
      <c r="E20" s="35">
        <f t="shared" si="0"/>
        <v>3</v>
      </c>
      <c r="F20" s="14" t="s">
        <v>174</v>
      </c>
      <c r="G20" s="121">
        <v>0</v>
      </c>
      <c r="H20" s="133">
        <v>5</v>
      </c>
      <c r="I20" s="271">
        <v>10</v>
      </c>
      <c r="J20" s="15">
        <f t="shared" si="1"/>
        <v>15</v>
      </c>
      <c r="O20" s="29"/>
      <c r="P20" s="29"/>
      <c r="Q20" s="30"/>
      <c r="R20" s="6"/>
    </row>
    <row r="21" spans="1:20" ht="14.95" thickBot="1" x14ac:dyDescent="0.3">
      <c r="A21" s="34" t="s">
        <v>175</v>
      </c>
      <c r="B21" s="129">
        <v>0</v>
      </c>
      <c r="C21" s="131">
        <v>0</v>
      </c>
      <c r="D21" s="278">
        <v>0</v>
      </c>
      <c r="E21" s="35">
        <f t="shared" si="0"/>
        <v>0</v>
      </c>
      <c r="F21" s="14" t="s">
        <v>175</v>
      </c>
      <c r="G21" s="121">
        <v>0</v>
      </c>
      <c r="H21" s="133">
        <v>0</v>
      </c>
      <c r="I21" s="271">
        <v>0</v>
      </c>
      <c r="J21" s="15">
        <f t="shared" si="1"/>
        <v>0</v>
      </c>
      <c r="O21" s="29"/>
      <c r="P21" s="29"/>
      <c r="Q21" s="30"/>
      <c r="R21" s="6"/>
    </row>
    <row r="22" spans="1:20" ht="14.95" thickBot="1" x14ac:dyDescent="0.3">
      <c r="A22" s="34" t="s">
        <v>176</v>
      </c>
      <c r="B22" s="129">
        <v>0</v>
      </c>
      <c r="C22" s="131">
        <v>0</v>
      </c>
      <c r="D22" s="278">
        <v>0</v>
      </c>
      <c r="E22" s="35">
        <f t="shared" si="0"/>
        <v>0</v>
      </c>
      <c r="F22" s="14" t="s">
        <v>176</v>
      </c>
      <c r="G22" s="121">
        <v>0</v>
      </c>
      <c r="H22" s="133">
        <v>0</v>
      </c>
      <c r="I22" s="271">
        <v>0</v>
      </c>
      <c r="J22" s="15">
        <f t="shared" si="1"/>
        <v>0</v>
      </c>
      <c r="O22" s="29"/>
      <c r="P22" s="29"/>
      <c r="Q22" s="30"/>
      <c r="R22" s="6"/>
    </row>
    <row r="23" spans="1:20" ht="14.95" customHeight="1" thickBot="1" x14ac:dyDescent="0.3">
      <c r="A23" s="34" t="s">
        <v>177</v>
      </c>
      <c r="B23" s="129">
        <v>0</v>
      </c>
      <c r="C23" s="131">
        <v>0</v>
      </c>
      <c r="D23" s="278">
        <v>0</v>
      </c>
      <c r="E23" s="35">
        <f t="shared" si="0"/>
        <v>0</v>
      </c>
      <c r="F23" s="14" t="s">
        <v>177</v>
      </c>
      <c r="G23" s="121">
        <v>0</v>
      </c>
      <c r="H23" s="133">
        <v>0</v>
      </c>
      <c r="I23" s="271">
        <v>0</v>
      </c>
      <c r="J23" s="15">
        <f t="shared" si="1"/>
        <v>0</v>
      </c>
      <c r="O23" s="29"/>
      <c r="P23" s="29"/>
      <c r="Q23" s="30"/>
      <c r="R23" s="6"/>
    </row>
    <row r="24" spans="1:20" ht="14.95" thickBot="1" x14ac:dyDescent="0.3">
      <c r="A24" s="34" t="s">
        <v>178</v>
      </c>
      <c r="B24" s="129">
        <v>0</v>
      </c>
      <c r="C24" s="131">
        <v>0</v>
      </c>
      <c r="D24" s="278">
        <v>2</v>
      </c>
      <c r="E24" s="35">
        <f t="shared" si="0"/>
        <v>2</v>
      </c>
      <c r="F24" s="14" t="s">
        <v>178</v>
      </c>
      <c r="G24" s="121">
        <v>0</v>
      </c>
      <c r="H24" s="133">
        <v>0</v>
      </c>
      <c r="I24" s="271">
        <v>10</v>
      </c>
      <c r="J24" s="15">
        <f t="shared" si="1"/>
        <v>10</v>
      </c>
      <c r="O24" s="29"/>
      <c r="P24" s="29"/>
      <c r="Q24" s="30"/>
      <c r="R24" s="6"/>
    </row>
    <row r="25" spans="1:20" ht="14.95" thickBot="1" x14ac:dyDescent="0.3">
      <c r="A25" s="34" t="s">
        <v>179</v>
      </c>
      <c r="B25" s="129">
        <v>0</v>
      </c>
      <c r="C25" s="131">
        <v>2</v>
      </c>
      <c r="D25" s="278">
        <v>2</v>
      </c>
      <c r="E25" s="35">
        <f t="shared" si="0"/>
        <v>4</v>
      </c>
      <c r="F25" s="14" t="s">
        <v>179</v>
      </c>
      <c r="G25" s="121">
        <v>0</v>
      </c>
      <c r="H25" s="133">
        <v>10</v>
      </c>
      <c r="I25" s="271">
        <v>10</v>
      </c>
      <c r="J25" s="15">
        <f t="shared" si="1"/>
        <v>20</v>
      </c>
      <c r="O25" s="29"/>
      <c r="P25" s="29"/>
      <c r="Q25" s="30"/>
      <c r="R25" s="6"/>
    </row>
    <row r="26" spans="1:20" ht="14.95" thickBot="1" x14ac:dyDescent="0.3">
      <c r="A26" s="34" t="s">
        <v>180</v>
      </c>
      <c r="B26" s="129">
        <v>0</v>
      </c>
      <c r="C26" s="131">
        <v>0</v>
      </c>
      <c r="D26" s="278">
        <v>0</v>
      </c>
      <c r="E26" s="35">
        <f t="shared" si="0"/>
        <v>0</v>
      </c>
      <c r="F26" s="14" t="s">
        <v>180</v>
      </c>
      <c r="G26" s="121">
        <v>3</v>
      </c>
      <c r="H26" s="133">
        <v>4</v>
      </c>
      <c r="I26" s="271">
        <v>0</v>
      </c>
      <c r="J26" s="15">
        <f t="shared" si="1"/>
        <v>7</v>
      </c>
      <c r="O26" s="29"/>
      <c r="P26" s="29"/>
      <c r="Q26" s="30"/>
      <c r="R26" s="6"/>
    </row>
    <row r="27" spans="1:20" ht="14.95" thickBot="1" x14ac:dyDescent="0.3">
      <c r="A27" s="34" t="s">
        <v>181</v>
      </c>
      <c r="B27" s="129">
        <v>0</v>
      </c>
      <c r="C27" s="131">
        <v>0</v>
      </c>
      <c r="D27" s="278">
        <v>0</v>
      </c>
      <c r="E27" s="35">
        <f t="shared" si="0"/>
        <v>0</v>
      </c>
      <c r="F27" s="14" t="s">
        <v>181</v>
      </c>
      <c r="G27" s="121">
        <v>0</v>
      </c>
      <c r="H27" s="133">
        <v>0</v>
      </c>
      <c r="I27" s="271">
        <v>0</v>
      </c>
      <c r="J27" s="15">
        <f t="shared" si="1"/>
        <v>0</v>
      </c>
      <c r="O27" s="29"/>
      <c r="P27" s="29"/>
      <c r="Q27" s="30"/>
      <c r="R27" s="6"/>
    </row>
    <row r="28" spans="1:20" ht="14.95" thickBot="1" x14ac:dyDescent="0.3">
      <c r="A28" s="34" t="s">
        <v>182</v>
      </c>
      <c r="B28" s="129">
        <v>0</v>
      </c>
      <c r="C28" s="131">
        <v>0</v>
      </c>
      <c r="D28" s="278">
        <v>0</v>
      </c>
      <c r="E28" s="35">
        <f t="shared" si="0"/>
        <v>0</v>
      </c>
      <c r="F28" s="14" t="s">
        <v>182</v>
      </c>
      <c r="G28" s="121">
        <v>0</v>
      </c>
      <c r="H28" s="133">
        <v>0</v>
      </c>
      <c r="I28" s="271">
        <v>0</v>
      </c>
      <c r="J28" s="15">
        <f t="shared" si="1"/>
        <v>0</v>
      </c>
      <c r="O28" s="29"/>
      <c r="P28" s="29"/>
      <c r="Q28" s="30"/>
      <c r="R28" s="6"/>
    </row>
    <row r="29" spans="1:20" ht="14.95" thickBot="1" x14ac:dyDescent="0.3">
      <c r="A29" s="34" t="s">
        <v>183</v>
      </c>
      <c r="B29" s="129">
        <v>0</v>
      </c>
      <c r="C29" s="131">
        <v>1</v>
      </c>
      <c r="D29" s="278">
        <v>0</v>
      </c>
      <c r="E29" s="35">
        <f t="shared" si="0"/>
        <v>1</v>
      </c>
      <c r="F29" s="14" t="s">
        <v>183</v>
      </c>
      <c r="G29" s="121">
        <v>21</v>
      </c>
      <c r="H29" s="133">
        <v>9</v>
      </c>
      <c r="I29" s="271">
        <v>18</v>
      </c>
      <c r="J29" s="15">
        <f t="shared" si="1"/>
        <v>48</v>
      </c>
      <c r="O29" s="29"/>
      <c r="P29" s="29"/>
      <c r="Q29" s="30"/>
      <c r="R29" s="6"/>
    </row>
    <row r="30" spans="1:20" ht="14.95" thickBot="1" x14ac:dyDescent="0.3">
      <c r="A30" s="34" t="s">
        <v>184</v>
      </c>
      <c r="B30" s="129">
        <v>0</v>
      </c>
      <c r="C30" s="131">
        <v>0</v>
      </c>
      <c r="D30" s="278">
        <v>0</v>
      </c>
      <c r="E30" s="35">
        <f t="shared" si="0"/>
        <v>0</v>
      </c>
      <c r="F30" s="14" t="s">
        <v>184</v>
      </c>
      <c r="G30" s="121">
        <v>0</v>
      </c>
      <c r="H30" s="133">
        <v>0</v>
      </c>
      <c r="I30" s="271">
        <v>0</v>
      </c>
      <c r="J30" s="15">
        <f t="shared" si="1"/>
        <v>0</v>
      </c>
      <c r="O30" s="29"/>
      <c r="P30" s="29"/>
      <c r="Q30" s="30"/>
      <c r="R30" s="6"/>
    </row>
    <row r="31" spans="1:20" ht="14.95" thickBot="1" x14ac:dyDescent="0.3">
      <c r="A31" s="34" t="s">
        <v>185</v>
      </c>
      <c r="B31" s="129">
        <v>0</v>
      </c>
      <c r="C31" s="131">
        <v>0</v>
      </c>
      <c r="D31" s="278">
        <v>0</v>
      </c>
      <c r="E31" s="35">
        <f t="shared" si="0"/>
        <v>0</v>
      </c>
      <c r="F31" s="14" t="s">
        <v>185</v>
      </c>
      <c r="G31" s="121">
        <v>0</v>
      </c>
      <c r="H31" s="133">
        <v>0</v>
      </c>
      <c r="I31" s="271">
        <v>0</v>
      </c>
      <c r="J31" s="15">
        <f t="shared" si="1"/>
        <v>0</v>
      </c>
      <c r="O31" s="29"/>
      <c r="P31" s="29"/>
      <c r="Q31" s="30"/>
      <c r="R31" s="6"/>
    </row>
    <row r="32" spans="1:20" ht="14.95" thickBot="1" x14ac:dyDescent="0.3">
      <c r="A32" s="34" t="s">
        <v>186</v>
      </c>
      <c r="B32" s="129">
        <v>0</v>
      </c>
      <c r="C32" s="131">
        <v>1</v>
      </c>
      <c r="D32" s="278">
        <v>0</v>
      </c>
      <c r="E32" s="35">
        <f t="shared" si="0"/>
        <v>1</v>
      </c>
      <c r="F32" s="14" t="s">
        <v>186</v>
      </c>
      <c r="G32" s="121">
        <v>0</v>
      </c>
      <c r="H32" s="133">
        <v>5</v>
      </c>
      <c r="I32" s="271">
        <v>0</v>
      </c>
      <c r="J32" s="15">
        <f t="shared" si="1"/>
        <v>5</v>
      </c>
    </row>
    <row r="33" spans="1:10" ht="14.95" thickBot="1" x14ac:dyDescent="0.3">
      <c r="A33" s="34" t="s">
        <v>187</v>
      </c>
      <c r="B33" s="129">
        <v>1</v>
      </c>
      <c r="C33" s="131">
        <v>0</v>
      </c>
      <c r="D33" s="278">
        <v>0</v>
      </c>
      <c r="E33" s="35">
        <f t="shared" si="0"/>
        <v>1</v>
      </c>
      <c r="F33" s="14" t="s">
        <v>187</v>
      </c>
      <c r="G33" s="121">
        <v>5</v>
      </c>
      <c r="H33" s="133">
        <v>0</v>
      </c>
      <c r="I33" s="271">
        <v>0</v>
      </c>
      <c r="J33" s="15">
        <f t="shared" si="1"/>
        <v>5</v>
      </c>
    </row>
    <row r="34" spans="1:10" ht="14.95" thickBot="1" x14ac:dyDescent="0.3">
      <c r="A34" s="34" t="s">
        <v>188</v>
      </c>
      <c r="B34" s="129">
        <v>0</v>
      </c>
      <c r="C34" s="131">
        <v>0</v>
      </c>
      <c r="D34" s="278">
        <v>0</v>
      </c>
      <c r="E34" s="35">
        <f t="shared" si="0"/>
        <v>0</v>
      </c>
      <c r="F34" s="14" t="s">
        <v>188</v>
      </c>
      <c r="G34" s="121">
        <v>0</v>
      </c>
      <c r="H34" s="133">
        <v>0</v>
      </c>
      <c r="I34" s="271">
        <v>0</v>
      </c>
      <c r="J34" s="15">
        <f t="shared" si="1"/>
        <v>0</v>
      </c>
    </row>
    <row r="35" spans="1:10" ht="14.95" thickBot="1" x14ac:dyDescent="0.3">
      <c r="A35" s="34" t="s">
        <v>189</v>
      </c>
      <c r="B35" s="129">
        <v>0</v>
      </c>
      <c r="C35" s="131">
        <v>0</v>
      </c>
      <c r="D35" s="278">
        <v>0</v>
      </c>
      <c r="E35" s="35">
        <f t="shared" si="0"/>
        <v>0</v>
      </c>
      <c r="F35" s="14" t="s">
        <v>189</v>
      </c>
      <c r="G35" s="121">
        <v>0</v>
      </c>
      <c r="H35" s="133">
        <v>0</v>
      </c>
      <c r="I35" s="271">
        <v>0</v>
      </c>
      <c r="J35" s="15">
        <f t="shared" si="1"/>
        <v>0</v>
      </c>
    </row>
    <row r="36" spans="1:10" ht="14.95" thickBot="1" x14ac:dyDescent="0.3">
      <c r="A36" s="34" t="s">
        <v>190</v>
      </c>
      <c r="B36" s="129">
        <v>0</v>
      </c>
      <c r="C36" s="131">
        <v>0</v>
      </c>
      <c r="D36" s="278">
        <v>0</v>
      </c>
      <c r="E36" s="35">
        <f t="shared" si="0"/>
        <v>0</v>
      </c>
      <c r="F36" s="14" t="s">
        <v>190</v>
      </c>
      <c r="G36" s="121">
        <v>0</v>
      </c>
      <c r="H36" s="133">
        <v>0</v>
      </c>
      <c r="I36" s="271">
        <v>0</v>
      </c>
      <c r="J36" s="15">
        <f t="shared" si="1"/>
        <v>0</v>
      </c>
    </row>
    <row r="37" spans="1:10" ht="14.95" thickBot="1" x14ac:dyDescent="0.3">
      <c r="A37" s="98" t="s">
        <v>3</v>
      </c>
      <c r="B37" s="127">
        <f>SUM(B2:B36)</f>
        <v>4</v>
      </c>
      <c r="C37" s="130">
        <f>SUM(C2:C36)</f>
        <v>7</v>
      </c>
      <c r="D37" s="277">
        <f>SUM(D2:D36)</f>
        <v>8</v>
      </c>
      <c r="E37" s="249">
        <f t="shared" si="0"/>
        <v>19</v>
      </c>
      <c r="F37" s="79" t="s">
        <v>3</v>
      </c>
      <c r="G37" s="120">
        <f>SUM(G2:G36)</f>
        <v>44</v>
      </c>
      <c r="H37" s="132">
        <f>SUM(H2:H36)</f>
        <v>43</v>
      </c>
      <c r="I37" s="270">
        <f>SUM(I2:I36)</f>
        <v>58</v>
      </c>
      <c r="J37" s="82">
        <f t="shared" si="1"/>
        <v>145</v>
      </c>
    </row>
    <row r="38" spans="1:10" x14ac:dyDescent="0.25">
      <c r="A38" s="24"/>
      <c r="B38" s="145"/>
      <c r="C38" s="146"/>
      <c r="D38" s="146"/>
      <c r="E38" s="23"/>
      <c r="F38" s="24"/>
      <c r="G38" s="145"/>
      <c r="H38" s="147"/>
      <c r="I38" s="147"/>
      <c r="J38" s="23"/>
    </row>
    <row r="39" spans="1:10" ht="17" thickBot="1" x14ac:dyDescent="0.3">
      <c r="A39" s="148" t="s">
        <v>7</v>
      </c>
      <c r="B39" s="143"/>
      <c r="C39" s="143"/>
      <c r="D39" s="143"/>
      <c r="E39" s="143"/>
      <c r="F39" s="143"/>
      <c r="G39" s="143"/>
      <c r="H39" s="144"/>
      <c r="I39" s="144"/>
      <c r="J39" s="143"/>
    </row>
    <row r="40" spans="1:10" ht="14.95" thickBot="1" x14ac:dyDescent="0.3">
      <c r="A40" s="98" t="s">
        <v>0</v>
      </c>
      <c r="B40" s="127" t="s">
        <v>15</v>
      </c>
      <c r="C40" s="130" t="s">
        <v>12</v>
      </c>
      <c r="D40" s="277" t="s">
        <v>396</v>
      </c>
      <c r="E40" s="128" t="s">
        <v>1</v>
      </c>
      <c r="F40" s="79" t="s">
        <v>2</v>
      </c>
      <c r="G40" s="120" t="s">
        <v>15</v>
      </c>
      <c r="H40" s="132" t="s">
        <v>12</v>
      </c>
      <c r="I40" s="270" t="s">
        <v>396</v>
      </c>
      <c r="J40" s="82" t="s">
        <v>1</v>
      </c>
    </row>
    <row r="41" spans="1:10" ht="14.95" thickBot="1" x14ac:dyDescent="0.3">
      <c r="A41" s="34" t="s">
        <v>179</v>
      </c>
      <c r="B41" s="129">
        <v>0</v>
      </c>
      <c r="C41" s="131">
        <v>2</v>
      </c>
      <c r="D41" s="278">
        <v>2</v>
      </c>
      <c r="E41" s="35">
        <v>4</v>
      </c>
      <c r="F41" s="14" t="s">
        <v>183</v>
      </c>
      <c r="G41" s="121">
        <v>21</v>
      </c>
      <c r="H41" s="133">
        <v>9</v>
      </c>
      <c r="I41" s="271">
        <v>18</v>
      </c>
      <c r="J41" s="15">
        <v>48</v>
      </c>
    </row>
    <row r="42" spans="1:10" ht="14.95" thickBot="1" x14ac:dyDescent="0.3">
      <c r="A42" s="34" t="s">
        <v>160</v>
      </c>
      <c r="B42" s="129">
        <v>2</v>
      </c>
      <c r="C42" s="131">
        <v>1</v>
      </c>
      <c r="D42" s="278">
        <v>1</v>
      </c>
      <c r="E42" s="35">
        <v>4</v>
      </c>
      <c r="F42" s="14" t="s">
        <v>179</v>
      </c>
      <c r="G42" s="121">
        <v>0</v>
      </c>
      <c r="H42" s="133">
        <v>10</v>
      </c>
      <c r="I42" s="271">
        <v>10</v>
      </c>
      <c r="J42" s="15">
        <v>20</v>
      </c>
    </row>
    <row r="43" spans="1:10" ht="14.95" thickBot="1" x14ac:dyDescent="0.3">
      <c r="A43" s="34" t="s">
        <v>174</v>
      </c>
      <c r="B43" s="129">
        <v>0</v>
      </c>
      <c r="C43" s="131">
        <v>1</v>
      </c>
      <c r="D43" s="278">
        <v>2</v>
      </c>
      <c r="E43" s="35">
        <v>3</v>
      </c>
      <c r="F43" s="14" t="s">
        <v>160</v>
      </c>
      <c r="G43" s="121">
        <v>10</v>
      </c>
      <c r="H43" s="133">
        <v>5</v>
      </c>
      <c r="I43" s="271">
        <v>5</v>
      </c>
      <c r="J43" s="15">
        <v>20</v>
      </c>
    </row>
    <row r="44" spans="1:10" ht="14.95" thickBot="1" x14ac:dyDescent="0.3">
      <c r="A44" s="34" t="s">
        <v>178</v>
      </c>
      <c r="B44" s="129">
        <v>0</v>
      </c>
      <c r="C44" s="131">
        <v>0</v>
      </c>
      <c r="D44" s="278">
        <v>2</v>
      </c>
      <c r="E44" s="35">
        <v>2</v>
      </c>
      <c r="F44" s="14" t="s">
        <v>174</v>
      </c>
      <c r="G44" s="121">
        <v>0</v>
      </c>
      <c r="H44" s="133">
        <v>5</v>
      </c>
      <c r="I44" s="271">
        <v>10</v>
      </c>
      <c r="J44" s="15">
        <v>15</v>
      </c>
    </row>
    <row r="45" spans="1:10" ht="14.95" thickBot="1" x14ac:dyDescent="0.3">
      <c r="A45" s="34" t="s">
        <v>170</v>
      </c>
      <c r="B45" s="129">
        <v>0</v>
      </c>
      <c r="C45" s="131">
        <v>1</v>
      </c>
      <c r="D45" s="278">
        <v>1</v>
      </c>
      <c r="E45" s="35">
        <v>2</v>
      </c>
      <c r="F45" s="14" t="s">
        <v>178</v>
      </c>
      <c r="G45" s="121">
        <v>0</v>
      </c>
      <c r="H45" s="133">
        <v>0</v>
      </c>
      <c r="I45" s="271">
        <v>10</v>
      </c>
      <c r="J45" s="15">
        <v>10</v>
      </c>
    </row>
    <row r="46" spans="1:10" ht="14.95" thickBot="1" x14ac:dyDescent="0.3">
      <c r="A46" s="34" t="s">
        <v>159</v>
      </c>
      <c r="B46" s="129">
        <v>1</v>
      </c>
      <c r="C46" s="131">
        <v>0</v>
      </c>
      <c r="D46" s="278">
        <v>0</v>
      </c>
      <c r="E46" s="35">
        <f t="shared" ref="E46:E74" si="7">SUM(B46:C46)</f>
        <v>1</v>
      </c>
      <c r="F46" s="14" t="s">
        <v>170</v>
      </c>
      <c r="G46" s="121">
        <v>0</v>
      </c>
      <c r="H46" s="133">
        <v>5</v>
      </c>
      <c r="I46" s="271">
        <v>5</v>
      </c>
      <c r="J46" s="15">
        <v>10</v>
      </c>
    </row>
    <row r="47" spans="1:10" ht="14.95" thickBot="1" x14ac:dyDescent="0.3">
      <c r="A47" s="34" t="s">
        <v>183</v>
      </c>
      <c r="B47" s="129">
        <v>0</v>
      </c>
      <c r="C47" s="131">
        <v>1</v>
      </c>
      <c r="D47" s="278">
        <v>0</v>
      </c>
      <c r="E47" s="35">
        <f t="shared" si="7"/>
        <v>1</v>
      </c>
      <c r="F47" s="14" t="s">
        <v>180</v>
      </c>
      <c r="G47" s="121">
        <v>3</v>
      </c>
      <c r="H47" s="133">
        <v>4</v>
      </c>
      <c r="I47" s="271">
        <v>0</v>
      </c>
      <c r="J47" s="15">
        <f t="shared" ref="J47:J74" si="8">SUM(G47:H47)</f>
        <v>7</v>
      </c>
    </row>
    <row r="48" spans="1:10" ht="14.95" thickBot="1" x14ac:dyDescent="0.3">
      <c r="A48" s="34" t="s">
        <v>186</v>
      </c>
      <c r="B48" s="129">
        <v>0</v>
      </c>
      <c r="C48" s="131">
        <v>1</v>
      </c>
      <c r="D48" s="278">
        <v>0</v>
      </c>
      <c r="E48" s="35">
        <f t="shared" si="7"/>
        <v>1</v>
      </c>
      <c r="F48" s="14" t="s">
        <v>159</v>
      </c>
      <c r="G48" s="121">
        <v>5</v>
      </c>
      <c r="H48" s="133">
        <v>0</v>
      </c>
      <c r="I48" s="271">
        <v>0</v>
      </c>
      <c r="J48" s="15">
        <f t="shared" si="8"/>
        <v>5</v>
      </c>
    </row>
    <row r="49" spans="1:10" ht="14.95" thickBot="1" x14ac:dyDescent="0.3">
      <c r="A49" s="34" t="s">
        <v>187</v>
      </c>
      <c r="B49" s="129">
        <v>1</v>
      </c>
      <c r="C49" s="131">
        <v>0</v>
      </c>
      <c r="D49" s="278">
        <v>0</v>
      </c>
      <c r="E49" s="35">
        <f t="shared" si="7"/>
        <v>1</v>
      </c>
      <c r="F49" s="14" t="s">
        <v>186</v>
      </c>
      <c r="G49" s="121">
        <v>0</v>
      </c>
      <c r="H49" s="133">
        <v>5</v>
      </c>
      <c r="I49" s="271">
        <v>0</v>
      </c>
      <c r="J49" s="15">
        <f t="shared" si="8"/>
        <v>5</v>
      </c>
    </row>
    <row r="50" spans="1:10" ht="14.95" thickBot="1" x14ac:dyDescent="0.3">
      <c r="A50" s="34" t="s">
        <v>158</v>
      </c>
      <c r="B50" s="129">
        <v>0</v>
      </c>
      <c r="C50" s="131">
        <v>0</v>
      </c>
      <c r="D50" s="278">
        <v>0</v>
      </c>
      <c r="E50" s="35">
        <f t="shared" si="7"/>
        <v>0</v>
      </c>
      <c r="F50" s="14" t="s">
        <v>187</v>
      </c>
      <c r="G50" s="121">
        <v>5</v>
      </c>
      <c r="H50" s="133">
        <v>0</v>
      </c>
      <c r="I50" s="271">
        <v>0</v>
      </c>
      <c r="J50" s="15">
        <f t="shared" si="8"/>
        <v>5</v>
      </c>
    </row>
    <row r="51" spans="1:10" ht="14.95" thickBot="1" x14ac:dyDescent="0.3">
      <c r="A51" s="34" t="s">
        <v>161</v>
      </c>
      <c r="B51" s="129">
        <v>0</v>
      </c>
      <c r="C51" s="131">
        <v>0</v>
      </c>
      <c r="D51" s="278">
        <v>0</v>
      </c>
      <c r="E51" s="35">
        <f t="shared" si="7"/>
        <v>0</v>
      </c>
      <c r="F51" s="14" t="s">
        <v>158</v>
      </c>
      <c r="G51" s="121">
        <v>0</v>
      </c>
      <c r="H51" s="133">
        <v>0</v>
      </c>
      <c r="I51" s="271">
        <v>0</v>
      </c>
      <c r="J51" s="15">
        <f t="shared" si="8"/>
        <v>0</v>
      </c>
    </row>
    <row r="52" spans="1:10" ht="14.95" thickBot="1" x14ac:dyDescent="0.3">
      <c r="A52" s="34" t="s">
        <v>306</v>
      </c>
      <c r="B52" s="129">
        <v>0</v>
      </c>
      <c r="C52" s="131">
        <v>0</v>
      </c>
      <c r="D52" s="278">
        <v>0</v>
      </c>
      <c r="E52" s="35">
        <f t="shared" si="7"/>
        <v>0</v>
      </c>
      <c r="F52" s="14" t="s">
        <v>161</v>
      </c>
      <c r="G52" s="121">
        <v>0</v>
      </c>
      <c r="H52" s="133">
        <v>0</v>
      </c>
      <c r="I52" s="271">
        <v>0</v>
      </c>
      <c r="J52" s="15">
        <f t="shared" si="8"/>
        <v>0</v>
      </c>
    </row>
    <row r="53" spans="1:10" ht="14.95" thickBot="1" x14ac:dyDescent="0.3">
      <c r="A53" s="34" t="s">
        <v>162</v>
      </c>
      <c r="B53" s="129">
        <v>0</v>
      </c>
      <c r="C53" s="131">
        <v>0</v>
      </c>
      <c r="D53" s="278">
        <v>0</v>
      </c>
      <c r="E53" s="35">
        <f t="shared" si="7"/>
        <v>0</v>
      </c>
      <c r="F53" s="14" t="s">
        <v>306</v>
      </c>
      <c r="G53" s="121">
        <v>0</v>
      </c>
      <c r="H53" s="133">
        <v>0</v>
      </c>
      <c r="I53" s="271">
        <v>0</v>
      </c>
      <c r="J53" s="15">
        <f t="shared" si="8"/>
        <v>0</v>
      </c>
    </row>
    <row r="54" spans="1:10" ht="14.95" thickBot="1" x14ac:dyDescent="0.3">
      <c r="A54" s="34" t="s">
        <v>163</v>
      </c>
      <c r="B54" s="129">
        <v>0</v>
      </c>
      <c r="C54" s="131">
        <v>0</v>
      </c>
      <c r="D54" s="278">
        <v>0</v>
      </c>
      <c r="E54" s="35">
        <f t="shared" si="7"/>
        <v>0</v>
      </c>
      <c r="F54" s="14" t="s">
        <v>162</v>
      </c>
      <c r="G54" s="121">
        <v>0</v>
      </c>
      <c r="H54" s="133">
        <v>0</v>
      </c>
      <c r="I54" s="271">
        <v>0</v>
      </c>
      <c r="J54" s="15">
        <f t="shared" si="8"/>
        <v>0</v>
      </c>
    </row>
    <row r="55" spans="1:10" ht="14.95" thickBot="1" x14ac:dyDescent="0.3">
      <c r="A55" s="34" t="s">
        <v>164</v>
      </c>
      <c r="B55" s="129">
        <v>0</v>
      </c>
      <c r="C55" s="131">
        <v>0</v>
      </c>
      <c r="D55" s="278">
        <v>0</v>
      </c>
      <c r="E55" s="35">
        <f t="shared" si="7"/>
        <v>0</v>
      </c>
      <c r="F55" s="14" t="s">
        <v>163</v>
      </c>
      <c r="G55" s="121">
        <v>0</v>
      </c>
      <c r="H55" s="133">
        <v>0</v>
      </c>
      <c r="I55" s="271">
        <v>0</v>
      </c>
      <c r="J55" s="15">
        <f t="shared" si="8"/>
        <v>0</v>
      </c>
    </row>
    <row r="56" spans="1:10" ht="14.95" thickBot="1" x14ac:dyDescent="0.3">
      <c r="A56" s="34" t="s">
        <v>165</v>
      </c>
      <c r="B56" s="129">
        <v>0</v>
      </c>
      <c r="C56" s="131">
        <v>0</v>
      </c>
      <c r="D56" s="278">
        <v>0</v>
      </c>
      <c r="E56" s="35">
        <f t="shared" si="7"/>
        <v>0</v>
      </c>
      <c r="F56" s="14" t="s">
        <v>164</v>
      </c>
      <c r="G56" s="121">
        <v>0</v>
      </c>
      <c r="H56" s="133">
        <v>0</v>
      </c>
      <c r="I56" s="271">
        <v>0</v>
      </c>
      <c r="J56" s="15">
        <f t="shared" si="8"/>
        <v>0</v>
      </c>
    </row>
    <row r="57" spans="1:10" ht="14.95" thickBot="1" x14ac:dyDescent="0.3">
      <c r="A57" s="34" t="s">
        <v>166</v>
      </c>
      <c r="B57" s="129">
        <v>0</v>
      </c>
      <c r="C57" s="131">
        <v>0</v>
      </c>
      <c r="D57" s="278">
        <v>0</v>
      </c>
      <c r="E57" s="35">
        <f t="shared" si="7"/>
        <v>0</v>
      </c>
      <c r="F57" s="14" t="s">
        <v>165</v>
      </c>
      <c r="G57" s="121">
        <v>0</v>
      </c>
      <c r="H57" s="133">
        <v>0</v>
      </c>
      <c r="I57" s="271">
        <v>0</v>
      </c>
      <c r="J57" s="15">
        <f t="shared" si="8"/>
        <v>0</v>
      </c>
    </row>
    <row r="58" spans="1:10" ht="14.95" thickBot="1" x14ac:dyDescent="0.3">
      <c r="A58" s="34" t="s">
        <v>167</v>
      </c>
      <c r="B58" s="129">
        <v>0</v>
      </c>
      <c r="C58" s="131">
        <v>0</v>
      </c>
      <c r="D58" s="278">
        <v>0</v>
      </c>
      <c r="E58" s="35">
        <f t="shared" si="7"/>
        <v>0</v>
      </c>
      <c r="F58" s="14" t="s">
        <v>166</v>
      </c>
      <c r="G58" s="121">
        <v>0</v>
      </c>
      <c r="H58" s="133">
        <v>0</v>
      </c>
      <c r="I58" s="271">
        <v>0</v>
      </c>
      <c r="J58" s="15">
        <f t="shared" si="8"/>
        <v>0</v>
      </c>
    </row>
    <row r="59" spans="1:10" ht="14.95" thickBot="1" x14ac:dyDescent="0.3">
      <c r="A59" s="34" t="s">
        <v>168</v>
      </c>
      <c r="B59" s="129">
        <v>0</v>
      </c>
      <c r="C59" s="131">
        <v>0</v>
      </c>
      <c r="D59" s="278">
        <v>0</v>
      </c>
      <c r="E59" s="35">
        <f t="shared" si="7"/>
        <v>0</v>
      </c>
      <c r="F59" s="14" t="s">
        <v>167</v>
      </c>
      <c r="G59" s="121">
        <v>0</v>
      </c>
      <c r="H59" s="133">
        <v>0</v>
      </c>
      <c r="I59" s="271">
        <v>0</v>
      </c>
      <c r="J59" s="15">
        <f t="shared" si="8"/>
        <v>0</v>
      </c>
    </row>
    <row r="60" spans="1:10" ht="14.95" thickBot="1" x14ac:dyDescent="0.3">
      <c r="A60" s="34" t="s">
        <v>169</v>
      </c>
      <c r="B60" s="129">
        <v>0</v>
      </c>
      <c r="C60" s="131">
        <v>0</v>
      </c>
      <c r="D60" s="278">
        <v>0</v>
      </c>
      <c r="E60" s="35">
        <f t="shared" si="7"/>
        <v>0</v>
      </c>
      <c r="F60" s="14" t="s">
        <v>168</v>
      </c>
      <c r="G60" s="121">
        <v>0</v>
      </c>
      <c r="H60" s="133">
        <v>0</v>
      </c>
      <c r="I60" s="271">
        <v>0</v>
      </c>
      <c r="J60" s="15">
        <f t="shared" si="8"/>
        <v>0</v>
      </c>
    </row>
    <row r="61" spans="1:10" ht="14.95" thickBot="1" x14ac:dyDescent="0.3">
      <c r="A61" s="34" t="s">
        <v>171</v>
      </c>
      <c r="B61" s="129">
        <v>0</v>
      </c>
      <c r="C61" s="131">
        <v>0</v>
      </c>
      <c r="D61" s="278">
        <v>0</v>
      </c>
      <c r="E61" s="35">
        <f t="shared" si="7"/>
        <v>0</v>
      </c>
      <c r="F61" s="14" t="s">
        <v>169</v>
      </c>
      <c r="G61" s="121">
        <v>0</v>
      </c>
      <c r="H61" s="133">
        <v>0</v>
      </c>
      <c r="I61" s="271">
        <v>0</v>
      </c>
      <c r="J61" s="15">
        <f t="shared" si="8"/>
        <v>0</v>
      </c>
    </row>
    <row r="62" spans="1:10" ht="14.95" thickBot="1" x14ac:dyDescent="0.3">
      <c r="A62" s="34" t="s">
        <v>172</v>
      </c>
      <c r="B62" s="129">
        <v>0</v>
      </c>
      <c r="C62" s="131">
        <v>0</v>
      </c>
      <c r="D62" s="278">
        <v>0</v>
      </c>
      <c r="E62" s="35">
        <f t="shared" si="7"/>
        <v>0</v>
      </c>
      <c r="F62" s="14" t="s">
        <v>171</v>
      </c>
      <c r="G62" s="121">
        <v>0</v>
      </c>
      <c r="H62" s="133">
        <v>0</v>
      </c>
      <c r="I62" s="271">
        <v>0</v>
      </c>
      <c r="J62" s="15">
        <f t="shared" si="8"/>
        <v>0</v>
      </c>
    </row>
    <row r="63" spans="1:10" ht="14.95" thickBot="1" x14ac:dyDescent="0.3">
      <c r="A63" s="34" t="s">
        <v>173</v>
      </c>
      <c r="B63" s="129">
        <v>0</v>
      </c>
      <c r="C63" s="131">
        <v>0</v>
      </c>
      <c r="D63" s="278">
        <v>0</v>
      </c>
      <c r="E63" s="35">
        <f t="shared" si="7"/>
        <v>0</v>
      </c>
      <c r="F63" s="14" t="s">
        <v>172</v>
      </c>
      <c r="G63" s="121">
        <v>0</v>
      </c>
      <c r="H63" s="133">
        <v>0</v>
      </c>
      <c r="I63" s="271">
        <v>0</v>
      </c>
      <c r="J63" s="15">
        <f t="shared" si="8"/>
        <v>0</v>
      </c>
    </row>
    <row r="64" spans="1:10" ht="14.95" thickBot="1" x14ac:dyDescent="0.3">
      <c r="A64" s="34" t="s">
        <v>175</v>
      </c>
      <c r="B64" s="129">
        <v>0</v>
      </c>
      <c r="C64" s="131">
        <v>0</v>
      </c>
      <c r="D64" s="278">
        <v>0</v>
      </c>
      <c r="E64" s="35">
        <f t="shared" si="7"/>
        <v>0</v>
      </c>
      <c r="F64" s="14" t="s">
        <v>173</v>
      </c>
      <c r="G64" s="121">
        <v>0</v>
      </c>
      <c r="H64" s="133">
        <v>0</v>
      </c>
      <c r="I64" s="271">
        <v>0</v>
      </c>
      <c r="J64" s="15">
        <f t="shared" si="8"/>
        <v>0</v>
      </c>
    </row>
    <row r="65" spans="1:10" ht="14.95" thickBot="1" x14ac:dyDescent="0.3">
      <c r="A65" s="34" t="s">
        <v>176</v>
      </c>
      <c r="B65" s="129">
        <v>0</v>
      </c>
      <c r="C65" s="131">
        <v>0</v>
      </c>
      <c r="D65" s="278">
        <v>0</v>
      </c>
      <c r="E65" s="35">
        <f t="shared" si="7"/>
        <v>0</v>
      </c>
      <c r="F65" s="14" t="s">
        <v>175</v>
      </c>
      <c r="G65" s="121">
        <v>0</v>
      </c>
      <c r="H65" s="133">
        <v>0</v>
      </c>
      <c r="I65" s="271">
        <v>0</v>
      </c>
      <c r="J65" s="15">
        <f t="shared" si="8"/>
        <v>0</v>
      </c>
    </row>
    <row r="66" spans="1:10" ht="14.95" thickBot="1" x14ac:dyDescent="0.3">
      <c r="A66" s="34" t="s">
        <v>177</v>
      </c>
      <c r="B66" s="129">
        <v>0</v>
      </c>
      <c r="C66" s="131">
        <v>0</v>
      </c>
      <c r="D66" s="278">
        <v>0</v>
      </c>
      <c r="E66" s="35">
        <f t="shared" si="7"/>
        <v>0</v>
      </c>
      <c r="F66" s="14" t="s">
        <v>176</v>
      </c>
      <c r="G66" s="121">
        <v>0</v>
      </c>
      <c r="H66" s="133">
        <v>0</v>
      </c>
      <c r="I66" s="271">
        <v>0</v>
      </c>
      <c r="J66" s="15">
        <f t="shared" si="8"/>
        <v>0</v>
      </c>
    </row>
    <row r="67" spans="1:10" ht="14.95" thickBot="1" x14ac:dyDescent="0.3">
      <c r="A67" s="34" t="s">
        <v>180</v>
      </c>
      <c r="B67" s="129">
        <v>0</v>
      </c>
      <c r="C67" s="131">
        <v>0</v>
      </c>
      <c r="D67" s="278">
        <v>0</v>
      </c>
      <c r="E67" s="35">
        <f t="shared" si="7"/>
        <v>0</v>
      </c>
      <c r="F67" s="14" t="s">
        <v>177</v>
      </c>
      <c r="G67" s="121">
        <v>0</v>
      </c>
      <c r="H67" s="133">
        <v>0</v>
      </c>
      <c r="I67" s="271">
        <v>0</v>
      </c>
      <c r="J67" s="15">
        <f t="shared" si="8"/>
        <v>0</v>
      </c>
    </row>
    <row r="68" spans="1:10" ht="14.95" thickBot="1" x14ac:dyDescent="0.3">
      <c r="A68" s="34" t="s">
        <v>181</v>
      </c>
      <c r="B68" s="129">
        <v>0</v>
      </c>
      <c r="C68" s="131">
        <v>0</v>
      </c>
      <c r="D68" s="278">
        <v>0</v>
      </c>
      <c r="E68" s="35">
        <f t="shared" si="7"/>
        <v>0</v>
      </c>
      <c r="F68" s="14" t="s">
        <v>181</v>
      </c>
      <c r="G68" s="121">
        <v>0</v>
      </c>
      <c r="H68" s="133">
        <v>0</v>
      </c>
      <c r="I68" s="271">
        <v>0</v>
      </c>
      <c r="J68" s="15">
        <f t="shared" si="8"/>
        <v>0</v>
      </c>
    </row>
    <row r="69" spans="1:10" ht="14.95" thickBot="1" x14ac:dyDescent="0.3">
      <c r="A69" s="34" t="s">
        <v>182</v>
      </c>
      <c r="B69" s="129">
        <v>0</v>
      </c>
      <c r="C69" s="131">
        <v>0</v>
      </c>
      <c r="D69" s="278">
        <v>0</v>
      </c>
      <c r="E69" s="35">
        <f t="shared" si="7"/>
        <v>0</v>
      </c>
      <c r="F69" s="14" t="s">
        <v>182</v>
      </c>
      <c r="G69" s="121">
        <v>0</v>
      </c>
      <c r="H69" s="133">
        <v>0</v>
      </c>
      <c r="I69" s="271">
        <v>0</v>
      </c>
      <c r="J69" s="15">
        <f t="shared" si="8"/>
        <v>0</v>
      </c>
    </row>
    <row r="70" spans="1:10" ht="14.95" thickBot="1" x14ac:dyDescent="0.3">
      <c r="A70" s="34" t="s">
        <v>184</v>
      </c>
      <c r="B70" s="129">
        <v>0</v>
      </c>
      <c r="C70" s="131">
        <v>0</v>
      </c>
      <c r="D70" s="278">
        <v>0</v>
      </c>
      <c r="E70" s="35">
        <f t="shared" si="7"/>
        <v>0</v>
      </c>
      <c r="F70" s="14" t="s">
        <v>184</v>
      </c>
      <c r="G70" s="121">
        <v>0</v>
      </c>
      <c r="H70" s="133">
        <v>0</v>
      </c>
      <c r="I70" s="271">
        <v>0</v>
      </c>
      <c r="J70" s="15">
        <f t="shared" si="8"/>
        <v>0</v>
      </c>
    </row>
    <row r="71" spans="1:10" ht="14.95" thickBot="1" x14ac:dyDescent="0.3">
      <c r="A71" s="34" t="s">
        <v>185</v>
      </c>
      <c r="B71" s="129">
        <v>0</v>
      </c>
      <c r="C71" s="131">
        <v>0</v>
      </c>
      <c r="D71" s="278">
        <v>0</v>
      </c>
      <c r="E71" s="35">
        <f t="shared" si="7"/>
        <v>0</v>
      </c>
      <c r="F71" s="14" t="s">
        <v>185</v>
      </c>
      <c r="G71" s="121">
        <v>0</v>
      </c>
      <c r="H71" s="133">
        <v>0</v>
      </c>
      <c r="I71" s="271">
        <v>0</v>
      </c>
      <c r="J71" s="15">
        <f t="shared" si="8"/>
        <v>0</v>
      </c>
    </row>
    <row r="72" spans="1:10" ht="14.95" thickBot="1" x14ac:dyDescent="0.3">
      <c r="A72" s="34" t="s">
        <v>188</v>
      </c>
      <c r="B72" s="129">
        <v>0</v>
      </c>
      <c r="C72" s="131">
        <v>0</v>
      </c>
      <c r="D72" s="278">
        <v>0</v>
      </c>
      <c r="E72" s="35">
        <f t="shared" si="7"/>
        <v>0</v>
      </c>
      <c r="F72" s="14" t="s">
        <v>188</v>
      </c>
      <c r="G72" s="121">
        <v>0</v>
      </c>
      <c r="H72" s="133">
        <v>0</v>
      </c>
      <c r="I72" s="271">
        <v>0</v>
      </c>
      <c r="J72" s="15">
        <f t="shared" si="8"/>
        <v>0</v>
      </c>
    </row>
    <row r="73" spans="1:10" ht="14.95" thickBot="1" x14ac:dyDescent="0.3">
      <c r="A73" s="34" t="s">
        <v>189</v>
      </c>
      <c r="B73" s="129">
        <v>0</v>
      </c>
      <c r="C73" s="131">
        <v>0</v>
      </c>
      <c r="D73" s="278">
        <v>0</v>
      </c>
      <c r="E73" s="35">
        <f t="shared" si="7"/>
        <v>0</v>
      </c>
      <c r="F73" s="14" t="s">
        <v>189</v>
      </c>
      <c r="G73" s="121">
        <v>0</v>
      </c>
      <c r="H73" s="133">
        <v>0</v>
      </c>
      <c r="I73" s="271">
        <v>0</v>
      </c>
      <c r="J73" s="15">
        <f t="shared" si="8"/>
        <v>0</v>
      </c>
    </row>
    <row r="74" spans="1:10" ht="14.95" thickBot="1" x14ac:dyDescent="0.3">
      <c r="A74" s="34" t="s">
        <v>190</v>
      </c>
      <c r="B74" s="129">
        <v>0</v>
      </c>
      <c r="C74" s="131">
        <v>0</v>
      </c>
      <c r="D74" s="278">
        <v>0</v>
      </c>
      <c r="E74" s="35">
        <f t="shared" si="7"/>
        <v>0</v>
      </c>
      <c r="F74" s="14" t="s">
        <v>190</v>
      </c>
      <c r="G74" s="121">
        <v>0</v>
      </c>
      <c r="H74" s="133">
        <v>0</v>
      </c>
      <c r="I74" s="271">
        <v>0</v>
      </c>
      <c r="J74" s="15">
        <f t="shared" si="8"/>
        <v>0</v>
      </c>
    </row>
    <row r="75" spans="1:10" ht="14.95" thickBot="1" x14ac:dyDescent="0.3">
      <c r="A75" s="98" t="s">
        <v>3</v>
      </c>
      <c r="B75" s="127">
        <f>SUM(B40:B74)</f>
        <v>4</v>
      </c>
      <c r="C75" s="130">
        <f>SUM(C40:C74)</f>
        <v>7</v>
      </c>
      <c r="D75" s="277">
        <f>SUM(D40:D74)</f>
        <v>8</v>
      </c>
      <c r="E75" s="249">
        <f>SUM(E40:E74)</f>
        <v>19</v>
      </c>
      <c r="F75" s="79" t="s">
        <v>3</v>
      </c>
      <c r="G75" s="120">
        <f>SUM(G40:G74)</f>
        <v>44</v>
      </c>
      <c r="H75" s="132">
        <f>SUM(H40:H74)</f>
        <v>43</v>
      </c>
      <c r="I75" s="270">
        <f>SUM(I40:I74)</f>
        <v>58</v>
      </c>
      <c r="J75" s="82">
        <v>145</v>
      </c>
    </row>
    <row r="76" spans="1:10" x14ac:dyDescent="0.25">
      <c r="A76" s="317" t="s">
        <v>11</v>
      </c>
      <c r="B76" s="318"/>
      <c r="C76" s="318"/>
      <c r="D76" s="318"/>
      <c r="E76" s="318"/>
      <c r="F76" s="318"/>
      <c r="G76" s="318"/>
      <c r="H76" s="318"/>
      <c r="I76" s="318"/>
      <c r="J76" s="318"/>
    </row>
  </sheetData>
  <sortState xmlns:xlrd2="http://schemas.microsoft.com/office/spreadsheetml/2017/richdata2" ref="F41:J74">
    <sortCondition descending="1" ref="J41:J74"/>
  </sortState>
  <mergeCells count="10">
    <mergeCell ref="A76:J76"/>
    <mergeCell ref="A1:J1"/>
    <mergeCell ref="R1:R2"/>
    <mergeCell ref="K1:K2"/>
    <mergeCell ref="L1:N2"/>
    <mergeCell ref="O1:Q2"/>
    <mergeCell ref="K7:K8"/>
    <mergeCell ref="L7:N8"/>
    <mergeCell ref="K13:K14"/>
    <mergeCell ref="L13:N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268</vt:i4>
      </vt:variant>
    </vt:vector>
  </HeadingPairs>
  <TitlesOfParts>
    <vt:vector size="283" baseType="lpstr">
      <vt:lpstr>6N</vt:lpstr>
      <vt:lpstr>WC</vt:lpstr>
      <vt:lpstr>AUS</vt:lpstr>
      <vt:lpstr>CAN</vt:lpstr>
      <vt:lpstr>ENG</vt:lpstr>
      <vt:lpstr>FIJ</vt:lpstr>
      <vt:lpstr>FRA</vt:lpstr>
      <vt:lpstr>IRE</vt:lpstr>
      <vt:lpstr>ITA</vt:lpstr>
      <vt:lpstr>JPN</vt:lpstr>
      <vt:lpstr>NZL</vt:lpstr>
      <vt:lpstr>SCO</vt:lpstr>
      <vt:lpstr>RSA</vt:lpstr>
      <vt:lpstr>USA</vt:lpstr>
      <vt:lpstr>WAL</vt:lpstr>
      <vt:lpstr>AdamsWAL6NPTS</vt:lpstr>
      <vt:lpstr>AdamsWAL6NTRIES</vt:lpstr>
      <vt:lpstr>Aitchisonengpts</vt:lpstr>
      <vt:lpstr>Aitchisonengtries</vt:lpstr>
      <vt:lpstr>Akiire6npts</vt:lpstr>
      <vt:lpstr>Akiiretries</vt:lpstr>
      <vt:lpstr>BailleFRA6NPTS</vt:lpstr>
      <vt:lpstr>BailleFRA6NTRIES</vt:lpstr>
      <vt:lpstr>Bairdire6npts</vt:lpstr>
      <vt:lpstr>Bairdire6ntries</vt:lpstr>
      <vt:lpstr>Barattinitapts</vt:lpstr>
      <vt:lpstr>Barattinitatries</vt:lpstr>
      <vt:lpstr>BashamWAL6NPTS</vt:lpstr>
      <vt:lpstr>BashamWAL6NTRIES</vt:lpstr>
      <vt:lpstr>Bealhamire6npts</vt:lpstr>
      <vt:lpstr>Bealhamire6ntries</vt:lpstr>
      <vt:lpstr>Berneng6npts</vt:lpstr>
      <vt:lpstr>Berneng6ntries</vt:lpstr>
      <vt:lpstr>Bettoniita6npts</vt:lpstr>
      <vt:lpstr>Bettoniita6ntries</vt:lpstr>
      <vt:lpstr>bevanwal6natt</vt:lpstr>
      <vt:lpstr>Bevanwal6ngls</vt:lpstr>
      <vt:lpstr>Bevanwal6nglscorrect</vt:lpstr>
      <vt:lpstr>Biggarwal6natt</vt:lpstr>
      <vt:lpstr>biggarwal6nattcorrect</vt:lpstr>
      <vt:lpstr>Biggarwal6nglscorrect</vt:lpstr>
      <vt:lpstr>Biggarwal6ngoals</vt:lpstr>
      <vt:lpstr>Biggarwal6npts</vt:lpstr>
      <vt:lpstr>Biggarwal6ntries</vt:lpstr>
      <vt:lpstr>biggarwalatt</vt:lpstr>
      <vt:lpstr>Biggarwalgls</vt:lpstr>
      <vt:lpstr>biggarwalpts</vt:lpstr>
      <vt:lpstr>biggarwaltries</vt:lpstr>
      <vt:lpstr>Boujardfra6npts</vt:lpstr>
      <vt:lpstr>Boujardfra6ntries</vt:lpstr>
      <vt:lpstr>Boulard_Efra6npts</vt:lpstr>
      <vt:lpstr>Boulard_Efra6ntries</vt:lpstr>
      <vt:lpstr>Braleyita6npts</vt:lpstr>
      <vt:lpstr>Braleyita6ntries</vt:lpstr>
      <vt:lpstr>Breenire6natt</vt:lpstr>
      <vt:lpstr>Breenire6ngls</vt:lpstr>
      <vt:lpstr>browneng6npts</vt:lpstr>
      <vt:lpstr>browneng6ntries</vt:lpstr>
      <vt:lpstr>Capuozzoita6npts</vt:lpstr>
      <vt:lpstr>Capuozzoita6ntries</vt:lpstr>
      <vt:lpstr>Carberyire6npts</vt:lpstr>
      <vt:lpstr>Carberyire6ntries</vt:lpstr>
      <vt:lpstr>Cleall_Penftries</vt:lpstr>
      <vt:lpstr>Cleall_Pengpts</vt:lpstr>
      <vt:lpstr>Conanire6npts</vt:lpstr>
      <vt:lpstr>Conanire6ntries</vt:lpstr>
      <vt:lpstr>Conwayire6npts</vt:lpstr>
      <vt:lpstr>Conwayire6ntries</vt:lpstr>
      <vt:lpstr>Cowellengpts</vt:lpstr>
      <vt:lpstr>Cowellengtries</vt:lpstr>
      <vt:lpstr>croninire6natt</vt:lpstr>
      <vt:lpstr>Croninire6ngls</vt:lpstr>
      <vt:lpstr>Croninire6npts</vt:lpstr>
      <vt:lpstr>Croninire6ntries</vt:lpstr>
      <vt:lpstr>Croweire6npts</vt:lpstr>
      <vt:lpstr>Croweire6ntries</vt:lpstr>
      <vt:lpstr>Dalyeng6npts</vt:lpstr>
      <vt:lpstr>Dalyeng6ntries</vt:lpstr>
      <vt:lpstr>Dantyfra6npts</vt:lpstr>
      <vt:lpstr>Dantyfra6ntries</vt:lpstr>
      <vt:lpstr>Dargesco6npts</vt:lpstr>
      <vt:lpstr>Dargesco6ntries</vt:lpstr>
      <vt:lpstr>Davieseng6npts</vt:lpstr>
      <vt:lpstr>Davieseng6ntries</vt:lpstr>
      <vt:lpstr>Dombrandteng6npts</vt:lpstr>
      <vt:lpstr>Dombrandteng6ntries</vt:lpstr>
      <vt:lpstr>Dowengpts</vt:lpstr>
      <vt:lpstr>Dowengtries</vt:lpstr>
      <vt:lpstr>drouinfra6natt</vt:lpstr>
      <vt:lpstr>Drouinfra6ngls</vt:lpstr>
      <vt:lpstr>Drouinfra6npts</vt:lpstr>
      <vt:lpstr>Drouinfra6ntries</vt:lpstr>
      <vt:lpstr>DupontFRA6NPTS</vt:lpstr>
      <vt:lpstr>DupontFRA6NTRIES</vt:lpstr>
      <vt:lpstr>Farrelleng6Ngatt</vt:lpstr>
      <vt:lpstr>Farrelleng6Ngoals</vt:lpstr>
      <vt:lpstr>Fickoufra6npts</vt:lpstr>
      <vt:lpstr>Fickoufra6ntries</vt:lpstr>
      <vt:lpstr>Fleetwoodeng6npts</vt:lpstr>
      <vt:lpstr>Fleetwoodeng6ntries</vt:lpstr>
      <vt:lpstr>Fordeng6ngatt</vt:lpstr>
      <vt:lpstr>Fordeng6ngoals</vt:lpstr>
      <vt:lpstr>Forlanifra6npts</vt:lpstr>
      <vt:lpstr>Forlanifra6ntries</vt:lpstr>
      <vt:lpstr>Franciswal6npts</vt:lpstr>
      <vt:lpstr>Franciswal6ntries</vt:lpstr>
      <vt:lpstr>franciswalpts</vt:lpstr>
      <vt:lpstr>franciswaltries</vt:lpstr>
      <vt:lpstr>Gaffneysco6npts</vt:lpstr>
      <vt:lpstr>Gaffneysco6ntries</vt:lpstr>
      <vt:lpstr>gaffneyscointpts</vt:lpstr>
      <vt:lpstr>gaffneyscointtries</vt:lpstr>
      <vt:lpstr>Garbisiita6npts</vt:lpstr>
      <vt:lpstr>Georgeeng6npts</vt:lpstr>
      <vt:lpstr>Georgeeng6ntries</vt:lpstr>
      <vt:lpstr>Gibson_Parkire6npts</vt:lpstr>
      <vt:lpstr>Gibson_Parkire6ntries</vt:lpstr>
      <vt:lpstr>Grahamsco6npts</vt:lpstr>
      <vt:lpstr>Grahamsco6ntries</vt:lpstr>
      <vt:lpstr>grahamscopts</vt:lpstr>
      <vt:lpstr>grahamscotries</vt:lpstr>
      <vt:lpstr>Hansenire6npts</vt:lpstr>
      <vt:lpstr>Hansenire6nries</vt:lpstr>
      <vt:lpstr>HardyWAL6NPTS</vt:lpstr>
      <vt:lpstr>HardyWAL6NTRIES</vt:lpstr>
      <vt:lpstr>Harrieswal6npts</vt:lpstr>
      <vt:lpstr>Harrieswal6ntries</vt:lpstr>
      <vt:lpstr>harrisoneng6natt</vt:lpstr>
      <vt:lpstr>Harrisoneng6ngls</vt:lpstr>
      <vt:lpstr>Harrisoneng6npts</vt:lpstr>
      <vt:lpstr>Harrisoneng6ntries</vt:lpstr>
      <vt:lpstr>HarrisSCO6NPTS</vt:lpstr>
      <vt:lpstr>HarrisSCO6NTRIES</vt:lpstr>
      <vt:lpstr>Hartryscorers</vt:lpstr>
      <vt:lpstr>Hermetfra6npts</vt:lpstr>
      <vt:lpstr>Hermetfra6ntries</vt:lpstr>
      <vt:lpstr>Higginsire6npts</vt:lpstr>
      <vt:lpstr>Higginsire6ntries</vt:lpstr>
      <vt:lpstr>Huntereng6npts</vt:lpstr>
      <vt:lpstr>Huntereng6ntries</vt:lpstr>
      <vt:lpstr>Infanteengpts</vt:lpstr>
      <vt:lpstr>Infanteengtries</vt:lpstr>
      <vt:lpstr>Jacquetfra6npts</vt:lpstr>
      <vt:lpstr>Jacquetfra6ntries</vt:lpstr>
      <vt:lpstr>Jaminetfra6npts</vt:lpstr>
      <vt:lpstr>Jelonchfra6npts</vt:lpstr>
      <vt:lpstr>Jelonchfra6ntries</vt:lpstr>
      <vt:lpstr>Johnsonsco6npts</vt:lpstr>
      <vt:lpstr>JohnsonSCO6NTRIES</vt:lpstr>
      <vt:lpstr>Jones_Kwal6npts</vt:lpstr>
      <vt:lpstr>Jones_Kwal6ntries</vt:lpstr>
      <vt:lpstr>Joyeuxfra6npts</vt:lpstr>
      <vt:lpstr>Joyeuxfra6ntries</vt:lpstr>
      <vt:lpstr>Keenanire6npts</vt:lpstr>
      <vt:lpstr>Keenanire6ntries</vt:lpstr>
      <vt:lpstr>Kildunneeng6npts</vt:lpstr>
      <vt:lpstr>Kildunneeng6ntries</vt:lpstr>
      <vt:lpstr>konkelintries</vt:lpstr>
      <vt:lpstr>Konkelscopts</vt:lpstr>
      <vt:lpstr>Konkelscotries</vt:lpstr>
      <vt:lpstr>lawscointpts</vt:lpstr>
      <vt:lpstr>Lawscoyrgls</vt:lpstr>
      <vt:lpstr>lawsocyrAtt</vt:lpstr>
      <vt:lpstr>Lewis_Fwal6npts</vt:lpstr>
      <vt:lpstr>Lewis_Fwal6ntries</vt:lpstr>
      <vt:lpstr>Llorensfra6npts</vt:lpstr>
      <vt:lpstr>Llorensfra6ntries</vt:lpstr>
      <vt:lpstr>Lloydscointpts</vt:lpstr>
      <vt:lpstr>lloydscointptscorrect</vt:lpstr>
      <vt:lpstr>lloydscointtries</vt:lpstr>
      <vt:lpstr>Lloydscpo6ntries</vt:lpstr>
      <vt:lpstr>Loweire6npts</vt:lpstr>
      <vt:lpstr>Loweire6ntries</vt:lpstr>
      <vt:lpstr>Lowryire6npts</vt:lpstr>
      <vt:lpstr>Lowryire6ntries</vt:lpstr>
      <vt:lpstr>McKennaeng6npts</vt:lpstr>
      <vt:lpstr>McKennaeng6ntries</vt:lpstr>
      <vt:lpstr>Menoncelloita6npts</vt:lpstr>
      <vt:lpstr>Menoncelloita6ntries</vt:lpstr>
      <vt:lpstr>Moefana6npts</vt:lpstr>
      <vt:lpstr>Moefanafra6ntries</vt:lpstr>
      <vt:lpstr>nelsonsco6nAtt</vt:lpstr>
      <vt:lpstr>Nelsonsco6ngls</vt:lpstr>
      <vt:lpstr>Nelsonsco6npts</vt:lpstr>
      <vt:lpstr>Nelsonsco6ntries</vt:lpstr>
      <vt:lpstr>nelsonscointpts</vt:lpstr>
      <vt:lpstr>nelsonscointtries</vt:lpstr>
      <vt:lpstr>nelsonscoyratt</vt:lpstr>
      <vt:lpstr>Nelsonscoyrgls</vt:lpstr>
      <vt:lpstr>Ntamackfra6npts</vt:lpstr>
      <vt:lpstr>O_Connorire6natt</vt:lpstr>
      <vt:lpstr>O_Connorire6ngls</vt:lpstr>
      <vt:lpstr>O_Mahonyire6npts</vt:lpstr>
      <vt:lpstr>O_Mahonyire6ntries</vt:lpstr>
      <vt:lpstr>O’Connorire6npts</vt:lpstr>
      <vt:lpstr>O’Connorire6ntries</vt:lpstr>
      <vt:lpstr>Packer_Mengpts</vt:lpstr>
      <vt:lpstr>Packer_Mengtries</vt:lpstr>
      <vt:lpstr>PadovaniITA6NPTS</vt:lpstr>
      <vt:lpstr>PadovaniITA6NTRIES</vt:lpstr>
      <vt:lpstr>Penalty_Triesire6npts</vt:lpstr>
      <vt:lpstr>Penalty_Triesire6ntries</vt:lpstr>
      <vt:lpstr>Penalty_Triessco6npts</vt:lpstr>
      <vt:lpstr>Penalty_Triessco6ntries</vt:lpstr>
      <vt:lpstr>Penaudfra6npts</vt:lpstr>
      <vt:lpstr>Penaudfra6ntries</vt:lpstr>
      <vt:lpstr>Phillipswal6npts</vt:lpstr>
      <vt:lpstr>Phillipswal6ntries</vt:lpstr>
      <vt:lpstr>Powellengpts</vt:lpstr>
      <vt:lpstr>Powellengtries</vt:lpstr>
      <vt:lpstr>rigoniia6natt</vt:lpstr>
      <vt:lpstr>Rigoniita6ngls</vt:lpstr>
      <vt:lpstr>Rigoniita6npts</vt:lpstr>
      <vt:lpstr>Rigoniita6ntries</vt:lpstr>
      <vt:lpstr>Ringroseire6npts</vt:lpstr>
      <vt:lpstr>Ringroseire6ntries</vt:lpstr>
      <vt:lpstr>Rolliesco6npts</vt:lpstr>
      <vt:lpstr>Rolliesco6ntries</vt:lpstr>
      <vt:lpstr>rolliescointpts</vt:lpstr>
      <vt:lpstr>rolliescointtries</vt:lpstr>
      <vt:lpstr>Rose6nwaltries</vt:lpstr>
      <vt:lpstr>Rosewal6npts</vt:lpstr>
      <vt:lpstr>rowlandeng6natt</vt:lpstr>
      <vt:lpstr>Rowlandeng6ngls</vt:lpstr>
      <vt:lpstr>Rowlandengpts</vt:lpstr>
      <vt:lpstr>Rowlandengtries</vt:lpstr>
      <vt:lpstr>Russellsco6npts</vt:lpstr>
      <vt:lpstr>Sansusfra6npts</vt:lpstr>
      <vt:lpstr>Sansusfra6ntries</vt:lpstr>
      <vt:lpstr>scarratteng6natt</vt:lpstr>
      <vt:lpstr>Scarratteng6ngls</vt:lpstr>
      <vt:lpstr>Scarrattengpts</vt:lpstr>
      <vt:lpstr>Scarrattengtries</vt:lpstr>
      <vt:lpstr>Sextonire6natt</vt:lpstr>
      <vt:lpstr>Sextonire6ngoals</vt:lpstr>
      <vt:lpstr>Sheedywal6npts</vt:lpstr>
      <vt:lpstr>Sillariita6ngls</vt:lpstr>
      <vt:lpstr>Sillariita6npts</vt:lpstr>
      <vt:lpstr>Sillariita6ntries</vt:lpstr>
      <vt:lpstr>sillarita6natt</vt:lpstr>
      <vt:lpstr>Sincklereng6npts</vt:lpstr>
      <vt:lpstr>Sincklereng6ntries</vt:lpstr>
      <vt:lpstr>Singeng6npts</vt:lpstr>
      <vt:lpstr>Singeng6ntries</vt:lpstr>
      <vt:lpstr>skeldonscointpts</vt:lpstr>
      <vt:lpstr>skeldonscointtries</vt:lpstr>
      <vt:lpstr>Skeldonscopts</vt:lpstr>
      <vt:lpstr>Skeldonscotries</vt:lpstr>
      <vt:lpstr>Smitheng6npts</vt:lpstr>
      <vt:lpstr>Smitheng6ntries</vt:lpstr>
      <vt:lpstr>snowillwal6natt</vt:lpstr>
      <vt:lpstr>Snowsillwal6ngls</vt:lpstr>
      <vt:lpstr>Thompsoneng6npts</vt:lpstr>
      <vt:lpstr>Thompsoneng6ntries</vt:lpstr>
      <vt:lpstr>Thomsonsco6ntries</vt:lpstr>
      <vt:lpstr>Thomsonscointpts</vt:lpstr>
      <vt:lpstr>Thomsonscointtries</vt:lpstr>
      <vt:lpstr>TompkinsWAL6NPTS</vt:lpstr>
      <vt:lpstr>TompkinsWAL6NTRIES</vt:lpstr>
      <vt:lpstr>tremoulierefra6natt</vt:lpstr>
      <vt:lpstr>Tremoulierefra6ngls</vt:lpstr>
      <vt:lpstr>Tremoulierefra6npts</vt:lpstr>
      <vt:lpstr>Tremoulierefra6ntries</vt:lpstr>
      <vt:lpstr>Turaniita6npts</vt:lpstr>
      <vt:lpstr>Turaniita6ntries</vt:lpstr>
      <vt:lpstr>van_der_Merwe6nscopts</vt:lpstr>
      <vt:lpstr>van_der_Merwesco6ntries</vt:lpstr>
      <vt:lpstr>Villierefra6npts</vt:lpstr>
      <vt:lpstr>Villierefra6ntries</vt:lpstr>
      <vt:lpstr>Wardeng6npts</vt:lpstr>
      <vt:lpstr>Wardeng6ntries</vt:lpstr>
      <vt:lpstr>Wassellsco6npts</vt:lpstr>
      <vt:lpstr>Wassellsco6ntries</vt:lpstr>
      <vt:lpstr>wilkinswal6natt</vt:lpstr>
      <vt:lpstr>Wilkinswal6ngls</vt:lpstr>
      <vt:lpstr>Wilkinswal6npts</vt:lpstr>
      <vt:lpstr>Wilkinswal6ntries</vt:lpstr>
      <vt:lpstr>Willemsefra6npts</vt:lpstr>
      <vt:lpstr>Willemsefra6ntries</vt:lpstr>
      <vt:lpstr>Wrightsco6npts</vt:lpstr>
      <vt:lpstr>Wrightsco6ntries</vt:lpstr>
      <vt:lpstr>wrightscointpts</vt:lpstr>
      <vt:lpstr>wrightscointrtries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2023-03-07T19:06:30Z</dcterms:modified>
</cp:coreProperties>
</file>