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7d62a7607d3ee9b/Hillsport Media/PREMIERSHIP RUGBY/Season 2018-19/"/>
    </mc:Choice>
  </mc:AlternateContent>
  <xr:revisionPtr revIDLastSave="0" documentId="13_ncr:1_{0E22A786-0DCB-4DFE-A890-984CE9B37A63}" xr6:coauthVersionLast="47" xr6:coauthVersionMax="47" xr10:uidLastSave="{00000000-0000-0000-0000-000000000000}"/>
  <bookViews>
    <workbookView xWindow="-26192" yWindow="747" windowWidth="26301" windowHeight="14169" tabRatio="952" activeTab="6" xr2:uid="{00000000-000D-0000-FFFF-FFFF00000000}"/>
  </bookViews>
  <sheets>
    <sheet name="BTH" sheetId="1" r:id="rId1"/>
    <sheet name="BRI" sheetId="6" r:id="rId2"/>
    <sheet name="GLO" sheetId="3" r:id="rId3"/>
    <sheet name="EXE" sheetId="2" r:id="rId4"/>
    <sheet name="HAR" sheetId="4" r:id="rId5"/>
    <sheet name="LEIC" sheetId="5" r:id="rId6"/>
    <sheet name="NEW" sheetId="8" r:id="rId7"/>
    <sheet name="NOR" sheetId="9" r:id="rId8"/>
    <sheet name="SAL" sheetId="10" r:id="rId9"/>
    <sheet name="SAR" sheetId="11" r:id="rId10"/>
    <sheet name="WAS" sheetId="7" r:id="rId11"/>
    <sheet name="WOR" sheetId="12" r:id="rId12"/>
    <sheet name="OVERALL" sheetId="13" r:id="rId13"/>
  </sheets>
  <definedNames>
    <definedName name="A_Wallerpts">NOR!$G$48</definedName>
    <definedName name="A_Wallertries">NOR!$B$48</definedName>
    <definedName name="Abbottjakepts">WOR!#REF!</definedName>
    <definedName name="Abbottjaketries">WOR!#REF!</definedName>
    <definedName name="Abendanonnickpts">BTH!#REF!</definedName>
    <definedName name="Abendanonnicktries">BTH!#REF!</definedName>
    <definedName name="Ackermannglopts">GLO!$G$3</definedName>
    <definedName name="Ackermannglotries">GLO!$B$3</definedName>
    <definedName name="Adams_Halesarpts">SAR!$G$3</definedName>
    <definedName name="Adams_Halesartries">SAR!$B$3</definedName>
    <definedName name="Adamsworpts">WOR!$G$3</definedName>
    <definedName name="Adamswortries">WOR!$B$3</definedName>
    <definedName name="Addisonsalpts">SAL!#REF!</definedName>
    <definedName name="Addisonsaltries">SAL!#REF!</definedName>
    <definedName name="afoabripts">BRI!$G$3</definedName>
    <definedName name="afoabritries">BRI!$B$3</definedName>
    <definedName name="Afoaglopts">GLO!#REF!</definedName>
    <definedName name="Afoaglotries">GLO!#REF!</definedName>
    <definedName name="Agullabatpts">BTH!#REF!</definedName>
    <definedName name="Agullabattries">BTH!#REF!</definedName>
    <definedName name="Agullapts">BTH!#REF!</definedName>
    <definedName name="Agullatries">BTH!#REF!</definedName>
    <definedName name="Ah_Younewpts">NEW!$G$3</definedName>
    <definedName name="Ah_Younewtries">NEW!$B$3</definedName>
    <definedName name="Aholeleiwelshpts">WOR!$G$4</definedName>
    <definedName name="Aholeleiwelshtries">WOR!$B$4</definedName>
    <definedName name="Allenanthonypts">LEIC!#REF!</definedName>
    <definedName name="Allenanthonytries">LEIC!#REF!</definedName>
    <definedName name="Allinsonbatpts">BTH!#REF!</definedName>
    <definedName name="Allinsonbattries">BTH!#REF!</definedName>
    <definedName name="allinsonliatt">BRI!$M$10</definedName>
    <definedName name="allinsonligoals">BRI!$L$10</definedName>
    <definedName name="Allinsonlipts">BRI!#REF!</definedName>
    <definedName name="Allinsonlitries">BRI!#REF!</definedName>
    <definedName name="Allinsonpts">BRI!#REF!</definedName>
    <definedName name="Allinsontries">BRI!#REF!</definedName>
    <definedName name="Allmannorpts">NOR!#REF!</definedName>
    <definedName name="Allmannortries">NOR!#REF!</definedName>
    <definedName name="Alofafartries">HAR!$B$3</definedName>
    <definedName name="Alofaharpts">HAR!$G$3</definedName>
    <definedName name="Aloworpts">WOR!#REF!</definedName>
    <definedName name="Alowortries">WOR!#REF!</definedName>
    <definedName name="Armanddonpts">EXE!$G$3</definedName>
    <definedName name="Armanddontries">EXE!$B$3</definedName>
    <definedName name="Armitageguytries">BRI!#REF!</definedName>
    <definedName name="Armitagewaspts">WAS!$G$3</definedName>
    <definedName name="Armitagewastries">WAS!$B$3</definedName>
    <definedName name="Armstrongbripts">BRI!$G$4</definedName>
    <definedName name="Armstrongbritries">BRI!$B$4</definedName>
    <definedName name="Armtageguypts">BRI!#REF!</definedName>
    <definedName name="Arnottexepts">EXE!#REF!</definedName>
    <definedName name="Arnottexetries">EXE!#REF!</definedName>
    <definedName name="Arscottbatpts">BTH!#REF!</definedName>
    <definedName name="Arscottbattries">BTH!#REF!</definedName>
    <definedName name="arscottbriatt">BRI!#REF!</definedName>
    <definedName name="Arscottbrigoals">BRI!#REF!</definedName>
    <definedName name="Arscottlukepts">EXE!#REF!</definedName>
    <definedName name="Arscottluketries">EXE!#REF!</definedName>
    <definedName name="arscottnewatt">NEW!$M$4</definedName>
    <definedName name="arscottnewgls">NEW!$L$4</definedName>
    <definedName name="Arscottnewpts">NEW!$G$4</definedName>
    <definedName name="Arscottnewtries">NEW!$B$4</definedName>
    <definedName name="Arscottsalpts">SAL!#REF!</definedName>
    <definedName name="Arscottsaltries">SAL!#REF!</definedName>
    <definedName name="arscotttomatt">SAL!#REF!</definedName>
    <definedName name="arscotttomgoals">SAL!#REF!</definedName>
    <definedName name="Arscotttompts">SAL!#REF!</definedName>
    <definedName name="Arscotttomptscorrect">SAL!#REF!</definedName>
    <definedName name="Arscotttomtries">SAL!#REF!</definedName>
    <definedName name="Ashtonchrisptscorrect">SAR!#REF!</definedName>
    <definedName name="Ashtonchristriescorrect">SAR!#REF!</definedName>
    <definedName name="Ashtonpts">SAR!#REF!</definedName>
    <definedName name="Ashtonsalpts">SAL!$G$3</definedName>
    <definedName name="Ashtonsaltries">SAL!$B$3</definedName>
    <definedName name="ashtontries">SAR!#REF!</definedName>
    <definedName name="Atkinsbthatt">BTH!$M$4</definedName>
    <definedName name="Atkinsbthgls">BTH!$L$4</definedName>
    <definedName name="Atkinsbthpts">BTH!$G$3</definedName>
    <definedName name="Atkinsbthtries">BTH!$B$3</definedName>
    <definedName name="atkinsliratt">BRI!$M$9</definedName>
    <definedName name="atkinslirgls">BRI!$L$9</definedName>
    <definedName name="Atkinsonglopts">GLO!$G$4</definedName>
    <definedName name="Atkinsonglotries">GLO!$B$4</definedName>
    <definedName name="Attwooddavepts">BTH!$G$4</definedName>
    <definedName name="Attwooddavetries">BTH!$B$4</definedName>
    <definedName name="Attwoodpts">BTH!$G$35</definedName>
    <definedName name="attwoodtries">BTH!#REF!</definedName>
    <definedName name="Aulikalipts">BRI!#REF!</definedName>
    <definedName name="Aulikalitries">BRI!#REF!</definedName>
    <definedName name="Aulikasalpts">SAL!#REF!</definedName>
    <definedName name="Aulikasaltries">SAL!#REF!</definedName>
    <definedName name="Autagavaiafaatoinapts">NOR!#REF!</definedName>
    <definedName name="Autagavaiafaatoinatries">NOR!#REF!</definedName>
    <definedName name="Auteracharpts">HAR!$G$4</definedName>
    <definedName name="Auterachartries">HAR!$B$4</definedName>
    <definedName name="Auteracnicbatpts">BTH!#REF!</definedName>
    <definedName name="auteracnicbattries">BTH!#REF!</definedName>
    <definedName name="Awcockalanpts">WOR!#REF!</definedName>
    <definedName name="Awcockalantries">WOR!#REF!</definedName>
    <definedName name="Ayerzaleipts">LEIC!#REF!</definedName>
    <definedName name="Ayerzaleitries">LEIC!#REF!</definedName>
    <definedName name="Baileipts">LEIC!#REF!</definedName>
    <definedName name="Baileitries">LEIC!#REF!</definedName>
    <definedName name="Bainessalpts">SAL!#REF!</definedName>
    <definedName name="Bainessaltries">SAL!#REF!</definedName>
    <definedName name="Balmainglopts">GLO!$G$5</definedName>
    <definedName name="Balmainglotries">GLO!$B$5</definedName>
    <definedName name="Balmainleipts">LEIC!#REF!</definedName>
    <definedName name="Balmainleitries">LEIC!#REF!</definedName>
    <definedName name="banahanbatatt">BTH!#REF!</definedName>
    <definedName name="banahanbatgoals">BTH!#REF!</definedName>
    <definedName name="Banahanglopts">GLO!$G$6</definedName>
    <definedName name="Banahanglotries">GLO!$B$6</definedName>
    <definedName name="Banahanmatttries">BTH!#REF!</definedName>
    <definedName name="Banahanpts2">BTH!#REF!</definedName>
    <definedName name="Banahanptscorrect">BTH!#REF!</definedName>
    <definedName name="Banahantries">BTH!#REF!</definedName>
    <definedName name="banahantries2">BTH!#REF!</definedName>
    <definedName name="Banahantriescorrect">BTH!$B$4</definedName>
    <definedName name="banhanpts">BTH!#REF!</definedName>
    <definedName name="Barbearywaspts">WAS!$G$4</definedName>
    <definedName name="Barbearywastrie">WAS!$B$4</definedName>
    <definedName name="Barbierileipts">LEIC!$G$3</definedName>
    <definedName name="Barbierileitries">LEIC!$B$3</definedName>
    <definedName name="Barkleyollypts">WOR!$G$5</definedName>
    <definedName name="Barkleyollytries">WOR!$B$5</definedName>
    <definedName name="barkleywelatt">WOR!$M$4</definedName>
    <definedName name="barkleywelgoals">WOR!$L$4</definedName>
    <definedName name="Barnesnewpts">NEW!#REF!</definedName>
    <definedName name="Barnesnewtries">NEW!#REF!</definedName>
    <definedName name="Barringtonrichardpts">SAR!$G$4</definedName>
    <definedName name="Barringtonrichardtries">SAR!$B$4</definedName>
    <definedName name="Barrittbradpts">SAR!$G$5</definedName>
    <definedName name="Barrittbradtries">SAR!$B$5</definedName>
    <definedName name="Barrownewpts">NEW!#REF!</definedName>
    <definedName name="Barrownewtries">NEW!#REF!</definedName>
    <definedName name="Barrownorpts">NOR!$G$3</definedName>
    <definedName name="Barrownortries">NOR!$B$3</definedName>
    <definedName name="Bashamnewpts">NEW!$G$5</definedName>
    <definedName name="Bashamnewtries">NEW!$B$5</definedName>
    <definedName name="bassettjoshtries">WAS!#REF!</definedName>
    <definedName name="Bassettpts">WAS!#REF!</definedName>
    <definedName name="bassetttries">WAS!#REF!</definedName>
    <definedName name="Bassettwaspts">WAS!$G$5</definedName>
    <definedName name="Bassettwastries">WAS!$B$5</definedName>
    <definedName name="Batemangregpts">EXE!$G$4</definedName>
    <definedName name="Batemangregtries">EXE!$B$4</definedName>
    <definedName name="Batemanleipts">LEIC!$G$4</definedName>
    <definedName name="Batemanleitries">LEIC!$B$4</definedName>
    <definedName name="bathpentries">BTH!$B$4</definedName>
    <definedName name="bathpentriespts">BTH!$G$4</definedName>
    <definedName name="bathpentriesptscorrect">BTH!#REF!</definedName>
    <definedName name="bathpentriesptsthisone">BTH!$G$35</definedName>
    <definedName name="bathpentriestriescorrect">BTH!#REF!</definedName>
    <definedName name="bathpentriestriesthisone">BTH!$B$35</definedName>
    <definedName name="bathscorers">BTH!$A$4:$J$4</definedName>
    <definedName name="Batleybripts">BRI!$G$5</definedName>
    <definedName name="Batleybritries">BRI!$B$5</definedName>
    <definedName name="Battyrosspts">BTH!$G$5</definedName>
    <definedName name="Battyrosstries">BTH!$B$5</definedName>
    <definedName name="Baylissbthpts">BTH!$G$6</definedName>
    <definedName name="Baylissbthtries">BTH!$B$6</definedName>
    <definedName name="Bealewaspts">WAS!#REF!</definedName>
    <definedName name="Bealewastries">WAS!#REF!</definedName>
    <definedName name="Beaumontsalpts">SAL!$G$4</definedName>
    <definedName name="Beaumontsaltries">SAL!$B$4</definedName>
    <definedName name="Beckworpts">WOR!$G$8</definedName>
    <definedName name="Beckwortries">WOR!$B$8</definedName>
    <definedName name="bedlowbriatt">BRI!$M$5</definedName>
    <definedName name="Bedlowbrigls">BRI!$L$5</definedName>
    <definedName name="Bedlowbripts">BRI!$G$6</definedName>
    <definedName name="bedlowbritries">BRI!$B$6</definedName>
    <definedName name="bedlowsalatt">SAL!#REF!</definedName>
    <definedName name="Bedlowsalgls">SAL!#REF!</definedName>
    <definedName name="BedlowSALPTS">SAL!#REF!</definedName>
    <definedName name="BedlowSALTRIES">SAL!#REF!</definedName>
    <definedName name="Beechcharliepts">BTH!#REF!</definedName>
    <definedName name="Beechcharlietries">BTH!#REF!</definedName>
    <definedName name="Bell_C">WAS!#REF!</definedName>
    <definedName name="Bellchrispts">WAS!#REF!</definedName>
    <definedName name="Bellchristries">WAS!#REF!</definedName>
    <definedName name="bellleiatt">LEIC!$M$6</definedName>
    <definedName name="Bellleigoals">LEIC!$L$6</definedName>
    <definedName name="Bellleipts">LEIC!#REF!</definedName>
    <definedName name="Bellleitries">LEIC!#REF!</definedName>
    <definedName name="Belltommypts">WAS!#REF!</definedName>
    <definedName name="Belltommytries">WAS!#REF!</definedName>
    <definedName name="Benjaminleipts">LEIC!#REF!</definedName>
    <definedName name="Benjaminleitries">LEIC!#REF!</definedName>
    <definedName name="Benjaminmilespts">LEIC!#REF!</definedName>
    <definedName name="Benjaminmilestries">LEIC!#REF!</definedName>
    <definedName name="Bennettnorpts">NOR!#REF!</definedName>
    <definedName name="Bennettnortries">NOR!#REF!</definedName>
    <definedName name="Bentleyjonnypts">GLO!$G$43</definedName>
    <definedName name="Bettencourtnewpts">NEW!$G$6</definedName>
    <definedName name="Bettencourtnewtries">NEW!$B$6</definedName>
    <definedName name="Bettysampts">WOR!$G$5</definedName>
    <definedName name="Bettysamtries">WOR!$B$5</definedName>
    <definedName name="Bevingtonbstpts">BRI!$G$4</definedName>
    <definedName name="Bevingtonbsttries">BRI!$B$4</definedName>
    <definedName name="Biggarnorpts">NOR!$G$4</definedName>
    <definedName name="Biggarnortries">NOR!$B$4</definedName>
    <definedName name="Biggstompts">BTH!#REF!</definedName>
    <definedName name="Biggstomtries">BTH!#REF!</definedName>
    <definedName name="Blackworpts">WOR!$G$9</definedName>
    <definedName name="Blackwortries">WOR!$B$9</definedName>
    <definedName name="Blairnewpts">NEW!$G$9</definedName>
    <definedName name="Blairpts">NEW!$G$10</definedName>
    <definedName name="Blairtries">NEW!$B$9</definedName>
    <definedName name="Blamirenewpts">NEW!$G$7</definedName>
    <definedName name="Blamirenewtries">NEW!$B$7</definedName>
    <definedName name="Blommetjiesleicpts">LEIC!$G$5</definedName>
    <definedName name="Blommetjiesleictries">LEIC!$B$5</definedName>
    <definedName name="Bodillyexepts">EXE!$G$5</definedName>
    <definedName name="Bodillyexetries">EXE!$B$5</definedName>
    <definedName name="boschatt">SAR!$M$11</definedName>
    <definedName name="Boschgoals">SAR!$L$11</definedName>
    <definedName name="Boschmarcelopts">SAR!$G$6</definedName>
    <definedName name="Boschmarcelotries">SAR!$B$6</definedName>
    <definedName name="Bothaexepts">EXE!#REF!</definedName>
    <definedName name="Bothaexetries">EXE!#REF!</definedName>
    <definedName name="Bothalirpts">BRI!$G$5</definedName>
    <definedName name="Bothalirtries">BRI!$B$5</definedName>
    <definedName name="Bothamouritzpts">SAR!#REF!</definedName>
    <definedName name="Bothamouritztries">SAR!#REF!</definedName>
    <definedName name="Bothmaharpts">HAR!$G$5</definedName>
    <definedName name="Bothmahartries">HAR!$B$5</definedName>
    <definedName name="boticaatt">HAR!$M$5</definedName>
    <definedName name="Boticabentries">HAR!#REF!</definedName>
    <definedName name="boticagoals">HAR!$L$5</definedName>
    <definedName name="Boticaharpts">HAR!#REF!</definedName>
    <definedName name="Boticapts">HAR!#REF!</definedName>
    <definedName name="Bowdendanpts">LEIC!$G$15</definedName>
    <definedName name="Bowdendantries">LEIC!#REF!</definedName>
    <definedName name="Bowdenpts">LEIC!#REF!</definedName>
    <definedName name="bowdentries">LEIC!#REF!</definedName>
    <definedName name="Boyceharpts">HAR!$G$6</definedName>
    <definedName name="Boycehartries">HAR!$B$6</definedName>
    <definedName name="Bradyleipts">LEIC!#REF!</definedName>
    <definedName name="Bradyleitries">LEIC!#REF!</definedName>
    <definedName name="Bradytompts">SAL!#REF!</definedName>
    <definedName name="Bradytomtries">SAL!#REF!</definedName>
    <definedName name="Braiddanpts">SAL!#REF!</definedName>
    <definedName name="Braiddantries">SAL!#REF!</definedName>
    <definedName name="Braidpts">SAL!#REF!</definedName>
    <definedName name="Braidtries">SAL!#REF!</definedName>
    <definedName name="braidworatt">WOR!#REF!</definedName>
    <definedName name="braidworgoals">WOR!#REF!</definedName>
    <definedName name="Braidworpts">WOR!#REF!</definedName>
    <definedName name="Braidwortries">WOR!#REF!</definedName>
    <definedName name="Braleyglopts">GLO!$G$7</definedName>
    <definedName name="Braleyglotries">GLO!$B$7</definedName>
    <definedName name="Bregvadzeworpts">WOR!#REF!</definedName>
    <definedName name="Bregvadzewortries">WOR!#REF!</definedName>
    <definedName name="Breslerworpts">WOR!$G$11</definedName>
    <definedName name="Breslerwortries">WOR!$B$11</definedName>
    <definedName name="Brewbthpts">BTH!$G$7</definedName>
    <definedName name="Brewbthtries">BTH!$B$7</definedName>
    <definedName name="Briggsleipts">LEIC!#REF!</definedName>
    <definedName name="Briggsleitries">LEIC!#REF!</definedName>
    <definedName name="Briggssalpts">SAL!#REF!</definedName>
    <definedName name="Briggssaltries">SAL!#REF!</definedName>
    <definedName name="Bristowleipts">LEIC!#REF!</definedName>
    <definedName name="Bristowleitries">LEIC!#REF!</definedName>
    <definedName name="Bristowsalpts">SAL!$G$5</definedName>
    <definedName name="Bristowsaltries">SAL!$B$5</definedName>
    <definedName name="Britspts">SAR!#REF!</definedName>
    <definedName name="britstris">SAR!#REF!</definedName>
    <definedName name="Brittonwelpts">WOR!$G$6</definedName>
    <definedName name="Brittonweltries">WOR!$B$6</definedName>
    <definedName name="Brookerglopts">GLO!#REF!</definedName>
    <definedName name="Brookerglotries">GLO!#REF!</definedName>
    <definedName name="Brookesnewpts">NEW!#REF!</definedName>
    <definedName name="Brookesnewtries">NEW!#REF!</definedName>
    <definedName name="Brookesnoprpts">NOR!$G$4</definedName>
    <definedName name="Brookesnortries">NOR!$B$4</definedName>
    <definedName name="Brookeswaspts">WAS!$G$6</definedName>
    <definedName name="Brookeswastries">WAS!$B$6</definedName>
    <definedName name="Brophy_Clewslirgoals">BRI!$L$8</definedName>
    <definedName name="Brophy_Clewslirpts">BRI!#REF!</definedName>
    <definedName name="Brophy_Clewslirtries">BRI!#REF!</definedName>
    <definedName name="brophyclewsliratt">BRI!$M$8</definedName>
    <definedName name="BrophyClewslirpts">BRI!$G$7</definedName>
    <definedName name="BrophyClewslirtries">BRI!$B$7</definedName>
    <definedName name="Brown">HAR!$A$7:$E$7</definedName>
    <definedName name="brown2">HAR!$B$7</definedName>
    <definedName name="Brownedanielpts">WOR!$G$7</definedName>
    <definedName name="Brownedanieltries">WOR!$B$7</definedName>
    <definedName name="Brownepetepts">WOR!#REF!</definedName>
    <definedName name="Brownepetetries">WOR!#REF!</definedName>
    <definedName name="brownexepts">EXE!#REF!</definedName>
    <definedName name="brownexetries">EXE!#REF!</definedName>
    <definedName name="brownkellypts">SAR!#REF!</definedName>
    <definedName name="brownkellytries">SAR!#REF!</definedName>
    <definedName name="brownmikepts2">HAR!$G$7</definedName>
    <definedName name="brownmikeries">HAR!$E$7</definedName>
    <definedName name="Brownmiketries">HAR!$A$7:$E$7</definedName>
    <definedName name="brownmiketriescorrect">HAR!$B$7</definedName>
    <definedName name="brownsarpts">SAR!#REF!</definedName>
    <definedName name="brownsartries">SAR!#REF!</definedName>
    <definedName name="Brussownorpts">NOR!$G$5</definedName>
    <definedName name="Brussownortries">NOR!$B$5</definedName>
    <definedName name="bryantleiatt">LEIC!$M$7</definedName>
    <definedName name="Bryantleigoals">LEIC!$L$7</definedName>
    <definedName name="Bryantleipts">LEIC!#REF!</definedName>
    <definedName name="Bryantleitries">LEIC!#REF!</definedName>
    <definedName name="Buchananpts">HAR!$G$8</definedName>
    <definedName name="buchanantries">HAR!$B$8</definedName>
    <definedName name="Buckleysalpts">SAL!#REF!</definedName>
    <definedName name="Buckleysaltries">SAL!#REF!</definedName>
    <definedName name="Burgerjacquespts">SAR!$G$7</definedName>
    <definedName name="Burgerjacquestries">SAR!$B$7</definedName>
    <definedName name="Burgesssampts">BTH!#REF!</definedName>
    <definedName name="Burgesssamtries">BTH!#REF!</definedName>
    <definedName name="Burnsbillypts">GLO!#REF!</definedName>
    <definedName name="Burnsbillytries">GLO!#REF!</definedName>
    <definedName name="burnsbthpts">BTH!$G$8</definedName>
    <definedName name="burnsbthtries">BTH!$B$8</definedName>
    <definedName name="burnsfreddieatt">GLO!$M$4</definedName>
    <definedName name="burnsfreddiegoals">GLO!$L$4</definedName>
    <definedName name="Burnsfreddiepts">GLO!$G$4</definedName>
    <definedName name="Burnsfreddietries">GLO!$B$43</definedName>
    <definedName name="burnsgloatt">GLO!#REF!</definedName>
    <definedName name="burnsglogoals">GLO!#REF!</definedName>
    <definedName name="Burnsharpts">HAR!#REF!</definedName>
    <definedName name="Burnshartries">HAR!#REF!</definedName>
    <definedName name="burnsleiatt">LEIC!$M$4</definedName>
    <definedName name="burnsleigoals">LEIC!$L$4</definedName>
    <definedName name="Burnsleipts">LEIC!#REF!</definedName>
    <definedName name="Burnsleitries">LEIC!#REF!</definedName>
    <definedName name="Burrelllutherpts">NOR!$G$6</definedName>
    <definedName name="Burrellpts">NOR!$G$39</definedName>
    <definedName name="Burrelltries">NOR!$B$39</definedName>
    <definedName name="Burrelltriescorrect">NOR!$B$6</definedName>
    <definedName name="Burrowsnewpts">NEW!$G$8</definedName>
    <definedName name="Burrowsnewtries">NEW!$B$8</definedName>
    <definedName name="Cahillshanepts">WOR!#REF!</definedName>
    <definedName name="Cahillshanetries">WOR!#REF!</definedName>
    <definedName name="Caldwellexepts">EXE!$G$6</definedName>
    <definedName name="Caldwellexetries">EXE!$B$6</definedName>
    <definedName name="Camacholeipts">LEIC!#REF!</definedName>
    <definedName name="Camacholeitries">LEIC!#REF!</definedName>
    <definedName name="Campagnarowaspts">WAS!$G$7</definedName>
    <definedName name="Campagnarowastries">WAS!$B$7</definedName>
    <definedName name="Cannonwaspts">WAS!#REF!</definedName>
    <definedName name="Cannonwastries">WAS!#REF!</definedName>
    <definedName name="Capstickexepts">EXE!$G$6</definedName>
    <definedName name="Capstickexetries">EXE!$B$6</definedName>
    <definedName name="Cardallnorpts">NOR!#REF!</definedName>
    <definedName name="Cardallnortries">NOR!#REF!</definedName>
    <definedName name="Care" comment="constant">HAR!$B$9</definedName>
    <definedName name="Carepts">HAR!$G$9</definedName>
    <definedName name="caretries" comment="constant">HAR!$B$9</definedName>
    <definedName name="carlisleatt">WAS!#REF!</definedName>
    <definedName name="carlislegoals">WAS!#REF!</definedName>
    <definedName name="Carlislejoetries">WAS!#REF!</definedName>
    <definedName name="Carlislepts">WAS!#REF!</definedName>
    <definedName name="Carrick_Smithexepts">EXE!$G$7</definedName>
    <definedName name="Carrick_Smithexetries">EXE!$B$7</definedName>
    <definedName name="Carrwaspts">WAS!$G$8</definedName>
    <definedName name="Carrwastries">WAS!$B$8</definedName>
    <definedName name="Cassonharpts">HAR!#REF!</definedName>
    <definedName name="Cassonhartries">HAR!#REF!</definedName>
    <definedName name="Catonewpts">NEW!#REF!</definedName>
    <definedName name="Catonoahpts">NEW!#REF!</definedName>
    <definedName name="Catonoahtries">NEW!#REF!</definedName>
    <definedName name="Catrakilisharpts">HAR!$G$10</definedName>
    <definedName name="Catrakilishartries">HAR!$B$10</definedName>
    <definedName name="catterickatt">NEW!#REF!</definedName>
    <definedName name="catterickgoals">NEW!#REF!</definedName>
    <definedName name="Cattericknewtries">NEW!#REF!</definedName>
    <definedName name="Catterickpts">NEW!#REF!</definedName>
    <definedName name="Cattericktries">NEW!#REF!</definedName>
    <definedName name="Cattnathanpts">BTH!$G$9</definedName>
    <definedName name="Cattnathantries">BTH!$B$9</definedName>
    <definedName name="chapmangloatt">GLO!$M$5</definedName>
    <definedName name="chapmanglogls">GLO!$L$5</definedName>
    <definedName name="Chapmanglopts">GLO!$G$8</definedName>
    <definedName name="Chapmanglotries">GLO!$B$8</definedName>
    <definedName name="Charlesbthpts">BTH!#REF!</definedName>
    <definedName name="Charlesbthtries">BTH!#REF!</definedName>
    <definedName name="Charterisbthpts">BTH!$G$10</definedName>
    <definedName name="Charterisbthtries">BTH!$B$10</definedName>
    <definedName name="Cheesemanharpts">HAR!$G$11</definedName>
    <definedName name="Cheesemanhartries">HAR!$B$11</definedName>
    <definedName name="Chicknewpts">NEW!$G$10</definedName>
    <definedName name="Chicknewtries">NEW!$B$10</definedName>
    <definedName name="Chisanganewpts">NEW!#REF!</definedName>
    <definedName name="Chisanganewtries">NEW!#REF!</definedName>
    <definedName name="Chisholm_Jharpts">HAR!#REF!</definedName>
    <definedName name="Chisholm_Jhartries">HAR!#REF!</definedName>
    <definedName name="Chisholm_Rharpts">HAR!$G$13</definedName>
    <definedName name="Chisholm_Rhartries">HAR!$B$13</definedName>
    <definedName name="Chisholmjamesharpts">HAR!$G$12</definedName>
    <definedName name="Chisholmjameshartries">HAR!$B$12</definedName>
    <definedName name="Chudleybthpts">BTH!$G$11</definedName>
    <definedName name="Chudleybthtries">BTH!$B$11</definedName>
    <definedName name="Chudleyexepts">EXE!#REF!</definedName>
    <definedName name="Chudleyexetries">EXE!#REF!</definedName>
    <definedName name="Cilliersleipts">LEIC!#REF!</definedName>
    <definedName name="Cilliersleitries">LEIC!#REF!</definedName>
    <definedName name="ciprianiatt">SAL!$M$4</definedName>
    <definedName name="Ciprianidannytries">SAL!#REF!</definedName>
    <definedName name="ciprianigloatt">GLO!$M$7</definedName>
    <definedName name="ciprianiglogls">GLO!$L$7</definedName>
    <definedName name="Ciprianiglopts">GLO!$G$9</definedName>
    <definedName name="Ciprianiglotries">GLO!$B$9</definedName>
    <definedName name="ciprianigoals">SAL!$L$4</definedName>
    <definedName name="Ciprianipts">SAL!#REF!</definedName>
    <definedName name="Ciprianisalpts">SAL!#REF!</definedName>
    <definedName name="ciprianitries">SAL!#REF!</definedName>
    <definedName name="Ciprianitriescorrect">SAL!#REF!</definedName>
    <definedName name="Ciprianiwaspts">WAS!#REF!</definedName>
    <definedName name="Ciprianiwastries">WAS!#REF!</definedName>
    <definedName name="Cittadiniwaspts">WAS!#REF!</definedName>
    <definedName name="Cittadiniwastries">WAS!#REF!</definedName>
    <definedName name="Civettanewpts">NEW!#REF!</definedName>
    <definedName name="Civettanewtries">NEW!#REF!</definedName>
    <definedName name="Clarenorpts">NOR!#REF!</definedName>
    <definedName name="Clarenortries">NOR!#REF!</definedName>
    <definedName name="Clarkbatpts">BTH!$G$12</definedName>
    <definedName name="Clarkbattries">BTH!$B$12</definedName>
    <definedName name="Clarkcalumpts">NOR!#REF!</definedName>
    <definedName name="Clarkcalumtries">NOR!#REF!</definedName>
    <definedName name="cleggatt">NEW!$M$5</definedName>
    <definedName name="clegggoals">NEW!$L$5</definedName>
    <definedName name="Cleggnewpts">NEW!$G$10</definedName>
    <definedName name="Cleggpts">NEW!$G$9</definedName>
    <definedName name="cleggrorytries">NEW!$B$10</definedName>
    <definedName name="Cleggworpts">WOR!$G$13</definedName>
    <definedName name="Cleggwortries">WOR!$B$13</definedName>
    <definedName name="Clevernewpts">NEW!#REF!</definedName>
    <definedName name="Clevernewtries">NEW!#REF!</definedName>
    <definedName name="Cliffordharpts">HAR!$G$14</definedName>
    <definedName name="Cliffordhartries">HAR!$B$14</definedName>
    <definedName name="Cliffordjackpts">HAR!#REF!</definedName>
    <definedName name="Cliffordjacktries">HAR!#REF!</definedName>
    <definedName name="cliffsalatt">SAL!$M$8</definedName>
    <definedName name="Cliffsalgls">SAL!$L$8</definedName>
    <definedName name="Cliffsalpts">SAL!#REF!</definedName>
    <definedName name="Cliffsaltries">SAL!#REF!</definedName>
    <definedName name="Cliffwillsalpts">SAL!$G$6</definedName>
    <definedName name="Cliffwillsaltries">SAL!$B$6</definedName>
    <definedName name="Cobilassalpts">SAL!#REF!</definedName>
    <definedName name="Cobilassaltries">SAL!#REF!</definedName>
    <definedName name="Cochraneneilpts">WAS!#REF!</definedName>
    <definedName name="Cochraneneiltries">WAS!#REF!</definedName>
    <definedName name="Coetzerglopts">GLO!$G$11</definedName>
    <definedName name="Coetzerglotries">GLO!$B$11</definedName>
    <definedName name="Cokanasigabthpts">BTH!$G$13</definedName>
    <definedName name="Cokanasigabthtries">BTH!$B$13</definedName>
    <definedName name="Cokanasigalirpts">BRI!#REF!</definedName>
    <definedName name="Cokanasigalirtries">BRI!#REF!</definedName>
    <definedName name="Coleleipts">LEIC!$G$6</definedName>
    <definedName name="Coleleitries">LEIC!$B$6</definedName>
    <definedName name="Colesnorpts">NOR!$G$7</definedName>
    <definedName name="Colesnortries">NOR!$B$7</definedName>
    <definedName name="Collettnewpts">NEW!$G$11</definedName>
    <definedName name="Collettnewtries">NEW!$B$11</definedName>
    <definedName name="Collierharpts">HAR!$G$15</definedName>
    <definedName name="Collierhartries">HAR!$B$15</definedName>
    <definedName name="Collinstompts">NOR!$G$8</definedName>
    <definedName name="Collinstomtries">NOR!$B$8</definedName>
    <definedName name="Comanlirpts">BRI!$G$9</definedName>
    <definedName name="Comanlirtries">BRI!$B$9</definedName>
    <definedName name="Conlonexepts">EXE!#REF!</definedName>
    <definedName name="Conlonexetries">EXE!#REF!</definedName>
    <definedName name="Conlonjoelpts">EXE!#REF!</definedName>
    <definedName name="Conlonjoeltries">EXE!#REF!</definedName>
    <definedName name="Conlonsarprts">SAR!#REF!</definedName>
    <definedName name="Conlonsartries">SAR!#REF!</definedName>
    <definedName name="connonnewatt">NEW!$M$6</definedName>
    <definedName name="connonnewgoals">NEW!$L$6</definedName>
    <definedName name="Connonnewpts">NEW!#REF!</definedName>
    <definedName name="Connonnewptscorrect">NEW!$G$12</definedName>
    <definedName name="Connonnewtries">NEW!#REF!</definedName>
    <definedName name="Connonnewtriescorrect">NEW!$B$12</definedName>
    <definedName name="cookatt">GLO!#REF!</definedName>
    <definedName name="Cookchrispts">BTH!$G$14</definedName>
    <definedName name="Cookchristries">BTH!$B$14</definedName>
    <definedName name="Cookgoals">GLO!#REF!</definedName>
    <definedName name="Cookpts">GLO!#REF!</definedName>
    <definedName name="Cooktries">GLO!#REF!</definedName>
    <definedName name="Cooper_Woolleypts">WAS!#REF!</definedName>
    <definedName name="Cooper_Woolleytries">WAS!#REF!</definedName>
    <definedName name="Cooper_Woolleywaspts">WAS!$G$9</definedName>
    <definedName name="Cooper_Woolleywastries">WAS!$B$9</definedName>
    <definedName name="Coopernewpts">NEW!$G$13</definedName>
    <definedName name="Coopernewtries">NEW!$B$13</definedName>
    <definedName name="Cooperwelpts">WOR!$G$10</definedName>
    <definedName name="Cooperweltries">WOR!$B$10</definedName>
    <definedName name="Corbisieronorpts">NOR!#REF!</definedName>
    <definedName name="Corbisieronortries">NOR!#REF!</definedName>
    <definedName name="Corbisieropts">NOR!#REF!</definedName>
    <definedName name="Corbisierotries">NOR!#REF!</definedName>
    <definedName name="Corkermattpts">WOR!#REF!</definedName>
    <definedName name="Corkermatttries">WOR!#REF!</definedName>
    <definedName name="Cosgrovebripts">BRI!$G$7</definedName>
    <definedName name="Cosgrovebritries">BRI!$B$7</definedName>
    <definedName name="Courtlipts">BRI!$G$8</definedName>
    <definedName name="Courtlitries">BRI!$B$8</definedName>
    <definedName name="Cowan_Dickie_Lukepts">EXE!$G$8</definedName>
    <definedName name="Cowan_Dickie_Luketries">EXE!$B$8</definedName>
    <definedName name="Cowanblairtries">BRI!$B$11</definedName>
    <definedName name="Cowanjimmypts">GLO!$G$42</definedName>
    <definedName name="Cowanjimmytries">GLO!$B$42</definedName>
    <definedName name="Cowanlipts">BRI!$G$11</definedName>
    <definedName name="Cowanpts">BRI!#REF!</definedName>
    <definedName name="Cowansarpts">SAR!#REF!</definedName>
    <definedName name="Cowansartries">SAR!#REF!</definedName>
    <definedName name="Cowantries">BRI!$B$24</definedName>
    <definedName name="Coxlipts">BRI!#REF!</definedName>
    <definedName name="Coxlitries">BRI!#REF!</definedName>
    <definedName name="Coxmattpts">GLO!#REF!</definedName>
    <definedName name="Coxmatttries">GLO!#REF!</definedName>
    <definedName name="Coxworpts">WOR!$G$14</definedName>
    <definedName name="Coxwortries">WOR!$B$14</definedName>
    <definedName name="Craignorpts">NOR!$G$9</definedName>
    <definedName name="Craignortries">NOR!$B$9</definedName>
    <definedName name="cranebripts">BRI!$G$8</definedName>
    <definedName name="Cranebritries">BRI!$B$8</definedName>
    <definedName name="craneleiatt">LEIC!#REF!</definedName>
    <definedName name="craneleigoals">LEIC!#REF!</definedName>
    <definedName name="Cranepts">LEIC!#REF!</definedName>
    <definedName name="Craneptscorrect">LEIC!#REF!</definedName>
    <definedName name="Cranerhyspts">WOR!#REF!</definedName>
    <definedName name="Cranerhystries">WOR!#REF!</definedName>
    <definedName name="cranetries">LEIC!#REF!</definedName>
    <definedName name="Cranetriescorrect">LEIC!#REF!</definedName>
    <definedName name="Creevyagustinpts">WOR!#REF!</definedName>
    <definedName name="Creevyagustintries">WOR!#REF!</definedName>
    <definedName name="Croallsalpts">SAL!#REF!</definedName>
    <definedName name="Croallsaltries">SAL!#REF!</definedName>
    <definedName name="Croftleipts">LEIC!$G$7</definedName>
    <definedName name="Croftleitries">LEIC!$B$7</definedName>
    <definedName name="Crossdalesarpts">SAR!$G$9</definedName>
    <definedName name="Crossdalesartries">SAR!$B$9</definedName>
    <definedName name="Crosslipts">BRI!$G$14</definedName>
    <definedName name="Crosslitries">BRI!$B$14</definedName>
    <definedName name="Crumptonharpts">HAR!$G$16</definedName>
    <definedName name="Crumptonhartries">HAR!$B$16</definedName>
    <definedName name="Crusewaspts">WAS!$G$10</definedName>
    <definedName name="Crusewastries">WAS!$B$10</definedName>
    <definedName name="Cuetopts">SAL!#REF!</definedName>
    <definedName name="Cuetosalpts">SAL!#REF!</definedName>
    <definedName name="Cuetosaltries">SAL!#REF!</definedName>
    <definedName name="cuetotries">SAL!#REF!</definedName>
    <definedName name="Curry_Bsalpts">SAL!$G$7</definedName>
    <definedName name="Curry_Bsaltries">SAL!$B$7</definedName>
    <definedName name="Curry_Tsalpts">SAL!$G$8</definedName>
    <definedName name="Curry_Tsaltries">SAL!$B$8</definedName>
    <definedName name="Curtiswaspts">WAS!$G$11</definedName>
    <definedName name="Curtiswastries">WAS!$B$11</definedName>
    <definedName name="Cusitersalpts">SAL!#REF!</definedName>
    <definedName name="Cusitersaltries">SAL!#REF!</definedName>
    <definedName name="Dalyelliotpts">WAS!#REF!</definedName>
    <definedName name="Dalyelliottries">WAS!$B$12</definedName>
    <definedName name="dalywasatt">WAS!$M$14</definedName>
    <definedName name="dalywasgoals">WAS!$L$14</definedName>
    <definedName name="Dalywaspts">WAS!$G$12</definedName>
    <definedName name="Danaherdeclanpts">BRI!$G$14</definedName>
    <definedName name="Danaherdeclantries">BRI!#REF!</definedName>
    <definedName name="danielsbriatt">BRI!$M$6</definedName>
    <definedName name="Danielsbrigls">BRI!$L$6</definedName>
    <definedName name="Danielsbripts">BRI!$G$10</definedName>
    <definedName name="Danielsbritries">BRI!$B$10</definedName>
    <definedName name="Davidsonnewpts">NEW!$G$14</definedName>
    <definedName name="Davidsonnewtries">NEW!$B$14</definedName>
    <definedName name="Davidworpts">WOR!$G$15</definedName>
    <definedName name="Davidwortries">WOR!$B$15</definedName>
    <definedName name="Davies_Bwaspts">WAS!#REF!</definedName>
    <definedName name="Davies_Bwsstries">WAS!#REF!</definedName>
    <definedName name="Davies_Cwaspts">WAS!#REF!</definedName>
    <definedName name="Davies_Cwastries">WAS!#REF!</definedName>
    <definedName name="Daviesalexpts">WOR!$G$12</definedName>
    <definedName name="Daviesalextries">WOR!$B$12</definedName>
    <definedName name="daviesbthatt">BTH!$M$6</definedName>
    <definedName name="daviesbthgls">BTH!$L$6</definedName>
    <definedName name="Daviesbthpts">BTH!$G$15</definedName>
    <definedName name="Daviesbthtries">BTH!$B$15</definedName>
    <definedName name="Daviescharliepts">WAS!#REF!</definedName>
    <definedName name="Daviescharlietries">WAS!#REF!</definedName>
    <definedName name="Davieselliottpts">WOR!#REF!</definedName>
    <definedName name="Davieselliotttries">WOR!#REF!</definedName>
    <definedName name="Daviesexepts">EXE!$G$9</definedName>
    <definedName name="Daviesexetries">EXE!$B$9</definedName>
    <definedName name="Daviesnewpts">NEW!#REF!</definedName>
    <definedName name="Daviesnewtries">NEW!#REF!</definedName>
    <definedName name="Daviesnorpts">NOR!$G$10</definedName>
    <definedName name="Daviesnortries">NOR!$B$10</definedName>
    <definedName name="davieswelatt">WOR!#REF!</definedName>
    <definedName name="davieswelgoals">WOR!#REF!</definedName>
    <definedName name="Davisbthpts">BTH!$G$16</definedName>
    <definedName name="Davisbthtries">BTH!$B$16</definedName>
    <definedName name="Davisexepts">EXE!$G$10</definedName>
    <definedName name="Davisexetries">EXE!$B$10</definedName>
    <definedName name="Davisnorpts">NOR!$G$11</definedName>
    <definedName name="Davisnortries">NOR!$B$11</definedName>
    <definedName name="Davisonnewpts">NEW!$G$15</definedName>
    <definedName name="Davisonnewtries">NEW!$B$15</definedName>
    <definedName name="Dawebripts">BRI!$G$11</definedName>
    <definedName name="Dawebritries">BRI!$B$11</definedName>
    <definedName name="Dawebstpts">BRI!#REF!</definedName>
    <definedName name="Dawebsttries">BRI!#REF!</definedName>
    <definedName name="Dawidiukglopts">GLO!$G$10</definedName>
    <definedName name="Dawidiukglotries">GLO!$B$10</definedName>
    <definedName name="Dawidiuklirpts">BRI!$G$13</definedName>
    <definedName name="Dawidiuklirtries">BRI!$B$13</definedName>
    <definedName name="Day_Cnorpts">NOR!#REF!</definedName>
    <definedName name="Day_Cnortries">NOR!#REF!</definedName>
    <definedName name="Dayalexpts">NOR!#REF!</definedName>
    <definedName name="Dayalextries">NOR!#REF!</definedName>
    <definedName name="Daychristianpts">NOR!#REF!</definedName>
    <definedName name="Daychristiantries">NOR!#REF!</definedName>
    <definedName name="Daydompts">BTH!#REF!</definedName>
    <definedName name="Daydomtries">BTH!#REF!</definedName>
    <definedName name="De_Chavesleipts">LEIC!#REF!</definedName>
    <definedName name="De_Chavesleitries">LEIC!#REF!</definedName>
    <definedName name="de_Jagersarpts">SAR!#REF!</definedName>
    <definedName name="de_Jagersartries">SAR!#REF!</definedName>
    <definedName name="de_Jonghwaspts">WAS!$G$13</definedName>
    <definedName name="de_Jonghwastries">WAS!$B$13</definedName>
    <definedName name="de_Klerksalgls">SAL!$L$6</definedName>
    <definedName name="de_Kockneilpts">SAR!$G$8</definedName>
    <definedName name="de_Kockneiltries">SAR!$B$8</definedName>
    <definedName name="De_Lucawaspts">WAS!#REF!</definedName>
    <definedName name="De_Lucawastries">WAS!#REF!</definedName>
    <definedName name="de_VilliersLEIPTS">LEIC!#REF!</definedName>
    <definedName name="de_VilliersLEITRIES">LEIC!#REF!</definedName>
    <definedName name="Deaconleipts">LEIC!#REF!</definedName>
    <definedName name="Deaconleitries">LEIC!#REF!</definedName>
    <definedName name="deklerksalatt">SAL!$M$6</definedName>
    <definedName name="Delmasbthpts">BTH!$G$17</definedName>
    <definedName name="Delmasbthtries">BTH!$B$17</definedName>
    <definedName name="Denmangarethpts">NOR!$G$13</definedName>
    <definedName name="Denmangarethtries">NOR!$B$13</definedName>
    <definedName name="Denmanglopts">GLO!$G$12</definedName>
    <definedName name="Denmanglotries">GLO!$B$12</definedName>
    <definedName name="Dennisexepts">EXE!$G$11</definedName>
    <definedName name="Dennisexetries">EXE!$B$11</definedName>
    <definedName name="Dentonglopts">GLO!$G$13</definedName>
    <definedName name="Dentonglotries">GLO!$B$13</definedName>
    <definedName name="Dentonleicpts">LEIC!$G$8</definedName>
    <definedName name="Dentonleictries">LEIC!$B$8</definedName>
    <definedName name="Dentonworpts">WOR!#REF!</definedName>
    <definedName name="Dentonwortries">WOR!#REF!</definedName>
    <definedName name="devotobatatt">BTH!#REF!</definedName>
    <definedName name="devotobatgoals">BTH!#REF!</definedName>
    <definedName name="Devotoexepts">EXE!$G$12</definedName>
    <definedName name="Devotoexetries">EXE!$B$12</definedName>
    <definedName name="Devotoolliepts">BTH!#REF!</definedName>
    <definedName name="Devotoollietries">BTH!#REF!</definedName>
    <definedName name="di_Marchisalpts">SAL!#REF!</definedName>
    <definedName name="di_Marchisaltries">SAL!#REF!</definedName>
    <definedName name="Dickinsonsampts">NOR!#REF!</definedName>
    <definedName name="Dickinsonsamtries">NOR!#REF!</definedName>
    <definedName name="Dicksonglennpts">NOR!#REF!</definedName>
    <definedName name="dicksonglentries">NOR!#REF!</definedName>
    <definedName name="dicksongnoratt">NOR!#REF!</definedName>
    <definedName name="dicksongnorgoals">NOR!#REF!</definedName>
    <definedName name="Dicksonkarlpts">HAR!#REF!</definedName>
    <definedName name="Dicksonleepts">NOR!#REF!</definedName>
    <definedName name="Dicksonleeptscorrect">NOR!#REF!</definedName>
    <definedName name="Dicksonleetries">NOR!#REF!</definedName>
    <definedName name="dicksonleetriescorrect">NOR!#REF!</definedName>
    <definedName name="dicksontries">HAR!#REF!</definedName>
    <definedName name="Dingwallnorpts">NOR!$G$12</definedName>
    <definedName name="Dingwallnortries">NOR!$B$12</definedName>
    <definedName name="Dobsonmatthewpts">WOR!#REF!</definedName>
    <definedName name="Dobsonmatthewtries">WOR!#REF!</definedName>
    <definedName name="Dolannorpts">NOR!#REF!</definedName>
    <definedName name="Dolannortries">NOR!#REF!</definedName>
    <definedName name="dollmanatt">EXE!$M$8</definedName>
    <definedName name="Dollmanexepts">EXE!$G$13</definedName>
    <definedName name="Dollmanexetries">EXE!$B$13</definedName>
    <definedName name="Dollmangoals">EXE!$L$8</definedName>
    <definedName name="Dollmanpts">EXE!#REF!</definedName>
    <definedName name="dollmantries">EXE!#REF!</definedName>
    <definedName name="Dombrandtharpts">HAR!$G$17</definedName>
    <definedName name="Dombrandthartries">HAR!$B$17</definedName>
    <definedName name="Doran_Jonesglopts">GLO!#REF!</definedName>
    <definedName name="Doran_Jonesglotries">GLO!#REF!</definedName>
    <definedName name="Doran_Jonesharpts">HAR!#REF!</definedName>
    <definedName name="Doran_Joneshartries">HAR!#REF!</definedName>
    <definedName name="Dorrianlipts">BRI!$G$15</definedName>
    <definedName name="Dorrianlitries">BRI!$B$15</definedName>
    <definedName name="dorrianmylesatt">BRI!#REF!</definedName>
    <definedName name="Dorrianmylesgoals">BRI!#REF!</definedName>
    <definedName name="Dorrianpts">BRI!#REF!</definedName>
    <definedName name="Dorriantries">BRI!#REF!</definedName>
    <definedName name="Douglasbthpts">BTH!$G$18</definedName>
    <definedName name="Douglasbthtries">BTH!$B$18</definedName>
    <definedName name="Downwelpts">WOR!#REF!</definedName>
    <definedName name="Downweltries">WOR!#REF!</definedName>
    <definedName name="Dowsettworatt">WOR!#REF!</definedName>
    <definedName name="Dowsettworgls">WOR!#REF!</definedName>
    <definedName name="Dowsettworpts">WOR!#REF!</definedName>
    <definedName name="Dowsettwortries">WOR!#REF!</definedName>
    <definedName name="Dowsonphilnorpts">NOR!#REF!</definedName>
    <definedName name="Dowsonphilptscorrect">NOR!#REF!</definedName>
    <definedName name="Dowsonphiltriescorrect">NOR!#REF!</definedName>
    <definedName name="Dowsonpts">NOR!$G$49</definedName>
    <definedName name="Dowsontries">NOR!$B$49</definedName>
    <definedName name="Drauniniupts">WOR!#REF!</definedName>
    <definedName name="Drauniniutries">WOR!#REF!</definedName>
    <definedName name="du_Plessissarpts">SAR!$G$10</definedName>
    <definedName name="du_Plessissartries">SAR!$B$10</definedName>
    <definedName name="du_Preez_J_Lsalpts">SAL!$G$10</definedName>
    <definedName name="du_Preez_J_Lsaltries">SAL!$B$10</definedName>
    <definedName name="du_Preezsalpts">SAL!$G$11</definedName>
    <definedName name="du_Preezsaltries">SAL!$B$11</definedName>
    <definedName name="du_Preezworpts">WOR!$G$16</definedName>
    <definedName name="du_Preezwortries">WOR!$B$16</definedName>
    <definedName name="Dunnbattries">BTH!$B$19</definedName>
    <definedName name="Dunntompts">BTH!$G$19</definedName>
    <definedName name="dupreezsalatt">SAL!$M$7</definedName>
    <definedName name="dupreezsalgls">SAL!$L$7</definedName>
    <definedName name="dupreezsalpts">SAL!$M$7</definedName>
    <definedName name="Earleharpts">HAR!$G$18</definedName>
    <definedName name="Earlehartries">HAR!$B$18</definedName>
    <definedName name="Earlenathanpts">SAR!#REF!</definedName>
    <definedName name="Earlenathantries">SAR!#REF!</definedName>
    <definedName name="Earlsarpts">SAR!$G$11</definedName>
    <definedName name="Earlsartries">SAR!$B$11</definedName>
    <definedName name="Eastermarkpts">SAL!#REF!</definedName>
    <definedName name="Eastermarktries">SAL!#REF!</definedName>
    <definedName name="Easternickpts">HAR!#REF!</definedName>
    <definedName name="Easternicktries">HAR!#REF!</definedName>
    <definedName name="Eastersalpts">SAL!#REF!</definedName>
    <definedName name="Eastersaltries">SAL!#REF!</definedName>
    <definedName name="Eastertries">HAR!#REF!</definedName>
    <definedName name="eastgatewasatt">WAS!$M$5</definedName>
    <definedName name="eastgatewasgoals">WAS!$L$5</definedName>
    <definedName name="Eastgatewaspts">WAS!$G$14</definedName>
    <definedName name="Eastgatewastries">WAS!$B$14</definedName>
    <definedName name="Eastmondkylepts">BTH!#REF!</definedName>
    <definedName name="Eastmondkyletries">BTH!#REF!</definedName>
    <definedName name="Eastmondleictries">LEIC!$B$9</definedName>
    <definedName name="Eastmondlicpts">LEIC!$G$9</definedName>
    <definedName name="Eastmondwaspts">WAS!#REF!</definedName>
    <definedName name="Eastmondwastries">WAS!#REF!</definedName>
    <definedName name="edenbriatt">BRI!$M$7</definedName>
    <definedName name="Edenbrigls">BRI!$L$7</definedName>
    <definedName name="Edenbripts">BRI!$G$12</definedName>
    <definedName name="Edenbritries">BRI!$B$12</definedName>
    <definedName name="edenworatt">WOR!#REF!</definedName>
    <definedName name="edenworgoals">WOR!#REF!</definedName>
    <definedName name="Edmondshuiapts">GLO!#REF!</definedName>
    <definedName name="Edmondshuiatries">GLO!#REF!</definedName>
    <definedName name="Egertonharpts">HAR!#REF!</definedName>
    <definedName name="Egertonhartries">HAR!#REF!</definedName>
    <definedName name="Egertonnewpts">NEW!#REF!</definedName>
    <definedName name="Egertonnewtries">NEW!#REF!</definedName>
    <definedName name="Elderchrispts">WOR!#REF!</definedName>
    <definedName name="Elderchristries">WOR!#REF!</definedName>
    <definedName name="Eliaharpts">HAR!$G$19</definedName>
    <definedName name="Eliahartries">HAR!$B$19</definedName>
    <definedName name="Ellerysarpts">SAR!#REF!</definedName>
    <definedName name="Ellerysartries">SAR!#REF!</definedName>
    <definedName name="Elliottjamiepts">NOR!$G$22</definedName>
    <definedName name="Elliottjamieptscorrect">NOR!#REF!</definedName>
    <definedName name="elliottjamietries">NOR!$B$22</definedName>
    <definedName name="Elliottjamietriescorrect">NOR!#REF!</definedName>
    <definedName name="Ellisgerardpts">BRI!#REF!</definedName>
    <definedName name="Ellisgerardtries">BRI!#REF!</definedName>
    <definedName name="Estellesnorpts">NOR!#REF!</definedName>
    <definedName name="Estellesnortrioes">NOR!#REF!</definedName>
    <definedName name="Evans_Lglopts">GLO!$G$15</definedName>
    <definedName name="Evans_Lglotries">GLO!$B$15</definedName>
    <definedName name="Evans_Oharpts">HAR!$G$20</definedName>
    <definedName name="Evans_Ohartries">HAR!$B$20</definedName>
    <definedName name="Evansbrynpts">BRI!#REF!</definedName>
    <definedName name="Evansbryntries">BRI!#REF!</definedName>
    <definedName name="Evansbthpts">BTH!$G$20</definedName>
    <definedName name="Evansbthtries">BTH!$B$20</definedName>
    <definedName name="Evansgarethpts">GLO!$G$14</definedName>
    <definedName name="Evansgarethtries">GLO!$B$14</definedName>
    <definedName name="Evansharpts">HAR!#REF!</definedName>
    <definedName name="Evansleipts">LEIC!$G$10</definedName>
    <definedName name="Evansleitries">LEIC!$B$10</definedName>
    <definedName name="evanslgloatt">GLO!$M$6</definedName>
    <definedName name="evanslglogoals">GLO!$L$6</definedName>
    <definedName name="evansnickatt">HAR!$M$4</definedName>
    <definedName name="evansnickgoals">HAR!$L$4</definedName>
    <definedName name="Evansnickpts">HAR!#REF!</definedName>
    <definedName name="Evansnicktries">HAR!#REF!</definedName>
    <definedName name="Evanssalpts">SAL!$G$12</definedName>
    <definedName name="Evanssaltries">SAL!$B$12</definedName>
    <definedName name="Everardmattpts">WAS!#REF!</definedName>
    <definedName name="Everardmatttries">WAS!#REF!</definedName>
    <definedName name="Everardwaspts">WAS!#REF!</definedName>
    <definedName name="Everardwastries">WAS!#REF!</definedName>
    <definedName name="Evesnorpts">NOR!#REF!</definedName>
    <definedName name="Evesnortries">NOR!#REF!</definedName>
    <definedName name="Ewelsbthpts">BTH!$G$21</definedName>
    <definedName name="ewelsbthtries">BTH!$B$21</definedName>
    <definedName name="Ewersexepts">EXE!$G$14</definedName>
    <definedName name="Ewersexetries">EXE!$B$14</definedName>
    <definedName name="Ewerspts">EXE!#REF!</definedName>
    <definedName name="Ewerstries">EXE!#REF!</definedName>
    <definedName name="Fa_asavalumauriepts">HAR!#REF!</definedName>
    <definedName name="Fa_asavalumaurietries">HAR!#REF!</definedName>
    <definedName name="Fa_osilivaalafotipts">BTH!#REF!</definedName>
    <definedName name="Fa_osilivaalafotitries">BTH!#REF!</definedName>
    <definedName name="Fainga_anukuofapts">WOR!$G$19</definedName>
    <definedName name="Fainga_anukuofatries">WOR!#REF!</definedName>
    <definedName name="Faletaubripts">BRI!$G$14</definedName>
    <definedName name="Faletaubritries">BRI!$B$14</definedName>
    <definedName name="Faletaubthpts">BTH!$G$22</definedName>
    <definedName name="Faletaubthtries">BTH!$B$22</definedName>
    <definedName name="Faosilivaworpts">WOR!$G$17</definedName>
    <definedName name="Faosilivawortries">WOR!$B$17</definedName>
    <definedName name="farrellatt">SAR!$M$4</definedName>
    <definedName name="farrellgoals">SAR!$L$4</definedName>
    <definedName name="Farrellowentries">SAR!$B$12</definedName>
    <definedName name="Farrellpts">SAR!#REF!</definedName>
    <definedName name="Farrellsarpts">SAR!$G$12</definedName>
    <definedName name="Fatialofaworpts">WOR!$G$18</definedName>
    <definedName name="Fatialofawortries">WOR!$B$18</definedName>
    <definedName name="Feaoleicpts">LEIC!$G$11</definedName>
    <definedName name="Feaoleictries">LEIC!$B$11</definedName>
    <definedName name="Fearnsalpts">SAL!$G$9</definedName>
    <definedName name="Fearnsaltries">SAL!$B$9</definedName>
    <definedName name="Fearnscarlpts">BTH!#REF!</definedName>
    <definedName name="Fearnscarltries">BTH!#REF!</definedName>
    <definedName name="Fenbylipts">BRI!$G$17</definedName>
    <definedName name="Fenbylitries">BRI!$B$17</definedName>
    <definedName name="Fenbypts">BRI!#REF!</definedName>
    <definedName name="Fenbysarpts">SAR!#REF!</definedName>
    <definedName name="Fenbysartries">SAR!#REF!</definedName>
    <definedName name="Fenbytries">BRI!#REF!</definedName>
    <definedName name="Fenton_Wellsbripts">BRI!$G$15</definedName>
    <definedName name="Fenton_Wellsbritries">BRI!$B$15</definedName>
    <definedName name="Fercusarpts">SAR!#REF!</definedName>
    <definedName name="Fercusarptscorrect">SAR!#REF!</definedName>
    <definedName name="Fercusartries">SAR!#REF!</definedName>
    <definedName name="Fercusartriescorrect">SAR!#REF!</definedName>
    <definedName name="Festucciacarlopts">WAS!$G$16</definedName>
    <definedName name="Festucciacarlotries">WAS!$B$16</definedName>
    <definedName name="Figallosarpts">SAR!$G$13</definedName>
    <definedName name="Figallosartries">SAR!$B$13</definedName>
    <definedName name="Fihakiviliamipts">SAL!#REF!</definedName>
    <definedName name="Fihakiviliamitris">SAL!#REF!</definedName>
    <definedName name="Fisherbrispts">BRI!#REF!</definedName>
    <definedName name="Fisherbristries">BRI!#REF!</definedName>
    <definedName name="Fisherlipts">BRI!#REF!</definedName>
    <definedName name="Fisherlitries">BRI!#REF!</definedName>
    <definedName name="Fishernorpts">NOR!#REF!</definedName>
    <definedName name="Fishernortries">NOR!#REF!</definedName>
    <definedName name="Fishnorpts">NOR!$G$14</definedName>
    <definedName name="Fishnortries">NOR!$B$14</definedName>
    <definedName name="Fitzgerald__Leitries">LEIC!$B$12</definedName>
    <definedName name="Fitzgeraldleipts">LEIC!$G$12</definedName>
    <definedName name="Flanagansarpts">SAR!#REF!</definedName>
    <definedName name="Flanagansartries">SAR!#REF!</definedName>
    <definedName name="floodatt">LEIC!$M$4</definedName>
    <definedName name="floodgoals">LEIC!$L$4</definedName>
    <definedName name="Floodnewpts">NEW!$G$16</definedName>
    <definedName name="Floodnewtries">NEW!$B$16</definedName>
    <definedName name="Floodpts">LEIC!$G$34</definedName>
    <definedName name="Floodtobypts">LEIC!#REF!</definedName>
    <definedName name="Floodtobytries">LEIC!$B$15</definedName>
    <definedName name="Flynnsalpts">SAL!$G$13</definedName>
    <definedName name="Flynnsaltries">SAL!$B$13</definedName>
    <definedName name="Fodenpts">NOR!#REF!</definedName>
    <definedName name="fodentries">NOR!#REF!</definedName>
    <definedName name="Fonualeipts">LEIC!#REF!</definedName>
    <definedName name="Fonualeitries">LEIC!#REF!</definedName>
    <definedName name="Fonualwepts">WOR!#REF!</definedName>
    <definedName name="Fonualwetries">WOR!#REF!</definedName>
    <definedName name="Fonuanewpts">NEW!#REF!</definedName>
    <definedName name="Fonuanewtries">NEW!#REF!</definedName>
    <definedName name="Ford_Jleicpts">LEIC!$G$14</definedName>
    <definedName name="Ford_Jleictries">LEIC!$B$14</definedName>
    <definedName name="Ford_Robinsonnorpts">NOR!$G$15</definedName>
    <definedName name="Ford_Robinsonnortries">NOR!$B$15</definedName>
    <definedName name="Fordgeorgeatt">BTH!$M$5</definedName>
    <definedName name="Fordgeorgebatpts">BTH!#REF!</definedName>
    <definedName name="Fordgeorgegoals">BTH!$L$5</definedName>
    <definedName name="fordgeorgepts">BTH!#REF!</definedName>
    <definedName name="Fordgroegetries">BTH!#REF!</definedName>
    <definedName name="fordjoeatt">SAL!#REF!</definedName>
    <definedName name="fordjoegoals">SAL!#REF!</definedName>
    <definedName name="Fordjoepts">SAL!#REF!</definedName>
    <definedName name="Fordjoeptscorrect">SAL!#REF!</definedName>
    <definedName name="fordleicpts">LEIC!$G$13</definedName>
    <definedName name="fordleictries">LEIC!$B$13</definedName>
    <definedName name="Fordsaltries">SAL!#REF!</definedName>
    <definedName name="Forsythandytries">SAL!#REF!</definedName>
    <definedName name="Forsythpts">SAL!#REF!</definedName>
    <definedName name="Forsythsalpts">SAL!#REF!</definedName>
    <definedName name="Forsythsaltries">SAL!#REF!</definedName>
    <definedName name="forsythtries">SAL!#REF!</definedName>
    <definedName name="Forsythtriescorrect">SAL!#REF!</definedName>
    <definedName name="Fosterwaspts">WAS!$G$15</definedName>
    <definedName name="Fosterwastries">WAS!$B$15</definedName>
    <definedName name="Fotuali_ibthatt">BTH!$M$8</definedName>
    <definedName name="Fotuali_ibthgls">BTH!$L$8</definedName>
    <definedName name="Fotuali_ibthpts">BTH!$G$23</definedName>
    <definedName name="Fotuali_ibthtries">BTH!$B$23</definedName>
    <definedName name="Fotuali_Ikahnpts">NOR!#REF!</definedName>
    <definedName name="Fotuali_Ikahntries">NOR!#REF!</definedName>
    <definedName name="Fowlessalpts">SAL!#REF!</definedName>
    <definedName name="Fowlessaltries">SAL!#REF!</definedName>
    <definedName name="Fowlielipts">BRI!$G$18</definedName>
    <definedName name="Fowlietompts">BRI!#REF!</definedName>
    <definedName name="Fowlietomtries">BRI!$B$18</definedName>
    <definedName name="Francisexepts">EXE!$G$15</definedName>
    <definedName name="Francisexetries">EXE!$B$15</definedName>
    <definedName name="Francisnorpts">NOR!$G$16</definedName>
    <definedName name="Francisnortries">NOR!$B$16</definedName>
    <definedName name="Frankslirpts">BRI!$G$19</definedName>
    <definedName name="Frankslirtries">BRI!$B$19</definedName>
    <definedName name="Franksnorpts">NOR!$G$17</definedName>
    <definedName name="Franksnortries">NOR!$B$17</definedName>
    <definedName name="Frasersarpts">SAR!#REF!</definedName>
    <definedName name="Frasersartries">SAR!#REF!</definedName>
    <definedName name="Fraserwillpts">SAR!#REF!</definedName>
    <definedName name="Fraserwilltries">SAR!#REF!</definedName>
    <definedName name="Freemanexepts">EXE!$G$16</definedName>
    <definedName name="Freemanexetries">EXE!$B$16</definedName>
    <definedName name="Frueanbatpts">BTH!#REF!</definedName>
    <definedName name="Frueanbattries">BTH!#REF!</definedName>
    <definedName name="Frynewpts">NEW!#REF!</definedName>
    <definedName name="Frynewtries">NEW!#REF!</definedName>
    <definedName name="furbanknoratt">NOR!$M$6</definedName>
    <definedName name="furbanknorgls">NOR!$L$6</definedName>
    <definedName name="Furbanknorpts">NOR!$G$15</definedName>
    <definedName name="Furbanknorptscorrect">NOR!$G$18</definedName>
    <definedName name="Furbanknortries">NOR!$B$15</definedName>
    <definedName name="Furbanknortriescorrect">NOR!$B$18</definedName>
    <definedName name="Furnonewpts">NEW!$G$17</definedName>
    <definedName name="Furnonewtries">NEW!$B$17</definedName>
    <definedName name="Furynewpts">NEW!#REF!</definedName>
    <definedName name="Furywarrenpts">NEW!#REF!</definedName>
    <definedName name="Furywarrentries">NEW!#REF!</definedName>
    <definedName name="Galarzaglopts">GLO!$G$16</definedName>
    <definedName name="Galarzaglotries">GLO!$B$16</definedName>
    <definedName name="Galarzamarianopts">WOR!$G$21</definedName>
    <definedName name="Galarzamarianotries">WOR!$B$21</definedName>
    <definedName name="Gallaghersarpts">SAR!$G$14</definedName>
    <definedName name="Gallaghersartries">SAR!$B$14</definedName>
    <definedName name="Garrattbthpts">BTH!#REF!</definedName>
    <definedName name="Garrattbthtries">BTH!#REF!</definedName>
    <definedName name="Garveymattpts">BTH!$G$24</definedName>
    <definedName name="Garveymatttries">BTH!$B$24</definedName>
    <definedName name="Gaskelljamespts">SAL!#REF!</definedName>
    <definedName name="Gaskelljamestries">SAL!#REF!</definedName>
    <definedName name="Gaskellwaspts">WAS!$G$17</definedName>
    <definedName name="Gaskellwastries">WAS!$B$17</definedName>
    <definedName name="Georgejamieptscorrect">SAR!#REF!</definedName>
    <definedName name="Georgejamietriescorrect">SAR!#REF!</definedName>
    <definedName name="Georgepts">SAR!#REF!</definedName>
    <definedName name="Georgesarpts">SAR!$G$15</definedName>
    <definedName name="Georgesartries">SAR!$B$15</definedName>
    <definedName name="georgetries">SAR!#REF!</definedName>
    <definedName name="geraghtyatt">BRI!#REF!</definedName>
    <definedName name="geraghtybriatt">BRI!#REF!</definedName>
    <definedName name="geraghtybrigoals">BRI!#REF!</definedName>
    <definedName name="Geraghtybripts">BRI!$G$21</definedName>
    <definedName name="Geraghtybritries">BRI!$B$21</definedName>
    <definedName name="geraghtygoals">BRI!#REF!</definedName>
    <definedName name="Geraghtylipts">BRI!#REF!</definedName>
    <definedName name="Geraghtylitries">BRI!#REF!</definedName>
    <definedName name="Geraghtypts">BRI!$G$34</definedName>
    <definedName name="Geraghtyptscorrect">BRI!#REF!</definedName>
    <definedName name="Geraghtytries">BRI!$B$47</definedName>
    <definedName name="Geraghtytriescorrect">BRI!#REF!</definedName>
    <definedName name="gfordpts">BTH!#REF!</definedName>
    <definedName name="Ghiraldinileipts">LEIC!$G$15</definedName>
    <definedName name="Ghiraldinileitries">LEIC!$B$15</definedName>
    <definedName name="Gibsonjamiepts">LEIC!#REF!</definedName>
    <definedName name="Gibsonjamietries">LEIC!#REF!</definedName>
    <definedName name="Gibsonnorpts">NOR!$G$19</definedName>
    <definedName name="Gibsonnortries">NOR!$B$19</definedName>
    <definedName name="Gigenaleicpts">LEIC!$G$16</definedName>
    <definedName name="Gigenaleictries">LEIC!$B$16</definedName>
    <definedName name="Gilbertbatpts">BTH!#REF!</definedName>
    <definedName name="Gilbertbattries">BTH!#REF!</definedName>
    <definedName name="Gilbertmatpts">BTH!#REF!</definedName>
    <definedName name="Gilbertmattries">BTH!#REF!</definedName>
    <definedName name="Gildingjackpts">WOR!#REF!</definedName>
    <definedName name="Gildingjacktries">WOR!#REF!</definedName>
    <definedName name="Gillsarpts">SAR!#REF!</definedName>
    <definedName name="Gillsartries">SAR!#REF!</definedName>
    <definedName name="Gilsenanlipts">BRI!$G$20</definedName>
    <definedName name="Gilsenanlitries">BRI!$B$20</definedName>
    <definedName name="Gleavelirpts">BRI!$G$21</definedName>
    <definedName name="Gleavelirtries">BRI!$B$21</definedName>
    <definedName name="gloucesterpentriespts">GLO!#REF!</definedName>
    <definedName name="GloucesterPenTriestries">GLO!#REF!</definedName>
    <definedName name="godmanatt">NEW!#REF!</definedName>
    <definedName name="godmangoals">NEW!#REF!</definedName>
    <definedName name="Godmannewpts">NEW!#REF!</definedName>
    <definedName name="Godmanphiltries">NEW!#REF!</definedName>
    <definedName name="Godmanpts">NEW!#REF!</definedName>
    <definedName name="goneatries">LEIC!#REF!</definedName>
    <definedName name="Gonevaleipts">LEIC!#REF!</definedName>
    <definedName name="Gonevaleiptscorrect">LEIC!#REF!</definedName>
    <definedName name="Gonevaleitries">LEIC!#REF!</definedName>
    <definedName name="Gonevapts">LEIC!#REF!</definedName>
    <definedName name="Gonevaptscorrect">LEIC!#REF!</definedName>
    <definedName name="Gonevatriescorrect">LEIC!#REF!</definedName>
    <definedName name="goodealexatt">SAR!$M$6</definedName>
    <definedName name="goodealexgoals">SAR!$L$6</definedName>
    <definedName name="Goodealexpts">SAR!$G$16</definedName>
    <definedName name="goodealextries">SAR!$B$16</definedName>
    <definedName name="goodeandyatt">WAS!$M$4</definedName>
    <definedName name="goodeandygoals">WAS!$L$4</definedName>
    <definedName name="Goodeandypts">WAS!#REF!</definedName>
    <definedName name="Goodemewpts">NEW!#REF!</definedName>
    <definedName name="goodenewatt">NEW!#REF!</definedName>
    <definedName name="Goodenewgoals">NEW!#REF!</definedName>
    <definedName name="Goodenewtries">NEW!#REF!</definedName>
    <definedName name="Goodepts">WAS!#REF!</definedName>
    <definedName name="Goodewaspts">WAS!$G$18</definedName>
    <definedName name="Goodewastries">WAS!$B$18</definedName>
    <definedName name="Goodhuecampts">WOR!#REF!</definedName>
    <definedName name="Goodhuecamtries">WOR!#REF!</definedName>
    <definedName name="Graham__Guynewpts">NEW!$G$19</definedName>
    <definedName name="Graham__Guynewtries">NEW!$B$19</definedName>
    <definedName name="Grahambripts">BRI!$G$16</definedName>
    <definedName name="Grahambritries">BRI!$B$16</definedName>
    <definedName name="Grahamnewpts">NEW!$G$18</definedName>
    <definedName name="Grahamnewtries">NEW!$B$18</definedName>
    <definedName name="Grantbatpts">BTH!$G$25</definedName>
    <definedName name="Grantbattries">BTH!$B$25</definedName>
    <definedName name="graydannyatt">WOR!$M$4</definedName>
    <definedName name="graydannygoals">WOR!$L$4</definedName>
    <definedName name="Grayharpts">HAR!$G$21</definedName>
    <definedName name="Grayhartries">HAR!$B$21</definedName>
    <definedName name="Graypts">WOR!#REF!</definedName>
    <definedName name="graysonnoratt">NOR!$M$7</definedName>
    <definedName name="graysonnorgls">NOR!$L$7</definedName>
    <definedName name="Graysonnorpts">NOR!$G$20</definedName>
    <definedName name="Graysonnortries">NOR!$B$20</definedName>
    <definedName name="Greenbthpts">BTH!$G$26</definedName>
    <definedName name="Greenbthtries">BTH!$B$26</definedName>
    <definedName name="Greennewpts">NEW!$G$20</definedName>
    <definedName name="Greennewtries">NEW!$B$20</definedName>
    <definedName name="Griffinlipts">BRI!#REF!</definedName>
    <definedName name="Griffinlitries">BRI!#REF!</definedName>
    <definedName name="Griffithssarpts">SAR!$G$17</definedName>
    <definedName name="Griffithssartries">SAR!$B$17</definedName>
    <definedName name="Grimoldbyharpts">HAR!#REF!</definedName>
    <definedName name="Grimoldbyhartries">HAR!#REF!</definedName>
    <definedName name="Groblerglopts">GLO!$G$18</definedName>
    <definedName name="Groblerglotrie">GLO!$B$18</definedName>
    <definedName name="Groomnorpts">NOR!#REF!</definedName>
    <definedName name="Groomnortries">NOR!#REF!</definedName>
    <definedName name="Grovepts">WOR!#REF!</definedName>
    <definedName name="Grovetries">WOR!#REF!</definedName>
    <definedName name="Guestlipts">BRI!#REF!</definedName>
    <definedName name="Guestlitries">BRI!#REF!</definedName>
    <definedName name="Guesttompts">HAR!#REF!</definedName>
    <definedName name="Guesttomtris">HAR!#REF!</definedName>
    <definedName name="Haganjamiepts">BRI!#REF!</definedName>
    <definedName name="Haganjamietries">BRI!#REF!</definedName>
    <definedName name="Hainingbripts">BRI!$G$17</definedName>
    <definedName name="Hainingbritries">BRI!$B$17</definedName>
    <definedName name="Hala_ufiachrispts">BRI!#REF!</definedName>
    <definedName name="Hala_ufiachristries">BRI!#REF!</definedName>
    <definedName name="Halaifonuaglopts">GLO!$G$17</definedName>
    <definedName name="Halaifonuaglotries">GLO!$B$17</definedName>
    <definedName name="Halaiwaspts">WAS!$G$20</definedName>
    <definedName name="Halaiwastries">WAS!$B$20</definedName>
    <definedName name="Halavataulipts">BRI!#REF!</definedName>
    <definedName name="Halavataulitries">BRI!#REF!</definedName>
    <definedName name="Halavataupts">BRI!#REF!</definedName>
    <definedName name="Halavatautries">BRI!#REF!</definedName>
    <definedName name="Haleymikepts">SAL!#REF!</definedName>
    <definedName name="Haleymiketries">SAL!#REF!</definedName>
    <definedName name="Hamiltonleipts">LEIC!#REF!</definedName>
    <definedName name="Hamiltonleitries">LEIC!#REF!</definedName>
    <definedName name="Hamiltonsarpts">SAR!#REF!</definedName>
    <definedName name="Hamiltonsartries">SAR!#REF!</definedName>
    <definedName name="Hammersleynewpts">NEW!$G$21</definedName>
    <definedName name="Hammersleynewtries">NEW!$B$21</definedName>
    <definedName name="Hammonddeanpts">WOR!$G$27</definedName>
    <definedName name="Hammonddeantries">WOR!$B$19</definedName>
    <definedName name="Hampsonwaspts">WAS!#REF!</definedName>
    <definedName name="Hampsonwasptscorrect">WAS!$G$19</definedName>
    <definedName name="Hampsonwastries">WAS!#REF!</definedName>
    <definedName name="Hampsonwastriescorrect">WAS!$B$19</definedName>
    <definedName name="Hankinmattpts">SAR!#REF!</definedName>
    <definedName name="Hankinmatttries">SAR!#REF!</definedName>
    <definedName name="hanrahannoratt">NOR!$M$5</definedName>
    <definedName name="Hanrahannorgoals">NOR!$L$5</definedName>
    <definedName name="Hanrahannorpts">NOR!#REF!</definedName>
    <definedName name="Hanrahannortries">NOR!#REF!</definedName>
    <definedName name="Hansonglopts">GLO!$G$19</definedName>
    <definedName name="Hansonglotries">GLO!$B$19</definedName>
    <definedName name="hardwickleicatt">LEIC!$M$7</definedName>
    <definedName name="hardwickleicgls">LEIC!$L$7</definedName>
    <definedName name="Hardwickleicpts">LEIC!$G$17</definedName>
    <definedName name="Hardwickleictries">LEIC!$B$17</definedName>
    <definedName name="Hargreavessarpts">SAR!#REF!</definedName>
    <definedName name="Hargreavessartries">SAR!#REF!</definedName>
    <definedName name="Harris_Bwaspts">WAS!$G$21</definedName>
    <definedName name="Harris_Bwastries">WAS!$B$21</definedName>
    <definedName name="Harrislipts">BRI!#REF!</definedName>
    <definedName name="Harrislitries">BRI!#REF!</definedName>
    <definedName name="Harrisnewpts">NEW!$G$22</definedName>
    <definedName name="Harrisnewtries">NEW!$B$22</definedName>
    <definedName name="Harrisonnorpts">NOR!$G$21</definedName>
    <definedName name="Harrisonnortries">NOR!$B$21</definedName>
    <definedName name="Harrisonsalpts">SAL!$G$14</definedName>
    <definedName name="Harrisonsaltris">SAL!$B$14</definedName>
    <definedName name="Harrisonsampts">LEIC!$G$18</definedName>
    <definedName name="Harrisonsamtries">LEIC!$B$18</definedName>
    <definedName name="Hartleypts">NOR!#REF!</definedName>
    <definedName name="Hartleyptscorrect">NOR!$G$22</definedName>
    <definedName name="hartleytries">NOR!#REF!</definedName>
    <definedName name="Hartleytriescorrect">NOR!$B$22</definedName>
    <definedName name="Hartleytriesthisiscorrect">NOR!$B$22</definedName>
    <definedName name="Hartryscorers">HAR!$A$2:$E$54</definedName>
    <definedName name="Haskelljamespts">WAS!#REF!</definedName>
    <definedName name="Haskelljamestries">WAS!#REF!</definedName>
    <definedName name="Haskellnorpts">NOR!$G$23</definedName>
    <definedName name="Haskellnortries">NOR!$B$23</definedName>
    <definedName name="hastingsbatatt">BTH!#REF!</definedName>
    <definedName name="hastingsbatgoals">BTH!#REF!</definedName>
    <definedName name="Hastingsbatpts">BTH!#REF!</definedName>
    <definedName name="Hastingsbattries">BTH!#REF!</definedName>
    <definedName name="Hauptworpts">WOR!#REF!</definedName>
    <definedName name="Hauptwortries">WOR!#REF!</definedName>
    <definedName name="Hawkinsnewpts">NEW!$G$23</definedName>
    <definedName name="Hawkinsnewtries">NEW!$B$23</definedName>
    <definedName name="Hayterpts">WAS!#REF!</definedName>
    <definedName name="Haytertries">WAS!#REF!</definedName>
    <definedName name="Hayterwaspts">WAS!#REF!</definedName>
    <definedName name="Hayterwastries">WAS!#REF!</definedName>
    <definedName name="Haywoodmikepts">NOR!$G$24</definedName>
    <definedName name="Haywoodmiketries">NOR!$B$24</definedName>
    <definedName name="Heaneyworpts">WOR!$G$20</definedName>
    <definedName name="Heaneywortries">WOR!$B$20</definedName>
    <definedName name="Hearnlirpts">BRI!$G$22</definedName>
    <definedName name="Hearnlirtries">BRI!$B$22</definedName>
    <definedName name="heathcoteatt">BTH!#REF!</definedName>
    <definedName name="Heathcotegoals">BTH!#REF!</definedName>
    <definedName name="Heathcotepts">BTH!#REF!</definedName>
    <definedName name="Heathcoteptscorrect">BTH!#REF!</definedName>
    <definedName name="Heinzglopts">GLO!$G$20</definedName>
    <definedName name="Heinzglotries">GLO!$B$20</definedName>
    <definedName name="Helleurnewpts">NEW!#REF!</definedName>
    <definedName name="Helleurnewtris">NEW!#REF!</definedName>
    <definedName name="Helupts">WAS!#REF!</definedName>
    <definedName name="Helutries">WAS!#REF!</definedName>
    <definedName name="Hendricksonexepts">EXE!$G$17</definedName>
    <definedName name="Hendriksonexetries">EXE!$B$17</definedName>
    <definedName name="Hennwelshpts">WOR!#REF!</definedName>
    <definedName name="Hennwelshtries">WOR!#REF!</definedName>
    <definedName name="hensongavinatt">BTH!#REF!</definedName>
    <definedName name="Hensongavingoals">BTH!#REF!</definedName>
    <definedName name="Hensongavinpts">BTH!#REF!</definedName>
    <definedName name="Hensongavintries">BTH!#REF!</definedName>
    <definedName name="Hepburnexepts">EXE!$G$18</definedName>
    <definedName name="Hepburnexetries">EXE!$B$18</definedName>
    <definedName name="Hepburnwaspts">WAS!#REF!</definedName>
    <definedName name="Hepburnwastries">WAS!#REF!</definedName>
    <definedName name="Hepetamaleipts">LEIC!#REF!</definedName>
    <definedName name="Hepetamaleitries">LEIC!#REF!</definedName>
    <definedName name="Hibbardglopts">GLO!#REF!</definedName>
    <definedName name="Hibbardglotries">GLO!#REF!</definedName>
    <definedName name="Hicksglopts">GLO!$B$21</definedName>
    <definedName name="Hicksgloptscorrect">GLO!$G$21</definedName>
    <definedName name="Hicksglotries">GLO!$B$21</definedName>
    <definedName name="Hill_Jexepts">EXE!$G$19</definedName>
    <definedName name="Hill_Jexetries">EXE!$B$19</definedName>
    <definedName name="Hill_Samexetries">EXE!$B$20</definedName>
    <definedName name="Hill_Sexepts">EXE!$B$20</definedName>
    <definedName name="Hill_Ssamexepts">EXE!$G$20</definedName>
    <definedName name="Hillsampts">EXE!$G$20</definedName>
    <definedName name="Hillsamtries">EXE!$B$20</definedName>
    <definedName name="Hillworpts">WOR!$G$22</definedName>
    <definedName name="Hillwortries">WOR!$B$22</definedName>
    <definedName name="Hinessalpts">SAL!#REF!</definedName>
    <definedName name="Hinessaltries">SAL!#REF!</definedName>
    <definedName name="hodgsoncharlieatt">SAR!$M$5</definedName>
    <definedName name="Hodgsoncharliegoals">SAR!$L$5</definedName>
    <definedName name="Hodgsoncharliepts">SAR!#REF!</definedName>
    <definedName name="Hodgsoncharlietries">SAR!#REF!</definedName>
    <definedName name="hodgsonjoelatt">NEW!#REF!</definedName>
    <definedName name="Hodgsonjoelgoals">NEW!#REF!</definedName>
    <definedName name="Hodgsonjoelpts">NEW!#REF!</definedName>
    <definedName name="Hodgsonjoeltries">NEW!#REF!</definedName>
    <definedName name="Hodgsonnewatt">NEW!$L$7</definedName>
    <definedName name="hodgsonnewattcorrect">NEW!$M$7</definedName>
    <definedName name="Hodgsonnewgoals">NEW!$L$7</definedName>
    <definedName name="hodgsonnoratt">NOR!#REF!</definedName>
    <definedName name="hodgsonnorgoals">NOR!#REF!</definedName>
    <definedName name="Hodgsonnorpts">NOR!$G$25</definedName>
    <definedName name="Hodgsonnortries">NOR!$B$25</definedName>
    <definedName name="hodgsonsargoals">NOR!#REF!</definedName>
    <definedName name="Hoggnewpts">NEW!#REF!</definedName>
    <definedName name="Hoggnewtries">NEW!#REF!</definedName>
    <definedName name="Holensteinharpts">HAR!#REF!</definedName>
    <definedName name="Holensteinhartries">HAR!#REF!</definedName>
    <definedName name="Holmesexepts">EXE!$G$21</definedName>
    <definedName name="holmesexetries">EXE!$B$21</definedName>
    <definedName name="Holmesjonahpts">WAS!#REF!</definedName>
    <definedName name="Holmesjonahtries">WAS!#REF!</definedName>
    <definedName name="Holmesleicpts">LEIC!$G$19</definedName>
    <definedName name="Holmesleictries">LEIC!$B$19</definedName>
    <definedName name="Holmesnewpts">NEW!#REF!</definedName>
    <definedName name="Holmesnewtries">NEW!#REF!</definedName>
    <definedName name="Holmeswaspts">WAS!#REF!</definedName>
    <definedName name="Holmeswastries">WAS!#REF!</definedName>
    <definedName name="Homer_Tombthgoals">BTH!$L$7</definedName>
    <definedName name="Homer_Tombthpts">BTH!$G$27</definedName>
    <definedName name="Homer_Tombthtries">BTH!$B$27</definedName>
    <definedName name="Homerbthpts">BTH!#REF!</definedName>
    <definedName name="Homerbthtries">BTH!#REF!</definedName>
    <definedName name="homerliatt">BRI!#REF!</definedName>
    <definedName name="homerligoals">BRI!#REF!</definedName>
    <definedName name="homertombthatt">BTH!$M$7</definedName>
    <definedName name="Homertompts">BRI!#REF!</definedName>
    <definedName name="Homertomtried">BRI!#REF!</definedName>
    <definedName name="hookgloatt">GLO!$M$4</definedName>
    <definedName name="hookglogoals">GLO!$L$4</definedName>
    <definedName name="Hookglopts">GLO!#REF!</definedName>
    <definedName name="Hookglotries">GLO!#REF!</definedName>
    <definedName name="hooleyatt">NOR!#REF!</definedName>
    <definedName name="hooleyexeatt">EXE!#REF!</definedName>
    <definedName name="Hooleyexegoals">EXE!#REF!</definedName>
    <definedName name="Hooleyexepts">EXE!#REF!</definedName>
    <definedName name="Hooleyexetries">EXE!#REF!</definedName>
    <definedName name="Hooleygoals">NOR!#REF!</definedName>
    <definedName name="Hooleywillpts">NOR!#REF!</definedName>
    <definedName name="Hooleywilltries">NOR!#REF!</definedName>
    <definedName name="Hooperstuartpts">BTH!#REF!</definedName>
    <definedName name="Hooperstuarttries">BTH!#REF!</definedName>
    <definedName name="Hopperpts">HAR!#REF!</definedName>
    <definedName name="Hoppertries">HAR!#REF!</definedName>
    <definedName name="Hornenorpts">NOR!#REF!</definedName>
    <definedName name="Hornenortries">NOR!#REF!</definedName>
    <definedName name="Horstmannexepts">EXE!#REF!</definedName>
    <definedName name="Horstmannexetries">EXE!#REF!</definedName>
    <definedName name="Horwillharpts">HAR!$G$22</definedName>
    <definedName name="Horwillhartries">HAR!$B$22</definedName>
    <definedName name="Hoskinslirpts">BRI!$G$24</definedName>
    <definedName name="Hoskinslirtries">BRI!$B$24</definedName>
    <definedName name="Hougaardworpts">WOR!$G$23</definedName>
    <definedName name="Hougaardwortries">WOR!$B$23</definedName>
    <definedName name="Houstonbatpts">BTH!#REF!</definedName>
    <definedName name="Houstonbattries">BTH!#REF!</definedName>
    <definedName name="Houstonleroypts">BTH!#REF!</definedName>
    <definedName name="Houstonleroytries">BTH!#REF!</definedName>
    <definedName name="Howardnorpts">NOR!#REF!</definedName>
    <definedName name="Howardnortries">NOR!#REF!</definedName>
    <definedName name="Howetompts">WAS!#REF!</definedName>
    <definedName name="Howetomtries">WAS!#REF!</definedName>
    <definedName name="Howewaspts">WAS!#REF!</definedName>
    <definedName name="Howewastries">WAS!#REF!</definedName>
    <definedName name="Howeworpts">WOR!$G$24</definedName>
    <definedName name="Howewortries">WOR!$B$24</definedName>
    <definedName name="Hudsonglopts">GLO!$G$22</definedName>
    <definedName name="Hudsonglotries">GLO!$B$22</definedName>
    <definedName name="Hudsonjamespts">GLO!#REF!</definedName>
    <definedName name="hudsonjamestries">GLO!#REF!</definedName>
    <definedName name="Hughesexepts">EXE!#REF!</definedName>
    <definedName name="Hughesexetries">EXE!#REF!</definedName>
    <definedName name="Hughesnathanpts">WAS!#REF!</definedName>
    <definedName name="Hughesnathantries">WAS!#REF!</definedName>
    <definedName name="Hugheswaspts">WAS!$G$22</definedName>
    <definedName name="Hugheswastries">WAS!$B$22</definedName>
    <definedName name="humphreysatt">BRI!$M$4</definedName>
    <definedName name="humphreysgoals">BRI!$L$4</definedName>
    <definedName name="Humphreysiantries">BRI!#REF!</definedName>
    <definedName name="Humphreyspts">BRI!#REF!</definedName>
    <definedName name="Humphreysworpts">WOR!$G$25</definedName>
    <definedName name="Humphreyswortries">WOR!$B$25</definedName>
    <definedName name="Hurrellbstpts">BRI!#REF!</definedName>
    <definedName name="Hurrellbsttries">BRI!#REF!</definedName>
    <definedName name="hutchinsonnoratt">NOR!$M$8</definedName>
    <definedName name="hutchinsonnorgls">NOR!$L$8</definedName>
    <definedName name="Hutchinsonnorpts">NOR!$G$26</definedName>
    <definedName name="Hutchinsonnortries">NOR!$B$26</definedName>
    <definedName name="Ibitoyeharpts">HAR!$G$23</definedName>
    <definedName name="Ibitoyehartries">HAR!$B$23</definedName>
    <definedName name="Ibuanokpeharpts">HAR!$G$24</definedName>
    <definedName name="Ibuanokpehartries">HAR!$B$24</definedName>
    <definedName name="Ingallcharliepts">SAL!#REF!</definedName>
    <definedName name="Ingallcharlietries">SAL!#REF!</definedName>
    <definedName name="Ioanetjsalpts">SAL!#REF!</definedName>
    <definedName name="Ioanetjsaltries">SAL!#REF!</definedName>
    <definedName name="Isaacsglopts">GLO!#REF!</definedName>
    <definedName name="Isaacsglotries">GLO!#REF!</definedName>
    <definedName name="Isiekwesarpts">SAR!$G$18</definedName>
    <definedName name="Isiekwesartries">SAR!$B$18</definedName>
    <definedName name="Itojesarpts">SAR!$G$19</definedName>
    <definedName name="Itojesartries">SAR!$B$19</definedName>
    <definedName name="Jackson_Ewaspts">WAS!#REF!</definedName>
    <definedName name="Jackson_Ewastries">WAS!#REF!</definedName>
    <definedName name="Jackson_Rwaspts">WAS!#REF!</definedName>
    <definedName name="Jackson_Rwastries">WAS!#REF!</definedName>
    <definedName name="Jacksonedpts">WAS!#REF!</definedName>
    <definedName name="jacksonedtries">WAS!#REF!</definedName>
    <definedName name="Jacksonharpts">HAR!#REF!</definedName>
    <definedName name="Jacksonhartries">HAR!#REF!</definedName>
    <definedName name="jacksonrwasatt">WAS!#REF!</definedName>
    <definedName name="jacksonrwasgoals">WAS!#REF!</definedName>
    <definedName name="Jacobsbenpts">WAS!#REF!</definedName>
    <definedName name="Jacobsbentries">WAS!#REF!</definedName>
    <definedName name="Jacobswaspts">WAS!#REF!</definedName>
    <definedName name="Jacobswastries">WAS!#REF!</definedName>
    <definedName name="James_Lsalpts">SAL!$G$15</definedName>
    <definedName name="James_Lsaltries">SAL!$B$15</definedName>
    <definedName name="Jamespaulpts">BTH!#REF!</definedName>
    <definedName name="Jamespaultries">BTH!#REF!</definedName>
    <definedName name="Jamespts">EXE!$G$22</definedName>
    <definedName name="Jamessalatt">SAL!$M$10</definedName>
    <definedName name="Jamessalgls">SAL!$L$10</definedName>
    <definedName name="Jamessalpts">SAL!$G$16</definedName>
    <definedName name="Jamessaltries">SAL!$B$16</definedName>
    <definedName name="jamestries">EXE!$B$22</definedName>
    <definedName name="jameswasatt">WAS!$M$6</definedName>
    <definedName name="jameswasgoals">WAS!$L$6</definedName>
    <definedName name="Jameswaspts">WAS!$G$23</definedName>
    <definedName name="Jameswastries">WAS!$B$23</definedName>
    <definedName name="jardinewasatt">WAS!$M$7</definedName>
    <definedName name="jardinewasgls">WAS!$L$7</definedName>
    <definedName name="Jardinewaspts">WAS!$G$24</definedName>
    <definedName name="Jardinewastries">WAS!$B$24</definedName>
    <definedName name="jarvisbriatt">BRI!#REF!</definedName>
    <definedName name="Jarvisbrigoals">BRI!#REF!</definedName>
    <definedName name="Jefferssalepts">SAL!#REF!</definedName>
    <definedName name="Jefferssaltries">SAL!#REF!</definedName>
    <definedName name="Jeffriesbripts">BRI!$G$21</definedName>
    <definedName name="Jeffriesbritries">BRI!$B$21</definedName>
    <definedName name="Jeffriesbstpts">BRI!$G$23</definedName>
    <definedName name="Jeffriesbsttries">BRI!$B$23</definedName>
    <definedName name="Jenningsbthpts">BTH!#REF!</definedName>
    <definedName name="Jenningsbthtries">BTH!#REF!</definedName>
    <definedName name="Jenningssalpts">SAL!$G$17</definedName>
    <definedName name="Jenningssaltries">SAL!$B$17</definedName>
    <definedName name="Jessexepts">EXE!#REF!</definedName>
    <definedName name="Jessexetries">EXE!#REF!</definedName>
    <definedName name="Jesspts">EXE!#REF!</definedName>
    <definedName name="Jesstries">EXE!#REF!</definedName>
    <definedName name="Jewellsebpts">WOR!$G$19</definedName>
    <definedName name="Jewellsebtries">WOR!$B$19</definedName>
    <definedName name="Johnsalpts">SAL!$G$18</definedName>
    <definedName name="Johnsaltries">SAL!$B$18</definedName>
    <definedName name="Johnsonashleypts">WAS!#REF!</definedName>
    <definedName name="johnsonashleytries">WAS!#REF!</definedName>
    <definedName name="Johnsonexepts">EXE!$G$24</definedName>
    <definedName name="Johnsonexetries">EXE!$B$24</definedName>
    <definedName name="Johnsontompts">EXE!#REF!</definedName>
    <definedName name="Johnsontomtries">EXE!#REF!</definedName>
    <definedName name="Johnsonwaspts">WAS!$G$25</definedName>
    <definedName name="Johnsonwastries">WAS!$B$25</definedName>
    <definedName name="Johnstonjamespts">SAR!#REF!</definedName>
    <definedName name="Johnstonjamestries">SAR!#REF!</definedName>
    <definedName name="Johnstonwaspts">WAS!#REF!</definedName>
    <definedName name="Johnstonwasptscorrect">WAS!#REF!</definedName>
    <definedName name="Johnstonwastries">WAS!#REF!</definedName>
    <definedName name="jonathanjosephtries">BTH!#REF!</definedName>
    <definedName name="Jones_Jsalpts">SAL!$G$19</definedName>
    <definedName name="Jones_Jsaltries">SAL!$B$19</definedName>
    <definedName name="Jonesadamharpts">HAR!$G$26</definedName>
    <definedName name="Jonesadamhartries">HAR!$B$26</definedName>
    <definedName name="Joneschrispts">WOR!#REF!</definedName>
    <definedName name="joneschristries">WOR!$B$7</definedName>
    <definedName name="Jonesexepts">EXE!#REF!</definedName>
    <definedName name="Jonesexetries">EXE!#REF!</definedName>
    <definedName name="Jonesharpts">HAR!#REF!</definedName>
    <definedName name="Joneshartries">HAR!#REF!</definedName>
    <definedName name="Jonesmarcpts">SAL!#REF!</definedName>
    <definedName name="Jonesmarctries">SAL!#REF!</definedName>
    <definedName name="Jonessalpts">SAL!$G$20</definedName>
    <definedName name="Jonessaltries">SAL!$B$20</definedName>
    <definedName name="Jonessampts">WAS!#REF!</definedName>
    <definedName name="Jonessamtries">WAS!#REF!</definedName>
    <definedName name="jonesworatt">WOR!#REF!</definedName>
    <definedName name="Jonesworgls">WOR!#REF!</definedName>
    <definedName name="Jonesworpts">WOR!#REF!</definedName>
    <definedName name="Joneswortries">WOR!#REF!</definedName>
    <definedName name="Josephbatpts">BTH!$G$28</definedName>
    <definedName name="Josephbattries">BTH!$B$28</definedName>
    <definedName name="josephbthatt">BTH!$M$9</definedName>
    <definedName name="Josephbthgls">BTH!$L$9</definedName>
    <definedName name="Josephjonathanptscorrect">BTH!#REF!</definedName>
    <definedName name="Josephjonathantriescorrect">BTH!#REF!</definedName>
    <definedName name="josephpts">BTH!#REF!</definedName>
    <definedName name="Josephpts2">BTH!#REF!</definedName>
    <definedName name="Jouberternstpts">SAR!$G$21</definedName>
    <definedName name="Jouberternsttries">SAR!$B$21</definedName>
    <definedName name="Jubbtompts">SAR!#REF!</definedName>
    <definedName name="Jubbtomtries">SAR!#REF!</definedName>
    <definedName name="Judgesarpts">SAR!$G$20</definedName>
    <definedName name="Judgesartries">SAR!$B$20</definedName>
    <definedName name="Kalamafonileipts">LEIC!$G$20</definedName>
    <definedName name="Kalamafonileitries">LEIC!$B$20</definedName>
    <definedName name="Kalamafonipts">GLO!#REF!</definedName>
    <definedName name="Kalamafonitries">GLO!#REF!</definedName>
    <definedName name="Kearlwepts">WOR!#REF!</definedName>
    <definedName name="Kearlwetries">WOR!#REF!</definedName>
    <definedName name="Keastexepts">EXE!$G$23</definedName>
    <definedName name="Keastexetries">EXE!$B$23</definedName>
    <definedName name="Kellawaynorpts">NOR!$G$27</definedName>
    <definedName name="Kellawaynortries">NOR!$B$27</definedName>
    <definedName name="Kerrodworpts">WOR!$G$26</definedName>
    <definedName name="Kerrodwortries">WOR!$B$26</definedName>
    <definedName name="Kessellnorpts">NOR!#REF!</definedName>
    <definedName name="Kessellnortries">NOR!#REF!</definedName>
    <definedName name="Kibirigezachpts">NEW!$G$24</definedName>
    <definedName name="Kibirigezachtries">NEW!$B$24</definedName>
    <definedName name="Kirwancarlpts">WOR!$G$21</definedName>
    <definedName name="Kirwancarltries">WOR!$B$21</definedName>
    <definedName name="Kitchenergrahamptscorrect">LEIC!$G$21</definedName>
    <definedName name="Kitchenergrahamtriescorrect">LEIC!$B$21</definedName>
    <definedName name="Kitchenerpts">LEIC!#REF!</definedName>
    <definedName name="kitchenertries">LEIC!#REF!</definedName>
    <definedName name="Kittoleipts">LEIC!#REF!</definedName>
    <definedName name="Kittoleitries">LEIC!#REF!</definedName>
    <definedName name="Knightglopts">BTH!#REF!</definedName>
    <definedName name="Knightglotries">BTH!#REF!</definedName>
    <definedName name="Knightpts">GLO!#REF!</definedName>
    <definedName name="Knighttries">GLO!#REF!</definedName>
    <definedName name="Kolo_ofainewpts">NEW!#REF!</definedName>
    <definedName name="Kolo_ofainewtries">NEW!#REF!</definedName>
    <definedName name="Kpoku__Jonathansarpts">SAR!$G$23</definedName>
    <definedName name="Kpoku__Jonathansartries">SAR!$B$23</definedName>
    <definedName name="Kpokusarpts">SAR!$G$22</definedName>
    <definedName name="Kpokusartries">SAR!$B$22</definedName>
    <definedName name="Krielglopts">GLO!$G$23</definedName>
    <definedName name="Krielglotries">GLO!$B$23</definedName>
    <definedName name="Kruisgeorgepts">SAR!$G$24</definedName>
    <definedName name="Kruisgeorgetries">SAR!$B$24</definedName>
    <definedName name="Kuleminsalpts">SAL!#REF!</definedName>
    <definedName name="Kuleminsaltries">SAL!#REF!</definedName>
    <definedName name="Kunataniharpts">HAR!$G$25</definedName>
    <definedName name="Kunatanihartries">HAR!$B$25</definedName>
    <definedName name="Kvesicmattpts">GLO!#REF!</definedName>
    <definedName name="Kvesicmatttries">GLO!#REF!</definedName>
    <definedName name="Lahiffmaxbthpts">BTH!$G$29</definedName>
    <definedName name="lahiffmaxbthtries">BTH!$B$29</definedName>
    <definedName name="laidlawgloatt">GLO!#REF!</definedName>
    <definedName name="laidlawglogoals">GLO!#REF!</definedName>
    <definedName name="Laidlawglopts">GLO!#REF!</definedName>
    <definedName name="Laidlawglotries">GLO!#REF!</definedName>
    <definedName name="lambatt">LEIC!#REF!</definedName>
    <definedName name="Lambertharpts">HAR!$G$27</definedName>
    <definedName name="Lamberthartries">HAR!$B$27</definedName>
    <definedName name="lambgoals">LEIC!#REF!</definedName>
    <definedName name="Lambpts">LEIC!#REF!</definedName>
    <definedName name="Lambptscorrect">LEIC!#REF!</definedName>
    <definedName name="Lambripts">BRI!$G$23</definedName>
    <definedName name="Lambritries">BRI!$B$23</definedName>
    <definedName name="Lambryantries">WOR!#REF!</definedName>
    <definedName name="lambryanworatt">WOR!#REF!</definedName>
    <definedName name="Lambryanworgoals">WOR!#REF!</definedName>
    <definedName name="Lambryanworpts">WOR!#REF!</definedName>
    <definedName name="Lambworgoals">WOR!#REF!</definedName>
    <definedName name="Lamositelesarpts">SAR!$G$25</definedName>
    <definedName name="Lamositelesartries">SAR!$B$25</definedName>
    <definedName name="lanceworatt">WOR!$M$6</definedName>
    <definedName name="lanceworgls">WOR!$L$6</definedName>
    <definedName name="Lanceworpts">WOR!$G$28</definedName>
    <definedName name="Lancewortries">WOR!$B$28</definedName>
    <definedName name="Lanebatpts">BTH!#REF!</definedName>
    <definedName name="Lanebattris">BTH!#REF!</definedName>
    <definedName name="Lanerichardpts">BTH!#REF!</definedName>
    <definedName name="Lanerichardtries">BTH!#REF!</definedName>
    <definedName name="Lanerichardtriescorrect">BTH!#REF!</definedName>
    <definedName name="Langdonsalpts">SAL!$G$21</definedName>
    <definedName name="Langdonsaltries">SAL!$B$21</definedName>
    <definedName name="langharatt">HAR!$M$6</definedName>
    <definedName name="Langhargls">HAR!$L$6</definedName>
    <definedName name="Langharpts">HAR!$G$28</definedName>
    <definedName name="Langhartries">HAR!$B$28</definedName>
    <definedName name="Langleywaspts">WAS!$G$26</definedName>
    <definedName name="Langleywastries">WAS!$B$26</definedName>
    <definedName name="lanharatt">HAR!$M$6</definedName>
    <definedName name="lanhargoals">HAR!$L$6</definedName>
    <definedName name="lanharpts">HAR!$M$6</definedName>
    <definedName name="Lasikeharpts">HAR!$G$29</definedName>
    <definedName name="Lasikehartries">HAR!$B$29</definedName>
    <definedName name="Latunewpts">NEW!#REF!</definedName>
    <definedName name="Latunewtries">NEW!#REF!</definedName>
    <definedName name="Launchburypts">WAS!#REF!</definedName>
    <definedName name="launchburytries">WAS!#REF!</definedName>
    <definedName name="Launchburywaspts">WAS!$G$27</definedName>
    <definedName name="Launchburywastries">WAS!$B$27</definedName>
    <definedName name="Lawdayexepts">EXE!#REF!</definedName>
    <definedName name="Lawdayexeptscorrect">EXE!$G$25</definedName>
    <definedName name="Lawdayexetries">EXE!#REF!</definedName>
    <definedName name="Lawdayexetriescorrect">EXE!$B$25</definedName>
    <definedName name="Lawesnorpts">NOR!$G$28</definedName>
    <definedName name="Lawesnortries">NOR!$B$28</definedName>
    <definedName name="Lawrencewaspts">WAS!#REF!</definedName>
    <definedName name="Lawrencewastries">WAS!#REF!</definedName>
    <definedName name="Lawrenceworpts">WOR!$G$29</definedName>
    <definedName name="Lawrencewortries">WOR!$B$29</definedName>
    <definedName name="Lawsonnewpts">NEW!#REF!</definedName>
    <definedName name="Lawsonnewtries">NEW!#REF!</definedName>
    <definedName name="Lawsonscottpts">NEW!#REF!</definedName>
    <definedName name="Lawsonscotttries">NEW!#REF!</definedName>
    <definedName name="Laybripts">BRI!$G$25</definedName>
    <definedName name="Laybritries">BRI!$B$25</definedName>
    <definedName name="Le_Bourgeoiswaspts">WAS!$G$28</definedName>
    <definedName name="Le_Bourgeoiswastries">WAS!$B$28</definedName>
    <definedName name="Le_Rouxwaspts">WAS!$G$29</definedName>
    <definedName name="Le_Rouxwastries">WAS!$B$29</definedName>
    <definedName name="Leesexepts">EXE!$G$26</definedName>
    <definedName name="Leesexetries">EXE!$B$26</definedName>
    <definedName name="leicspentriespts">LEIC!$G$26</definedName>
    <definedName name="leicspentriestries">LEIC!$B$26</definedName>
    <definedName name="Leiuaalapatiwaspts">WAS!$G$30</definedName>
    <definedName name="Leiuawaspts">WAS!#REF!</definedName>
    <definedName name="Leiuawasptscorrect">WAS!#REF!</definedName>
    <definedName name="Leiuawastries">WAS!$B$30</definedName>
    <definedName name="Lemipts">WOR!#REF!</definedName>
    <definedName name="lemitries">WOR!#REF!</definedName>
    <definedName name="Leolipts">BRI!#REF!</definedName>
    <definedName name="Leolitries">BRI!#REF!</definedName>
    <definedName name="Leotajohnnypts">SAL!$G$22</definedName>
    <definedName name="Leotajohnnytries">SAL!$B$22</definedName>
    <definedName name="Lewingtonalextries">BRI!$B$24</definedName>
    <definedName name="Lewingtonpts">BRI!$G$24</definedName>
    <definedName name="Lewingtonsarpts">SAR!$G$26</definedName>
    <definedName name="Lewingtonsartries">SAR!$B$26</definedName>
    <definedName name="Lewingtontries">BRI!$B$25</definedName>
    <definedName name="Lewis_">WOR!$G$27</definedName>
    <definedName name="Lewis_Robertssalpts">SAL!#REF!</definedName>
    <definedName name="Lewis_Robertssaltries">SAL!#REF!</definedName>
    <definedName name="lewisbthatt">BTH!#REF!</definedName>
    <definedName name="Lewisbthgls">BTH!#REF!</definedName>
    <definedName name="Lewisbthpts">BTH!#REF!</definedName>
    <definedName name="Lewisbthtries">BTH!#REF!</definedName>
    <definedName name="Lewisdaveharpts">HAR!$G$30</definedName>
    <definedName name="Lewisdavehartries">HAR!$B$30</definedName>
    <definedName name="Lewisdavepts">EXE!#REF!</definedName>
    <definedName name="Lewisdavetries">EXE!#REF!</definedName>
    <definedName name="Lewisjamespts">WOR!#REF!</definedName>
    <definedName name="Lewisjamestries">WOR!#REF!</definedName>
    <definedName name="Lewisrobpts">WOR!$G$27</definedName>
    <definedName name="Lewisrobtries">WOR!$B$27</definedName>
    <definedName name="Lindsay_Hagueolliepts">HAR!#REF!</definedName>
    <definedName name="Lindsay_Hagueollietries">HAR!#REF!</definedName>
    <definedName name="Lindsaysarpts">SAR!#REF!</definedName>
    <definedName name="Lindsaysartries">SAR!#REF!</definedName>
    <definedName name="Lindsaywaspts">WAS!#REF!</definedName>
    <definedName name="Lindsaywastries">WAS!#REF!</definedName>
    <definedName name="Listonjessepts">WOR!#REF!</definedName>
    <definedName name="Listonjessetries">WOR!#REF!</definedName>
    <definedName name="Litchfieldjimmiepts">WOR!#REF!</definedName>
    <definedName name="Litchfieldjimmietries">WOR!#REF!</definedName>
    <definedName name="Lloydlirpts">BRI!$G$26</definedName>
    <definedName name="Lloydlirtries">BRI!$B$26</definedName>
    <definedName name="Loaderlirpts">BRI!$G$27</definedName>
    <definedName name="Loaderlirtries">BRI!$B$27</definedName>
    <definedName name="Loamanuleipts">LEIC!#REF!</definedName>
    <definedName name="Loamanuleitries">LEIC!#REF!</definedName>
    <definedName name="Lokotuiglopts">GLO!#REF!</definedName>
    <definedName name="Lokotuiglotries">GLO!#REF!</definedName>
    <definedName name="Lomidzelirpts">BRI!$G$28</definedName>
    <definedName name="Lomidzelirtries">BRI!$B$28</definedName>
    <definedName name="londonirishpentriespts">BRI!$G$45</definedName>
    <definedName name="londonirishpentriestries">BRI!$B$45</definedName>
    <definedName name="Longbottomsalpts">SAL!#REF!</definedName>
    <definedName name="Longbottomsaltries">SAL!#REF!</definedName>
    <definedName name="Longbottomsarpts">SAR!$G$27</definedName>
    <definedName name="LongbottomsarptsCORRECT">SAR!#REF!</definedName>
    <definedName name="Longbottomsartries">SAR!$B$27</definedName>
    <definedName name="LongbottomsartriesCORRECT">SAR!#REF!</definedName>
    <definedName name="Lonsdaleexepts">EXE!$G$27</definedName>
    <definedName name="Lonsdaleexetries">EXE!$B$27</definedName>
    <definedName name="Louwfrancoispts">BTH!$G$30</definedName>
    <definedName name="Louwfrancoistris">BTH!$B$30</definedName>
    <definedName name="Loweharpts">HAR!#REF!</definedName>
    <definedName name="Lowehartries">HAR!#REF!</definedName>
    <definedName name="Lowkierantries">BRI!$B$25</definedName>
    <definedName name="Lowlipts">BRI!$G$25</definedName>
    <definedName name="Lowmoraypts">EXE!$G$28</definedName>
    <definedName name="Lowmoraytries">EXE!$B$28</definedName>
    <definedName name="Lowpts">BRI!#REF!</definedName>
    <definedName name="Lowptscorrect">BRI!#REF!</definedName>
    <definedName name="lowtries">BRI!#REF!</definedName>
    <definedName name="Lowtriescorrect">BRI!$B$11</definedName>
    <definedName name="Lozadawaspts">WAS!#REF!</definedName>
    <definedName name="Lozadawastries">WAS!#REF!</definedName>
    <definedName name="lozowskiwasatt">WAS!#REF!</definedName>
    <definedName name="lozowskiwasgoals">WAS!#REF!</definedName>
    <definedName name="Lozowskiwaspts">WAS!#REF!</definedName>
    <definedName name="Lozowskiwastries">WAS!#REF!</definedName>
    <definedName name="Ludlamnorpts">NOR!$G$29</definedName>
    <definedName name="Ludlamnortries">NOR!$B$29</definedName>
    <definedName name="Ludlowglopts">GLO!$G$24</definedName>
    <definedName name="Ludlowglotries">GLO!$B$24</definedName>
    <definedName name="Lundsalpts">SAL!#REF!</definedName>
    <definedName name="Lundsaltries">SAL!#REF!</definedName>
    <definedName name="Lutuiglopts">GLO!#REF!</definedName>
    <definedName name="Lutuiglotries">GLO!#REF!</definedName>
    <definedName name="Ma_afuglopts">GLO!#REF!</definedName>
    <definedName name="Ma_afuglotries">GLO!#REF!</definedName>
    <definedName name="Ma_afunorpts">NOR!#REF!</definedName>
    <definedName name="Ma_afunortries">NOR!#REF!</definedName>
    <definedName name="Ma_afusalesipts">NOR!$G$29</definedName>
    <definedName name="Ma_afusalesitries">NOR!$B$29</definedName>
    <definedName name="Maafunorpts">NOR!#REF!</definedName>
    <definedName name="Maafunortries">NOR!#REF!</definedName>
    <definedName name="Mackenwaspts">WAS!#REF!</definedName>
    <definedName name="Mackenwastries">WAS!#REF!</definedName>
    <definedName name="MacKenziephilpts">SAL!$G$23</definedName>
    <definedName name="MacKenziephiltries">SAL!$B$23</definedName>
    <definedName name="MacLeodnewpts">NEW!$G$25</definedName>
    <definedName name="MacLeodnewtries">NEW!$B$25</definedName>
    <definedName name="macleodnickatt">SAL!$M$5</definedName>
    <definedName name="macleodnickgoals">SAL!$L$5</definedName>
    <definedName name="MacLeodnickpts">SAL!#REF!</definedName>
    <definedName name="MacLeodnickptscorrect">SAL!#REF!</definedName>
    <definedName name="MacLeodsalpts">SAL!#REF!</definedName>
    <definedName name="MacLeodsaltries">SAL!#REF!</definedName>
    <definedName name="Mafibathtries">BTH!#REF!</definedName>
    <definedName name="Mafibthpts">BTH!#REF!</definedName>
    <definedName name="Mafipts">LEIC!$G$44</definedName>
    <definedName name="Mafistevepts">LEIC!#REF!</definedName>
    <definedName name="Mafistevetriescorrect">LEIC!#REF!</definedName>
    <definedName name="mafitries">LEIC!#REF!</definedName>
    <definedName name="Maitlandsarpts">SAR!$G$28</definedName>
    <definedName name="Maitlandsartries">SAR!$B$28</definedName>
    <definedName name="malinssaratt">SAR!$M$8</definedName>
    <definedName name="malinssargls">SAR!$L$8</definedName>
    <definedName name="Malinssarpts">SAR!$G$29</definedName>
    <definedName name="Malinssartries">SAR!$B$29</definedName>
    <definedName name="mallindernoratt">NOR!$M$10</definedName>
    <definedName name="Mallindernorgoals">NOR!$L$10</definedName>
    <definedName name="Mallindernorpts">NOR!$G$30</definedName>
    <definedName name="Mallindernortries">NOR!$B$30</definedName>
    <definedName name="Maltonexepts">EXE!#REF!</definedName>
    <definedName name="Maltonexetries">EXE!#REF!</definedName>
    <definedName name="Mamukashvilisalpts">SAL!#REF!</definedName>
    <definedName name="Mamukashvilisaltries">SAL!#REF!</definedName>
    <definedName name="Manoanorpts">NOR!#REF!</definedName>
    <definedName name="Manoanortries">NOR!#REF!</definedName>
    <definedName name="Manoapts">NOR!#REF!</definedName>
    <definedName name="manoatries">NOR!#REF!</definedName>
    <definedName name="Maraisglopts">GLO!$G$25</definedName>
    <definedName name="Maraisglotries">GLO!$B$25</definedName>
    <definedName name="Marchantharpts">HAR!$G$33</definedName>
    <definedName name="Marchanthartries">HAR!$B$33</definedName>
    <definedName name="Marfoharpts">HAR!$G$31</definedName>
    <definedName name="Marfohartries">HAR!$B$31</definedName>
    <definedName name="Marlerharpts">HAR!$G$34</definedName>
    <definedName name="Marlerpts">HAR!#REF!</definedName>
    <definedName name="marlertries">HAR!$B$34</definedName>
    <definedName name="Marshallglopts">GLO!$G$26</definedName>
    <definedName name="marshallliratt">BRI!#REF!</definedName>
    <definedName name="marshalllirgls">BRI!#REF!</definedName>
    <definedName name="Marshalllirpts">BRI!$G$29</definedName>
    <definedName name="Marshalllirtries">BRI!$B$29</definedName>
    <definedName name="Marshallnewpts">NEW!$G$28</definedName>
    <definedName name="Marshallnewtries">NEW!$B$28</definedName>
    <definedName name="Marshallnorpts">NOR!$G$31</definedName>
    <definedName name="Marshallnortries">NOR!$B$31</definedName>
    <definedName name="Marshalltomglo">GLO!$B$26</definedName>
    <definedName name="Masiwaspts">WAS!#REF!</definedName>
    <definedName name="Masiwastries">WAS!#REF!</definedName>
    <definedName name="Matavesi__Joelnewpts">NEW!$G$26</definedName>
    <definedName name="Matavesi__Joelnewtries">NEW!$B$26</definedName>
    <definedName name="Matavesi__Joshnewpts">NEW!$B$27</definedName>
    <definedName name="Matavesi__JoshnewptsCORRECT">NEW!$G$27</definedName>
    <definedName name="Matavesi__Joshnewtries">NEW!$B$27</definedName>
    <definedName name="Matavesipts">WOR!#REF!</definedName>
    <definedName name="matavesitries">WOR!#REF!</definedName>
    <definedName name="Matawalubthpts">BTH!#REF!</definedName>
    <definedName name="Matawalubthtries">BTH!#REF!</definedName>
    <definedName name="Matawaluexepts">EXE!#REF!</definedName>
    <definedName name="Matawaluexetries">EXE!#REF!</definedName>
    <definedName name="Materapablopts">LEIC!#REF!</definedName>
    <definedName name="Materapablotries">LEIC!#REF!</definedName>
    <definedName name="Matthewsharpts">HAR!#REF!</definedName>
    <definedName name="Matthewshartries">HAR!#REF!</definedName>
    <definedName name="Matthewswaspts">WAS!$G$31</definedName>
    <definedName name="Matthewswastries">WAS!$B$31</definedName>
    <definedName name="Matu_uglopts">GLO!#REF!</definedName>
    <definedName name="Matu_uglotries">GLO!#REF!</definedName>
    <definedName name="Maunderexepts">EXE!$G$29</definedName>
    <definedName name="Maunderexetries">EXE!$B$29</definedName>
    <definedName name="Mayglopts">GLO!#REF!</definedName>
    <definedName name="Mayhewlipts">BRI!$G$33</definedName>
    <definedName name="Mayhewlitries">BRI!$B$33</definedName>
    <definedName name="Mayhewrichardpts">NEW!#REF!</definedName>
    <definedName name="Mayhewrichardtries">NEW!#REF!</definedName>
    <definedName name="Mayleicpts">LEIC!$G$22</definedName>
    <definedName name="Mayleictries">LEIC!$B$22</definedName>
    <definedName name="Maypts">GLO!#REF!</definedName>
    <definedName name="Maytompts">WOR!$G$30</definedName>
    <definedName name="Maytomtries">WOR!$B$30</definedName>
    <definedName name="Maytris">GLO!#REF!</definedName>
    <definedName name="McAllisterglopts">GLO!$G$27</definedName>
    <definedName name="McAllisterglotries">GLO!$B$27</definedName>
    <definedName name="McCaffreywelshpts">WOR!$G$31</definedName>
    <definedName name="McCaffreywelshtries">WOR!$B$31</definedName>
    <definedName name="McCollgloptsd">GLO!#REF!</definedName>
    <definedName name="McCollglotries">GLO!#REF!</definedName>
    <definedName name="McConnochiebthpts">BTH!$G$31</definedName>
    <definedName name="McConnochiebthtries">BTH!$B$31</definedName>
    <definedName name="McCuskerlirpts">BRI!#REF!</definedName>
    <definedName name="McCuskerlirtries">BRI!#REF!</definedName>
    <definedName name="McGuiganexepts">EXE!#REF!</definedName>
    <definedName name="McGuiganexetries">EXE!#REF!</definedName>
    <definedName name="McGuigannewpts">NEW!$G$29</definedName>
    <definedName name="McGuigannewtries">NEW!$B$29</definedName>
    <definedName name="McGuiganpts">NEW!#REF!</definedName>
    <definedName name="mcguigansalatt">SAL!$M$12</definedName>
    <definedName name="McGuigansalgoals">SAL!$L$12</definedName>
    <definedName name="McGuigansalpts">SAL!$G$24</definedName>
    <definedName name="McGuigansaltries">SAL!$B$24</definedName>
    <definedName name="McGuigantries">NEW!#REF!</definedName>
    <definedName name="McIntyresimonpts">WAS!$G$32</definedName>
    <definedName name="McIntyresimontries">WAS!#REF!</definedName>
    <definedName name="McIntyrewastries">WAS!$B$32</definedName>
    <definedName name="McKenziefraserpts">NEW!#REF!</definedName>
    <definedName name="McKenziefrasertries">NEW!#REF!</definedName>
    <definedName name="mckibbinliratt">BRI!#REF!</definedName>
    <definedName name="mckibbinlirattcorrect">BRI!#REF!</definedName>
    <definedName name="mckibbinlirgls">BRI!#REF!</definedName>
    <definedName name="mckibbinlirgoals">BRI!#REF!</definedName>
    <definedName name="McKibbinlirgoalscorrect">BRI!#REF!</definedName>
    <definedName name="mckibbinlirishatt">BRI!#REF!</definedName>
    <definedName name="McKibbinlirpts">BRI!$G$30</definedName>
    <definedName name="McKibbinlirtries">BRI!$B$30</definedName>
    <definedName name="McLeanlirpts">BRI!$G$31</definedName>
    <definedName name="McLeanlirtries">BRI!$B$31</definedName>
    <definedName name="mcleansalatt">SAL!#REF!</definedName>
    <definedName name="mcleansalgoals">SAL!#REF!</definedName>
    <definedName name="McLeansalpts">SAL!#REF!</definedName>
    <definedName name="McLeansaltries">SAL!#REF!</definedName>
    <definedName name="McMillannorpts">NOR!#REF!</definedName>
    <definedName name="McMillannortries">NOR!#REF!</definedName>
    <definedName name="McNallyjoshpts">WOR!$G$34</definedName>
    <definedName name="McNallyjoshtries">WOR!$B$34</definedName>
    <definedName name="McNallylirpts">BRI!$G$32</definedName>
    <definedName name="McNallylirtries">BRI!$B$32</definedName>
    <definedName name="McNultyharpts">HAR!$G$32</definedName>
    <definedName name="McNultyhartries">HAR!$B$32</definedName>
    <definedName name="Meakesglopts">GLO!#REF!</definedName>
    <definedName name="Meakesglotries">GLO!#REF!</definedName>
    <definedName name="Melcksarpts">SAR!#REF!</definedName>
    <definedName name="Melcksartries">SAR!#REF!</definedName>
    <definedName name="meleatt">LEIC!#REF!</definedName>
    <definedName name="Meledavidpts">LEIC!#REF!</definedName>
    <definedName name="Meledavidptscorrect">LEIC!#REF!</definedName>
    <definedName name="Meledavidtries">LEIC!#REF!</definedName>
    <definedName name="Meledaviestries">LEIC!#REF!</definedName>
    <definedName name="melegoals">LEIC!#REF!</definedName>
    <definedName name="Meleleipts">LEIC!#REF!</definedName>
    <definedName name="Melepts">LEIC!#REF!</definedName>
    <definedName name="meletries">LEIC!#REF!</definedName>
    <definedName name="Meletriescorrect">LEIC!#REF!</definedName>
    <definedName name="Meletriesthisiscorrect">LEIC!#REF!</definedName>
    <definedName name="Mercer_Gbthpts">BTH!#REF!</definedName>
    <definedName name="Mercer_Gbthtries">BTH!#REF!</definedName>
    <definedName name="Mercerbatpts">BTH!$G$32</definedName>
    <definedName name="Mercerbattries">BTH!$B$32</definedName>
    <definedName name="Mercerguypts">BTH!#REF!</definedName>
    <definedName name="Mercerguyptscorrect">BTH!#REF!</definedName>
    <definedName name="Mercerpts">BTH!#REF!</definedName>
    <definedName name="Mercertries">BTH!#REF!</definedName>
    <definedName name="Mercertriescorrect">BTH!#REF!</definedName>
    <definedName name="Merceynorpts">NOR!#REF!</definedName>
    <definedName name="Merceynortries">NOR!#REF!</definedName>
    <definedName name="Mermozleicpts">LEIC!#REF!</definedName>
    <definedName name="Mermozleictries">LEIC!#REF!</definedName>
    <definedName name="Mermoznewpts">NEW!#REF!</definedName>
    <definedName name="Mermoznewtries">NEW!#REF!</definedName>
    <definedName name="Merrickharpts">HAR!$G$35</definedName>
    <definedName name="Merrickhartries">HAR!$B$35</definedName>
    <definedName name="mieresatt">WOR!#REF!</definedName>
    <definedName name="mieresgoals">WOR!#REF!</definedName>
    <definedName name="Mierespts">WOR!$G$7</definedName>
    <definedName name="mierestries">WOR!#REF!</definedName>
    <definedName name="mikepts">HAR!$F$7</definedName>
    <definedName name="Milasinovichworpts">WOR!$G$32</definedName>
    <definedName name="Milasinovichwortries">WOR!$B$32</definedName>
    <definedName name="Millerrobpts">SAL!#REF!</definedName>
    <definedName name="Millerrobtries">SAL!#REF!</definedName>
    <definedName name="millersalatt">SAL!#REF!</definedName>
    <definedName name="millersalgoals">SAL!#REF!</definedName>
    <definedName name="millerwasatt">WAS!$M$13</definedName>
    <definedName name="millerwasgoals">WAS!$L$13</definedName>
    <definedName name="Millerwaspts">WAS!$G$33</definedName>
    <definedName name="Millerwastries">WAS!$B$33</definedName>
    <definedName name="Millerworpts">WOR!$G$33</definedName>
    <definedName name="Millerwortries">WOR!$B$33</definedName>
    <definedName name="Millsjonathanpts">SAL!#REF!</definedName>
    <definedName name="Millsjonathantries">SAL!#REF!</definedName>
    <definedName name="millsworatt">WOR!$M$9</definedName>
    <definedName name="millsworgoals">WOR!$L$9</definedName>
    <definedName name="Mitchellnorpts">NOR!$G$32</definedName>
    <definedName name="Mitchellnortries">NOR!$B$32</definedName>
    <definedName name="mitchellsalatt">SAL!#REF!</definedName>
    <definedName name="Mitchellsalgoals">SAL!#REF!</definedName>
    <definedName name="Mitchellsalpts">SAL!#REF!</definedName>
    <definedName name="Mitchellsaltries">SAL!#REF!</definedName>
    <definedName name="Moatesjacktries">WAS!#REF!</definedName>
    <definedName name="Moatespts">WAS!#REF!</definedName>
    <definedName name="Moatestries">WAS!#REF!</definedName>
    <definedName name="Moateswaspts">WAS!#REF!</definedName>
    <definedName name="Moateswastries">WAS!#REF!</definedName>
    <definedName name="Molenaartimpts">HAR!#REF!</definedName>
    <definedName name="Molenaartimtries">HAR!#REF!</definedName>
    <definedName name="Molenaarwelpts">WOR!#REF!</definedName>
    <definedName name="Molenaarweltries">WOR!#REF!</definedName>
    <definedName name="Monahanshanepts">GLO!#REF!</definedName>
    <definedName name="Monahanshanetries">GLO!#REF!</definedName>
    <definedName name="Monyeugopts">HAR!#REF!</definedName>
    <definedName name="Monyeugotries">HAR!#REF!</definedName>
    <definedName name="Moon_Anortries">NOR!$B$33</definedName>
    <definedName name="Moonnorpts">NOR!$G$33</definedName>
    <definedName name="Mooresalpts">SAL!$G$25</definedName>
    <definedName name="Mooresaltries">SAL!$B$25</definedName>
    <definedName name="Moorewaspts">WAS!#REF!</definedName>
    <definedName name="Moorewastries">WAS!#REF!</definedName>
    <definedName name="Mordtnilspts">SAR!#REF!</definedName>
    <definedName name="mordtsaratt">SAR!#REF!</definedName>
    <definedName name="mordtsargoals">SAR!#REF!</definedName>
    <definedName name="Mordtsartries">SAR!#REF!</definedName>
    <definedName name="Morganbenpts">GLO!$G$28</definedName>
    <definedName name="Morganbentries">GLO!$B$28</definedName>
    <definedName name="Moriartyglopts">GLO!$G$29</definedName>
    <definedName name="Moriartyglotries">GLO!$B$29</definedName>
    <definedName name="Morrisbenwasgtries">WAS!$B$34</definedName>
    <definedName name="Morrisbenwaspts">WAS!$G$34</definedName>
    <definedName name="Morrisharpts">HAR!$G$36</definedName>
    <definedName name="Morrishartries">HAR!$B$36</definedName>
    <definedName name="Morrislwepts">WOR!#REF!</definedName>
    <definedName name="Morrislwetries">WOR!#REF!</definedName>
    <definedName name="Morrisniallpts">LEIC!#REF!</definedName>
    <definedName name="Morrisnialltries">LEIC!#REF!</definedName>
    <definedName name="Morriswaspts">WAS!#REF!</definedName>
    <definedName name="Morriswastries">WAS!#REF!</definedName>
    <definedName name="Mortonsalpts">SAL!#REF!</definedName>
    <definedName name="Mortonsaltries">SAL!#REF!</definedName>
    <definedName name="Mudarikiworpts">WOR!$G$35</definedName>
    <definedName name="Mudarikiwortries">WOR!$B$35</definedName>
    <definedName name="Mugfordsalpts">SAL!#REF!</definedName>
    <definedName name="Mugfordsaltries">SAL!#REF!</definedName>
    <definedName name="Mujatisalpts">SAL!#REF!</definedName>
    <definedName name="Mujatisalptscorrect">SAL!#REF!</definedName>
    <definedName name="Mujatisaltries">SAL!#REF!</definedName>
    <definedName name="Mulchroneharpts">HAR!$G$37</definedName>
    <definedName name="Mulchronehartries">HAR!$B$37</definedName>
    <definedName name="Mulchronelipts">BRI!$G$34</definedName>
    <definedName name="MulchronelirtriesCORRECT">BRI!$B$34</definedName>
    <definedName name="Mulchronelitries">BRI!$B$34</definedName>
    <definedName name="Mulchronepts">BRI!#REF!</definedName>
    <definedName name="Mulchronetries">BRI!#REF!</definedName>
    <definedName name="Muldowneybripts">BRI!$G$33</definedName>
    <definedName name="Muldowneybritries">BRI!$B$33</definedName>
    <definedName name="mulipolaleicatt">LEIC!#REF!</definedName>
    <definedName name="Mulipolaleicgls">LEIC!#REF!</definedName>
    <definedName name="Mulipolaleipts">LEIC!#REF!</definedName>
    <definedName name="Mulipolaleitries">LEIC!#REF!</definedName>
    <definedName name="Mulipolanewpts">NEW!$G$30</definedName>
    <definedName name="Mulipolanewtries">NEW!$B$30</definedName>
    <definedName name="Mulipolapts">LEIC!#REF!</definedName>
    <definedName name="Mulipolatries">LEIC!#REF!</definedName>
    <definedName name="Mullanpts">WAS!#REF!</definedName>
    <definedName name="Mullantries">WAS!#REF!</definedName>
    <definedName name="Mullanwaspts">WAS!$G$35</definedName>
    <definedName name="Mullanwastries">WAS!$B$35</definedName>
    <definedName name="Mullennewpts">NEW!$G$31</definedName>
    <definedName name="Mullennewtries">NEW!$B$31</definedName>
    <definedName name="MullisGLOPTS">GLO!$G$30</definedName>
    <definedName name="MullisGLOTRIES">GLO!$B$30</definedName>
    <definedName name="Mummpts">EXE!$G$30</definedName>
    <definedName name="mummtries">EXE!$B$30</definedName>
    <definedName name="Murleyharpts">HAR!$G$38</definedName>
    <definedName name="Murleyhartries">HAR!$B$38</definedName>
    <definedName name="Murphydanpts">GLO!#REF!</definedName>
    <definedName name="Murphydantries">GLO!#REF!</definedName>
    <definedName name="Murphyharpts">HAR!#REF!</definedName>
    <definedName name="Murphyhartries">HAR!#REF!</definedName>
    <definedName name="Myallpts">WAS!$G$36</definedName>
    <definedName name="Myalltries">WAS!$B$36</definedName>
    <definedName name="myleratt">NOR!$M$4</definedName>
    <definedName name="mylergoals">NOR!$L$4</definedName>
    <definedName name="Mylernorpts">NOR!#REF!</definedName>
    <definedName name="Mylerpts">NOR!#REF!</definedName>
    <definedName name="Mylerstephentries">NOR!#REF!</definedName>
    <definedName name="Nagusanewpts">NEW!$G$32</definedName>
    <definedName name="Nagusanewtries">NEW!$B$32</definedName>
    <definedName name="Naiyaravoronorpts">NOR!$G$34</definedName>
    <definedName name="Naiyaravoronortries">NOR!$B$34</definedName>
    <definedName name="Naoupuharpts">HAR!#REF!</definedName>
    <definedName name="Naoupuhartries">HAR!#REF!</definedName>
    <definedName name="Naqelevukisirelipts">EXE!#REF!</definedName>
    <definedName name="Naqelevukisirelitries">EXE!#REF!</definedName>
    <definedName name="Narrawaylipts">BRI!$G$36</definedName>
    <definedName name="Narrawaylitries">BRI!$B$36</definedName>
    <definedName name="Naysarpts">SAR!$G$30</definedName>
    <definedName name="Naysartries">SAR!$B$30</definedName>
    <definedName name="Nealwaspts">WAS!$G$37</definedName>
    <definedName name="Nealwastries">WAS!$B$37</definedName>
    <definedName name="Neildsalpts">SAL!$G$26</definedName>
    <definedName name="Neildsaltries">SAL!$B$26</definedName>
    <definedName name="Nelsonnewpts">NEW!#REF!</definedName>
    <definedName name="Nelsonnewtries">NEW!#REF!</definedName>
    <definedName name="Nemsadzebstpts">BRI!#REF!</definedName>
    <definedName name="Nemsadzebsttries">BRI!#REF!</definedName>
    <definedName name="newcastlepenaltytriespts">NEW!#REF!</definedName>
    <definedName name="newcastlepenaltytriestries">NEW!#REF!</definedName>
    <definedName name="noakesliatt">BRI!$M$4</definedName>
    <definedName name="noakesligoals">BRI!$L$4</definedName>
    <definedName name="Noakeslipts">BRI!$G$38</definedName>
    <definedName name="Noakeslitries">BRI!$B$38</definedName>
    <definedName name="Noguerabthpts">BTH!$G$33</definedName>
    <definedName name="Noguerabthtries">BTH!$B$33</definedName>
    <definedName name="Noonemichaelpts">LEIC!#REF!</definedName>
    <definedName name="Noonemichaeltries">LEIC!#REF!</definedName>
    <definedName name="Northcote_Greenbthpts">BTH!#REF!</definedName>
    <definedName name="Northcote_Greenbthtries">BTH!#REF!</definedName>
    <definedName name="Northnorpts">NOR!#REF!</definedName>
    <definedName name="Northnortries">NOR!#REF!</definedName>
    <definedName name="Northpts">NOR!#REF!</definedName>
    <definedName name="Northtries">NOR!#REF!</definedName>
    <definedName name="Nottsalpts">SAL!$G$27</definedName>
    <definedName name="Nottsaltries">SAL!$B$27</definedName>
    <definedName name="Nowellexepts">EXE!$G$31</definedName>
    <definedName name="Nowellexetries">EXE!$B$31</definedName>
    <definedName name="Nutleybenpts">NOR!#REF!</definedName>
    <definedName name="Nutleybentries">NOR!#REF!</definedName>
    <definedName name="O_Connorjamespts">BRI!#REF!</definedName>
    <definedName name="O_Connorptssal">SAL!$G$28</definedName>
    <definedName name="O_Connortriessal">SAL!$B$28</definedName>
    <definedName name="O_Connorwaspts">WAS!#REF!</definedName>
    <definedName name="O_Connorwastries">WAS!#REF!</definedName>
    <definedName name="O_Donnellrobpts">WOR!#REF!</definedName>
    <definedName name="O_Donnellrobptscorrect">WOR!#REF!</definedName>
    <definedName name="O_Donnellrobtries">WOR!$B$12</definedName>
    <definedName name="O_Learylipts">BRI!#REF!</definedName>
    <definedName name="O_Learylitries">BRI!#REF!</definedName>
    <definedName name="O_Sullivanwaspts">WAS!$G$38</definedName>
    <definedName name="O_Sullivanwastries">WAS!$B$38</definedName>
    <definedName name="Obanobthpts">BTH!$G$34</definedName>
    <definedName name="Obanobthtries">BTH!$B$34</definedName>
    <definedName name="oconnoratt">BRI!#REF!</definedName>
    <definedName name="oconnorgoals">BRI!#REF!</definedName>
    <definedName name="OConnorjamestries">BRI!#REF!</definedName>
    <definedName name="Odogwusalpts">SAL!$G$29</definedName>
    <definedName name="Odogwusaltries">SAL!$B$29</definedName>
    <definedName name="Ojotopsypts">BRI!$G$39</definedName>
    <definedName name="Ojotopsytries">BRI!$B$39</definedName>
    <definedName name="OLE_LINK1" localSheetId="0">BTH!#REF!</definedName>
    <definedName name="Olowofela_Jleicpts">LEIC!$G$24</definedName>
    <definedName name="Olowofela_Jleictries">LEIC!$B$24</definedName>
    <definedName name="olvernoratt">NOR!#REF!</definedName>
    <definedName name="olvernorgoals">NOR!#REF!</definedName>
    <definedName name="Olvernorpts">NOR!$G$35</definedName>
    <definedName name="Olvernortries">NOR!#REF!</definedName>
    <definedName name="Olvernortriescorrect">NOR!$B$35</definedName>
    <definedName name="olverworatt">WOR!#REF!</definedName>
    <definedName name="Olverworgls">WOR!#REF!</definedName>
    <definedName name="Olverworpts">WOR!#REF!</definedName>
    <definedName name="Olverwortries">WOR!#REF!</definedName>
    <definedName name="Orlandibatpts">BTH!#REF!</definedName>
    <definedName name="Orlandibattries">BTH!#REF!</definedName>
    <definedName name="Orrglopts">GLO!#REF!</definedName>
    <definedName name="Orrglotries">GLO!#REF!</definedName>
    <definedName name="Ostrikovandreipts">SAL!#REF!</definedName>
    <definedName name="Ostrikovandreitries">SAL!$B$30</definedName>
    <definedName name="OStrikovsalpts">SAL!$G$30</definedName>
    <definedName name="Ovensjoshpts">BTH!#REF!</definedName>
    <definedName name="Ovensjoshtries">BTH!#REF!</definedName>
    <definedName name="Owenleicpts">LEIC!$G$25</definedName>
    <definedName name="Owenleictries">LEIC!$B$25</definedName>
    <definedName name="Packmanhowardpts">NOR!#REF!</definedName>
    <definedName name="Packmanhowardtries">NOR!#REF!</definedName>
    <definedName name="Paicedavidpts">BRI!$G$41</definedName>
    <definedName name="Paicedavidtries">BRI!$B$41</definedName>
    <definedName name="Painternorpts">NOR!$G$36</definedName>
    <definedName name="Painternortries">NOR!$B$36</definedName>
    <definedName name="Palamobrispts">BRI!$G$42</definedName>
    <definedName name="Palamobristries">BRI!$B$42</definedName>
    <definedName name="Palma_Newportpts">BTH!#REF!</definedName>
    <definedName name="palmanewporttries">BTH!#REF!</definedName>
    <definedName name="Palmerglopts">GLO!#REF!</definedName>
    <definedName name="Palmerglotries">GLO!#REF!</definedName>
    <definedName name="Palmerpts">WAS!#REF!</definedName>
    <definedName name="palmertomtries">WAS!#REF!</definedName>
    <definedName name="Parlingexepts">EXE!$B$32</definedName>
    <definedName name="Parlingexetries">EXE!$B$32</definedName>
    <definedName name="Parlinggeoffexepts">EXE!$G$32</definedName>
    <definedName name="Parlingleipts">LEIC!$G$23</definedName>
    <definedName name="Parlingleitries">LEIC!$B$23</definedName>
    <definedName name="Parrmattpts">BRI!#REF!</definedName>
    <definedName name="Parrmatttries">BRI!#REF!</definedName>
    <definedName name="Pasqualileipts">LEIC!#REF!</definedName>
    <definedName name="Pasqualileitries">LEIC!#REF!</definedName>
    <definedName name="Patersonmichaelpts">SAL!#REF!</definedName>
    <definedName name="Patersonmichaeltries">SAL!#REF!</definedName>
    <definedName name="Patersonnorpts">NOR!#REF!</definedName>
    <definedName name="Patersonnortries">NOR!#REF!</definedName>
    <definedName name="Paulolirpts">BRI!$G$43</definedName>
    <definedName name="paulolirtries">BRI!$B$43</definedName>
    <definedName name="Pearceleipts">LEIC!#REF!</definedName>
    <definedName name="Pearceleitries">LEIC!#REF!</definedName>
    <definedName name="Pearcesalpts">SAL!$G$31</definedName>
    <definedName name="Pearcesaltries">SAL!$B$31</definedName>
    <definedName name="Peeldwaynepts">SAL!#REF!</definedName>
    <definedName name="Peeldwaynetries">SAL!#REF!</definedName>
    <definedName name="Peeldwaynetriescorrect">SAL!#REF!</definedName>
    <definedName name="Penalty_Triesbath">BTH!$G$35</definedName>
    <definedName name="Penalty_Triesbripts">BRI!$G$35</definedName>
    <definedName name="Penalty_Triesbritries">BRI!$B$35</definedName>
    <definedName name="Penalty_Triesexepts">EXE!$G$33</definedName>
    <definedName name="Penalty_Triesexetries">EXE!$B$33</definedName>
    <definedName name="Penalty_Triesglopts">GLO!$G$31</definedName>
    <definedName name="Penalty_Triesglotries">GLO!$B$31</definedName>
    <definedName name="Penalty_Triesharpts">HAR!$G$39</definedName>
    <definedName name="Penalty_Trieshartries">HAR!$B$39</definedName>
    <definedName name="Penalty_Trieslwelshpts">WOR!$G$36</definedName>
    <definedName name="Penalty_Trieslwelshtries">WOR!$B$36</definedName>
    <definedName name="Penalty_Triesnewpts">NEW!$G$33</definedName>
    <definedName name="Penalty_Triesnewtries">NEW!$B$33</definedName>
    <definedName name="Penalty_Triessaintspts">NOR!$G$37</definedName>
    <definedName name="Penalty_Triessaintstries">NOR!$B$37</definedName>
    <definedName name="Penalty_Triessarpts">SAR!$G$31</definedName>
    <definedName name="Penalty_Triessartries">SAR!$B$31</definedName>
    <definedName name="Penalty_Trieswaspts">WAS!$G$39</definedName>
    <definedName name="Penalty_Trieswastries">WAS!$B$39</definedName>
    <definedName name="pennellchrisatt">WOR!#REF!</definedName>
    <definedName name="Pennellchrisgoals">WOR!#REF!</definedName>
    <definedName name="Pennellchrispts">WOR!#REF!</definedName>
    <definedName name="Pennellchristries">WOR!$B$27</definedName>
    <definedName name="pennellworatt">WOR!$M$7</definedName>
    <definedName name="Pennellworgls">WOR!$L$7</definedName>
    <definedName name="Pennynewpts">NEW!$G$34</definedName>
    <definedName name="Pennynewtries">NEW!$B$34</definedName>
    <definedName name="Pereniseanthonypts">BTH!#REF!</definedName>
    <definedName name="Perenisebthpts">BTH!$G$36</definedName>
    <definedName name="Perenisebthtries">BTH!$B$36</definedName>
    <definedName name="perenisepts">BTH!#REF!</definedName>
    <definedName name="Pereniseptscorrect">BTH!#REF!</definedName>
    <definedName name="perenisetries">BTH!#REF!</definedName>
    <definedName name="Perenisetriescorrect">BTH!#REF!</definedName>
    <definedName name="Perkinssarpts">SAR!#REF!</definedName>
    <definedName name="Perkinssartries">SAR!#REF!</definedName>
    <definedName name="Phibbslipts">BRI!#REF!</definedName>
    <definedName name="Phibbslitries">BRI!#REF!</definedName>
    <definedName name="Phillipsbthpts">BTH!#REF!</definedName>
    <definedName name="Phillipsbthtries">BTH!#REF!</definedName>
    <definedName name="Phillipsjamespts">EXE!$G$31</definedName>
    <definedName name="Phillipsjamessalpts">SAL!$G$33</definedName>
    <definedName name="Phillipsjamessaltries">SAL!$B$33</definedName>
    <definedName name="Phillipsjamestries">EXE!$B$31</definedName>
    <definedName name="Phillipssalpts">SAL!#REF!</definedName>
    <definedName name="Phillipssaltries">SAL!#REF!</definedName>
    <definedName name="Phillipsworpts">WOR!$G$39</definedName>
    <definedName name="Phillipswortries">WOR!$B$39</definedName>
    <definedName name="Picamolesnorpts">NOR!$G$38</definedName>
    <definedName name="Picamolesnortries">NOR!$B$38</definedName>
    <definedName name="Pienaarbenpts">WOR!#REF!</definedName>
    <definedName name="Pienaarbentries">WOR!#REF!</definedName>
    <definedName name="Pietersenleipts">LEIC!#REF!</definedName>
    <definedName name="Pietersenleitries">LEIC!#REF!</definedName>
    <definedName name="Pincusbripts">BRI!$G$36</definedName>
    <definedName name="Pincusbritries">BRI!$B$36</definedName>
    <definedName name="Pisi_Gnorpts">NOR!#REF!</definedName>
    <definedName name="Pisi_Gnortries">NOR!#REF!</definedName>
    <definedName name="Pisibripts">BRI!$G$37</definedName>
    <definedName name="Pisibritries">BRI!$B$37</definedName>
    <definedName name="Pisigeorgepts">NOR!$G$6</definedName>
    <definedName name="Pisigeorgeptscorrect">NOR!#REF!</definedName>
    <definedName name="pisigeorgetries">NOR!$B$6</definedName>
    <definedName name="Pisigeorgetriescorrect">NOR!#REF!</definedName>
    <definedName name="Pisikenpts">NOR!#REF!</definedName>
    <definedName name="Pisikenptscorrect">NOR!$G$39</definedName>
    <definedName name="pisikentries">NOR!#REF!</definedName>
    <definedName name="Pisikentriescorrect">NOR!$B$39</definedName>
    <definedName name="Piutau_Cbritriescorrect">BRI!$B$38</definedName>
    <definedName name="Piutau_Swaspts">WAS!#REF!</definedName>
    <definedName name="Piutau_Swastries">WAS!#REF!</definedName>
    <definedName name="Piutaubripts">BRI!$G$52</definedName>
    <definedName name="Piutaubritries">BRI!$B$52</definedName>
    <definedName name="Piutauwaspts">WAS!#REF!</definedName>
    <definedName name="Piutauwastries">WAS!#REF!</definedName>
    <definedName name="Polledriglopts">GLO!$G$32</definedName>
    <definedName name="Polledriglotries">GLO!$B$32</definedName>
    <definedName name="Poreckilirpts">BRI!$G$46</definedName>
    <definedName name="Poreckilirtries">BRI!$B$46</definedName>
    <definedName name="Postlethwaitesalpts">SAL!$G$34</definedName>
    <definedName name="Postlethwaitesaltries">SAL!$B$34</definedName>
    <definedName name="Potgieterworpts">WOR!$G$40</definedName>
    <definedName name="Potgieterwortries">WOR!$B$40</definedName>
    <definedName name="Powelladampts">NEW!#REF!</definedName>
    <definedName name="Powelladamtries">NEW!#REF!</definedName>
    <definedName name="Powellbripts">BRI!$G$40</definedName>
    <definedName name="Powellbritries">BRI!$B$40</definedName>
    <definedName name="priestlandbthatt">BTH!$M$11</definedName>
    <definedName name="Priestlandbthgoals">BTH!$L$11</definedName>
    <definedName name="Priestlandbthpts">BTH!$G$37</definedName>
    <definedName name="Priestlandbthtries">BTH!$B$37</definedName>
    <definedName name="priorharatt">HAR!#REF!</definedName>
    <definedName name="priorhargls">HAR!#REF!</definedName>
    <definedName name="pts">HAR!$G$42</definedName>
    <definedName name="Puafisiglopts">GLO!#REF!</definedName>
    <definedName name="Puafisiglotries">GLO!#REF!</definedName>
    <definedName name="Purdyglospts">GLO!$G$33</definedName>
    <definedName name="Purdyglotries">GLO!$B$33</definedName>
    <definedName name="quinspentriespts">HAR!$G$39</definedName>
    <definedName name="quinspentriestries">HAR!$B$39</definedName>
    <definedName name="Radwannewpts">NEW!$G$35</definedName>
    <definedName name="Radwannewtries">NEW!$B$35</definedName>
    <definedName name="Randallbripts">BRI!$G$42</definedName>
    <definedName name="Randallbritries">BRI!$B$42</definedName>
    <definedName name="Ransombenpts">SAR!#REF!</definedName>
    <definedName name="Ransombentries">SAR!#REF!</definedName>
    <definedName name="Ransomlirpts">BRI!$G$47</definedName>
    <definedName name="Ransomlirtries">BRI!$B$47</definedName>
    <definedName name="Rapava_Ruskinglopts">GLO!$G$34</definedName>
    <definedName name="Rapava_Ruskinglotries">GLO!$B$34</definedName>
    <definedName name="Rapava_Ruskinworpts">WOR!#REF!</definedName>
    <definedName name="Rapava_Ruskinwortries">WOR!#REF!</definedName>
    <definedName name="Ratuniyarawanorpts">NOR!$G$40</definedName>
    <definedName name="Ratuniyarawanortries">NOR!$B$40</definedName>
    <definedName name="Rawacasarpts">SAR!#REF!</definedName>
    <definedName name="Rawacasartries">SAR!#REF!</definedName>
    <definedName name="Readsalpts">SAL!$G$36</definedName>
    <definedName name="Readsaltries">SAL!$B$36</definedName>
    <definedName name="Reddishharpts">HAR!#REF!</definedName>
    <definedName name="Reddishhartries">HAR!#REF!</definedName>
    <definedName name="redpathsalatt">SAL!$M$9</definedName>
    <definedName name="redpathsalegls">SAL!$L$9</definedName>
    <definedName name="Redpathsalpts">SAL!$G$35</definedName>
    <definedName name="Redpathsaltries">SAL!$B$35</definedName>
    <definedName name="Reevesrickypts">WOR!$G$37</definedName>
    <definedName name="Reevesrickytries">WOR!$B$37</definedName>
    <definedName name="Reffellsarpts">SAR!$G$32</definedName>
    <definedName name="Reffellsartries">SAR!$B$32</definedName>
    <definedName name="reinachnoratt">NOR!$M$9</definedName>
    <definedName name="reinachnorgls">NOR!$L$9</definedName>
    <definedName name="Reinachnorpts">NOR!$G$41</definedName>
    <definedName name="Reinachnortries">NOR!$B$41</definedName>
    <definedName name="Reynoldsnicpts">WOR!$G$38</definedName>
    <definedName name="Reynoldsnictries">WOR!$B$38</definedName>
    <definedName name="Reynoldsstefpts">GLO!#REF!</definedName>
    <definedName name="Reynoldssteftries">GLO!#REF!</definedName>
    <definedName name="Rhodessarpts">SAR!$G$33</definedName>
    <definedName name="Rhodessartries">SAR!$B$33</definedName>
    <definedName name="Ribbansnorpts">NOR!$G$42</definedName>
    <definedName name="Ribbansnortries">NOR!$B$42</definedName>
    <definedName name="Riederwaspts">WAS!$G$40</definedName>
    <definedName name="Riederwastries">WAS!$B$40</definedName>
    <definedName name="Rimmercarlpts">EXE!#REF!</definedName>
    <definedName name="Rimmercarltries">EXE!#REF!</definedName>
    <definedName name="Ripper_Smithworpts">WOR!#REF!</definedName>
    <definedName name="Ripper_Smithwortries">WOR!#REF!</definedName>
    <definedName name="Rizzoleipts">LEIC!#REF!</definedName>
    <definedName name="Rizzoleitries">LEIC!#REF!</definedName>
    <definedName name="Robertsbthpts">BTH!$G$38</definedName>
    <definedName name="Robertsbthtries">BTH!$B$38</definedName>
    <definedName name="Robertsharpts">HAR!#REF!</definedName>
    <definedName name="Robertshartries">HAR!#REF!</definedName>
    <definedName name="Robertsmartinpts">BTH!#REF!</definedName>
    <definedName name="Robertsmartintruies">BTH!#REF!</definedName>
    <definedName name="Robertstristanpts">WOR!#REF!</definedName>
    <definedName name="Robertstristantries">WOR!#REF!</definedName>
    <definedName name="robertswelatt">WOR!#REF!</definedName>
    <definedName name="robertswelgoals">WOR!#REF!</definedName>
    <definedName name="Robinsonnewpts">NEW!$G$36</definedName>
    <definedName name="Robinsonnewtries">NEW!$B$36</definedName>
    <definedName name="robinsonwelatt">WOR!#REF!</definedName>
    <definedName name="robinsonwelgoals">WOR!#REF!</definedName>
    <definedName name="Robinsonwillpts">WOR!#REF!</definedName>
    <definedName name="Robinsonwilltries">WOR!#REF!</definedName>
    <definedName name="Robshawharpts">HAR!$G$40</definedName>
    <definedName name="Robshawhartries">HAR!$B$40</definedName>
    <definedName name="robsobwasgoals">WAS!$L$8</definedName>
    <definedName name="Robsonglopts">GLO!#REF!</definedName>
    <definedName name="Robsonglotries">GLO!#REF!</definedName>
    <definedName name="Robsonharpts">HAR!$G$41</definedName>
    <definedName name="Robsonhartries">HAR!$B$41</definedName>
    <definedName name="robsonwasatt">WAS!$M$8</definedName>
    <definedName name="Robsonwaspts">WAS!$G$41</definedName>
    <definedName name="Robsonwastries">WAS!$B$41</definedName>
    <definedName name="Rogersnewpts">NEW!#REF!</definedName>
    <definedName name="Rogersnewtries">NEW!#REF!</definedName>
    <definedName name="Rokodugunibatpts">BTH!$G$39</definedName>
    <definedName name="Rokodugunibattries">BTH!$B$39</definedName>
    <definedName name="Rokodugunipts">BTH!#REF!</definedName>
    <definedName name="Rokoduguniptscorrect">BTH!#REF!</definedName>
    <definedName name="Rokodugunisemesapts">BTH!#REF!</definedName>
    <definedName name="Rokodugunisemesaptscorrect">BTH!#REF!</definedName>
    <definedName name="Rokodugunitries">BTH!#REF!</definedName>
    <definedName name="Rokodugunitriescorrect">BTH!#REF!</definedName>
    <definedName name="Rossgordonpts">WOR!#REF!</definedName>
    <definedName name="Rossgordontries">WOR!#REF!</definedName>
    <definedName name="Rosssalpts">SAL!$G$37</definedName>
    <definedName name="Rosssaltries">SAL!$B$37</definedName>
    <definedName name="rosswelatt">WOR!#REF!</definedName>
    <definedName name="rosswelgoals">WOR!#REF!</definedName>
    <definedName name="Rouselipts">BRI!$G$47</definedName>
    <definedName name="Rouselitries">BRI!$B$47</definedName>
    <definedName name="Rousepts">BRI!#REF!</definedName>
    <definedName name="rousetries">BRI!$B$11</definedName>
    <definedName name="Rowanglopts">GLO!#REF!</definedName>
    <definedName name="Rowanglotries">GLO!#REF!</definedName>
    <definedName name="Rowlandswaspts">WAS!$G$42</definedName>
    <definedName name="Rowlandswastries">WAS!$B$42</definedName>
    <definedName name="Rowleypaulpts">WOR!$G$41</definedName>
    <definedName name="Rowleypaultries">WOR!$B$41</definedName>
    <definedName name="Sackeypaulpts">HAR!#REF!</definedName>
    <definedName name="Sackeypaultries">HAR!#REF!</definedName>
    <definedName name="Safeglopts">GLO!$G$35</definedName>
    <definedName name="Safeglotries">GLO!$B$35</definedName>
    <definedName name="Salepenaltytriespts">SAL!$G$32</definedName>
    <definedName name="SalePenaltyTriestries">SAL!$B$32</definedName>
    <definedName name="Salmonexepts">EXE!$G$34</definedName>
    <definedName name="Salmonexetries">EXE!$B$34</definedName>
    <definedName name="Salvijulianpts">LEIC!$G$27</definedName>
    <definedName name="Salvijuliantries">LEIC!$B$27</definedName>
    <definedName name="Sandfordjamespts">WOR!#REF!</definedName>
    <definedName name="Sandfordjamestries">WOR!#REF!</definedName>
    <definedName name="saracenspenaltytriespts">SAR!#REF!</definedName>
    <definedName name="saracenspenaltytriestries">SAR!#REF!</definedName>
    <definedName name="Saullandypts">NEW!#REF!</definedName>
    <definedName name="Saullandytries">NEW!#REF!</definedName>
    <definedName name="Saulolirpts">BRI!$G$49</definedName>
    <definedName name="Saulolirtries">BRI!$B$49</definedName>
    <definedName name="Saundersjaredsarpts">SAR!$G$35</definedName>
    <definedName name="Saundersjaredsartries">SAR!$B$35</definedName>
    <definedName name="Saunderssarpts">SAR!#REF!</definedName>
    <definedName name="Saunderssartries">SAR!#REF!</definedName>
    <definedName name="Savageglopts">GLO!$G$36</definedName>
    <definedName name="Savageglotries">GLO!$B$36</definedName>
    <definedName name="Scaysbrookpts">EXE!#REF!</definedName>
    <definedName name="scaysbrooktries">EXE!#REF!</definedName>
    <definedName name="Schatzlirpts">BRI!$G$50</definedName>
    <definedName name="Schatzlirtries">BRI!$B$50</definedName>
    <definedName name="Schofieldwelpts">WOR!#REF!</definedName>
    <definedName name="Schofieldweltries">WOR!#REF!</definedName>
    <definedName name="ScotlandWilliamsonchristianpts">WOR!$G$30</definedName>
    <definedName name="ScotlandWilliamsonchristiantries">WOR!#REF!</definedName>
    <definedName name="Scottglopts">GLO!#REF!</definedName>
    <definedName name="Scottglotries">GLO!#REF!</definedName>
    <definedName name="Scottnickpts">WOR!#REF!</definedName>
    <definedName name="Scottnicktries">WOR!#REF!</definedName>
    <definedName name="Scullyblainepts">LEIC!#REF!</definedName>
    <definedName name="Scullyblainetries">LEIC!#REF!</definedName>
    <definedName name="Scullypts">LEIC!$G$21</definedName>
    <definedName name="scullytries">LEIC!#REF!</definedName>
    <definedName name="Seabrookglopts">GLO!$G$37</definedName>
    <definedName name="Seabrookglotries">GLO!$B$37</definedName>
    <definedName name="searlebriatt">BRI!#REF!</definedName>
    <definedName name="searlebrigoals">BRI!#REF!</definedName>
    <definedName name="Searlebstpts">BRI!#REF!</definedName>
    <definedName name="Searlebsttries">BRI!#REF!</definedName>
    <definedName name="searlewasatt">WAS!$M$10</definedName>
    <definedName name="Searlewasgls">WAS!$L$10</definedName>
    <definedName name="Searlewaspts">WAS!$G$44</definedName>
    <definedName name="Searlewastries">WAS!$B$44</definedName>
    <definedName name="Searlswaspts">WAS!$G$43</definedName>
    <definedName name="Searlswastries">WAS!$B$43</definedName>
    <definedName name="Segunsarpts">SAR!$G$34</definedName>
    <definedName name="Segunsartries">SAR!$B$34</definedName>
    <definedName name="Sextonexepoints">EXE!#REF!</definedName>
    <definedName name="Sextonexetries">EXE!#REF!</definedName>
    <definedName name="Seymourdavidpts">SAL!#REF!</definedName>
    <definedName name="seymourdavidtries">SAL!#REF!</definedName>
    <definedName name="Seymourdavidtriescorrect">SAL!#REF!</definedName>
    <definedName name="Sharplesglopts">GLO!$G$38</definedName>
    <definedName name="Sharplesglotries">GLO!$B$38</definedName>
    <definedName name="Sharplespts">GLO!#REF!</definedName>
    <definedName name="Sharplestries">GLO!#REF!</definedName>
    <definedName name="Sheridaneamonnpts">BRI!$G$48</definedName>
    <definedName name="Sheridaneamonntries">BRI!$B$48</definedName>
    <definedName name="Sheriffsarpts">SAR!#REF!</definedName>
    <definedName name="Sheriffsartries">SAR!#REF!</definedName>
    <definedName name="Shervingtonwaspts">WAS!#REF!</definedName>
    <definedName name="Shervingtonwastries">WAS!#REF!</definedName>
    <definedName name="Shieldswaspts">WAS!$G$45</definedName>
    <definedName name="Shieldswastries">WAS!$B$45</definedName>
    <definedName name="Shiellsgrahambatpts">BTH!#REF!</definedName>
    <definedName name="Shiellsgrahambattries">BTH!#REF!</definedName>
    <definedName name="Shillcockworpts">WOR!$G$42</definedName>
    <definedName name="Shillcockwortries">WOR!$B$42</definedName>
    <definedName name="shilllcockworatt">WOR!$M$5</definedName>
    <definedName name="shilllcockworgoals">WOR!$L$5</definedName>
    <definedName name="Short_Alirpts">BRI!#REF!</definedName>
    <definedName name="Short_Alirtries">BRI!#REF!</definedName>
    <definedName name="Shortexepts">EXE!$G$35</definedName>
    <definedName name="Shortexetries">EXE!$B$35</definedName>
    <definedName name="Shortjamespts">WAS!#REF!</definedName>
    <definedName name="Shortjamestries">WAS!#REF!</definedName>
    <definedName name="Shortlandpts">NEW!#REF!</definedName>
    <definedName name="Shortlandryanpts">NEW!#REF!</definedName>
    <definedName name="Shortlandtries">NEW!#REF!</definedName>
    <definedName name="Shortlipts">BRI!#REF!</definedName>
    <definedName name="Shortlitries">BRI!#REF!</definedName>
    <definedName name="Simmonds_Sexepts">EXE!$G$37</definedName>
    <definedName name="Simmonds_Sexetries">EXE!$B$37</definedName>
    <definedName name="simmondsexeatt">EXE!$M$6</definedName>
    <definedName name="simmondsexegoals">EXE!$L$6</definedName>
    <definedName name="Simmondsexepts">EXE!$G$36</definedName>
    <definedName name="Simmondsexetries">EXE!$B$36</definedName>
    <definedName name="Simmonsleicpts">LEIC!$G$28</definedName>
    <definedName name="Simmonsleictries">LEIC!$B$28</definedName>
    <definedName name="Simpson_Danieljamespts">GLO!#REF!</definedName>
    <definedName name="Simpson_Danieljamestries">GLO!#REF!</definedName>
    <definedName name="Simpsonjoepts">WAS!#REF!</definedName>
    <definedName name="Simpsonjoetries">WAS!#REF!</definedName>
    <definedName name="Simpsonwaspts">WAS!$G$46</definedName>
    <definedName name="Simpsonwastries">WAS!$B$46</definedName>
    <definedName name="Sincklerharpts">HAR!$G$42</definedName>
    <definedName name="Sincklerhartries">HAR!$B$42</definedName>
    <definedName name="Sinclairjebbpts">BRI!$G$51</definedName>
    <definedName name="Sinclairjebbtries">BRI!$B$51</definedName>
    <definedName name="Singletonworpts">WOR!$G$43</definedName>
    <definedName name="Singletonwortries">WOR!$B$43</definedName>
    <definedName name="Sinotisinotipts">NEW!$G$37</definedName>
    <definedName name="Sinotisinotitries">NEW!$B$37</definedName>
    <definedName name="Sioleipts">LEIC!#REF!</definedName>
    <definedName name="Sioleitries">LEIC!#REF!</definedName>
    <definedName name="Sisidavidpts">BTH!#REF!</definedName>
    <definedName name="Sisidavidtries">BTH!#REF!</definedName>
    <definedName name="Sisilirpts">BRI!#REF!</definedName>
    <definedName name="Sisilirtries">BRI!#REF!</definedName>
    <definedName name="Skinner_Hexepts">EXE!$G$38</definedName>
    <definedName name="Skinner_Hexetries">EXE!$B$38</definedName>
    <definedName name="Skinnerexeatt">EXE!$M$7</definedName>
    <definedName name="Skinnerexegls">EXE!$L$7</definedName>
    <definedName name="Skinnerexepts">EXE!$G$39</definedName>
    <definedName name="Skinnerexetries">EXE!$B$39</definedName>
    <definedName name="Skivingtongeorgeli">BRI!#REF!</definedName>
    <definedName name="Skivingtongeorgepts">BRI!#REF!</definedName>
    <definedName name="Skivingtongeorgetries">BRI!#REF!</definedName>
    <definedName name="Skusebatpts">BTH!#REF!</definedName>
    <definedName name="Skusebattries">BTH!#REF!</definedName>
    <definedName name="sladeatt">EXE!$M$5</definedName>
    <definedName name="Sladeexepts">EXE!$G$40</definedName>
    <definedName name="Sladeexetries">EXE!$B$40</definedName>
    <definedName name="sladegoals">EXE!$L$5</definedName>
    <definedName name="Sladehenrypts">EXE!#REF!</definedName>
    <definedName name="Slaterglopts">GLO!$G$39</definedName>
    <definedName name="Slaterglotries">GLO!$B$39</definedName>
    <definedName name="Slaterpts">LEIC!#REF!</definedName>
    <definedName name="Slaterptscorrect">LEIC!#REF!</definedName>
    <definedName name="slatertries">LEIC!$B$34</definedName>
    <definedName name="Slatertriescorrect">LEIC!#REF!</definedName>
    <definedName name="Sleightholmenorpts">NOR!$G$43</definedName>
    <definedName name="Sleightholmenortries">NOR!$B$43</definedName>
    <definedName name="Sloanharrypts">HAR!#REF!</definedName>
    <definedName name="Sloanharrytries">HAR!#REF!</definedName>
    <definedName name="Slowikworpts">WOR!#REF!</definedName>
    <definedName name="Slowikwortries">WOR!#REF!</definedName>
    <definedName name="Smithbripts">BRI!$G$44</definedName>
    <definedName name="Smithbritries">BRI!$B$44</definedName>
    <definedName name="Smithharpts">HAR!$G$43</definedName>
    <definedName name="Smithhartries">HAR!$B$43</definedName>
    <definedName name="smithleeatt">NEW!#REF!</definedName>
    <definedName name="Smithleegoals">NEW!#REF!</definedName>
    <definedName name="Smithleepts">NEW!#REF!</definedName>
    <definedName name="Smithleipts">LEIC!$G$29</definedName>
    <definedName name="Smithleitries">LEIC!$B$29</definedName>
    <definedName name="Smithnewtries">NEW!#REF!</definedName>
    <definedName name="Smithsampts">HAR!#REF!</definedName>
    <definedName name="Smithsamtries">HAR!#REF!</definedName>
    <definedName name="Smithsarpts">SAR!#REF!</definedName>
    <definedName name="Smithsartries">SAR!#REF!</definedName>
    <definedName name="Smithwaspts">WAS!#REF!</definedName>
    <definedName name="Smithwastries">WAS!#REF!</definedName>
    <definedName name="Socino_Snewpts">NEW!$G$38</definedName>
    <definedName name="Socino_Snewtries">NEW!$B$38</definedName>
    <definedName name="socinonewatt">NEW!#REF!</definedName>
    <definedName name="socinonewgoals">NEW!#REF!</definedName>
    <definedName name="Socinonewpts">NEW!#REF!</definedName>
    <definedName name="Socinonewtries">NEW!#REF!</definedName>
    <definedName name="Solomonasalpts">SAL!$G$38</definedName>
    <definedName name="Solomonasaltries">SAL!$B$38</definedName>
    <definedName name="SopoagaGLSWAS">WAS!$L$11</definedName>
    <definedName name="SOPOAGAWASATT">WAS!$M$11</definedName>
    <definedName name="Sopoagawaspts">WAS!$G$47</definedName>
    <definedName name="Sopoagawastries">WAS!$B$47</definedName>
    <definedName name="Sowreynewpts">NEW!$G$39</definedName>
    <definedName name="Sowreynewtries">NEW!$B$39</definedName>
    <definedName name="spencerbenatt">SAR!$M$7</definedName>
    <definedName name="spencerbengoals">SAR!$L$7</definedName>
    <definedName name="Spencerbenpts">SAR!#REF!</definedName>
    <definedName name="Spencerbentries">SAR!$B$36</definedName>
    <definedName name="Spencerleicpts">LEIC!$G$30</definedName>
    <definedName name="Spencerleictries">LEIC!$B$30</definedName>
    <definedName name="Spencersarpts">SAR!$G$36</definedName>
    <definedName name="Spencerwillpts">BTH!$G$40</definedName>
    <definedName name="Spencerwilltries">BTH!$B$40</definedName>
    <definedName name="Spurlingsarpts">SAR!$G$37</definedName>
    <definedName name="Spurlingsartries">SAR!$B$37</definedName>
    <definedName name="Stedmanolliepts">WOR!#REF!</definedName>
    <definedName name="Stedmanollietrie">WOR!#REF!</definedName>
    <definedName name="Steelelipts">BRI!$G$53</definedName>
    <definedName name="Steelelitries">BRI!$B$53</definedName>
    <definedName name="Steenson">EXE!#REF!</definedName>
    <definedName name="steensonatt">EXE!$M$4</definedName>
    <definedName name="steensonexepts">EXE!$G$41</definedName>
    <definedName name="steensongarethtries">EXE!$B$41</definedName>
    <definedName name="Steensongoals">EXE!$L$4</definedName>
    <definedName name="Steensonpts">EXE!#REF!</definedName>
    <definedName name="Stegmannsebpts">WOR!#REF!</definedName>
    <definedName name="Stegmannsebtries">WOR!#REF!</definedName>
    <definedName name="Stellingmaxpts">WOR!$G$34</definedName>
    <definedName name="Stellingmaxtries">WOR!#REF!</definedName>
    <definedName name="stellingworatt">WOR!#REF!</definedName>
    <definedName name="stellingworgoals">WOR!#REF!</definedName>
    <definedName name="Stephensonjamespts">WOR!#REF!</definedName>
    <definedName name="Stephensonjamestries">WOR!$B$30</definedName>
    <definedName name="Stephensontompts">NOR!#REF!</definedName>
    <definedName name="Stephensontomtries">NOR!#REF!</definedName>
    <definedName name="Stevensjimmypts">BRI!#REF!</definedName>
    <definedName name="Stevensjimmytries">BRI!#REF!</definedName>
    <definedName name="Stevensleicpts">LEIC!$G$31</definedName>
    <definedName name="Stevensleictries">LEIC!$B$31</definedName>
    <definedName name="Stevenslipts">BRI!#REF!</definedName>
    <definedName name="Stevenslitries">BRI!#REF!</definedName>
    <definedName name="Stevensmattpts">SAR!#REF!</definedName>
    <definedName name="Stevensonnewpts">NEW!$G$40</definedName>
    <definedName name="Stevensonnewtries">NEW!$B$40</definedName>
    <definedName name="Stevensonwaspts">WAS!#REF!</definedName>
    <definedName name="Stevensonwastries">WAS!#REF!</definedName>
    <definedName name="stevenstries">SAR!#REF!</definedName>
    <definedName name="Stookeglotres">GLO!#REF!</definedName>
    <definedName name="Stookeglptd">GLO!#REF!</definedName>
    <definedName name="Stookepts">GLO!#REF!</definedName>
    <definedName name="Stooketries">GLO!#REF!</definedName>
    <definedName name="Strainnewpts">NEW!#REF!</definedName>
    <definedName name="Strainnewtries">NEW!#REF!</definedName>
    <definedName name="Streathertimpts">SAR!#REF!</definedName>
    <definedName name="Streathertimtries">SAR!#REF!</definedName>
    <definedName name="Strettlepts">SAR!#REF!</definedName>
    <definedName name="Strettlesarpts">SAR!#REF!</definedName>
    <definedName name="Strettlesarptscorrect">SAR!$G$38</definedName>
    <definedName name="Strettlesartries">SAR!#REF!</definedName>
    <definedName name="strettletries">SAR!#REF!</definedName>
    <definedName name="Strettllesartries">SAR!$B$38</definedName>
    <definedName name="Stringerpeterpts">BTH!#REF!</definedName>
    <definedName name="Stringerpetertries">BTH!#REF!</definedName>
    <definedName name="Stringersalpts">SAL!$G$39</definedName>
    <definedName name="Stringersaltries">SAL!$B$39</definedName>
    <definedName name="Stringerworpts">WOR!#REF!</definedName>
    <definedName name="Stringerwortries">WOR!#REF!</definedName>
    <definedName name="Strongexepts">EXE!$G$42</definedName>
    <definedName name="Strongexetries">EXE!$B$42</definedName>
    <definedName name="Stuartharpts">HAR!#REF!</definedName>
    <definedName name="Stuarthartries">HAR!#REF!</definedName>
    <definedName name="stuartnewatt">NEW!$M$9</definedName>
    <definedName name="Stuartnewgls">NEW!$L$9</definedName>
    <definedName name="Stuartnewpts">NEW!$G$41</definedName>
    <definedName name="Stuartnewtries">NEW!$B$41</definedName>
    <definedName name="Stuartwaspts">WAS!$G$48</definedName>
    <definedName name="Stuartwastries">WAS!$B$48</definedName>
    <definedName name="Sturgessexepts">EXE!#REF!</definedName>
    <definedName name="Sturgessexetries">EXE!#REF!</definedName>
    <definedName name="suajeremypts">WOR!$G$37</definedName>
    <definedName name="suajeremytries">WOR!$B$34</definedName>
    <definedName name="Suniulawaspts">WAS!#REF!</definedName>
    <definedName name="Suniulawastries">WAS!#REF!</definedName>
    <definedName name="Swainstonharpts">HAR!$G$44</definedName>
    <definedName name="Swainstonhartries">HAR!$B$44</definedName>
    <definedName name="Swainstonwapts">WAS!#REF!</definedName>
    <definedName name="Swainstonwastries">WAS!#REF!</definedName>
    <definedName name="Sweeneyceripts">EXE!#REF!</definedName>
    <definedName name="Sweeneyceritries">EXE!#REF!</definedName>
    <definedName name="sweeneyexeatt">EXE!#REF!</definedName>
    <definedName name="sweeneyexegoals">EXE!#REF!</definedName>
    <definedName name="swielharatt">HAR!#REF!</definedName>
    <definedName name="Swielhargoals">HAR!#REF!</definedName>
    <definedName name="Swielharpts">HAR!#REF!</definedName>
    <definedName name="Swielhartries">HAR!#REF!</definedName>
    <definedName name="Swielnewatt">NEW!$M$10</definedName>
    <definedName name="Swielnewgls">NEW!$L$10</definedName>
    <definedName name="Swielnewpts">NEW!$G$42</definedName>
    <definedName name="Swielnewtries">NEW!$B$42</definedName>
    <definedName name="Symonsandypts">WOR!$G$38</definedName>
    <definedName name="Symonsandytries">WOR!#REF!</definedName>
    <definedName name="Symonsharpts">HAR!$G$45</definedName>
    <definedName name="Symonshartries">HAR!$B$45</definedName>
    <definedName name="Symonslirpts">BRI!#REF!</definedName>
    <definedName name="Symonslirtries">BRI!#REF!</definedName>
    <definedName name="Symonsnorpts">NOR!$G$44</definedName>
    <definedName name="Symonsnortries">NOR!$B$44</definedName>
    <definedName name="Symonswaspts">WAS!#REF!</definedName>
    <definedName name="Symonswastries">WAS!#REF!</definedName>
    <definedName name="symonsworatt">WOR!#REF!</definedName>
    <definedName name="Symonsworgoals">WOR!#REF!</definedName>
    <definedName name="Tagicakibausailosipts">BRI!#REF!</definedName>
    <definedName name="Tagicakibausailositries">BRI!#REF!</definedName>
    <definedName name="Tagicakibausarpts">SAR!#REF!</definedName>
    <definedName name="Tagicakibausartries">SAR!#REF!</definedName>
    <definedName name="Tagicakibauwaspts">WAS!#REF!</definedName>
    <definedName name="Tagucakibauwastries">WAS!#REF!</definedName>
    <definedName name="Taioneexepts">EXE!$G$43</definedName>
    <definedName name="Taioneexetries">EXE!$B$43</definedName>
    <definedName name="Taitalexpts">NEW!#REF!</definedName>
    <definedName name="Taitalextries">NEW!#REF!</definedName>
    <definedName name="Taitmathewpts">LEIC!#REF!</definedName>
    <definedName name="Taitmathewtries">LEIC!#REF!</definedName>
    <definedName name="Taitnewpts">NEW!$G$43</definedName>
    <definedName name="Taitnewtris">NEW!$B$43</definedName>
    <definedName name="Takaluanewpts">NEW!$G$44</definedName>
    <definedName name="takaluanewtries">NEW!$B$44</definedName>
    <definedName name="takuluanewatt">NEW!$M$11</definedName>
    <definedName name="takuluanewgoals">NEW!$L$11</definedName>
    <definedName name="Tapuaibatpts">BTH!#REF!</definedName>
    <definedName name="Tapuaibattries">BTH!#REF!</definedName>
    <definedName name="tapuaibthatt">BTH!#REF!</definedName>
    <definedName name="tapuaibthgoals">BTH!#REF!</definedName>
    <definedName name="tapuaihargls">HAR!$L$16</definedName>
    <definedName name="tapuaiharglsatt">HAR!$M$8</definedName>
    <definedName name="tapuaiharglscorrect">HAR!$L$8</definedName>
    <definedName name="Tapuaiharpts">HAR!$G$46</definedName>
    <definedName name="Tapuaihartries">HAR!$B$46</definedName>
    <definedName name="Taufete_eworpts">WOR!$G$44</definedName>
    <definedName name="Taufete_ewortries">WOR!$B$44</definedName>
    <definedName name="Taulavasemisipts">WOR!#REF!</definedName>
    <definedName name="Taulavasemisitries">WOR!$B$37</definedName>
    <definedName name="Taylorduncanpts">SAR!#REF!</definedName>
    <definedName name="Taylorduncantries">SAR!#REF!</definedName>
    <definedName name="Taylornathanpts">WOR!#REF!</definedName>
    <definedName name="Taylornathantries">WOR!#REF!</definedName>
    <definedName name="Taylorsalpts">SAL!#REF!</definedName>
    <definedName name="Taylorsaltries">SAL!#REF!</definedName>
    <definedName name="Taylorsarpts">SAR!$G$39</definedName>
    <definedName name="Taylorsartries">SAR!$B$39</definedName>
    <definedName name="Taylortommywaspts">WAS!$G$49</definedName>
    <definedName name="Taylortommywastries">WAS!$B$49</definedName>
    <definedName name="Taylorwaspts">WAS!#REF!</definedName>
    <definedName name="Taylorwastries">WAS!#REF!</definedName>
    <definedName name="Taylorworpts">WOR!#REF!</definedName>
    <definedName name="Taylorwortries">WOR!#REF!</definedName>
    <definedName name="Temmnewpts">NEW!#REF!</definedName>
    <definedName name="Temmnewtries">NEW!#REF!</definedName>
    <definedName name="Terryglopts">GLO!$G$40</definedName>
    <definedName name="Terryglotries">GLO!$B$40</definedName>
    <definedName name="test">BTH!#REF!</definedName>
    <definedName name="Thacker_Cleicpts">LEIC!$G$32</definedName>
    <definedName name="Thacker_Cleictries">LEIC!$B$32</definedName>
    <definedName name="Thacker_Hleipts">LEIC!#REF!</definedName>
    <definedName name="Thacker_Hleitries">LEIC!#REF!</definedName>
    <definedName name="Thielsarpts">SAR!$G$40</definedName>
    <definedName name="Thielsartries">SAR!$B$40</definedName>
    <definedName name="Thomas_Dbripts">BRI!$G$48</definedName>
    <definedName name="Thomas_Dbritries">BRI!$B$48</definedName>
    <definedName name="Thomas_DBRITRIESCORRECT">BRI!$B$48</definedName>
    <definedName name="Thomas_Dglopts">GLO!#REF!</definedName>
    <definedName name="Thomas_Dglotriews">GLO!#REF!</definedName>
    <definedName name="Thomas_Yglopts">GLO!#REF!</definedName>
    <definedName name="Thomas_Yglotries">GLO!#REF!</definedName>
    <definedName name="thomasagloatt">GLO!#REF!</definedName>
    <definedName name="thomasaglogoals">GLO!#REF!</definedName>
    <definedName name="Thomasaledglopts">GLO!#REF!</definedName>
    <definedName name="Thomasaledglotries">GLO!#REF!</definedName>
    <definedName name="Thomasexepts">EXE!#REF!</definedName>
    <definedName name="Thomasexetries">EXE!#REF!</definedName>
    <definedName name="Thomashaydnpts">EXE!#REF!</definedName>
    <definedName name="Thomashaydntries">EXE!#REF!</definedName>
    <definedName name="Thomashenrybatpts">BTH!$G$41</definedName>
    <definedName name="Thomashenrybattries">BTH!$B$41</definedName>
    <definedName name="Thomashenrypts">SAL!#REF!</definedName>
    <definedName name="Thomashenrytries">SAL!#REF!</definedName>
    <definedName name="Thomasmartynpts">GLO!#REF!</definedName>
    <definedName name="Thomasmartyntries">GLO!#REF!</definedName>
    <definedName name="Thompson_Stringersarpts">SAR!$G$41</definedName>
    <definedName name="Thompson_Stringersartries">SAR!$B$41</definedName>
    <definedName name="Thompsonleicpts">LEIC!$G$33</definedName>
    <definedName name="Thompsonleictries">LEIC!$B$33</definedName>
    <definedName name="Thompsonnewpts">NEW!#REF!</definedName>
    <definedName name="Thompsonnewtries">NEW!#REF!</definedName>
    <definedName name="Thompsonpts">WAS!#REF!</definedName>
    <definedName name="Thompsontries">WAS!#REF!</definedName>
    <definedName name="Thompsonwaspts">WAS!#REF!</definedName>
    <definedName name="Thompsonwastries">WAS!#REF!</definedName>
    <definedName name="Thompstoneleipts">LEIC!$G$34</definedName>
    <definedName name="Thompstoneleitries">LEIC!$B$34</definedName>
    <definedName name="Thompstonepts">LEIC!#REF!</definedName>
    <definedName name="Thompstoneptscorrect">LEIC!$G$34</definedName>
    <definedName name="thompstonetries">LEIC!$B$21</definedName>
    <definedName name="Thorleyglopts">GLO!#REF!</definedName>
    <definedName name="Thorleygloptscorrect">GLO!$G$41</definedName>
    <definedName name="Thorleyglotries">GLO!#REF!</definedName>
    <definedName name="Thorleyglotriescorrect">GLO!$B$41</definedName>
    <definedName name="Thornleipts">LEIC!#REF!</definedName>
    <definedName name="Thornleitries">LEIC!#REF!</definedName>
    <definedName name="Thorperichardpts">WOR!$G$45</definedName>
    <definedName name="Thorperichardtries">WOR!$B$45</definedName>
    <definedName name="Tiesinewpts">NEW!#REF!</definedName>
    <definedName name="Tiesinewtries">NEW!#REF!</definedName>
    <definedName name="Tikoirotumaharpts">HAR!#REF!</definedName>
    <definedName name="Tikoirotumahartries">HAR!#REF!</definedName>
    <definedName name="Tikoirotumalirpts">BRI!#REF!</definedName>
    <definedName name="Tikoirotumalirtries">BRI!#REF!</definedName>
    <definedName name="Tincknelljamespts">WOR!$G$47</definedName>
    <definedName name="Tincknelljamestries">WOR!$B$47</definedName>
    <definedName name="tindallgloatt">GLO!$M$9</definedName>
    <definedName name="tindallglogoals">GLO!$L$9</definedName>
    <definedName name="Tindallmikepts">GLO!#REF!</definedName>
    <definedName name="Tindallmiketries">GLO!#REF!</definedName>
    <definedName name="Tipunanewpts">NEW!#REF!</definedName>
    <definedName name="Tipunanewtries">NEW!#REF!</definedName>
    <definedName name="Tolofuasarpts">SAR!$G$42</definedName>
    <definedName name="Tolofuasartries">SAR!$B$42</definedName>
    <definedName name="Tomaszczyknewpts">NEW!#REF!</definedName>
    <definedName name="Tomaszczyknewtries">NEW!#REF!</definedName>
    <definedName name="Tomesnewpts">NEW!#REF!</definedName>
    <definedName name="Tomesnewtries">NEW!#REF!</definedName>
    <definedName name="Tomkinsjoelpts">SAR!#REF!</definedName>
    <definedName name="tomkinstries">SAR!#REF!</definedName>
    <definedName name="Tompkinsnickpts">SAR!#REF!</definedName>
    <definedName name="Tompkinsnicktries">SAR!#REF!</definedName>
    <definedName name="Tompkinssarptscorrect">SAR!$G$43</definedName>
    <definedName name="Tompkinssartriescorrect">SAR!$B$43</definedName>
    <definedName name="Tonga_uihabstpts">BRI!#REF!</definedName>
    <definedName name="Tonga_uihabsttries">BRI!#REF!</definedName>
    <definedName name="Tonksliratt">BRI!#REF!</definedName>
    <definedName name="Tonkslirgoals">BRI!#REF!</definedName>
    <definedName name="Tonkslirpts">BRI!#REF!</definedName>
    <definedName name="Tonkslirtries">BRI!#REF!</definedName>
    <definedName name="toomualeicatt">LEIC!$M$8</definedName>
    <definedName name="Toomualeicgls">LEIC!$L$8</definedName>
    <definedName name="Toomualeipts">LEIC!$G$35</definedName>
    <definedName name="Toomualeitries">LEIC!$B$35</definedName>
    <definedName name="Townsendexepts">EXE!$G$44</definedName>
    <definedName name="Townsendexetries">EXE!$B$44</definedName>
    <definedName name="Trayfootharpts">HAR!#REF!</definedName>
    <definedName name="Trayfoothartries">HAR!#REF!</definedName>
    <definedName name="Trayfootlirpts">BRI!#REF!</definedName>
    <definedName name="Trayfootlirtries">BRI!#REF!</definedName>
    <definedName name="Trevettnathanpts">WOR!#REF!</definedName>
    <definedName name="Trevettnathantries">WOR!#REF!</definedName>
    <definedName name="Treviranuspts">BRI!#REF!</definedName>
    <definedName name="Treviranustries">BRI!#REF!</definedName>
    <definedName name="Trinderglopts">GLO!$G$42</definedName>
    <definedName name="Trinderhenrypts">GLO!#REF!</definedName>
    <definedName name="Trinderpts">GLO!#REF!</definedName>
    <definedName name="trindertries">GLO!#REF!</definedName>
    <definedName name="Trindertriestries">GLO!$B$42</definedName>
    <definedName name="Tualanorpts">NOR!$G$45</definedName>
    <definedName name="TualaNORTRIES">NOR!$B$45</definedName>
    <definedName name="Tuilagi__Alesananewgoals">NEW!#REF!</definedName>
    <definedName name="Tuilagi_Alesananewpts">NEW!#REF!</definedName>
    <definedName name="Tuilagi_Alesananewtries">NEW!#REF!</definedName>
    <definedName name="Tuilagi_Aniteleanewpts">NEW!#REF!</definedName>
    <definedName name="Tuilagi_Aniteleanewtries">NEW!#REF!</definedName>
    <definedName name="Tuilagi_Fleicpts">LEIC!$G$36</definedName>
    <definedName name="Tuilagi_Fleictries">LEIC!$B$36</definedName>
    <definedName name="tuilagialesananewatt">NEW!#REF!</definedName>
    <definedName name="Tuilagimanupts">LEIC!$G$37</definedName>
    <definedName name="Tuilagimanutries">LEIC!$B$37</definedName>
    <definedName name="Tuitavakenorpts">NOR!$G$46</definedName>
    <definedName name="Tuitavakenortries">NOR!$B$46</definedName>
    <definedName name="Tuitupousampts">SAL!$G$40</definedName>
    <definedName name="Tuitupousamtries">SAL!$B$40</definedName>
    <definedName name="Tuohybripts">BRI!#REF!</definedName>
    <definedName name="Tuohybritries">BRI!#REF!</definedName>
    <definedName name="Turner_Hallharpts">HAR!#REF!</definedName>
    <definedName name="Turner_Hallhartries">HAR!#REF!</definedName>
    <definedName name="Turnerexepts">EXE!#REF!</definedName>
    <definedName name="Turnerexetries">EXE!#REF!</definedName>
    <definedName name="twelvetreesatt">GLO!$M$8</definedName>
    <definedName name="Twelvetreesglopts">GLO!$G$43</definedName>
    <definedName name="Twelvetreesglotries">GLO!$B$43</definedName>
    <definedName name="twelvetreesgoals">GLO!$L$8</definedName>
    <definedName name="Twelvetreespts">GLO!#REF!</definedName>
    <definedName name="Twelvetreestries">GLO!#REF!</definedName>
    <definedName name="Twomeyharpts">HAR!$G$47</definedName>
    <definedName name="Twomeyhartries">HAR!$B$47</definedName>
    <definedName name="umagawasatt">WAS!$M$12</definedName>
    <definedName name="umagawasgoals">WAS!$L$12</definedName>
    <definedName name="Umagawaspts">WAS!$G$50</definedName>
    <definedName name="Umagawastries">WAS!$B$50</definedName>
    <definedName name="Underhillbthpts">BTH!$G$42</definedName>
    <definedName name="Underhillbthtries">BTH!$B$42</definedName>
    <definedName name="UrenBRITRIES">BRI!$B$51</definedName>
    <definedName name="Uzokwenewpts">NEW!$G$45</definedName>
    <definedName name="Uzokwenewtries">NEW!$B$45</definedName>
    <definedName name="Vailanusarpts">SAR!$G$44</definedName>
    <definedName name="Vailanusartries">SAR!$B$44</definedName>
    <definedName name="Vainikoloexepts">EXE!#REF!</definedName>
    <definedName name="Vainikoloexetries">EXE!#REF!</definedName>
    <definedName name="Vainikolopts">EXE!#REF!</definedName>
    <definedName name="Vainikolotries">EXE!#REF!</definedName>
    <definedName name="van_Bredaworpts">WOR!$G$46</definedName>
    <definedName name="van_Bredawortries">WOR!$B$46</definedName>
    <definedName name="van_der_Sluysexepts">EXE!$G$45</definedName>
    <definedName name="van_der_Sluysexetries">EXE!$B$45</definedName>
    <definedName name="van_Rensburgsalpts">SAL!$G$41</definedName>
    <definedName name="van_Rensburgsaltries">SAL!$B$41</definedName>
    <definedName name="van_Rooyenbthpts">BTH!$G$43</definedName>
    <definedName name="van_Rooyenbthtries">BTH!$B$43</definedName>
    <definedName name="van_Velzegjpts">NOR!#REF!</definedName>
    <definedName name="van_Velzegjtries">NOR!#REF!</definedName>
    <definedName name="van_Vuurenbthpts">BTH!$G$44</definedName>
    <definedName name="van_Vuurenbthtries">BTH!$B$44</definedName>
    <definedName name="van_Wyknorpts">NOR!$G$47</definedName>
    <definedName name="van_Wyknortries">NOR!$B$47</definedName>
    <definedName name="van_Zyllirpts">BRI!#REF!</definedName>
    <definedName name="van_Zyllirtries">BRI!#REF!</definedName>
    <definedName name="vanbredaworatt">WOR!$M$8</definedName>
    <definedName name="vanbredaworgls">WOR!$L$8</definedName>
    <definedName name="Varndelltompts">WAS!#REF!</definedName>
    <definedName name="Varndelltomtries">WAS!#REF!</definedName>
    <definedName name="Veainuleipts">LEIC!$G$38</definedName>
    <definedName name="Veainuleitries">LEIC!$B$38</definedName>
    <definedName name="Veanewpts">NEW!#REF!</definedName>
    <definedName name="Veanewtries">NEW!#REF!</definedName>
    <definedName name="Veataionelwelshpts">WOR!#REF!</definedName>
    <definedName name="Veataionelwelshtries">WOR!#REF!</definedName>
    <definedName name="Veataionepts">WAS!#REF!</definedName>
    <definedName name="Veataionetroes">WAS!#REF!</definedName>
    <definedName name="Vellacottglopts">GLO!$G$44</definedName>
    <definedName name="Vellacottglotries">GLO!$B$44</definedName>
    <definedName name="Vellanathanpts">WOR!#REF!</definedName>
    <definedName name="Vellanathantries">WOR!#REF!</definedName>
    <definedName name="Vendittinewpts">NEW!#REF!</definedName>
    <definedName name="Vendittinewtries">NEW!#REF!</definedName>
    <definedName name="Venterworpts">WOR!$G$48</definedName>
    <definedName name="Venterwortries">WOR!$B$48</definedName>
    <definedName name="Verbakelnorpts">NOR!#REF!</definedName>
    <definedName name="Verbakelnortries">NOR!#REF!</definedName>
    <definedName name="Vickersnewpts">NEW!#REF!</definedName>
    <definedName name="Vickersnewtries">NEW!#REF!</definedName>
    <definedName name="Visagieglopts">GLO!$G$45</definedName>
    <definedName name="Visagieglotries">GLO!$B$45</definedName>
    <definedName name="Vossleicpts">LEIC!$G$39</definedName>
    <definedName name="Vossleictries">LEIC!$B$39</definedName>
    <definedName name="Vuibripts">BRI!$G$52</definedName>
    <definedName name="Vuibritries">BRI!$B$52</definedName>
    <definedName name="Vunabthpts">BTH!$G$45</definedName>
    <definedName name="Vunabthtries">BTH!$B$45</definedName>
    <definedName name="Vunipola_Bsarpts">SAR!$G$45</definedName>
    <definedName name="Vunipola_Bsartries">SAR!$B$45</definedName>
    <definedName name="Vunipola_Msarpts">SAR!$G$46</definedName>
    <definedName name="Vunipola_Msartries">SAR!$B$46</definedName>
    <definedName name="Vunipolabillypts">SAR!#REF!</definedName>
    <definedName name="vunipolabillytries">SAR!#REF!</definedName>
    <definedName name="Vunipolamakopts">SAR!#REF!</definedName>
    <definedName name="vunipolamakotries">SAR!#REF!</definedName>
    <definedName name="Vunisasarpts">SAR!#REF!</definedName>
    <definedName name="Vunisasartries">SAR!#REF!</definedName>
    <definedName name="Wadepts">WAS!#REF!</definedName>
    <definedName name="wadetries">WAS!#REF!</definedName>
    <definedName name="wadewasatt">WAS!#REF!</definedName>
    <definedName name="Wadewasgls">WAS!#REF!</definedName>
    <definedName name="Wadewaspts">WAS!#REF!</definedName>
    <definedName name="Wadewastries">WAS!#REF!</definedName>
    <definedName name="Waldoucklirpts">BRI!#REF!</definedName>
    <definedName name="Waldoucklirtries">BRI!#REF!</definedName>
    <definedName name="Waldoucknewpts">NEW!$G$46</definedName>
    <definedName name="Waldoucknewtries">NEW!$B$46</definedName>
    <definedName name="Waldoucknorpts">NOR!#REF!</definedName>
    <definedName name="Waldoucknortries">NOR!#REF!</definedName>
    <definedName name="Waldromexepts">EXE!#REF!</definedName>
    <definedName name="Waldromexetries">EXE!#REF!</definedName>
    <definedName name="Waldrompts">LEIC!#REF!</definedName>
    <definedName name="Waldromptscorrect">LEIC!#REF!</definedName>
    <definedName name="waldromtries">LEIC!#REF!</definedName>
    <definedName name="Waldromtriescorrect">LEIC!#REF!</definedName>
    <definedName name="Walkerbthpts">BTH!$G$46</definedName>
    <definedName name="Walkerbthtries">BTH!$B$46</definedName>
    <definedName name="Walkercharliehqtries">HAR!$B$49</definedName>
    <definedName name="Walkercharliepts">HAR!$G$49</definedName>
    <definedName name="Wallacebriatt">BRI!#REF!</definedName>
    <definedName name="Wallacebrigls">BRI!#REF!</definedName>
    <definedName name="Wallacebripts">BRI!#REF!</definedName>
    <definedName name="Wallacebritries">BRI!#REF!</definedName>
    <definedName name="Wallacelukepts">HAR!$G$50</definedName>
    <definedName name="Wallaceluketries">HAR!$B$50</definedName>
    <definedName name="wallerethanpts">NOR!#REF!</definedName>
    <definedName name="wallerethantries">NOR!#REF!</definedName>
    <definedName name="Wallerworpts">WOR!$G$49</definedName>
    <definedName name="Wallerwortries">WOR!$B$49</definedName>
    <definedName name="Warddavepts">HAR!$G$51</definedName>
    <definedName name="warddavetries">HAR!$B$51</definedName>
    <definedName name="warwickatt">WOR!#REF!</definedName>
    <definedName name="warwickgoals">WOR!#REF!</definedName>
    <definedName name="Warwickpaulpts">WOR!#REF!</definedName>
    <definedName name="Warwickpaultries">WOR!$B$38</definedName>
    <definedName name="waspspenaltytriespts">WAS!#REF!</definedName>
    <definedName name="waspspenaltytriestries">WAS!#REF!</definedName>
    <definedName name="waspspentries">WAS!#REF!</definedName>
    <definedName name="Waspspentriespts">WAS!#REF!</definedName>
    <definedName name="Watersharpts">HAR!$G$52</definedName>
    <definedName name="Watershartries">HAR!$B$52</definedName>
    <definedName name="Waterswelpts">WOR!#REF!</definedName>
    <definedName name="Watersweltries">WOR!#REF!</definedName>
    <definedName name="Watsonanthonypts">BTH!$G$47</definedName>
    <definedName name="Watsonanthonytries">BTH!$B$47</definedName>
    <definedName name="Watsonnewpts">NEW!#REF!</definedName>
    <definedName name="Watsonnewtriwes">NEW!#REF!</definedName>
    <definedName name="Watsonwaspts">WAS!$G$51</definedName>
    <definedName name="Watsonwastries">WAS!$B$51</definedName>
    <definedName name="Webberpts">BTH!#REF!</definedName>
    <definedName name="Webberrobtries">BTH!#REF!</definedName>
    <definedName name="Webbersalpts">SAL!$G$42</definedName>
    <definedName name="Webbersaltries">SAL!$B$42</definedName>
    <definedName name="Webbertries">BTH!#REF!</definedName>
    <definedName name="Weepuwelshpts">WOR!#REF!</definedName>
    <definedName name="Weepuwelshtries">WOR!#REF!</definedName>
    <definedName name="Weirworpts">WOR!$G$50</definedName>
    <definedName name="Weirwortries">WOR!$B$50</definedName>
    <definedName name="Welchdamianpts">EXE!#REF!</definedName>
    <definedName name="Welchdamiantries">EXE!#REF!</definedName>
    <definedName name="Welchexepts">EXE!#REF!</definedName>
    <definedName name="Welchexetries">EXE!#REF!</definedName>
    <definedName name="Welchwillpts">NEW!$G$47</definedName>
    <definedName name="Welchwilltries">NEW!$B$47</definedName>
    <definedName name="Wellsharrypts">LEIC!$G$42</definedName>
    <definedName name="Wellsharrytries">LEIC!$B$42</definedName>
    <definedName name="Wellsleicpts">LEIC!$G$40</definedName>
    <definedName name="Wellsleictries">LEIC!$B$40</definedName>
    <definedName name="Welshnewpts">NEW!$G$48</definedName>
    <definedName name="Welshnewtries">NEW!$B$48</definedName>
    <definedName name="Westbenpts">WOR!#REF!</definedName>
    <definedName name="Westbentries">WOR!#REF!</definedName>
    <definedName name="Westwaspts">WAS!$G$52</definedName>
    <definedName name="Westwastries">WAS!$B$52</definedName>
    <definedName name="White_NexeptsCORRECT">EXE!$G$46</definedName>
    <definedName name="White_Nicexepts">EXE!$F$46</definedName>
    <definedName name="White_Nicexetries">EXE!$B$46</definedName>
    <definedName name="Whiteexepts">EXE!#REF!</definedName>
    <definedName name="Whiteharpts">HAR!$G$53</definedName>
    <definedName name="Whitehartries">HAR!$B$53</definedName>
    <definedName name="Whiteheadchrispts">EXE!#REF!</definedName>
    <definedName name="Whiteheadchristries">EXE!#REF!</definedName>
    <definedName name="Whiteleicpts">LEIC!$G$41</definedName>
    <definedName name="Whiteleictries">LEIC!$B$41</definedName>
    <definedName name="whiteleysaratt">SAR!$M$9</definedName>
    <definedName name="Whiteleysargls">SAR!$L$9</definedName>
    <definedName name="Whiteleysarpts">SAR!$G$47</definedName>
    <definedName name="Whiteleysartries">SAR!$B$47</definedName>
    <definedName name="Whitepts">EXE!#REF!</definedName>
    <definedName name="whitetrie">EXE!#REF!</definedName>
    <definedName name="Whittenpts">EXE!$G$47</definedName>
    <definedName name="Whittentries">EXE!$B$47</definedName>
    <definedName name="Wigglesworthrichardpts">SAR!$G$48</definedName>
    <definedName name="Wigglesworthrichardtries">SAR!$B$48</definedName>
    <definedName name="wigglesworthsaratt">SAR!$M$10</definedName>
    <definedName name="Wigglesworthsargoals">SAR!$L$10</definedName>
    <definedName name="Wiliamsnewtries">NEW!$B$49</definedName>
    <definedName name="wilkinsonsalatt">SAL!$M$11</definedName>
    <definedName name="wilkinsonsalgls">SAL!$L$11</definedName>
    <definedName name="Wilkinsonsalpts">SAL!$G$43</definedName>
    <definedName name="Wilkinsonsaltries">SAL!$B$43</definedName>
    <definedName name="Williams_Jbstpts">BRI!#REF!</definedName>
    <definedName name="Williams_Jbsttries">BRI!#REF!</definedName>
    <definedName name="Williams_Rbstpts">BRI!#REF!</definedName>
    <definedName name="Williams_Rbsttries">BRI!#REF!</definedName>
    <definedName name="Williamsbenpts">BTH!$G$48</definedName>
    <definedName name="Williamsbentries">BTH!$B$48</definedName>
    <definedName name="Williamsexepts">EXE!$G$48</definedName>
    <definedName name="Williamsexetries">EXE!$B$48</definedName>
    <definedName name="williamsglopts">GLO!$G$46</definedName>
    <definedName name="williamsglotries">GLO!$B$46</definedName>
    <definedName name="Williamsjohnnylirpts">BRI!#REF!</definedName>
    <definedName name="Williamsjohnnylirtries">BRI!#REF!</definedName>
    <definedName name="Williamsleipts">LEIC!#REF!</definedName>
    <definedName name="Williamsleitries">LEIC!#REF!</definedName>
    <definedName name="Williamsmikepts">WOR!#REF!</definedName>
    <definedName name="Williamsmiketries">WOR!#REF!</definedName>
    <definedName name="Williamsmiketriescorrect">WOR!#REF!</definedName>
    <definedName name="williamsnewatt">NEW!$M$12</definedName>
    <definedName name="Williamsnewgls">NEW!$L$12</definedName>
    <definedName name="Williamsnewpts">NEW!$G$49</definedName>
    <definedName name="Williamsnorpts">NOR!#REF!</definedName>
    <definedName name="Williamsnortries">NOR!#REF!</definedName>
    <definedName name="williamsowenatt">LEIC!$M$5</definedName>
    <definedName name="williamsowengoals">LEIC!$L$5</definedName>
    <definedName name="Williamsowenpts">LEIC!$G$15</definedName>
    <definedName name="Williamsowenptscorrect">LEIC!#REF!</definedName>
    <definedName name="Williamssarpts">SAR!$G$49</definedName>
    <definedName name="Williamssartries">SAR!$B$49</definedName>
    <definedName name="Williamstompts">HAR!$G$48</definedName>
    <definedName name="Williamstomtries">HAR!$B$48</definedName>
    <definedName name="Williamstomtriescorrect">HAR!$B$48</definedName>
    <definedName name="Williamsworpts">WOR!$G$51</definedName>
    <definedName name="Williamswortries">WOR!$B$51</definedName>
    <definedName name="Willis_Twaspts">WAS!$G$54</definedName>
    <definedName name="Willis_Twastries">WAS!$B$54</definedName>
    <definedName name="Willismewtries">NEW!#REF!</definedName>
    <definedName name="willisnewatt">NEW!#REF!</definedName>
    <definedName name="Willisnewgoals">NEW!#REF!</definedName>
    <definedName name="Willisnewpts">NEW!#REF!</definedName>
    <definedName name="Willisonbthpts">BTH!$G$48</definedName>
    <definedName name="Willisonbthtries">BTH!$B$48</definedName>
    <definedName name="Willisonworpts">WOR!#REF!</definedName>
    <definedName name="Willisonwortries">WOR!#REF!</definedName>
    <definedName name="Williswaspts">WAS!$G$53</definedName>
    <definedName name="Williswastries">WAS!$B$53</definedName>
    <definedName name="Wilson__Jamesbthgls">BTH!#REF!</definedName>
    <definedName name="Wilson__Jamesbthpts">BTH!$G$51</definedName>
    <definedName name="Wilson__Jamesbthptscorrect">BTH!$G$50</definedName>
    <definedName name="Wilson__Jamesbthtries">BTH!$B$51</definedName>
    <definedName name="Wilson__Jamesbthtriescorrect">BTH!$B$50</definedName>
    <definedName name="Wilson_Dnewpts">NEW!$G$50</definedName>
    <definedName name="Wilson_Dnewtries">NEW!$B$50</definedName>
    <definedName name="Wilson_Markpts">NEW!$G$51</definedName>
    <definedName name="Wilson_Marktries">NEW!$B$51</definedName>
    <definedName name="Wilson_Snewpts">NEW!#REF!</definedName>
    <definedName name="Wilson_Snewtries">NEW!#REF!</definedName>
    <definedName name="Wilsonbatpts">BTH!$G$49</definedName>
    <definedName name="Wilsonbattries">BTH!$B$49</definedName>
    <definedName name="Wilsondavidpts">BTH!#REF!</definedName>
    <definedName name="Wilsondavidtries">BTH!#REF!</definedName>
    <definedName name="Wilsonjackpts">SAR!#REF!</definedName>
    <definedName name="Wilsonjacktries">SAR!#REF!</definedName>
    <definedName name="Wilsonjacktriescorr">SAR!#REF!</definedName>
    <definedName name="Wilsonjacktriescorrect">SAR!#REF!</definedName>
    <definedName name="wilsonjamesatt">NOR!#REF!</definedName>
    <definedName name="wilsonjamesbthatt">BTH!#REF!</definedName>
    <definedName name="wilsonjamesbthgls">BTH!$L$10</definedName>
    <definedName name="Wilsonjamesgoals">NOR!#REF!</definedName>
    <definedName name="Wilsonjamesnorpts">NOR!#REF!</definedName>
    <definedName name="Wilsonjamespts">NOR!#REF!</definedName>
    <definedName name="Wilsonjamesptscorrect">NOR!#REF!</definedName>
    <definedName name="wilsonjamestries">NOR!#REF!</definedName>
    <definedName name="Wilsonjamestriescorrect">NOR!#REF!</definedName>
    <definedName name="wilsonjbthatt">BTH!$M$10</definedName>
    <definedName name="Wittynewpts">NEW!$G$52</definedName>
    <definedName name="Wittynewtries">NEW!$B$52</definedName>
    <definedName name="Woodburnexepts">EXE!$G$49</definedName>
    <definedName name="Woodburnexetries">EXE!$B$49</definedName>
    <definedName name="Woodburnollypts">BTH!#REF!</definedName>
    <definedName name="woodburnollytries">BTH!#REF!</definedName>
    <definedName name="Woodglopts">GLO!#REF!</definedName>
    <definedName name="Woodglotries">GLO!#REF!</definedName>
    <definedName name="Woodtompts">NOR!#REF!</definedName>
    <definedName name="Woodtomptscorrect">NOR!$G$49</definedName>
    <definedName name="woodtomtries">NOR!#REF!</definedName>
    <definedName name="Woodtomtriescorrect">NOR!$B$49</definedName>
    <definedName name="woodwardbriatt">BRI!#REF!</definedName>
    <definedName name="Woodwardbrigoals">BRI!#REF!</definedName>
    <definedName name="Woodwardbripts">BRI!#REF!</definedName>
    <definedName name="Woodwardbritries">BRI!#REF!</definedName>
    <definedName name="Woodwardglopts">GLO!$G$47</definedName>
    <definedName name="Woodwardglotries">GLO!$B$47</definedName>
    <definedName name="Woolfordnorpts">NOR!#REF!</definedName>
    <definedName name="Woolfordnortries">NOR!#REF!</definedName>
    <definedName name="Woolmoreexepts">EXE!#REF!</definedName>
    <definedName name="Woolmoreexetries">EXE!#REF!</definedName>
    <definedName name="Woolstencroftsarpts">SAR!$G$50</definedName>
    <definedName name="Woolstencroftsartries">SAR!$B$50</definedName>
    <definedName name="Woolstencroftwaspts">WAS!$G$54</definedName>
    <definedName name="Woolstencroftwastries">WAS!$B$54</definedName>
    <definedName name="woratt">WOR!#REF!</definedName>
    <definedName name="worcesterpentries">WOR!#REF!</definedName>
    <definedName name="worcesterpentriespts">WOR!$G$12</definedName>
    <definedName name="Worleynorpts">NOR!#REF!</definedName>
    <definedName name="Worleynortries">NOR!#REF!</definedName>
    <definedName name="worthleiatt">LEIC!$M$9</definedName>
    <definedName name="worthleigoals">LEIC!$L$9</definedName>
    <definedName name="Worthleipts">LEIC!$G$43</definedName>
    <definedName name="Worthleitries">LEIC!$B$43</definedName>
    <definedName name="Wrayjacksonpts">SAR!$G$51</definedName>
    <definedName name="Wrayjacksontries">SAR!$B$51</definedName>
    <definedName name="Wylespts">SAR!#REF!</definedName>
    <definedName name="wylestries">SAR!#REF!</definedName>
    <definedName name="Yappwaspts">WAS!#REF!</definedName>
    <definedName name="Yappwastries">WAS!#REF!</definedName>
    <definedName name="Yardeharpts">HAR!#REF!</definedName>
    <definedName name="Yardehartries">HAR!#REF!</definedName>
    <definedName name="Yardepts">BRI!#REF!</definedName>
    <definedName name="Yardesalpts">SAL!$G$44</definedName>
    <definedName name="Yardesaltries">SAL!$B$44</definedName>
    <definedName name="yardetries">BRI!#REF!</definedName>
    <definedName name="Yeandlejackpts">EXE!$G$50</definedName>
    <definedName name="Yeandlejacktries">EXE!$B$50</definedName>
    <definedName name="Yorkchrispts">NEW!$G$54</definedName>
    <definedName name="Yorkchristries">NEW!$B$54</definedName>
    <definedName name="Young_Gnewpts">NEW!$G$53</definedName>
    <definedName name="Young_Gnewtries">NEW!$B$53</definedName>
    <definedName name="Youngmickypts">BTH!#REF!</definedName>
    <definedName name="Youngmickytries">BTH!#REF!</definedName>
    <definedName name="youngsbatt">LEIC!$M$10</definedName>
    <definedName name="Youngsbenpts">LEIC!#REF!</definedName>
    <definedName name="Youngsbenptscorrect">LEIC!$G$44</definedName>
    <definedName name="youngsbentries">LEIC!$B$44</definedName>
    <definedName name="youngsbgoals">LEIC!$L$10</definedName>
    <definedName name="youngstompts">LEIC!$G$45</definedName>
    <definedName name="youngstomtries">LEIC!$B$45</definedName>
    <definedName name="Youngwaspts">WAS!$G$55</definedName>
    <definedName name="Youngwastries">WAS!$B$55</definedName>
    <definedName name="Zhvaniawaspts">WAS!$G$56</definedName>
    <definedName name="Zhvaniawastries">WAS!$B$56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5" i="11" l="1"/>
  <c r="H105" i="11"/>
  <c r="G105" i="11"/>
  <c r="D105" i="11"/>
  <c r="C105" i="11"/>
  <c r="B105" i="11"/>
  <c r="J84" i="11"/>
  <c r="E82" i="11"/>
  <c r="J83" i="11"/>
  <c r="E81" i="11"/>
  <c r="J62" i="11"/>
  <c r="E59" i="11"/>
  <c r="J82" i="11"/>
  <c r="E80" i="11"/>
  <c r="J65" i="11"/>
  <c r="E79" i="11"/>
  <c r="J92" i="11"/>
  <c r="E91" i="11"/>
  <c r="J67" i="11"/>
  <c r="E63" i="11"/>
  <c r="J76" i="11"/>
  <c r="E73" i="11"/>
  <c r="J59" i="11"/>
  <c r="E56" i="11"/>
  <c r="E105" i="11" s="1"/>
  <c r="J91" i="11"/>
  <c r="E90" i="11"/>
  <c r="J104" i="11"/>
  <c r="E104" i="11"/>
  <c r="J103" i="11"/>
  <c r="E103" i="11"/>
  <c r="J102" i="11"/>
  <c r="E102" i="11"/>
  <c r="J64" i="11"/>
  <c r="E61" i="11"/>
  <c r="J101" i="11"/>
  <c r="E101" i="11"/>
  <c r="J58" i="11"/>
  <c r="E60" i="11"/>
  <c r="J69" i="11"/>
  <c r="E64" i="11"/>
  <c r="J81" i="11"/>
  <c r="E78" i="11"/>
  <c r="J72" i="11"/>
  <c r="E67" i="11"/>
  <c r="J100" i="11"/>
  <c r="E100" i="11"/>
  <c r="J85" i="11"/>
  <c r="E89" i="11"/>
  <c r="J80" i="11"/>
  <c r="E77" i="11"/>
  <c r="J63" i="11"/>
  <c r="E72" i="11"/>
  <c r="J60" i="11"/>
  <c r="E57" i="11"/>
  <c r="J57" i="11"/>
  <c r="J105" i="11" s="1"/>
  <c r="E71" i="11"/>
  <c r="J61" i="11"/>
  <c r="E58" i="11"/>
  <c r="J99" i="11"/>
  <c r="E99" i="11"/>
  <c r="J98" i="11"/>
  <c r="E98" i="11"/>
  <c r="J97" i="11"/>
  <c r="E97" i="11"/>
  <c r="J71" i="11"/>
  <c r="E66" i="11"/>
  <c r="J90" i="11"/>
  <c r="E88" i="11"/>
  <c r="J89" i="11"/>
  <c r="E87" i="11"/>
  <c r="J70" i="11"/>
  <c r="E65" i="11"/>
  <c r="J88" i="11"/>
  <c r="E86" i="11"/>
  <c r="J96" i="11"/>
  <c r="E96" i="11"/>
  <c r="J68" i="11"/>
  <c r="E85" i="11"/>
  <c r="J66" i="11"/>
  <c r="E62" i="11"/>
  <c r="J75" i="11"/>
  <c r="E70" i="11"/>
  <c r="J95" i="11"/>
  <c r="E95" i="11"/>
  <c r="J56" i="11"/>
  <c r="E94" i="11"/>
  <c r="J74" i="11"/>
  <c r="E69" i="11"/>
  <c r="J94" i="11"/>
  <c r="E93" i="11"/>
  <c r="J79" i="11"/>
  <c r="E76" i="11"/>
  <c r="J87" i="11"/>
  <c r="E84" i="11"/>
  <c r="J73" i="11"/>
  <c r="E68" i="11"/>
  <c r="J77" i="11"/>
  <c r="E75" i="11"/>
  <c r="J78" i="11"/>
  <c r="E74" i="11"/>
  <c r="J93" i="11"/>
  <c r="E92" i="11"/>
  <c r="J86" i="11"/>
  <c r="E83" i="11"/>
  <c r="I103" i="2"/>
  <c r="H103" i="2"/>
  <c r="G103" i="2"/>
  <c r="D103" i="2"/>
  <c r="C103" i="2"/>
  <c r="B103" i="2"/>
  <c r="J59" i="2"/>
  <c r="E57" i="2"/>
  <c r="J69" i="2"/>
  <c r="E67" i="2"/>
  <c r="J67" i="2"/>
  <c r="E64" i="2"/>
  <c r="J74" i="2"/>
  <c r="E73" i="2"/>
  <c r="J63" i="2"/>
  <c r="E60" i="2"/>
  <c r="J102" i="2"/>
  <c r="E102" i="2"/>
  <c r="J89" i="2"/>
  <c r="E88" i="2"/>
  <c r="J101" i="2"/>
  <c r="E101" i="2"/>
  <c r="J100" i="2"/>
  <c r="E100" i="2"/>
  <c r="J55" i="2"/>
  <c r="J103" i="2" s="1"/>
  <c r="E87" i="2"/>
  <c r="J62" i="2"/>
  <c r="E59" i="2"/>
  <c r="J88" i="2"/>
  <c r="E86" i="2"/>
  <c r="J84" i="2"/>
  <c r="E99" i="2"/>
  <c r="J66" i="2"/>
  <c r="E63" i="2"/>
  <c r="J56" i="2"/>
  <c r="E72" i="2"/>
  <c r="J83" i="2"/>
  <c r="E82" i="2"/>
  <c r="J99" i="2"/>
  <c r="E98" i="2"/>
  <c r="J61" i="2"/>
  <c r="E66" i="2"/>
  <c r="J65" i="2"/>
  <c r="E62" i="2"/>
  <c r="J71" i="2"/>
  <c r="E69" i="2"/>
  <c r="J82" i="2"/>
  <c r="E81" i="2"/>
  <c r="J87" i="2"/>
  <c r="E85" i="2"/>
  <c r="J86" i="2"/>
  <c r="E84" i="2"/>
  <c r="J81" i="2"/>
  <c r="E80" i="2"/>
  <c r="J98" i="2"/>
  <c r="E97" i="2"/>
  <c r="J70" i="2"/>
  <c r="E68" i="2"/>
  <c r="J58" i="2"/>
  <c r="E56" i="2"/>
  <c r="J85" i="2"/>
  <c r="E83" i="2"/>
  <c r="J97" i="2"/>
  <c r="E96" i="2"/>
  <c r="J80" i="2"/>
  <c r="E79" i="2"/>
  <c r="J79" i="2"/>
  <c r="E78" i="2"/>
  <c r="J73" i="2"/>
  <c r="E71" i="2"/>
  <c r="J96" i="2"/>
  <c r="E95" i="2"/>
  <c r="J95" i="2"/>
  <c r="E94" i="2"/>
  <c r="J94" i="2"/>
  <c r="E93" i="2"/>
  <c r="J93" i="2"/>
  <c r="E92" i="2"/>
  <c r="J72" i="2"/>
  <c r="E70" i="2"/>
  <c r="J92" i="2"/>
  <c r="E91" i="2"/>
  <c r="J64" i="2"/>
  <c r="E61" i="2"/>
  <c r="J78" i="2"/>
  <c r="E77" i="2"/>
  <c r="J91" i="2"/>
  <c r="E90" i="2"/>
  <c r="J77" i="2"/>
  <c r="E76" i="2"/>
  <c r="J68" i="2"/>
  <c r="E65" i="2"/>
  <c r="J57" i="2"/>
  <c r="E55" i="2"/>
  <c r="E103" i="2" s="1"/>
  <c r="J76" i="2"/>
  <c r="E75" i="2"/>
  <c r="J75" i="2"/>
  <c r="E74" i="2"/>
  <c r="J90" i="2"/>
  <c r="E89" i="2"/>
  <c r="J60" i="2"/>
  <c r="E58" i="2"/>
  <c r="J76" i="13"/>
  <c r="I76" i="13"/>
  <c r="K76" i="13" s="1"/>
  <c r="F150" i="13"/>
  <c r="F193" i="13"/>
  <c r="C173" i="13"/>
  <c r="I105" i="12"/>
  <c r="H105" i="12"/>
  <c r="G105" i="12"/>
  <c r="E105" i="12"/>
  <c r="D105" i="12"/>
  <c r="C105" i="12"/>
  <c r="B105" i="12"/>
  <c r="J74" i="12"/>
  <c r="E72" i="12"/>
  <c r="J56" i="12"/>
  <c r="E61" i="12"/>
  <c r="J89" i="12"/>
  <c r="E88" i="12"/>
  <c r="J68" i="12"/>
  <c r="E67" i="12"/>
  <c r="J88" i="12"/>
  <c r="E87" i="12"/>
  <c r="J70" i="12"/>
  <c r="E86" i="12"/>
  <c r="J67" i="12"/>
  <c r="E66" i="12"/>
  <c r="J104" i="12"/>
  <c r="E104" i="12"/>
  <c r="J66" i="12"/>
  <c r="E65" i="12"/>
  <c r="J62" i="12"/>
  <c r="E71" i="12"/>
  <c r="J87" i="12"/>
  <c r="E85" i="12"/>
  <c r="J103" i="12"/>
  <c r="E103" i="12"/>
  <c r="J86" i="12"/>
  <c r="E84" i="12"/>
  <c r="J57" i="12"/>
  <c r="E60" i="12"/>
  <c r="J73" i="12"/>
  <c r="E70" i="12"/>
  <c r="J75" i="12"/>
  <c r="E83" i="12"/>
  <c r="J102" i="12"/>
  <c r="E102" i="12"/>
  <c r="J63" i="12"/>
  <c r="E63" i="12"/>
  <c r="J101" i="12"/>
  <c r="E101" i="12"/>
  <c r="J100" i="12"/>
  <c r="E100" i="12"/>
  <c r="J85" i="12"/>
  <c r="E82" i="12"/>
  <c r="J64" i="12"/>
  <c r="E62" i="12"/>
  <c r="J72" i="12"/>
  <c r="E69" i="12"/>
  <c r="J69" i="12"/>
  <c r="E99" i="12"/>
  <c r="J99" i="12"/>
  <c r="E98" i="12"/>
  <c r="J84" i="12"/>
  <c r="E81" i="12"/>
  <c r="J98" i="12"/>
  <c r="E97" i="12"/>
  <c r="J59" i="12"/>
  <c r="E57" i="12"/>
  <c r="J65" i="12"/>
  <c r="E64" i="12"/>
  <c r="J61" i="12"/>
  <c r="E59" i="12"/>
  <c r="J58" i="12"/>
  <c r="E56" i="12"/>
  <c r="J83" i="12"/>
  <c r="E80" i="12"/>
  <c r="J71" i="12"/>
  <c r="E68" i="12"/>
  <c r="J82" i="12"/>
  <c r="E79" i="12"/>
  <c r="J81" i="12"/>
  <c r="E78" i="12"/>
  <c r="J97" i="12"/>
  <c r="E96" i="12"/>
  <c r="J80" i="12"/>
  <c r="E77" i="12"/>
  <c r="J79" i="12"/>
  <c r="E76" i="12"/>
  <c r="J96" i="12"/>
  <c r="E95" i="12"/>
  <c r="J95" i="12"/>
  <c r="E94" i="12"/>
  <c r="J94" i="12"/>
  <c r="E93" i="12"/>
  <c r="J93" i="12"/>
  <c r="E92" i="12"/>
  <c r="J92" i="12"/>
  <c r="E91" i="12"/>
  <c r="J91" i="12"/>
  <c r="E90" i="12"/>
  <c r="J78" i="12"/>
  <c r="E75" i="12"/>
  <c r="J90" i="12"/>
  <c r="E89" i="12"/>
  <c r="J77" i="12"/>
  <c r="E74" i="12"/>
  <c r="J76" i="12"/>
  <c r="E73" i="12"/>
  <c r="J60" i="12"/>
  <c r="E58" i="12"/>
  <c r="I109" i="6"/>
  <c r="H109" i="6"/>
  <c r="G109" i="6"/>
  <c r="D109" i="6"/>
  <c r="C109" i="6"/>
  <c r="B109" i="6"/>
  <c r="E109" i="6"/>
  <c r="J108" i="6"/>
  <c r="E108" i="6"/>
  <c r="J107" i="6"/>
  <c r="E107" i="6"/>
  <c r="J65" i="6"/>
  <c r="E63" i="6"/>
  <c r="J106" i="6"/>
  <c r="E106" i="6"/>
  <c r="J81" i="6"/>
  <c r="E80" i="6"/>
  <c r="J69" i="6"/>
  <c r="E67" i="6"/>
  <c r="J105" i="6"/>
  <c r="E105" i="6"/>
  <c r="J64" i="6"/>
  <c r="E62" i="6"/>
  <c r="J104" i="6"/>
  <c r="E104" i="6"/>
  <c r="J103" i="6"/>
  <c r="E103" i="6"/>
  <c r="J58" i="6"/>
  <c r="E72" i="6"/>
  <c r="J71" i="6"/>
  <c r="E69" i="6"/>
  <c r="J88" i="6"/>
  <c r="E87" i="6"/>
  <c r="J87" i="6"/>
  <c r="E86" i="6"/>
  <c r="J102" i="6"/>
  <c r="E102" i="6"/>
  <c r="J67" i="6"/>
  <c r="E65" i="6"/>
  <c r="J101" i="6"/>
  <c r="E101" i="6"/>
  <c r="J63" i="6"/>
  <c r="E61" i="6"/>
  <c r="J74" i="6"/>
  <c r="E79" i="6"/>
  <c r="J62" i="6"/>
  <c r="E60" i="6"/>
  <c r="J100" i="6"/>
  <c r="E100" i="6"/>
  <c r="J66" i="6"/>
  <c r="E64" i="6"/>
  <c r="J86" i="6"/>
  <c r="E85" i="6"/>
  <c r="J59" i="6"/>
  <c r="E99" i="6"/>
  <c r="J73" i="6"/>
  <c r="E71" i="6"/>
  <c r="J80" i="6"/>
  <c r="E78" i="6"/>
  <c r="J61" i="6"/>
  <c r="E59" i="6"/>
  <c r="J99" i="6"/>
  <c r="E98" i="6"/>
  <c r="J98" i="6"/>
  <c r="E97" i="6"/>
  <c r="J85" i="6"/>
  <c r="E84" i="6"/>
  <c r="J79" i="6"/>
  <c r="E77" i="6"/>
  <c r="J84" i="6"/>
  <c r="E83" i="6"/>
  <c r="J97" i="6"/>
  <c r="E96" i="6"/>
  <c r="J78" i="6"/>
  <c r="E76" i="6"/>
  <c r="J96" i="6"/>
  <c r="E95" i="6"/>
  <c r="J77" i="6"/>
  <c r="E75" i="6"/>
  <c r="J70" i="6"/>
  <c r="E68" i="6"/>
  <c r="J76" i="6"/>
  <c r="E74" i="6"/>
  <c r="J72" i="6"/>
  <c r="E70" i="6"/>
  <c r="J95" i="6"/>
  <c r="E94" i="6"/>
  <c r="J60" i="6"/>
  <c r="E58" i="6"/>
  <c r="J91" i="6"/>
  <c r="E93" i="6"/>
  <c r="J94" i="6"/>
  <c r="E92" i="6"/>
  <c r="J89" i="6"/>
  <c r="E91" i="6"/>
  <c r="J83" i="6"/>
  <c r="E82" i="6"/>
  <c r="J68" i="6"/>
  <c r="E66" i="6"/>
  <c r="J93" i="6"/>
  <c r="E90" i="6"/>
  <c r="J90" i="6"/>
  <c r="E89" i="6"/>
  <c r="J82" i="6"/>
  <c r="E81" i="6"/>
  <c r="J75" i="6"/>
  <c r="E73" i="6"/>
  <c r="J92" i="6"/>
  <c r="E88" i="6"/>
  <c r="J105" i="12"/>
  <c r="J109" i="6"/>
  <c r="I102" i="9"/>
  <c r="H102" i="9"/>
  <c r="G102" i="9"/>
  <c r="D102" i="9"/>
  <c r="E102" i="9" s="1"/>
  <c r="C102" i="9"/>
  <c r="B102" i="9"/>
  <c r="J76" i="9"/>
  <c r="E74" i="9"/>
  <c r="J91" i="9"/>
  <c r="E90" i="9"/>
  <c r="J82" i="9"/>
  <c r="E81" i="9"/>
  <c r="J90" i="9"/>
  <c r="E89" i="9"/>
  <c r="J64" i="9"/>
  <c r="E61" i="9"/>
  <c r="J101" i="9"/>
  <c r="E101" i="9"/>
  <c r="J63" i="9"/>
  <c r="E60" i="9"/>
  <c r="J72" i="9"/>
  <c r="E70" i="9"/>
  <c r="J57" i="9"/>
  <c r="E55" i="9"/>
  <c r="J89" i="9"/>
  <c r="E88" i="9"/>
  <c r="J100" i="9"/>
  <c r="E100" i="9"/>
  <c r="J99" i="9"/>
  <c r="E99" i="9"/>
  <c r="J77" i="9"/>
  <c r="E80" i="9"/>
  <c r="J88" i="9"/>
  <c r="E87" i="9"/>
  <c r="J98" i="9"/>
  <c r="E98" i="9"/>
  <c r="J61" i="9"/>
  <c r="E58" i="9"/>
  <c r="J87" i="9"/>
  <c r="E86" i="9"/>
  <c r="J60" i="9"/>
  <c r="E57" i="9"/>
  <c r="J66" i="9"/>
  <c r="E64" i="9"/>
  <c r="J86" i="9"/>
  <c r="E97" i="9"/>
  <c r="J71" i="9"/>
  <c r="E69" i="9"/>
  <c r="J85" i="9"/>
  <c r="E85" i="9"/>
  <c r="J70" i="9"/>
  <c r="E68" i="9"/>
  <c r="J62" i="9"/>
  <c r="E63" i="9"/>
  <c r="J97" i="9"/>
  <c r="E96" i="9"/>
  <c r="J81" i="9"/>
  <c r="E79" i="9"/>
  <c r="J96" i="9"/>
  <c r="E95" i="9"/>
  <c r="J80" i="9"/>
  <c r="E78" i="9"/>
  <c r="J69" i="9"/>
  <c r="E67" i="9"/>
  <c r="J56" i="9"/>
  <c r="E77" i="9"/>
  <c r="J79" i="9"/>
  <c r="E76" i="9"/>
  <c r="J67" i="9"/>
  <c r="E66" i="9"/>
  <c r="J78" i="9"/>
  <c r="E75" i="9"/>
  <c r="J58" i="9"/>
  <c r="E59" i="9"/>
  <c r="J95" i="9"/>
  <c r="E94" i="9"/>
  <c r="J75" i="9"/>
  <c r="E73" i="9"/>
  <c r="J74" i="9"/>
  <c r="E72" i="9"/>
  <c r="J68" i="9"/>
  <c r="E65" i="9"/>
  <c r="J94" i="9"/>
  <c r="E93" i="9"/>
  <c r="J93" i="9"/>
  <c r="E92" i="9"/>
  <c r="J92" i="9"/>
  <c r="E91" i="9"/>
  <c r="J59" i="9"/>
  <c r="E56" i="9"/>
  <c r="J84" i="9"/>
  <c r="E84" i="9"/>
  <c r="J65" i="9"/>
  <c r="E62" i="9"/>
  <c r="J73" i="9"/>
  <c r="E71" i="9"/>
  <c r="J55" i="9"/>
  <c r="E83" i="9"/>
  <c r="J83" i="9"/>
  <c r="E82" i="9"/>
  <c r="Q8" i="3"/>
  <c r="I97" i="3"/>
  <c r="H97" i="3"/>
  <c r="G97" i="3"/>
  <c r="D97" i="3"/>
  <c r="C97" i="3"/>
  <c r="B97" i="3"/>
  <c r="J55" i="3"/>
  <c r="E53" i="3"/>
  <c r="J76" i="3"/>
  <c r="E96" i="3"/>
  <c r="J68" i="3"/>
  <c r="E66" i="3"/>
  <c r="J64" i="3"/>
  <c r="E61" i="3"/>
  <c r="J52" i="3"/>
  <c r="E95" i="3"/>
  <c r="J96" i="3"/>
  <c r="E94" i="3"/>
  <c r="J59" i="3"/>
  <c r="E57" i="3"/>
  <c r="J85" i="3"/>
  <c r="E83" i="3"/>
  <c r="J63" i="3"/>
  <c r="E60" i="3"/>
  <c r="J54" i="3"/>
  <c r="J97" i="3" s="1"/>
  <c r="E52" i="3"/>
  <c r="E97" i="3" s="1"/>
  <c r="J74" i="3"/>
  <c r="E72" i="3"/>
  <c r="J95" i="3"/>
  <c r="E93" i="3"/>
  <c r="J94" i="3"/>
  <c r="E92" i="3"/>
  <c r="J93" i="3"/>
  <c r="E91" i="3"/>
  <c r="J67" i="3"/>
  <c r="E65" i="3"/>
  <c r="J84" i="3"/>
  <c r="E82" i="3"/>
  <c r="J75" i="3"/>
  <c r="E81" i="3"/>
  <c r="J83" i="3"/>
  <c r="E80" i="3"/>
  <c r="J92" i="3"/>
  <c r="E90" i="3"/>
  <c r="J57" i="3"/>
  <c r="E55" i="3"/>
  <c r="J91" i="3"/>
  <c r="E89" i="3"/>
  <c r="J73" i="3"/>
  <c r="E71" i="3"/>
  <c r="J82" i="3"/>
  <c r="E79" i="3"/>
  <c r="J66" i="3"/>
  <c r="E64" i="3"/>
  <c r="J90" i="3"/>
  <c r="E88" i="3"/>
  <c r="J81" i="3"/>
  <c r="E78" i="3"/>
  <c r="J80" i="3"/>
  <c r="E77" i="3"/>
  <c r="J62" i="3"/>
  <c r="E59" i="3"/>
  <c r="J72" i="3"/>
  <c r="E70" i="3"/>
  <c r="J65" i="3"/>
  <c r="E63" i="3"/>
  <c r="J89" i="3"/>
  <c r="E87" i="3"/>
  <c r="J88" i="3"/>
  <c r="E86" i="3"/>
  <c r="J61" i="3"/>
  <c r="E76" i="3"/>
  <c r="J79" i="3"/>
  <c r="E75" i="3"/>
  <c r="J78" i="3"/>
  <c r="E74" i="3"/>
  <c r="J87" i="3"/>
  <c r="E85" i="3"/>
  <c r="J71" i="3"/>
  <c r="E69" i="3"/>
  <c r="J77" i="3"/>
  <c r="E73" i="3"/>
  <c r="J53" i="3"/>
  <c r="E62" i="3"/>
  <c r="J86" i="3"/>
  <c r="E84" i="3"/>
  <c r="J70" i="3"/>
  <c r="E68" i="3"/>
  <c r="J56" i="3"/>
  <c r="E54" i="3"/>
  <c r="J69" i="3"/>
  <c r="E67" i="3"/>
  <c r="J60" i="3"/>
  <c r="E58" i="3"/>
  <c r="J58" i="3"/>
  <c r="E56" i="3"/>
  <c r="J102" i="9"/>
  <c r="N25" i="13"/>
  <c r="N24" i="13"/>
  <c r="N23" i="13"/>
  <c r="N22" i="13"/>
  <c r="N21" i="13"/>
  <c r="N20" i="13"/>
  <c r="N19" i="13"/>
  <c r="N18" i="13"/>
  <c r="N17" i="13"/>
  <c r="N16" i="13"/>
  <c r="N15" i="13"/>
  <c r="N13" i="13"/>
  <c r="N12" i="13"/>
  <c r="N11" i="13"/>
  <c r="N10" i="13"/>
  <c r="N9" i="13"/>
  <c r="N8" i="13"/>
  <c r="N7" i="13"/>
  <c r="N6" i="13"/>
  <c r="N5" i="13"/>
  <c r="N4" i="13"/>
  <c r="N3" i="13"/>
  <c r="N2" i="13"/>
  <c r="Q6" i="4"/>
  <c r="I109" i="4"/>
  <c r="H109" i="4"/>
  <c r="J109" i="4" s="1"/>
  <c r="G109" i="4"/>
  <c r="D109" i="4"/>
  <c r="C109" i="4"/>
  <c r="E109" i="4" s="1"/>
  <c r="B109" i="4"/>
  <c r="J108" i="4"/>
  <c r="E108" i="4"/>
  <c r="J107" i="4"/>
  <c r="E107" i="4"/>
  <c r="J85" i="4"/>
  <c r="E84" i="4"/>
  <c r="J106" i="4"/>
  <c r="E106" i="4"/>
  <c r="J76" i="4"/>
  <c r="E75" i="4"/>
  <c r="J105" i="4"/>
  <c r="E105" i="4"/>
  <c r="J104" i="4"/>
  <c r="E104" i="4"/>
  <c r="J68" i="4"/>
  <c r="E66" i="4"/>
  <c r="J103" i="4"/>
  <c r="E103" i="4"/>
  <c r="J102" i="4"/>
  <c r="E102" i="4"/>
  <c r="J58" i="4"/>
  <c r="E65" i="4"/>
  <c r="J101" i="4"/>
  <c r="E101" i="4"/>
  <c r="J84" i="4"/>
  <c r="E83" i="4"/>
  <c r="J75" i="4"/>
  <c r="E74" i="4"/>
  <c r="J77" i="4"/>
  <c r="E82" i="4"/>
  <c r="J71" i="4"/>
  <c r="E70" i="4"/>
  <c r="J74" i="4"/>
  <c r="E73" i="4"/>
  <c r="J100" i="4"/>
  <c r="E100" i="4"/>
  <c r="J83" i="4"/>
  <c r="E81" i="4"/>
  <c r="J82" i="4"/>
  <c r="E80" i="4"/>
  <c r="J60" i="4"/>
  <c r="E58" i="4"/>
  <c r="J99" i="4"/>
  <c r="E99" i="4"/>
  <c r="J98" i="4"/>
  <c r="E98" i="4"/>
  <c r="J97" i="4"/>
  <c r="E97" i="4"/>
  <c r="J96" i="4"/>
  <c r="E96" i="4"/>
  <c r="J59" i="4"/>
  <c r="E69" i="4"/>
  <c r="J95" i="4"/>
  <c r="E95" i="4"/>
  <c r="J94" i="4"/>
  <c r="E94" i="4"/>
  <c r="J70" i="4"/>
  <c r="E68" i="4"/>
  <c r="J81" i="4"/>
  <c r="E79" i="4"/>
  <c r="J69" i="4"/>
  <c r="E67" i="4"/>
  <c r="J93" i="4"/>
  <c r="E93" i="4"/>
  <c r="J80" i="4"/>
  <c r="E78" i="4"/>
  <c r="J92" i="4"/>
  <c r="E92" i="4"/>
  <c r="J73" i="4"/>
  <c r="E72" i="4"/>
  <c r="J62" i="4"/>
  <c r="E60" i="4"/>
  <c r="J61" i="4"/>
  <c r="E59" i="4"/>
  <c r="J67" i="4"/>
  <c r="E64" i="4"/>
  <c r="J91" i="4"/>
  <c r="E91" i="4"/>
  <c r="J66" i="4"/>
  <c r="E63" i="4"/>
  <c r="J79" i="4"/>
  <c r="E77" i="4"/>
  <c r="J78" i="4"/>
  <c r="E76" i="4"/>
  <c r="J90" i="4"/>
  <c r="E90" i="4"/>
  <c r="J64" i="4"/>
  <c r="E89" i="4"/>
  <c r="J63" i="4"/>
  <c r="E61" i="4"/>
  <c r="J89" i="4"/>
  <c r="E88" i="4"/>
  <c r="J65" i="4"/>
  <c r="E62" i="4"/>
  <c r="J72" i="4"/>
  <c r="E71" i="4"/>
  <c r="J88" i="4"/>
  <c r="E87" i="4"/>
  <c r="J87" i="4"/>
  <c r="E86" i="4"/>
  <c r="J86" i="4"/>
  <c r="E85" i="4"/>
  <c r="I115" i="7"/>
  <c r="J115" i="7" s="1"/>
  <c r="H115" i="7"/>
  <c r="G115" i="7"/>
  <c r="D115" i="7"/>
  <c r="C115" i="7"/>
  <c r="E115" i="7" s="1"/>
  <c r="B115" i="7"/>
  <c r="J75" i="7"/>
  <c r="E71" i="7"/>
  <c r="J71" i="7"/>
  <c r="E67" i="7"/>
  <c r="J85" i="7"/>
  <c r="E84" i="7"/>
  <c r="J114" i="7"/>
  <c r="E114" i="7"/>
  <c r="J113" i="7"/>
  <c r="E113" i="7"/>
  <c r="J66" i="7"/>
  <c r="E63" i="7"/>
  <c r="J112" i="7"/>
  <c r="E112" i="7"/>
  <c r="J84" i="7"/>
  <c r="E83" i="7"/>
  <c r="J78" i="7"/>
  <c r="E75" i="7"/>
  <c r="J61" i="7"/>
  <c r="E82" i="7"/>
  <c r="J70" i="7"/>
  <c r="E66" i="7"/>
  <c r="J111" i="7"/>
  <c r="E111" i="7"/>
  <c r="J62" i="7"/>
  <c r="E110" i="7"/>
  <c r="J110" i="7"/>
  <c r="E109" i="7"/>
  <c r="J77" i="7"/>
  <c r="E74" i="7"/>
  <c r="J74" i="7"/>
  <c r="E70" i="7"/>
  <c r="J109" i="7"/>
  <c r="E108" i="7"/>
  <c r="J108" i="7"/>
  <c r="E107" i="7"/>
  <c r="J107" i="7"/>
  <c r="E106" i="7"/>
  <c r="J73" i="7"/>
  <c r="E69" i="7"/>
  <c r="J106" i="7"/>
  <c r="E105" i="7"/>
  <c r="J105" i="7"/>
  <c r="E104" i="7"/>
  <c r="J104" i="7"/>
  <c r="E103" i="7"/>
  <c r="J65" i="7"/>
  <c r="E81" i="7"/>
  <c r="J103" i="7"/>
  <c r="E102" i="7"/>
  <c r="J102" i="7"/>
  <c r="E101" i="7"/>
  <c r="J101" i="7"/>
  <c r="E100" i="7"/>
  <c r="J72" i="7"/>
  <c r="E68" i="7"/>
  <c r="J100" i="7"/>
  <c r="E99" i="7"/>
  <c r="J83" i="7"/>
  <c r="E80" i="7"/>
  <c r="J99" i="7"/>
  <c r="E98" i="7"/>
  <c r="J76" i="7"/>
  <c r="E73" i="7"/>
  <c r="J86" i="7"/>
  <c r="E97" i="7"/>
  <c r="J98" i="7"/>
  <c r="E96" i="7"/>
  <c r="J64" i="7"/>
  <c r="E62" i="7"/>
  <c r="J82" i="7"/>
  <c r="E79" i="7"/>
  <c r="J97" i="7"/>
  <c r="E95" i="7"/>
  <c r="J96" i="7"/>
  <c r="E94" i="7"/>
  <c r="J95" i="7"/>
  <c r="E93" i="7"/>
  <c r="J81" i="7"/>
  <c r="E78" i="7"/>
  <c r="J94" i="7"/>
  <c r="E92" i="7"/>
  <c r="J93" i="7"/>
  <c r="E91" i="7"/>
  <c r="J92" i="7"/>
  <c r="E90" i="7"/>
  <c r="J67" i="7"/>
  <c r="E64" i="7"/>
  <c r="J68" i="7"/>
  <c r="E72" i="7"/>
  <c r="J91" i="7"/>
  <c r="E89" i="7"/>
  <c r="J80" i="7"/>
  <c r="E77" i="7"/>
  <c r="J90" i="7"/>
  <c r="E88" i="7"/>
  <c r="J69" i="7"/>
  <c r="E65" i="7"/>
  <c r="J89" i="7"/>
  <c r="E87" i="7"/>
  <c r="J88" i="7"/>
  <c r="E86" i="7"/>
  <c r="J63" i="7"/>
  <c r="E61" i="7"/>
  <c r="J79" i="7"/>
  <c r="E76" i="7"/>
  <c r="J87" i="7"/>
  <c r="E85" i="7"/>
  <c r="I91" i="10"/>
  <c r="H91" i="10"/>
  <c r="G91" i="10"/>
  <c r="D91" i="10"/>
  <c r="C91" i="10"/>
  <c r="B91" i="10"/>
  <c r="J63" i="10"/>
  <c r="E61" i="10"/>
  <c r="J66" i="10"/>
  <c r="E74" i="10"/>
  <c r="J57" i="10"/>
  <c r="E52" i="10"/>
  <c r="J62" i="10"/>
  <c r="E60" i="10"/>
  <c r="J90" i="10"/>
  <c r="E90" i="10"/>
  <c r="J89" i="10"/>
  <c r="E89" i="10"/>
  <c r="J52" i="10"/>
  <c r="E49" i="10"/>
  <c r="E91" i="10" s="1"/>
  <c r="J65" i="10"/>
  <c r="E64" i="10"/>
  <c r="J75" i="10"/>
  <c r="E73" i="10"/>
  <c r="J88" i="10"/>
  <c r="E88" i="10"/>
  <c r="J74" i="10"/>
  <c r="E72" i="10"/>
  <c r="J73" i="10"/>
  <c r="E71" i="10"/>
  <c r="J55" i="10"/>
  <c r="E53" i="10"/>
  <c r="J87" i="10"/>
  <c r="E87" i="10"/>
  <c r="J86" i="10"/>
  <c r="E86" i="10"/>
  <c r="J61" i="10"/>
  <c r="E59" i="10"/>
  <c r="J85" i="10"/>
  <c r="E85" i="10"/>
  <c r="J84" i="10"/>
  <c r="E84" i="10"/>
  <c r="J83" i="10"/>
  <c r="E83" i="10"/>
  <c r="J72" i="10"/>
  <c r="E70" i="10"/>
  <c r="J56" i="10"/>
  <c r="E51" i="10"/>
  <c r="J49" i="10"/>
  <c r="E63" i="10"/>
  <c r="J82" i="10"/>
  <c r="E82" i="10"/>
  <c r="J71" i="10"/>
  <c r="E69" i="10"/>
  <c r="J81" i="10"/>
  <c r="E81" i="10"/>
  <c r="J80" i="10"/>
  <c r="E80" i="10"/>
  <c r="J79" i="10"/>
  <c r="E79" i="10"/>
  <c r="J78" i="10"/>
  <c r="E78" i="10"/>
  <c r="J59" i="10"/>
  <c r="E58" i="10"/>
  <c r="J64" i="10"/>
  <c r="E62" i="10"/>
  <c r="J77" i="10"/>
  <c r="E77" i="10"/>
  <c r="J76" i="10"/>
  <c r="E76" i="10"/>
  <c r="J60" i="10"/>
  <c r="E57" i="10"/>
  <c r="J50" i="10"/>
  <c r="E75" i="10"/>
  <c r="J70" i="10"/>
  <c r="E68" i="10"/>
  <c r="J51" i="10"/>
  <c r="E56" i="10"/>
  <c r="J69" i="10"/>
  <c r="E67" i="10"/>
  <c r="J68" i="10"/>
  <c r="E66" i="10"/>
  <c r="J54" i="10"/>
  <c r="E55" i="10"/>
  <c r="J67" i="10"/>
  <c r="E65" i="10"/>
  <c r="J58" i="10"/>
  <c r="E54" i="10"/>
  <c r="J53" i="10"/>
  <c r="E50" i="10"/>
  <c r="J91" i="10"/>
  <c r="J80" i="13"/>
  <c r="K80" i="13" s="1"/>
  <c r="I80" i="13"/>
  <c r="N9" i="8"/>
  <c r="Q7" i="8"/>
  <c r="I111" i="8"/>
  <c r="H111" i="8"/>
  <c r="G111" i="8"/>
  <c r="D111" i="8"/>
  <c r="C111" i="8"/>
  <c r="B111" i="8"/>
  <c r="J70" i="8"/>
  <c r="E67" i="8"/>
  <c r="J110" i="8"/>
  <c r="E110" i="8"/>
  <c r="J109" i="8"/>
  <c r="E109" i="8"/>
  <c r="J66" i="8"/>
  <c r="E63" i="8"/>
  <c r="J108" i="8"/>
  <c r="E108" i="8"/>
  <c r="J65" i="8"/>
  <c r="E62" i="8"/>
  <c r="J107" i="8"/>
  <c r="E107" i="8"/>
  <c r="J84" i="8"/>
  <c r="E82" i="8"/>
  <c r="J106" i="8"/>
  <c r="E106" i="8"/>
  <c r="J105" i="8"/>
  <c r="E105" i="8"/>
  <c r="J60" i="8"/>
  <c r="E60" i="8"/>
  <c r="J104" i="8"/>
  <c r="E104" i="8"/>
  <c r="J85" i="8"/>
  <c r="E103" i="8"/>
  <c r="J103" i="8"/>
  <c r="E102" i="8"/>
  <c r="J83" i="8"/>
  <c r="E81" i="8"/>
  <c r="J102" i="8"/>
  <c r="E101" i="8"/>
  <c r="J101" i="8"/>
  <c r="E100" i="8"/>
  <c r="J68" i="8"/>
  <c r="E65" i="8"/>
  <c r="J100" i="8"/>
  <c r="E99" i="8"/>
  <c r="J75" i="8"/>
  <c r="E73" i="8"/>
  <c r="J99" i="8"/>
  <c r="E98" i="8"/>
  <c r="J76" i="8"/>
  <c r="E80" i="8"/>
  <c r="J69" i="8"/>
  <c r="E66" i="8"/>
  <c r="J98" i="8"/>
  <c r="E97" i="8"/>
  <c r="J97" i="8"/>
  <c r="E96" i="8"/>
  <c r="J96" i="8"/>
  <c r="E95" i="8"/>
  <c r="J82" i="8"/>
  <c r="E79" i="8"/>
  <c r="J74" i="8"/>
  <c r="E72" i="8"/>
  <c r="J95" i="8"/>
  <c r="E94" i="8"/>
  <c r="J94" i="8"/>
  <c r="E93" i="8"/>
  <c r="J61" i="8"/>
  <c r="E59" i="8"/>
  <c r="J63" i="8"/>
  <c r="J111" i="8" s="1"/>
  <c r="E92" i="8"/>
  <c r="J73" i="8"/>
  <c r="E71" i="8"/>
  <c r="J81" i="8"/>
  <c r="E78" i="8"/>
  <c r="J93" i="8"/>
  <c r="E91" i="8"/>
  <c r="J92" i="8"/>
  <c r="E90" i="8"/>
  <c r="J72" i="8"/>
  <c r="E70" i="8"/>
  <c r="J64" i="8"/>
  <c r="E61" i="8"/>
  <c r="J59" i="8"/>
  <c r="E69" i="8"/>
  <c r="J91" i="8"/>
  <c r="E89" i="8"/>
  <c r="J80" i="8"/>
  <c r="E77" i="8"/>
  <c r="J79" i="8"/>
  <c r="E76" i="8"/>
  <c r="J62" i="8"/>
  <c r="E88" i="8"/>
  <c r="J90" i="8"/>
  <c r="E87" i="8"/>
  <c r="J67" i="8"/>
  <c r="E64" i="8"/>
  <c r="J89" i="8"/>
  <c r="E86" i="8"/>
  <c r="J88" i="8"/>
  <c r="E85" i="8"/>
  <c r="J71" i="8"/>
  <c r="E68" i="8"/>
  <c r="J78" i="8"/>
  <c r="E75" i="8"/>
  <c r="J87" i="8"/>
  <c r="E84" i="8"/>
  <c r="J86" i="8"/>
  <c r="E83" i="8"/>
  <c r="J77" i="8"/>
  <c r="E74" i="8"/>
  <c r="E111" i="8"/>
  <c r="Q11" i="1"/>
  <c r="I105" i="1"/>
  <c r="H105" i="1"/>
  <c r="G105" i="1"/>
  <c r="J105" i="1" s="1"/>
  <c r="D105" i="1"/>
  <c r="C105" i="1"/>
  <c r="B105" i="1"/>
  <c r="E105" i="1"/>
  <c r="J85" i="1"/>
  <c r="E83" i="1"/>
  <c r="J69" i="1"/>
  <c r="E104" i="1"/>
  <c r="J75" i="1"/>
  <c r="E73" i="1"/>
  <c r="J104" i="1"/>
  <c r="E103" i="1"/>
  <c r="J84" i="1"/>
  <c r="E82" i="1"/>
  <c r="J74" i="1"/>
  <c r="E72" i="1"/>
  <c r="J103" i="1"/>
  <c r="E102" i="1"/>
  <c r="J102" i="1"/>
  <c r="E101" i="1"/>
  <c r="J83" i="1"/>
  <c r="E81" i="1"/>
  <c r="J82" i="1"/>
  <c r="E80" i="1"/>
  <c r="J81" i="1"/>
  <c r="E79" i="1"/>
  <c r="J73" i="1"/>
  <c r="E71" i="1"/>
  <c r="J59" i="1"/>
  <c r="E57" i="1"/>
  <c r="J64" i="1"/>
  <c r="E62" i="1"/>
  <c r="J57" i="1"/>
  <c r="E70" i="1"/>
  <c r="J101" i="1"/>
  <c r="E100" i="1"/>
  <c r="J100" i="1"/>
  <c r="E99" i="1"/>
  <c r="J80" i="1"/>
  <c r="E78" i="1"/>
  <c r="J99" i="1"/>
  <c r="E98" i="1"/>
  <c r="J60" i="1"/>
  <c r="E58" i="1"/>
  <c r="J61" i="1"/>
  <c r="E59" i="1"/>
  <c r="J68" i="1"/>
  <c r="E67" i="1"/>
  <c r="J98" i="1"/>
  <c r="E97" i="1"/>
  <c r="J67" i="1"/>
  <c r="E66" i="1"/>
  <c r="J63" i="1"/>
  <c r="E61" i="1"/>
  <c r="J79" i="1"/>
  <c r="E77" i="1"/>
  <c r="J97" i="1"/>
  <c r="E96" i="1"/>
  <c r="J96" i="1"/>
  <c r="E95" i="1"/>
  <c r="J87" i="1"/>
  <c r="E94" i="1"/>
  <c r="J95" i="1"/>
  <c r="E93" i="1"/>
  <c r="J78" i="1"/>
  <c r="E76" i="1"/>
  <c r="J77" i="1"/>
  <c r="E75" i="1"/>
  <c r="J66" i="1"/>
  <c r="E65" i="1"/>
  <c r="J94" i="1"/>
  <c r="E92" i="1"/>
  <c r="J93" i="1"/>
  <c r="E91" i="1"/>
  <c r="J92" i="1"/>
  <c r="E90" i="1"/>
  <c r="J70" i="1"/>
  <c r="E89" i="1"/>
  <c r="J72" i="1"/>
  <c r="E69" i="1"/>
  <c r="J58" i="1"/>
  <c r="E56" i="1"/>
  <c r="J91" i="1"/>
  <c r="E88" i="1"/>
  <c r="J71" i="1"/>
  <c r="E68" i="1"/>
  <c r="J90" i="1"/>
  <c r="E87" i="1"/>
  <c r="J65" i="1"/>
  <c r="E64" i="1"/>
  <c r="J56" i="1"/>
  <c r="E63" i="1"/>
  <c r="J89" i="1"/>
  <c r="E86" i="1"/>
  <c r="J76" i="1"/>
  <c r="E74" i="1"/>
  <c r="J62" i="1"/>
  <c r="E60" i="1"/>
  <c r="J88" i="1"/>
  <c r="E85" i="1"/>
  <c r="J86" i="1"/>
  <c r="E84" i="1"/>
  <c r="I93" i="5"/>
  <c r="J93" i="5"/>
  <c r="H93" i="5"/>
  <c r="G93" i="5"/>
  <c r="D93" i="5"/>
  <c r="E93" i="5"/>
  <c r="C93" i="5"/>
  <c r="B93" i="5"/>
  <c r="J92" i="5"/>
  <c r="E92" i="5"/>
  <c r="J91" i="5"/>
  <c r="E91" i="5"/>
  <c r="J90" i="5"/>
  <c r="E90" i="5"/>
  <c r="J89" i="5"/>
  <c r="E89" i="5"/>
  <c r="J88" i="5"/>
  <c r="E88" i="5"/>
  <c r="J87" i="5"/>
  <c r="E87" i="5"/>
  <c r="J86" i="5"/>
  <c r="E86" i="5"/>
  <c r="J85" i="5"/>
  <c r="E85" i="5"/>
  <c r="J84" i="5"/>
  <c r="E84" i="5"/>
  <c r="J83" i="5"/>
  <c r="E83" i="5"/>
  <c r="J82" i="5"/>
  <c r="E82" i="5"/>
  <c r="J81" i="5"/>
  <c r="E81" i="5"/>
  <c r="J80" i="5"/>
  <c r="E80" i="5"/>
  <c r="J79" i="5"/>
  <c r="E79" i="5"/>
  <c r="J78" i="5"/>
  <c r="E78" i="5"/>
  <c r="J77" i="5"/>
  <c r="E77" i="5"/>
  <c r="J76" i="5"/>
  <c r="E76" i="5"/>
  <c r="J75" i="5"/>
  <c r="E75" i="5"/>
  <c r="J74" i="5"/>
  <c r="E74" i="5"/>
  <c r="J73" i="5"/>
  <c r="E73" i="5"/>
  <c r="J72" i="5"/>
  <c r="E72" i="5"/>
  <c r="J71" i="5"/>
  <c r="E71" i="5"/>
  <c r="J70" i="5"/>
  <c r="E70" i="5"/>
  <c r="J69" i="5"/>
  <c r="E69" i="5"/>
  <c r="J68" i="5"/>
  <c r="E68" i="5"/>
  <c r="J67" i="5"/>
  <c r="E67" i="5"/>
  <c r="J66" i="5"/>
  <c r="E66" i="5"/>
  <c r="J65" i="5"/>
  <c r="E65" i="5"/>
  <c r="J64" i="5"/>
  <c r="E64" i="5"/>
  <c r="J63" i="5"/>
  <c r="E63" i="5"/>
  <c r="J62" i="5"/>
  <c r="E62" i="5"/>
  <c r="J61" i="5"/>
  <c r="E61" i="5"/>
  <c r="J60" i="5"/>
  <c r="E60" i="5"/>
  <c r="J59" i="5"/>
  <c r="E59" i="5"/>
  <c r="J58" i="5"/>
  <c r="E58" i="5"/>
  <c r="J57" i="5"/>
  <c r="E57" i="5"/>
  <c r="J56" i="5"/>
  <c r="E56" i="5"/>
  <c r="J55" i="5"/>
  <c r="E55" i="5"/>
  <c r="J54" i="5"/>
  <c r="E54" i="5"/>
  <c r="J53" i="5"/>
  <c r="E53" i="5"/>
  <c r="J52" i="5"/>
  <c r="E52" i="5"/>
  <c r="J51" i="5"/>
  <c r="E51" i="5"/>
  <c r="J50" i="5"/>
  <c r="E50" i="5"/>
  <c r="F194" i="13"/>
  <c r="C174" i="13"/>
  <c r="J5" i="5"/>
  <c r="E5" i="5"/>
  <c r="Q6" i="2"/>
  <c r="Q13" i="7"/>
  <c r="J2" i="13"/>
  <c r="K2" i="13" s="1"/>
  <c r="I2" i="13"/>
  <c r="J82" i="13"/>
  <c r="I82" i="13"/>
  <c r="K82" i="13" s="1"/>
  <c r="Q6" i="10"/>
  <c r="I55" i="8"/>
  <c r="H55" i="8"/>
  <c r="G55" i="8"/>
  <c r="D55" i="8"/>
  <c r="C55" i="8"/>
  <c r="B55" i="8"/>
  <c r="F187" i="13"/>
  <c r="C166" i="13"/>
  <c r="J3" i="8"/>
  <c r="E3" i="8"/>
  <c r="I52" i="11"/>
  <c r="H52" i="11"/>
  <c r="G52" i="11"/>
  <c r="D52" i="11"/>
  <c r="C52" i="11"/>
  <c r="B52" i="11"/>
  <c r="F186" i="13"/>
  <c r="C165" i="13"/>
  <c r="J3" i="11"/>
  <c r="E3" i="11"/>
  <c r="F256" i="13"/>
  <c r="C241" i="13"/>
  <c r="J34" i="10"/>
  <c r="E34" i="10"/>
  <c r="Q4" i="9"/>
  <c r="Q5" i="1"/>
  <c r="N13" i="7"/>
  <c r="F457" i="13"/>
  <c r="C452" i="13"/>
  <c r="J33" i="9"/>
  <c r="E33" i="9"/>
  <c r="N14" i="6"/>
  <c r="Q4" i="10"/>
  <c r="Q4" i="5"/>
  <c r="N32" i="9"/>
  <c r="E49" i="9"/>
  <c r="C539" i="13"/>
  <c r="C535" i="13"/>
  <c r="C485" i="13"/>
  <c r="C149" i="13"/>
  <c r="C183" i="13"/>
  <c r="C486" i="13"/>
  <c r="J47" i="13"/>
  <c r="I47" i="13"/>
  <c r="N6" i="6"/>
  <c r="F285" i="13"/>
  <c r="C330" i="13"/>
  <c r="J10" i="6"/>
  <c r="E10" i="6"/>
  <c r="F220" i="13"/>
  <c r="C201" i="13"/>
  <c r="J16" i="5"/>
  <c r="E16" i="5"/>
  <c r="K47" i="13"/>
  <c r="N6" i="10"/>
  <c r="N9" i="10"/>
  <c r="C256" i="13"/>
  <c r="C68" i="13"/>
  <c r="N5" i="11"/>
  <c r="F116" i="13"/>
  <c r="N8" i="5"/>
  <c r="Q5" i="4"/>
  <c r="Q9" i="6"/>
  <c r="Q4" i="12"/>
  <c r="F347" i="13"/>
  <c r="C331" i="13"/>
  <c r="J15" i="12"/>
  <c r="E15" i="12"/>
  <c r="I48" i="3"/>
  <c r="H48" i="3"/>
  <c r="G48" i="3"/>
  <c r="D48" i="3"/>
  <c r="C48" i="3"/>
  <c r="N27" i="1"/>
  <c r="N30" i="1"/>
  <c r="J7" i="8"/>
  <c r="E7" i="8"/>
  <c r="N16" i="12"/>
  <c r="N18" i="12"/>
  <c r="N27" i="11"/>
  <c r="N17" i="11"/>
  <c r="N20" i="11"/>
  <c r="F320" i="13"/>
  <c r="C301" i="13"/>
  <c r="J5" i="10"/>
  <c r="E5" i="10"/>
  <c r="J33" i="13"/>
  <c r="I33" i="13"/>
  <c r="N17" i="9"/>
  <c r="F334" i="13"/>
  <c r="C316" i="13"/>
  <c r="J7" i="9"/>
  <c r="E7" i="9"/>
  <c r="F543" i="13"/>
  <c r="C541" i="13"/>
  <c r="J36" i="5"/>
  <c r="E36" i="5"/>
  <c r="K33" i="13"/>
  <c r="F385" i="13"/>
  <c r="C374" i="13"/>
  <c r="J16" i="6"/>
  <c r="E16" i="6"/>
  <c r="N16" i="2"/>
  <c r="N17" i="5"/>
  <c r="N20" i="7"/>
  <c r="N19" i="1"/>
  <c r="F389" i="13"/>
  <c r="C379" i="13"/>
  <c r="J26" i="1"/>
  <c r="E26" i="1"/>
  <c r="C434" i="13"/>
  <c r="C98" i="13"/>
  <c r="C140" i="13"/>
  <c r="C239" i="13"/>
  <c r="F158" i="13"/>
  <c r="C139" i="13"/>
  <c r="J27" i="2"/>
  <c r="E27" i="2"/>
  <c r="N19" i="10"/>
  <c r="N11" i="8"/>
  <c r="F493" i="13"/>
  <c r="C488" i="13"/>
  <c r="J40" i="6"/>
  <c r="E40" i="6"/>
  <c r="F250" i="13"/>
  <c r="C232" i="13"/>
  <c r="J38" i="4"/>
  <c r="E38" i="4"/>
  <c r="N15" i="4"/>
  <c r="N19" i="8"/>
  <c r="N21" i="7"/>
  <c r="N19" i="12"/>
  <c r="N16" i="5"/>
  <c r="F418" i="13"/>
  <c r="C410" i="13"/>
  <c r="J20" i="11"/>
  <c r="E20" i="11"/>
  <c r="N23" i="7"/>
  <c r="N14" i="3"/>
  <c r="N20" i="8"/>
  <c r="F209" i="13"/>
  <c r="C189" i="13"/>
  <c r="J10" i="10"/>
  <c r="E10" i="10"/>
  <c r="F291" i="13"/>
  <c r="C576" i="13"/>
  <c r="J50" i="1"/>
  <c r="E50" i="1"/>
  <c r="F177" i="13"/>
  <c r="C160" i="13"/>
  <c r="J45" i="3"/>
  <c r="E45" i="3"/>
  <c r="Q29" i="1"/>
  <c r="V10" i="1"/>
  <c r="J48" i="13"/>
  <c r="I48" i="13"/>
  <c r="K48" i="13"/>
  <c r="C35" i="13"/>
  <c r="F59" i="13"/>
  <c r="N7" i="10"/>
  <c r="F424" i="13"/>
  <c r="C416" i="13"/>
  <c r="F234" i="13"/>
  <c r="C216" i="13"/>
  <c r="J23" i="11"/>
  <c r="E23" i="11"/>
  <c r="N7" i="9"/>
  <c r="N5" i="9"/>
  <c r="F173" i="13"/>
  <c r="C157" i="13"/>
  <c r="J43" i="9"/>
  <c r="E43" i="9"/>
  <c r="F103" i="13"/>
  <c r="C78" i="13"/>
  <c r="J12" i="9"/>
  <c r="E12" i="9"/>
  <c r="N5" i="5"/>
  <c r="N34" i="7"/>
  <c r="J68" i="13"/>
  <c r="I68" i="13"/>
  <c r="N25" i="12"/>
  <c r="N25" i="11"/>
  <c r="F343" i="13"/>
  <c r="C326" i="13"/>
  <c r="J9" i="11"/>
  <c r="E9" i="11"/>
  <c r="N22" i="4"/>
  <c r="F419" i="13"/>
  <c r="C411" i="13"/>
  <c r="J23" i="2"/>
  <c r="E23" i="2"/>
  <c r="F326" i="13"/>
  <c r="C307" i="13"/>
  <c r="J7" i="7"/>
  <c r="E7" i="7"/>
  <c r="F197" i="13"/>
  <c r="C177" i="13"/>
  <c r="N28" i="8"/>
  <c r="N29" i="8"/>
  <c r="N27" i="10"/>
  <c r="J22" i="13"/>
  <c r="I22" i="13"/>
  <c r="F19" i="13"/>
  <c r="C345" i="13"/>
  <c r="J11" i="10"/>
  <c r="E11" i="10"/>
  <c r="N25" i="3"/>
  <c r="N29" i="7"/>
  <c r="N33" i="7"/>
  <c r="J81" i="13"/>
  <c r="I81" i="13"/>
  <c r="F527" i="13"/>
  <c r="C524" i="13"/>
  <c r="N31" i="8"/>
  <c r="J42" i="8"/>
  <c r="E42" i="8"/>
  <c r="F521" i="13"/>
  <c r="C518" i="13"/>
  <c r="J40" i="8"/>
  <c r="E40" i="8"/>
  <c r="N25" i="5"/>
  <c r="J45" i="13"/>
  <c r="K45" i="13" s="1"/>
  <c r="I45" i="13"/>
  <c r="N26" i="1"/>
  <c r="N22" i="2"/>
  <c r="N26" i="10"/>
  <c r="N26" i="3"/>
  <c r="J51" i="13"/>
  <c r="I51" i="13"/>
  <c r="N22" i="6"/>
  <c r="N24" i="6"/>
  <c r="F363" i="13"/>
  <c r="C349" i="13"/>
  <c r="J12" i="6"/>
  <c r="E12" i="6"/>
  <c r="N14" i="12"/>
  <c r="K22" i="13"/>
  <c r="N15" i="12"/>
  <c r="I45" i="10"/>
  <c r="H45" i="10"/>
  <c r="G45" i="10"/>
  <c r="D45" i="10"/>
  <c r="C45" i="10"/>
  <c r="B45" i="10"/>
  <c r="N20" i="10"/>
  <c r="N18" i="10"/>
  <c r="N16" i="9"/>
  <c r="N15" i="9"/>
  <c r="N14" i="4"/>
  <c r="N13" i="4"/>
  <c r="F235" i="13"/>
  <c r="C217" i="13"/>
  <c r="J25" i="4"/>
  <c r="E25" i="4"/>
  <c r="N15" i="6"/>
  <c r="N17" i="6"/>
  <c r="F311" i="13"/>
  <c r="C292" i="13"/>
  <c r="J6" i="6"/>
  <c r="E6" i="6"/>
  <c r="F513" i="13"/>
  <c r="C509" i="13"/>
  <c r="J64" i="13"/>
  <c r="I64" i="13"/>
  <c r="N23" i="2"/>
  <c r="J38" i="2"/>
  <c r="E38" i="2"/>
  <c r="N30" i="8"/>
  <c r="N24" i="5"/>
  <c r="F369" i="13"/>
  <c r="C357" i="13"/>
  <c r="J11" i="5"/>
  <c r="E11" i="5"/>
  <c r="N26" i="11"/>
  <c r="J22" i="11"/>
  <c r="E22" i="11"/>
  <c r="J57" i="13"/>
  <c r="I57" i="13"/>
  <c r="F411" i="13"/>
  <c r="C403" i="13"/>
  <c r="J24" i="7"/>
  <c r="E24" i="7"/>
  <c r="F303" i="13"/>
  <c r="C284" i="13"/>
  <c r="J4" i="7"/>
  <c r="E4" i="7"/>
  <c r="J49" i="13"/>
  <c r="I49" i="13"/>
  <c r="N24" i="3"/>
  <c r="N23" i="3"/>
  <c r="F328" i="13"/>
  <c r="C310" i="13"/>
  <c r="J8" i="3"/>
  <c r="E8" i="3"/>
  <c r="F202" i="13"/>
  <c r="C182" i="13"/>
  <c r="F536" i="13"/>
  <c r="C533" i="13"/>
  <c r="J11" i="3"/>
  <c r="E11" i="3"/>
  <c r="J40" i="3"/>
  <c r="E40" i="3"/>
  <c r="N23" i="4"/>
  <c r="N21" i="4"/>
  <c r="F559" i="13"/>
  <c r="C558" i="13"/>
  <c r="J46" i="1"/>
  <c r="E46" i="1"/>
  <c r="N28" i="1"/>
  <c r="N23" i="6"/>
  <c r="Q32" i="9"/>
  <c r="J70" i="13"/>
  <c r="I70" i="13"/>
  <c r="J52" i="13"/>
  <c r="I52" i="13"/>
  <c r="N29" i="10"/>
  <c r="F569" i="13"/>
  <c r="C568" i="13"/>
  <c r="J43" i="10"/>
  <c r="E43" i="10"/>
  <c r="N27" i="12"/>
  <c r="N26" i="12"/>
  <c r="N18" i="1"/>
  <c r="J46" i="13"/>
  <c r="I46" i="13"/>
  <c r="K46" i="13" s="1"/>
  <c r="N15" i="3"/>
  <c r="F564" i="13"/>
  <c r="C563" i="13"/>
  <c r="J40" i="5"/>
  <c r="E40" i="5"/>
  <c r="N15" i="5"/>
  <c r="N18" i="8"/>
  <c r="N16" i="11"/>
  <c r="AF17" i="3"/>
  <c r="AI17" i="3"/>
  <c r="W17" i="3"/>
  <c r="T17" i="3"/>
  <c r="Q17" i="3"/>
  <c r="N17" i="3"/>
  <c r="N13" i="2"/>
  <c r="N21" i="1"/>
  <c r="N22" i="7"/>
  <c r="C252" i="13"/>
  <c r="N7" i="8"/>
  <c r="C26" i="13"/>
  <c r="C64" i="13"/>
  <c r="F76" i="13"/>
  <c r="C66" i="13"/>
  <c r="C131" i="13"/>
  <c r="C390" i="13"/>
  <c r="C33" i="13"/>
  <c r="C440" i="13"/>
  <c r="N12" i="10"/>
  <c r="N8" i="10"/>
  <c r="F210" i="13"/>
  <c r="C190" i="13"/>
  <c r="J9" i="5"/>
  <c r="E9" i="5"/>
  <c r="N7" i="3"/>
  <c r="F252" i="13"/>
  <c r="C234" i="13"/>
  <c r="J36" i="9"/>
  <c r="E36" i="9"/>
  <c r="N4" i="6"/>
  <c r="C327" i="13"/>
  <c r="F344" i="13"/>
  <c r="F56" i="13"/>
  <c r="C31" i="13"/>
  <c r="J22" i="12"/>
  <c r="E22" i="12"/>
  <c r="N4" i="8"/>
  <c r="V11" i="7"/>
  <c r="I15" i="13"/>
  <c r="J15" i="13"/>
  <c r="N7" i="12"/>
  <c r="N7" i="11"/>
  <c r="N6" i="11"/>
  <c r="N6" i="2"/>
  <c r="K15" i="13"/>
  <c r="AE21" i="1"/>
  <c r="N5" i="1"/>
  <c r="N9" i="6"/>
  <c r="N11" i="7"/>
  <c r="N6" i="4"/>
  <c r="N10" i="9"/>
  <c r="J21" i="13"/>
  <c r="I21" i="13"/>
  <c r="K21" i="13"/>
  <c r="C21" i="13"/>
  <c r="C429" i="13"/>
  <c r="N4" i="11"/>
  <c r="N5" i="8"/>
  <c r="N11" i="1"/>
  <c r="N4" i="5"/>
  <c r="N4" i="2"/>
  <c r="N10" i="7"/>
  <c r="N14" i="7"/>
  <c r="N4" i="12"/>
  <c r="N4" i="10"/>
  <c r="N5" i="4"/>
  <c r="N4" i="9"/>
  <c r="N8" i="3"/>
  <c r="N8" i="6"/>
  <c r="F461" i="13"/>
  <c r="C456" i="13"/>
  <c r="J35" i="12"/>
  <c r="E35" i="12"/>
  <c r="F455" i="13"/>
  <c r="C449" i="13"/>
  <c r="J32" i="12"/>
  <c r="E32" i="12"/>
  <c r="F341" i="13"/>
  <c r="C324" i="13"/>
  <c r="F332" i="13"/>
  <c r="C314" i="13"/>
  <c r="J14" i="12"/>
  <c r="E14" i="12"/>
  <c r="J13" i="12"/>
  <c r="E13" i="12"/>
  <c r="F318" i="13"/>
  <c r="C299" i="13"/>
  <c r="J11" i="12"/>
  <c r="E11" i="12"/>
  <c r="F540" i="13"/>
  <c r="C537" i="13"/>
  <c r="J41" i="11"/>
  <c r="E41" i="11"/>
  <c r="F231" i="13"/>
  <c r="C213" i="13"/>
  <c r="J18" i="11"/>
  <c r="E18" i="11"/>
  <c r="F465" i="13"/>
  <c r="C460" i="13"/>
  <c r="J31" i="8"/>
  <c r="E31" i="8"/>
  <c r="F135" i="13"/>
  <c r="C111" i="13"/>
  <c r="J3" i="10"/>
  <c r="E3" i="10"/>
  <c r="E45" i="10" s="1"/>
  <c r="AK14" i="6"/>
  <c r="AH14" i="6"/>
  <c r="AK8" i="6"/>
  <c r="AH8" i="6"/>
  <c r="W14" i="6"/>
  <c r="Y8" i="6"/>
  <c r="T14" i="6"/>
  <c r="F312" i="13"/>
  <c r="C293" i="13"/>
  <c r="J6" i="8"/>
  <c r="E6" i="8"/>
  <c r="F433" i="13"/>
  <c r="C425" i="13"/>
  <c r="J29" i="4"/>
  <c r="E29" i="4"/>
  <c r="F270" i="13"/>
  <c r="C257" i="13"/>
  <c r="J43" i="1"/>
  <c r="E43" i="1"/>
  <c r="F181" i="13"/>
  <c r="C164" i="13"/>
  <c r="I57" i="7"/>
  <c r="J56" i="7"/>
  <c r="H57" i="7"/>
  <c r="G57" i="7"/>
  <c r="D57" i="7"/>
  <c r="E56" i="7"/>
  <c r="C57" i="7"/>
  <c r="B57" i="7"/>
  <c r="E57" i="7" s="1"/>
  <c r="J67" i="13"/>
  <c r="J63" i="13"/>
  <c r="J56" i="13"/>
  <c r="J50" i="13"/>
  <c r="W19" i="12"/>
  <c r="T19" i="12"/>
  <c r="V4" i="12"/>
  <c r="Y4" i="12"/>
  <c r="AE4" i="12"/>
  <c r="Q27" i="12"/>
  <c r="Q16" i="12"/>
  <c r="Q15" i="12"/>
  <c r="Q14" i="12"/>
  <c r="V9" i="12"/>
  <c r="V7" i="12"/>
  <c r="V6" i="12"/>
  <c r="V5" i="12"/>
  <c r="F223" i="13"/>
  <c r="C205" i="13"/>
  <c r="F403" i="13"/>
  <c r="C395" i="13"/>
  <c r="F571" i="13"/>
  <c r="F561" i="13"/>
  <c r="F123" i="13"/>
  <c r="F533" i="13"/>
  <c r="F171" i="13"/>
  <c r="F509" i="13"/>
  <c r="F262" i="13"/>
  <c r="F492" i="13"/>
  <c r="F488" i="13"/>
  <c r="F22" i="13"/>
  <c r="F185" i="13"/>
  <c r="F473" i="13"/>
  <c r="F89" i="13"/>
  <c r="F243" i="13"/>
  <c r="F111" i="13"/>
  <c r="F435" i="13"/>
  <c r="F431" i="13"/>
  <c r="F421" i="13"/>
  <c r="F420" i="13"/>
  <c r="F406" i="13"/>
  <c r="F109" i="13"/>
  <c r="F230" i="13"/>
  <c r="F44" i="13"/>
  <c r="F392" i="13"/>
  <c r="F368" i="13"/>
  <c r="F3" i="13"/>
  <c r="F582" i="13" s="1"/>
  <c r="C48" i="13"/>
  <c r="J50" i="12"/>
  <c r="E50" i="12"/>
  <c r="F215" i="13"/>
  <c r="C195" i="13"/>
  <c r="J18" i="12"/>
  <c r="E18" i="12"/>
  <c r="F273" i="13"/>
  <c r="C260" i="13"/>
  <c r="J48" i="12"/>
  <c r="E48" i="12"/>
  <c r="F550" i="13"/>
  <c r="C549" i="13"/>
  <c r="J46" i="12"/>
  <c r="E46" i="12"/>
  <c r="F456" i="13"/>
  <c r="C450" i="13"/>
  <c r="J33" i="12"/>
  <c r="E33" i="12"/>
  <c r="F226" i="13"/>
  <c r="C208" i="13"/>
  <c r="J20" i="12"/>
  <c r="E20" i="12"/>
  <c r="F359" i="13"/>
  <c r="C344" i="13"/>
  <c r="J16" i="12"/>
  <c r="E16" i="12"/>
  <c r="F310" i="13"/>
  <c r="C291" i="13"/>
  <c r="J8" i="12"/>
  <c r="E8" i="12"/>
  <c r="F313" i="13"/>
  <c r="C294" i="13"/>
  <c r="J9" i="12"/>
  <c r="E9" i="12"/>
  <c r="Y11" i="7"/>
  <c r="AE11" i="7"/>
  <c r="AH11" i="7"/>
  <c r="AK11" i="7"/>
  <c r="T33" i="7"/>
  <c r="Q36" i="7"/>
  <c r="Q35" i="7"/>
  <c r="Q31" i="7"/>
  <c r="AE23" i="7"/>
  <c r="T21" i="7"/>
  <c r="Q23" i="7"/>
  <c r="Q20" i="7"/>
  <c r="Q19" i="7"/>
  <c r="Y10" i="7"/>
  <c r="V14" i="7"/>
  <c r="V13" i="7"/>
  <c r="V4" i="7"/>
  <c r="F573" i="13"/>
  <c r="C572" i="13"/>
  <c r="F572" i="13"/>
  <c r="F63" i="13"/>
  <c r="F264" i="13"/>
  <c r="F175" i="13"/>
  <c r="F120" i="13"/>
  <c r="F506" i="13"/>
  <c r="F260" i="13"/>
  <c r="F169" i="13"/>
  <c r="F501" i="13"/>
  <c r="F484" i="13"/>
  <c r="F476" i="13"/>
  <c r="F467" i="13"/>
  <c r="F464" i="13"/>
  <c r="F40" i="13"/>
  <c r="F452" i="13"/>
  <c r="F444" i="13"/>
  <c r="F157" i="13"/>
  <c r="F238" i="13"/>
  <c r="F432" i="13"/>
  <c r="F233" i="13"/>
  <c r="F410" i="13"/>
  <c r="F45" i="13"/>
  <c r="F224" i="13"/>
  <c r="F394" i="13"/>
  <c r="F393" i="13"/>
  <c r="C383" i="13"/>
  <c r="J19" i="7"/>
  <c r="E19" i="7"/>
  <c r="F384" i="13"/>
  <c r="F218" i="13"/>
  <c r="F379" i="13"/>
  <c r="F375" i="13"/>
  <c r="F362" i="13"/>
  <c r="F204" i="13"/>
  <c r="F338" i="13"/>
  <c r="F321" i="13"/>
  <c r="C302" i="13"/>
  <c r="J6" i="7"/>
  <c r="E6" i="7"/>
  <c r="F566" i="13"/>
  <c r="C565" i="13"/>
  <c r="J52" i="7"/>
  <c r="E52" i="7"/>
  <c r="F449" i="13"/>
  <c r="C443" i="13"/>
  <c r="J31" i="7"/>
  <c r="E31" i="7"/>
  <c r="F346" i="13"/>
  <c r="C329" i="13"/>
  <c r="J11" i="7"/>
  <c r="E11" i="7"/>
  <c r="F35" i="13"/>
  <c r="C502" i="13"/>
  <c r="J44" i="7"/>
  <c r="E44" i="7"/>
  <c r="F459" i="13"/>
  <c r="C454" i="13"/>
  <c r="J34" i="7"/>
  <c r="E34" i="7"/>
  <c r="F438" i="13"/>
  <c r="C430" i="13"/>
  <c r="J28" i="7"/>
  <c r="E28" i="7"/>
  <c r="F165" i="13"/>
  <c r="C147" i="13"/>
  <c r="J37" i="7"/>
  <c r="E37" i="7"/>
  <c r="F10" i="13"/>
  <c r="C250" i="13"/>
  <c r="J47" i="7"/>
  <c r="E47" i="7"/>
  <c r="F508" i="13"/>
  <c r="C504" i="13"/>
  <c r="J45" i="7"/>
  <c r="E45" i="7"/>
  <c r="J29" i="13"/>
  <c r="I29" i="13"/>
  <c r="J69" i="13"/>
  <c r="J28" i="13"/>
  <c r="K28" i="13" s="1"/>
  <c r="AG28" i="11"/>
  <c r="Q27" i="11"/>
  <c r="Q26" i="11"/>
  <c r="Q19" i="11"/>
  <c r="Q16" i="11"/>
  <c r="AG19" i="11"/>
  <c r="AG18" i="11"/>
  <c r="AG17" i="11"/>
  <c r="AG16" i="11"/>
  <c r="AJ19" i="11"/>
  <c r="AJ18" i="11"/>
  <c r="AJ16" i="11"/>
  <c r="V11" i="11"/>
  <c r="V8" i="11"/>
  <c r="V7" i="11"/>
  <c r="V5" i="11"/>
  <c r="V4" i="11"/>
  <c r="F34" i="13"/>
  <c r="C11" i="13"/>
  <c r="F279" i="13"/>
  <c r="F53" i="13"/>
  <c r="F274" i="13"/>
  <c r="F127" i="13"/>
  <c r="F29" i="13"/>
  <c r="C6" i="13"/>
  <c r="J43" i="11"/>
  <c r="E43" i="11"/>
  <c r="F267" i="13"/>
  <c r="F535" i="13"/>
  <c r="F534" i="13"/>
  <c r="F519" i="13"/>
  <c r="F21" i="13"/>
  <c r="F121" i="13"/>
  <c r="F507" i="13"/>
  <c r="F167" i="13"/>
  <c r="F499" i="13"/>
  <c r="F184" i="13"/>
  <c r="F163" i="13"/>
  <c r="F182" i="13"/>
  <c r="F47" i="13"/>
  <c r="F20" i="13"/>
  <c r="F430" i="13"/>
  <c r="F426" i="13"/>
  <c r="F423" i="13"/>
  <c r="F153" i="13"/>
  <c r="F390" i="13"/>
  <c r="F67" i="13"/>
  <c r="F70" i="13"/>
  <c r="F145" i="13"/>
  <c r="F371" i="13"/>
  <c r="F7" i="13"/>
  <c r="F361" i="13"/>
  <c r="F200" i="13"/>
  <c r="F179" i="13"/>
  <c r="C162" i="13"/>
  <c r="J50" i="11"/>
  <c r="E50" i="11"/>
  <c r="C38" i="13"/>
  <c r="F62" i="13"/>
  <c r="J38" i="11"/>
  <c r="E38" i="11"/>
  <c r="F33" i="13"/>
  <c r="C10" i="13"/>
  <c r="J26" i="11"/>
  <c r="E26" i="11"/>
  <c r="J78" i="13"/>
  <c r="J61" i="13"/>
  <c r="J77" i="13"/>
  <c r="K77" i="13" s="1"/>
  <c r="J40" i="13"/>
  <c r="Q30" i="10"/>
  <c r="Q28" i="10"/>
  <c r="Q26" i="10"/>
  <c r="Q25" i="10"/>
  <c r="AE17" i="10"/>
  <c r="Q20" i="10"/>
  <c r="Q18" i="10"/>
  <c r="Q17" i="10"/>
  <c r="V8" i="10"/>
  <c r="V6" i="10"/>
  <c r="V4" i="10"/>
  <c r="F96" i="13"/>
  <c r="F532" i="13"/>
  <c r="F523" i="13"/>
  <c r="F24" i="13"/>
  <c r="F259" i="13"/>
  <c r="F498" i="13"/>
  <c r="F497" i="13"/>
  <c r="F82" i="13"/>
  <c r="F478" i="13"/>
  <c r="F475" i="13"/>
  <c r="F472" i="13"/>
  <c r="F471" i="13"/>
  <c r="F470" i="13"/>
  <c r="F468" i="13"/>
  <c r="F248" i="13"/>
  <c r="F88" i="13"/>
  <c r="F11" i="13"/>
  <c r="F440" i="13"/>
  <c r="F237" i="13"/>
  <c r="F416" i="13"/>
  <c r="F414" i="13"/>
  <c r="F413" i="13"/>
  <c r="F97" i="13"/>
  <c r="F409" i="13"/>
  <c r="F395" i="13"/>
  <c r="F373" i="13"/>
  <c r="F105" i="13"/>
  <c r="F139" i="13"/>
  <c r="F129" i="13"/>
  <c r="C109" i="13"/>
  <c r="F253" i="13"/>
  <c r="C238" i="13"/>
  <c r="J33" i="10"/>
  <c r="E33" i="10"/>
  <c r="F415" i="13"/>
  <c r="C407" i="13"/>
  <c r="J19" i="10"/>
  <c r="E19" i="10"/>
  <c r="F164" i="13"/>
  <c r="C146" i="13"/>
  <c r="J32" i="8"/>
  <c r="E32" i="8"/>
  <c r="J62" i="13"/>
  <c r="AE15" i="9"/>
  <c r="Q31" i="9"/>
  <c r="AH15" i="9"/>
  <c r="W15" i="9"/>
  <c r="T15" i="9"/>
  <c r="K29" i="13"/>
  <c r="Q20" i="9"/>
  <c r="Q19" i="9"/>
  <c r="Q18" i="9"/>
  <c r="Q15" i="9"/>
  <c r="AH4" i="9"/>
  <c r="AE4" i="9"/>
  <c r="Y4" i="9"/>
  <c r="V10" i="9"/>
  <c r="V7" i="9"/>
  <c r="V5" i="9"/>
  <c r="V4" i="9"/>
  <c r="F178" i="13"/>
  <c r="F276" i="13"/>
  <c r="F168" i="13"/>
  <c r="F23" i="13"/>
  <c r="F496" i="13"/>
  <c r="F489" i="13"/>
  <c r="F487" i="13"/>
  <c r="F183" i="13"/>
  <c r="F474" i="13"/>
  <c r="F114" i="13"/>
  <c r="F113" i="13"/>
  <c r="F242" i="13"/>
  <c r="C141" i="13"/>
  <c r="F160" i="13"/>
  <c r="F239" i="13"/>
  <c r="F66" i="13"/>
  <c r="F402" i="13"/>
  <c r="F148" i="13"/>
  <c r="F147" i="13"/>
  <c r="F397" i="13"/>
  <c r="F72" i="13"/>
  <c r="F219" i="13"/>
  <c r="F144" i="13"/>
  <c r="F26" i="13"/>
  <c r="F374" i="13"/>
  <c r="C362" i="13"/>
  <c r="F372" i="13"/>
  <c r="F360" i="13"/>
  <c r="F342" i="13"/>
  <c r="F38" i="13"/>
  <c r="F155" i="13"/>
  <c r="C135" i="13"/>
  <c r="J27" i="9"/>
  <c r="E27" i="9"/>
  <c r="F348" i="13"/>
  <c r="C333" i="13"/>
  <c r="J10" i="9"/>
  <c r="E10" i="9"/>
  <c r="I50" i="9"/>
  <c r="H50" i="9"/>
  <c r="J50" i="9" s="1"/>
  <c r="G50" i="9"/>
  <c r="D50" i="9"/>
  <c r="C50" i="9"/>
  <c r="B50" i="9"/>
  <c r="F398" i="13"/>
  <c r="C389" i="13"/>
  <c r="J23" i="9"/>
  <c r="E23" i="9"/>
  <c r="F528" i="13"/>
  <c r="C525" i="13"/>
  <c r="J44" i="9"/>
  <c r="E44" i="9"/>
  <c r="J3" i="9"/>
  <c r="E3" i="9"/>
  <c r="F306" i="13"/>
  <c r="C287" i="13"/>
  <c r="F217" i="13"/>
  <c r="C198" i="13"/>
  <c r="J17" i="9"/>
  <c r="E17" i="9"/>
  <c r="F351" i="13"/>
  <c r="C336" i="13"/>
  <c r="J11" i="9"/>
  <c r="E11" i="9"/>
  <c r="F48" i="13"/>
  <c r="C23" i="13"/>
  <c r="J34" i="9"/>
  <c r="E34" i="9"/>
  <c r="F5" i="13"/>
  <c r="C172" i="13"/>
  <c r="J75" i="13"/>
  <c r="I75" i="13"/>
  <c r="K75" i="13" s="1"/>
  <c r="J42" i="13"/>
  <c r="AH5" i="8"/>
  <c r="AE5" i="8"/>
  <c r="Y5" i="8"/>
  <c r="T19" i="8"/>
  <c r="W19" i="8"/>
  <c r="AD19" i="8"/>
  <c r="AG19" i="8"/>
  <c r="AK5" i="8"/>
  <c r="AN5" i="8"/>
  <c r="Q29" i="8"/>
  <c r="Q28" i="8"/>
  <c r="Q19" i="8"/>
  <c r="Q18" i="8"/>
  <c r="V8" i="8"/>
  <c r="T27" i="8"/>
  <c r="AK4" i="8"/>
  <c r="AH4" i="8"/>
  <c r="AE4" i="8"/>
  <c r="Y4" i="8"/>
  <c r="F133" i="13"/>
  <c r="C319" i="13"/>
  <c r="J12" i="8"/>
  <c r="E12" i="8"/>
  <c r="V11" i="8"/>
  <c r="V7" i="8"/>
  <c r="V5" i="8"/>
  <c r="F282" i="13"/>
  <c r="F581" i="13"/>
  <c r="F577" i="13"/>
  <c r="F575" i="13"/>
  <c r="C50" i="13"/>
  <c r="F565" i="13"/>
  <c r="F278" i="13"/>
  <c r="C265" i="13"/>
  <c r="F558" i="13"/>
  <c r="C547" i="13"/>
  <c r="F16" i="13"/>
  <c r="C25" i="13"/>
  <c r="F531" i="13"/>
  <c r="F525" i="13"/>
  <c r="F517" i="13"/>
  <c r="F516" i="13"/>
  <c r="C512" i="13"/>
  <c r="F172" i="13"/>
  <c r="C497" i="13"/>
  <c r="F502" i="13"/>
  <c r="F257" i="13"/>
  <c r="F485" i="13"/>
  <c r="F483" i="13"/>
  <c r="C458" i="13"/>
  <c r="C445" i="13"/>
  <c r="F247" i="13"/>
  <c r="C229" i="13"/>
  <c r="F448" i="13"/>
  <c r="C442" i="13"/>
  <c r="F447" i="13"/>
  <c r="F443" i="13"/>
  <c r="F86" i="13"/>
  <c r="C59" i="13"/>
  <c r="F286" i="13"/>
  <c r="C394" i="13"/>
  <c r="F225" i="13"/>
  <c r="C207" i="13"/>
  <c r="F391" i="13"/>
  <c r="C381" i="13"/>
  <c r="F388" i="13"/>
  <c r="C378" i="13"/>
  <c r="F386" i="13"/>
  <c r="C375" i="13"/>
  <c r="F221" i="13"/>
  <c r="F71" i="13"/>
  <c r="F14" i="13"/>
  <c r="C186" i="13"/>
  <c r="F337" i="13"/>
  <c r="C320" i="13"/>
  <c r="F137" i="13"/>
  <c r="C115" i="13"/>
  <c r="C305" i="13"/>
  <c r="F307" i="13"/>
  <c r="C288" i="13"/>
  <c r="F335" i="13"/>
  <c r="C317" i="13"/>
  <c r="F77" i="13"/>
  <c r="F451" i="13"/>
  <c r="F463" i="13"/>
  <c r="F296" i="13"/>
  <c r="C276" i="13"/>
  <c r="J5" i="8"/>
  <c r="E5" i="8"/>
  <c r="J11" i="8"/>
  <c r="E11" i="8"/>
  <c r="J49" i="8"/>
  <c r="E49" i="8"/>
  <c r="J29" i="8"/>
  <c r="E29" i="8"/>
  <c r="J30" i="8"/>
  <c r="E30" i="8"/>
  <c r="J4" i="8"/>
  <c r="J55" i="8" s="1"/>
  <c r="E4" i="8"/>
  <c r="J19" i="8"/>
  <c r="E19" i="8"/>
  <c r="J72" i="13"/>
  <c r="J54" i="13"/>
  <c r="J39" i="13"/>
  <c r="AD24" i="5"/>
  <c r="AD22" i="5"/>
  <c r="Q25" i="5"/>
  <c r="Q24" i="5"/>
  <c r="Q23" i="5"/>
  <c r="AD17" i="5"/>
  <c r="AD15" i="5"/>
  <c r="Q17" i="5"/>
  <c r="Q15" i="5"/>
  <c r="V8" i="5"/>
  <c r="V5" i="5"/>
  <c r="V4" i="5"/>
  <c r="F579" i="13"/>
  <c r="F280" i="13"/>
  <c r="F568" i="13"/>
  <c r="F266" i="13"/>
  <c r="F537" i="13"/>
  <c r="F263" i="13"/>
  <c r="F500" i="13"/>
  <c r="F511" i="13"/>
  <c r="F482" i="13"/>
  <c r="F477" i="13"/>
  <c r="F166" i="13"/>
  <c r="F90" i="13"/>
  <c r="F28" i="13"/>
  <c r="F422" i="13"/>
  <c r="F154" i="13"/>
  <c r="F73" i="13"/>
  <c r="F396" i="13"/>
  <c r="F288" i="13"/>
  <c r="F381" i="13"/>
  <c r="F2" i="13"/>
  <c r="F216" i="13"/>
  <c r="F364" i="13"/>
  <c r="F333" i="13"/>
  <c r="C507" i="13"/>
  <c r="F555" i="13"/>
  <c r="C554" i="13"/>
  <c r="F124" i="13"/>
  <c r="C104" i="13"/>
  <c r="F520" i="13"/>
  <c r="C517" i="13"/>
  <c r="F518" i="13"/>
  <c r="C514" i="13"/>
  <c r="J39" i="5"/>
  <c r="E39" i="5"/>
  <c r="J33" i="5"/>
  <c r="E33" i="5"/>
  <c r="E31" i="5"/>
  <c r="J31" i="5"/>
  <c r="J30" i="5"/>
  <c r="E30" i="5"/>
  <c r="F207" i="13"/>
  <c r="C187" i="13"/>
  <c r="J8" i="5"/>
  <c r="E8" i="5"/>
  <c r="F339" i="13"/>
  <c r="C322" i="13"/>
  <c r="J43" i="13"/>
  <c r="J71" i="13"/>
  <c r="Q23" i="4"/>
  <c r="Q15" i="4"/>
  <c r="Q14" i="4"/>
  <c r="V6" i="4"/>
  <c r="V5" i="4"/>
  <c r="V4" i="4"/>
  <c r="F245" i="13"/>
  <c r="F567" i="13"/>
  <c r="F562" i="13"/>
  <c r="F275" i="13"/>
  <c r="F554" i="13"/>
  <c r="C553" i="13"/>
  <c r="C544" i="13"/>
  <c r="F526" i="13"/>
  <c r="C523" i="13"/>
  <c r="F4" i="13"/>
  <c r="C101" i="13"/>
  <c r="F512" i="13"/>
  <c r="F261" i="13"/>
  <c r="F258" i="13"/>
  <c r="F481" i="13"/>
  <c r="F249" i="13"/>
  <c r="F458" i="13"/>
  <c r="F454" i="13"/>
  <c r="C448" i="13"/>
  <c r="F453" i="13"/>
  <c r="C447" i="13"/>
  <c r="F27" i="13"/>
  <c r="C4" i="13"/>
  <c r="F445" i="13"/>
  <c r="C437" i="13"/>
  <c r="F441" i="13"/>
  <c r="F18" i="13"/>
  <c r="F429" i="13"/>
  <c r="F428" i="13"/>
  <c r="F407" i="13"/>
  <c r="F152" i="13"/>
  <c r="C132" i="13"/>
  <c r="F404" i="13"/>
  <c r="C396" i="13"/>
  <c r="F227" i="13"/>
  <c r="F383" i="13"/>
  <c r="C372" i="13"/>
  <c r="F336" i="13"/>
  <c r="F85" i="13"/>
  <c r="F199" i="13"/>
  <c r="F198" i="13"/>
  <c r="F212" i="13"/>
  <c r="C192" i="13"/>
  <c r="C298" i="13"/>
  <c r="C296" i="13"/>
  <c r="C273" i="13"/>
  <c r="F122" i="13"/>
  <c r="C102" i="13"/>
  <c r="F529" i="13"/>
  <c r="C526" i="13"/>
  <c r="J45" i="4"/>
  <c r="E45" i="4"/>
  <c r="J46" i="4"/>
  <c r="E46" i="4"/>
  <c r="F32" i="13"/>
  <c r="C9" i="13"/>
  <c r="J18" i="4"/>
  <c r="E18" i="4"/>
  <c r="F69" i="13"/>
  <c r="C42" i="13"/>
  <c r="F141" i="13"/>
  <c r="C119" i="13"/>
  <c r="J17" i="4"/>
  <c r="E17" i="4"/>
  <c r="J16" i="4"/>
  <c r="E16" i="4"/>
  <c r="F301" i="13"/>
  <c r="C282" i="13"/>
  <c r="J4" i="4"/>
  <c r="E4" i="4"/>
  <c r="AF27" i="3"/>
  <c r="AF26" i="3"/>
  <c r="AF14" i="3"/>
  <c r="AI14" i="3"/>
  <c r="AI15" i="3"/>
  <c r="AI16" i="3"/>
  <c r="Q27" i="3"/>
  <c r="Q26" i="3"/>
  <c r="Q25" i="3"/>
  <c r="Q23" i="3"/>
  <c r="Q15" i="3"/>
  <c r="Q14" i="3"/>
  <c r="V8" i="3"/>
  <c r="V7" i="3"/>
  <c r="V4" i="3"/>
  <c r="AK7" i="3"/>
  <c r="AH7" i="3"/>
  <c r="AE7" i="3"/>
  <c r="Y7" i="3"/>
  <c r="F80" i="13"/>
  <c r="C53" i="13"/>
  <c r="F570" i="13"/>
  <c r="C569" i="13"/>
  <c r="C106" i="13"/>
  <c r="C543" i="13"/>
  <c r="F542" i="13"/>
  <c r="C540" i="13"/>
  <c r="F75" i="13"/>
  <c r="C47" i="13"/>
  <c r="F30" i="13"/>
  <c r="C7" i="13"/>
  <c r="F93" i="13"/>
  <c r="C67" i="13"/>
  <c r="F170" i="13"/>
  <c r="C154" i="13"/>
  <c r="F505" i="13"/>
  <c r="C500" i="13"/>
  <c r="F503" i="13"/>
  <c r="C498" i="13"/>
  <c r="F495" i="13"/>
  <c r="C490" i="13"/>
  <c r="F117" i="13"/>
  <c r="C95" i="13"/>
  <c r="F255" i="13"/>
  <c r="C240" i="13"/>
  <c r="F480" i="13"/>
  <c r="C475" i="13"/>
  <c r="F466" i="13"/>
  <c r="C461" i="13"/>
  <c r="F460" i="13"/>
  <c r="C455" i="13"/>
  <c r="F74" i="13"/>
  <c r="C46" i="13"/>
  <c r="F450" i="13"/>
  <c r="C444" i="13"/>
  <c r="F161" i="13"/>
  <c r="F244" i="13"/>
  <c r="C226" i="13"/>
  <c r="C143" i="13"/>
  <c r="F112" i="13"/>
  <c r="C89" i="13"/>
  <c r="F405" i="13"/>
  <c r="C397" i="13"/>
  <c r="F228" i="13"/>
  <c r="C210" i="13"/>
  <c r="F107" i="13"/>
  <c r="C82" i="13"/>
  <c r="F146" i="13"/>
  <c r="C126" i="13"/>
  <c r="F382" i="13"/>
  <c r="C371" i="13"/>
  <c r="F378" i="13"/>
  <c r="C367" i="13"/>
  <c r="F134" i="13"/>
  <c r="C350" i="13"/>
  <c r="F214" i="13"/>
  <c r="C194" i="13"/>
  <c r="C188" i="13"/>
  <c r="C341" i="13"/>
  <c r="F201" i="13"/>
  <c r="C181" i="13"/>
  <c r="C175" i="13"/>
  <c r="C168" i="13"/>
  <c r="C55" i="13"/>
  <c r="C28" i="13"/>
  <c r="J25" i="3"/>
  <c r="E25" i="3"/>
  <c r="C417" i="13"/>
  <c r="F425" i="13"/>
  <c r="J23" i="3"/>
  <c r="E23" i="3"/>
  <c r="F222" i="13"/>
  <c r="C204" i="13"/>
  <c r="J18" i="3"/>
  <c r="E18" i="3"/>
  <c r="F25" i="13"/>
  <c r="C75" i="13"/>
  <c r="J9" i="3"/>
  <c r="E9" i="3"/>
  <c r="F55" i="13"/>
  <c r="C29" i="13"/>
  <c r="J6" i="3"/>
  <c r="E6" i="3"/>
  <c r="C578" i="13"/>
  <c r="AD24" i="2"/>
  <c r="AD21" i="2"/>
  <c r="AD15" i="2"/>
  <c r="AD14" i="2"/>
  <c r="AD13" i="2"/>
  <c r="Q22" i="2"/>
  <c r="Q16" i="2"/>
  <c r="Q13" i="2"/>
  <c r="V6" i="2"/>
  <c r="V5" i="2"/>
  <c r="V4" i="2"/>
  <c r="F79" i="13"/>
  <c r="F128" i="13"/>
  <c r="F64" i="13"/>
  <c r="F530" i="13"/>
  <c r="F524" i="13"/>
  <c r="F13" i="13"/>
  <c r="F61" i="13"/>
  <c r="F514" i="13"/>
  <c r="F60" i="13"/>
  <c r="F504" i="13"/>
  <c r="F65" i="13"/>
  <c r="F115" i="13"/>
  <c r="F162" i="13"/>
  <c r="F246" i="13"/>
  <c r="F241" i="13"/>
  <c r="F439" i="13"/>
  <c r="F229" i="13"/>
  <c r="F149" i="13"/>
  <c r="F401" i="13"/>
  <c r="F400" i="13"/>
  <c r="F377" i="13"/>
  <c r="F376" i="13"/>
  <c r="F106" i="13"/>
  <c r="F102" i="13"/>
  <c r="F17" i="13"/>
  <c r="C248" i="13"/>
  <c r="F510" i="13"/>
  <c r="C506" i="13"/>
  <c r="F39" i="13"/>
  <c r="C15" i="13"/>
  <c r="F156" i="13"/>
  <c r="C137" i="13"/>
  <c r="F408" i="13"/>
  <c r="C400" i="13"/>
  <c r="C279" i="13"/>
  <c r="C54" i="13"/>
  <c r="C40" i="13"/>
  <c r="C108" i="13"/>
  <c r="C52" i="13"/>
  <c r="C27" i="13"/>
  <c r="C49" i="13"/>
  <c r="E21" i="2"/>
  <c r="J21" i="2"/>
  <c r="F298" i="13"/>
  <c r="F580" i="13"/>
  <c r="C580" i="13"/>
  <c r="F576" i="13"/>
  <c r="C575" i="13"/>
  <c r="C573" i="13"/>
  <c r="F277" i="13"/>
  <c r="C264" i="13"/>
  <c r="F557" i="13"/>
  <c r="C556" i="13"/>
  <c r="C552" i="13"/>
  <c r="C546" i="13"/>
  <c r="F539" i="13"/>
  <c r="C536" i="13"/>
  <c r="F174" i="13"/>
  <c r="C158" i="13"/>
  <c r="F119" i="13"/>
  <c r="C97" i="13"/>
  <c r="C96" i="13"/>
  <c r="F12" i="13"/>
  <c r="C150" i="13"/>
  <c r="F486" i="13"/>
  <c r="C481" i="13"/>
  <c r="F479" i="13"/>
  <c r="C474" i="13"/>
  <c r="F251" i="13"/>
  <c r="C233" i="13"/>
  <c r="C464" i="13"/>
  <c r="F57" i="13"/>
  <c r="C32" i="13"/>
  <c r="C60" i="13"/>
  <c r="F240" i="13"/>
  <c r="C222" i="13"/>
  <c r="F427" i="13"/>
  <c r="C419" i="13"/>
  <c r="F110" i="13"/>
  <c r="C86" i="13"/>
  <c r="F108" i="13"/>
  <c r="C83" i="13"/>
  <c r="F387" i="13"/>
  <c r="C376" i="13"/>
  <c r="F380" i="13"/>
  <c r="C369" i="13"/>
  <c r="C364" i="13"/>
  <c r="F290" i="13"/>
  <c r="F367" i="13"/>
  <c r="C354" i="13"/>
  <c r="F365" i="13"/>
  <c r="C352" i="13"/>
  <c r="F213" i="13"/>
  <c r="C193" i="13"/>
  <c r="C79" i="13"/>
  <c r="C343" i="13"/>
  <c r="C340" i="13"/>
  <c r="C334" i="13"/>
  <c r="C332" i="13"/>
  <c r="F140" i="13"/>
  <c r="C118" i="13"/>
  <c r="C13" i="13"/>
  <c r="F331" i="13"/>
  <c r="C313" i="13"/>
  <c r="F329" i="13"/>
  <c r="C311" i="13"/>
  <c r="F138" i="13"/>
  <c r="C116" i="13"/>
  <c r="C74" i="13"/>
  <c r="C113" i="13"/>
  <c r="C300" i="13"/>
  <c r="C290" i="13"/>
  <c r="F287" i="13"/>
  <c r="C171" i="13"/>
  <c r="C281" i="13"/>
  <c r="C555" i="13"/>
  <c r="C278" i="13"/>
  <c r="J11" i="13"/>
  <c r="J13" i="13"/>
  <c r="K13" i="13" s="1"/>
  <c r="J55" i="13"/>
  <c r="J66" i="13"/>
  <c r="I66" i="13"/>
  <c r="F515" i="13"/>
  <c r="C511" i="13"/>
  <c r="J44" i="6"/>
  <c r="E44" i="6"/>
  <c r="Y4" i="6"/>
  <c r="T24" i="6"/>
  <c r="F578" i="13"/>
  <c r="F556" i="13"/>
  <c r="F269" i="13"/>
  <c r="F541" i="13"/>
  <c r="F265" i="13"/>
  <c r="F94" i="13"/>
  <c r="F538" i="13"/>
  <c r="C519" i="13"/>
  <c r="F49" i="13"/>
  <c r="F522" i="13"/>
  <c r="F8" i="13"/>
  <c r="F92" i="13"/>
  <c r="F494" i="13"/>
  <c r="F132" i="13"/>
  <c r="J35" i="6"/>
  <c r="E35" i="6"/>
  <c r="F491" i="13"/>
  <c r="F490" i="13"/>
  <c r="J37" i="6"/>
  <c r="E37" i="6"/>
  <c r="C489" i="13"/>
  <c r="F254" i="13"/>
  <c r="F91" i="13"/>
  <c r="F462" i="13"/>
  <c r="C457" i="13"/>
  <c r="F58" i="13"/>
  <c r="F446" i="13"/>
  <c r="F15" i="13"/>
  <c r="F159" i="13"/>
  <c r="F442" i="13"/>
  <c r="F46" i="13"/>
  <c r="F437" i="13"/>
  <c r="F436" i="13"/>
  <c r="C426" i="13"/>
  <c r="F434" i="13"/>
  <c r="C404" i="13"/>
  <c r="F236" i="13"/>
  <c r="C218" i="13"/>
  <c r="F417" i="13"/>
  <c r="F412" i="13"/>
  <c r="C409" i="13"/>
  <c r="F151" i="13"/>
  <c r="F399" i="13"/>
  <c r="F370" i="13"/>
  <c r="C358" i="13"/>
  <c r="F366" i="13"/>
  <c r="C353" i="13"/>
  <c r="F353" i="13"/>
  <c r="C338" i="13"/>
  <c r="F203" i="13"/>
  <c r="F340" i="13"/>
  <c r="F191" i="13"/>
  <c r="C170" i="13"/>
  <c r="F294" i="13"/>
  <c r="C274" i="13"/>
  <c r="F292" i="13"/>
  <c r="C272" i="13"/>
  <c r="W16" i="4"/>
  <c r="F574" i="13"/>
  <c r="F118" i="13"/>
  <c r="J38" i="1"/>
  <c r="E38" i="1"/>
  <c r="F469" i="13"/>
  <c r="J33" i="1"/>
  <c r="E33" i="1"/>
  <c r="F87" i="13"/>
  <c r="J31" i="1"/>
  <c r="E31" i="1"/>
  <c r="F355" i="13"/>
  <c r="J17" i="1"/>
  <c r="E17" i="1"/>
  <c r="F289" i="13"/>
  <c r="J15" i="1"/>
  <c r="E15" i="1"/>
  <c r="F37" i="13"/>
  <c r="J13" i="1"/>
  <c r="E13" i="1"/>
  <c r="J11" i="1"/>
  <c r="E11" i="1"/>
  <c r="J3" i="1"/>
  <c r="E3" i="1"/>
  <c r="Q27" i="1"/>
  <c r="Q21" i="1"/>
  <c r="Q19" i="1"/>
  <c r="V11" i="1"/>
  <c r="V9" i="1"/>
  <c r="V8" i="1"/>
  <c r="V5" i="1"/>
  <c r="J58" i="13"/>
  <c r="I58" i="13"/>
  <c r="J37" i="3"/>
  <c r="E37" i="3"/>
  <c r="F553" i="13"/>
  <c r="C12" i="13"/>
  <c r="F176" i="13"/>
  <c r="J3" i="5"/>
  <c r="J4" i="5"/>
  <c r="J6" i="5"/>
  <c r="J7" i="5"/>
  <c r="J10" i="5"/>
  <c r="J12" i="5"/>
  <c r="J13" i="5"/>
  <c r="J14" i="5"/>
  <c r="J15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2" i="5"/>
  <c r="J34" i="5"/>
  <c r="J35" i="5"/>
  <c r="J37" i="5"/>
  <c r="J38" i="5"/>
  <c r="J41" i="5"/>
  <c r="J42" i="5"/>
  <c r="J43" i="5"/>
  <c r="J44" i="5"/>
  <c r="J45" i="5"/>
  <c r="G46" i="5"/>
  <c r="H46" i="5"/>
  <c r="I46" i="5"/>
  <c r="J46" i="5" s="1"/>
  <c r="C347" i="13"/>
  <c r="J11" i="11"/>
  <c r="E11" i="11"/>
  <c r="F322" i="13"/>
  <c r="C303" i="13"/>
  <c r="J5" i="9"/>
  <c r="E5" i="9"/>
  <c r="I52" i="1"/>
  <c r="J51" i="1"/>
  <c r="H52" i="1"/>
  <c r="G52" i="1"/>
  <c r="D52" i="1"/>
  <c r="E52" i="1" s="1"/>
  <c r="E51" i="1"/>
  <c r="C52" i="1"/>
  <c r="B52" i="1"/>
  <c r="F309" i="13"/>
  <c r="J6" i="1"/>
  <c r="E6" i="1"/>
  <c r="C230" i="13"/>
  <c r="J36" i="1"/>
  <c r="E36" i="1"/>
  <c r="J45" i="1"/>
  <c r="E45" i="1"/>
  <c r="J44" i="13"/>
  <c r="I44" i="13"/>
  <c r="K44" i="13" s="1"/>
  <c r="F350" i="13"/>
  <c r="C335" i="13"/>
  <c r="J10" i="2"/>
  <c r="E10" i="2"/>
  <c r="N33" i="9"/>
  <c r="I78" i="13"/>
  <c r="C492" i="13"/>
  <c r="J35" i="10"/>
  <c r="E35" i="10"/>
  <c r="E28" i="5"/>
  <c r="J5" i="6"/>
  <c r="E5" i="6"/>
  <c r="F358" i="13"/>
  <c r="J18" i="1"/>
  <c r="E18" i="1"/>
  <c r="C521" i="13"/>
  <c r="J42" i="2"/>
  <c r="E42" i="2"/>
  <c r="J25" i="2"/>
  <c r="E25" i="2"/>
  <c r="C494" i="13"/>
  <c r="J32" i="11"/>
  <c r="E32" i="11"/>
  <c r="C503" i="13"/>
  <c r="J34" i="11"/>
  <c r="E34" i="11"/>
  <c r="C566" i="13"/>
  <c r="J53" i="4"/>
  <c r="E53" i="4"/>
  <c r="J25" i="10"/>
  <c r="E25" i="10"/>
  <c r="C363" i="13"/>
  <c r="J15" i="7"/>
  <c r="E15" i="7"/>
  <c r="C148" i="13"/>
  <c r="E24" i="5"/>
  <c r="I54" i="6"/>
  <c r="H54" i="6"/>
  <c r="G54" i="6"/>
  <c r="J54" i="6" s="1"/>
  <c r="D54" i="6"/>
  <c r="E54" i="6" s="1"/>
  <c r="C54" i="6"/>
  <c r="B54" i="6"/>
  <c r="I11" i="13"/>
  <c r="K11" i="13"/>
  <c r="J27" i="6"/>
  <c r="E27" i="6"/>
  <c r="C401" i="13"/>
  <c r="J15" i="10"/>
  <c r="E15" i="10"/>
  <c r="J10" i="1"/>
  <c r="E10" i="1"/>
  <c r="F549" i="13"/>
  <c r="C548" i="13"/>
  <c r="J44" i="11"/>
  <c r="E44" i="11"/>
  <c r="W21" i="1"/>
  <c r="T21" i="1"/>
  <c r="J19" i="3"/>
  <c r="E19" i="3"/>
  <c r="J38" i="13"/>
  <c r="I38" i="13"/>
  <c r="J53" i="13"/>
  <c r="I53" i="13"/>
  <c r="J35" i="3"/>
  <c r="E35" i="3"/>
  <c r="C159" i="13"/>
  <c r="J48" i="7"/>
  <c r="E48" i="7"/>
  <c r="I62" i="13"/>
  <c r="F232" i="13"/>
  <c r="C214" i="13"/>
  <c r="J41" i="10"/>
  <c r="E41" i="10"/>
  <c r="J23" i="4"/>
  <c r="E23" i="4"/>
  <c r="F330" i="13"/>
  <c r="C312" i="13"/>
  <c r="J11" i="4"/>
  <c r="E11" i="4"/>
  <c r="J3" i="3"/>
  <c r="J48" i="3" s="1"/>
  <c r="J4" i="3"/>
  <c r="J5" i="3"/>
  <c r="J7" i="3"/>
  <c r="J10" i="3"/>
  <c r="J12" i="3"/>
  <c r="J13" i="3"/>
  <c r="J14" i="3"/>
  <c r="J15" i="3"/>
  <c r="J16" i="3"/>
  <c r="J17" i="3"/>
  <c r="J20" i="3"/>
  <c r="J21" i="3"/>
  <c r="J22" i="3"/>
  <c r="J24" i="3"/>
  <c r="J26" i="3"/>
  <c r="J27" i="3"/>
  <c r="J28" i="3"/>
  <c r="J29" i="3"/>
  <c r="J30" i="3"/>
  <c r="J31" i="3"/>
  <c r="J32" i="3"/>
  <c r="J33" i="3"/>
  <c r="J34" i="3"/>
  <c r="J36" i="3"/>
  <c r="J38" i="3"/>
  <c r="J39" i="3"/>
  <c r="J41" i="3"/>
  <c r="J42" i="3"/>
  <c r="J43" i="3"/>
  <c r="J44" i="3"/>
  <c r="J46" i="3"/>
  <c r="J47" i="3"/>
  <c r="I39" i="13"/>
  <c r="K39" i="13"/>
  <c r="C384" i="13"/>
  <c r="E17" i="5"/>
  <c r="C567" i="13"/>
  <c r="E41" i="5"/>
  <c r="C91" i="13"/>
  <c r="J32" i="9"/>
  <c r="E32" i="9"/>
  <c r="C90" i="13"/>
  <c r="J31" i="9"/>
  <c r="E31" i="9"/>
  <c r="F100" i="13"/>
  <c r="C73" i="13"/>
  <c r="J8" i="7"/>
  <c r="E8" i="7"/>
  <c r="C427" i="13"/>
  <c r="J29" i="12"/>
  <c r="E29" i="12"/>
  <c r="N31" i="9"/>
  <c r="J30" i="13"/>
  <c r="I30" i="13"/>
  <c r="C377" i="13"/>
  <c r="J20" i="9"/>
  <c r="E20" i="9"/>
  <c r="C124" i="13"/>
  <c r="J18" i="9"/>
  <c r="E18" i="9"/>
  <c r="F548" i="13"/>
  <c r="J45" i="8"/>
  <c r="E45" i="8"/>
  <c r="C471" i="13"/>
  <c r="J38" i="7"/>
  <c r="E38" i="7"/>
  <c r="E22" i="3"/>
  <c r="C534" i="13"/>
  <c r="E32" i="5"/>
  <c r="F349" i="13"/>
  <c r="J16" i="1"/>
  <c r="E16" i="1"/>
  <c r="C399" i="13"/>
  <c r="J24" i="4"/>
  <c r="E24" i="4"/>
  <c r="J19" i="4"/>
  <c r="E19" i="4"/>
  <c r="J41" i="13"/>
  <c r="I41" i="13"/>
  <c r="K41" i="13" s="1"/>
  <c r="C145" i="13"/>
  <c r="J30" i="11"/>
  <c r="E30" i="11"/>
  <c r="J44" i="10"/>
  <c r="E44" i="10"/>
  <c r="C30" i="13"/>
  <c r="E39" i="3"/>
  <c r="J3" i="6"/>
  <c r="E3" i="6"/>
  <c r="J59" i="13"/>
  <c r="I59" i="13"/>
  <c r="C423" i="13"/>
  <c r="J28" i="12"/>
  <c r="E28" i="12"/>
  <c r="C242" i="13"/>
  <c r="J35" i="8"/>
  <c r="E35" i="8"/>
  <c r="E32" i="3"/>
  <c r="F54" i="13"/>
  <c r="B48" i="3"/>
  <c r="E3" i="3"/>
  <c r="E48" i="3" s="1"/>
  <c r="C2" i="13"/>
  <c r="J32" i="13"/>
  <c r="I32" i="13"/>
  <c r="J73" i="13"/>
  <c r="K73" i="13" s="1"/>
  <c r="I73" i="13"/>
  <c r="C5" i="13"/>
  <c r="E22" i="5"/>
  <c r="J43" i="4"/>
  <c r="E43" i="4"/>
  <c r="AG17" i="5"/>
  <c r="AG15" i="5"/>
  <c r="F352" i="13"/>
  <c r="C337" i="13"/>
  <c r="J15" i="8"/>
  <c r="E15" i="8"/>
  <c r="J12" i="13"/>
  <c r="K12" i="13" s="1"/>
  <c r="I12" i="13"/>
  <c r="C581" i="13"/>
  <c r="J53" i="8"/>
  <c r="E53" i="8"/>
  <c r="C522" i="13"/>
  <c r="J41" i="8"/>
  <c r="E41" i="8"/>
  <c r="C441" i="13"/>
  <c r="J27" i="8"/>
  <c r="J26" i="8"/>
  <c r="E27" i="8"/>
  <c r="E26" i="8"/>
  <c r="C123" i="13"/>
  <c r="J16" i="8"/>
  <c r="E16" i="8"/>
  <c r="C203" i="13"/>
  <c r="J18" i="8"/>
  <c r="E18" i="8"/>
  <c r="F324" i="13"/>
  <c r="J8" i="8"/>
  <c r="E8" i="8"/>
  <c r="F327" i="13"/>
  <c r="C483" i="13"/>
  <c r="J39" i="12"/>
  <c r="E39" i="12"/>
  <c r="C412" i="13"/>
  <c r="J26" i="12"/>
  <c r="E26" i="12"/>
  <c r="C84" i="13"/>
  <c r="J24" i="12"/>
  <c r="E24" i="12"/>
  <c r="C39" i="13"/>
  <c r="J51" i="7"/>
  <c r="E51" i="7"/>
  <c r="C424" i="13"/>
  <c r="J26" i="7"/>
  <c r="E26" i="7"/>
  <c r="C206" i="13"/>
  <c r="J21" i="7"/>
  <c r="E21" i="7"/>
  <c r="F43" i="13"/>
  <c r="C18" i="13"/>
  <c r="J13" i="7"/>
  <c r="E13" i="7"/>
  <c r="C529" i="13"/>
  <c r="C244" i="13"/>
  <c r="J37" i="10"/>
  <c r="E37" i="10"/>
  <c r="C466" i="13"/>
  <c r="J28" i="10"/>
  <c r="E28" i="10"/>
  <c r="C408" i="13"/>
  <c r="C406" i="13"/>
  <c r="J20" i="10"/>
  <c r="E20" i="10"/>
  <c r="J18" i="10"/>
  <c r="E18" i="10"/>
  <c r="F51" i="13"/>
  <c r="C77" i="13"/>
  <c r="E9" i="10"/>
  <c r="J9" i="10"/>
  <c r="C117" i="13"/>
  <c r="J6" i="10"/>
  <c r="E6" i="10"/>
  <c r="F551" i="13"/>
  <c r="C550" i="13"/>
  <c r="J45" i="2"/>
  <c r="E45" i="2"/>
  <c r="F211" i="13"/>
  <c r="C191" i="13"/>
  <c r="J13" i="6"/>
  <c r="E13" i="6"/>
  <c r="Y5" i="1"/>
  <c r="AK5" i="1"/>
  <c r="AH5" i="1"/>
  <c r="AE5" i="1"/>
  <c r="J26" i="13"/>
  <c r="I26" i="13"/>
  <c r="F547" i="13"/>
  <c r="J42" i="1"/>
  <c r="E42" i="1"/>
  <c r="J34" i="1"/>
  <c r="E34" i="1"/>
  <c r="F9" i="13"/>
  <c r="J18" i="13"/>
  <c r="I18" i="13"/>
  <c r="W24" i="5"/>
  <c r="W15" i="5"/>
  <c r="T15" i="5"/>
  <c r="W17" i="5"/>
  <c r="AE5" i="5"/>
  <c r="AK5" i="5"/>
  <c r="AH5" i="5"/>
  <c r="J6" i="13"/>
  <c r="I6" i="13"/>
  <c r="K6" i="13" s="1"/>
  <c r="AK4" i="5"/>
  <c r="AH4" i="5"/>
  <c r="AE4" i="5"/>
  <c r="Y4" i="5"/>
  <c r="C495" i="13"/>
  <c r="C472" i="13"/>
  <c r="E25" i="5"/>
  <c r="C45" i="13"/>
  <c r="E19" i="5"/>
  <c r="F52" i="13"/>
  <c r="C197" i="13"/>
  <c r="E14" i="5"/>
  <c r="C57" i="13"/>
  <c r="C560" i="13"/>
  <c r="J49" i="12"/>
  <c r="E49" i="12"/>
  <c r="C438" i="13"/>
  <c r="C428" i="13"/>
  <c r="C323" i="13"/>
  <c r="J74" i="13"/>
  <c r="I74" i="13"/>
  <c r="K74" i="13" s="1"/>
  <c r="I13" i="13"/>
  <c r="J26" i="6"/>
  <c r="E26" i="6"/>
  <c r="J43" i="6"/>
  <c r="E43" i="6"/>
  <c r="J9" i="6"/>
  <c r="E9" i="6"/>
  <c r="J49" i="6"/>
  <c r="E49" i="6"/>
  <c r="J31" i="6"/>
  <c r="E31" i="6"/>
  <c r="J28" i="6"/>
  <c r="E28" i="6"/>
  <c r="J32" i="6"/>
  <c r="E32" i="6"/>
  <c r="J29" i="6"/>
  <c r="E29" i="6"/>
  <c r="J50" i="6"/>
  <c r="E50" i="6"/>
  <c r="J46" i="6"/>
  <c r="E46" i="6"/>
  <c r="J30" i="6"/>
  <c r="E30" i="6"/>
  <c r="F552" i="13"/>
  <c r="C551" i="13"/>
  <c r="J47" i="9"/>
  <c r="E47" i="9"/>
  <c r="J41" i="9"/>
  <c r="E41" i="9"/>
  <c r="C152" i="13"/>
  <c r="J42" i="9"/>
  <c r="E42" i="9"/>
  <c r="J16" i="9"/>
  <c r="E16" i="9"/>
  <c r="C346" i="13"/>
  <c r="J49" i="11"/>
  <c r="E49" i="11"/>
  <c r="C254" i="13"/>
  <c r="J42" i="11"/>
  <c r="E42" i="11"/>
  <c r="F354" i="13"/>
  <c r="C339" i="13"/>
  <c r="C180" i="13"/>
  <c r="W13" i="4"/>
  <c r="Y4" i="4"/>
  <c r="AH4" i="4"/>
  <c r="AE4" i="4"/>
  <c r="C420" i="13"/>
  <c r="J26" i="4"/>
  <c r="E26" i="4"/>
  <c r="J44" i="4"/>
  <c r="E44" i="4"/>
  <c r="J32" i="4"/>
  <c r="E32" i="4"/>
  <c r="F317" i="13"/>
  <c r="F315" i="13"/>
  <c r="J6" i="4"/>
  <c r="J5" i="4"/>
  <c r="E6" i="4"/>
  <c r="E5" i="4"/>
  <c r="F284" i="13"/>
  <c r="C308" i="13"/>
  <c r="J10" i="4"/>
  <c r="E10" i="4"/>
  <c r="C433" i="13"/>
  <c r="J30" i="4"/>
  <c r="E30" i="4"/>
  <c r="J46" i="2"/>
  <c r="E46" i="2"/>
  <c r="C499" i="13"/>
  <c r="J34" i="2"/>
  <c r="E34" i="2"/>
  <c r="C366" i="13"/>
  <c r="J16" i="2"/>
  <c r="E16" i="2"/>
  <c r="C134" i="13"/>
  <c r="E20" i="5"/>
  <c r="I71" i="13"/>
  <c r="J83" i="13"/>
  <c r="K83" i="13" s="1"/>
  <c r="I83" i="13"/>
  <c r="T18" i="3"/>
  <c r="W26" i="3"/>
  <c r="T26" i="3"/>
  <c r="W14" i="3"/>
  <c r="T14" i="3"/>
  <c r="AK4" i="3"/>
  <c r="AH4" i="3"/>
  <c r="AE4" i="3"/>
  <c r="Y4" i="3"/>
  <c r="E47" i="3"/>
  <c r="E34" i="3"/>
  <c r="F356" i="13"/>
  <c r="E12" i="3"/>
  <c r="F189" i="13"/>
  <c r="E5" i="3"/>
  <c r="E46" i="3"/>
  <c r="E13" i="5"/>
  <c r="J8" i="1"/>
  <c r="E8" i="1"/>
  <c r="C422" i="13"/>
  <c r="T24" i="12"/>
  <c r="T17" i="12"/>
  <c r="T14" i="12"/>
  <c r="Y9" i="12"/>
  <c r="Y7" i="12"/>
  <c r="Y5" i="12"/>
  <c r="J51" i="12"/>
  <c r="J47" i="12"/>
  <c r="J45" i="12"/>
  <c r="J44" i="12"/>
  <c r="J43" i="12"/>
  <c r="J42" i="12"/>
  <c r="J41" i="12"/>
  <c r="J40" i="12"/>
  <c r="J38" i="12"/>
  <c r="J37" i="12"/>
  <c r="J36" i="12"/>
  <c r="J34" i="12"/>
  <c r="J31" i="12"/>
  <c r="J30" i="12"/>
  <c r="J27" i="12"/>
  <c r="J25" i="12"/>
  <c r="J23" i="12"/>
  <c r="J21" i="12"/>
  <c r="J19" i="12"/>
  <c r="J17" i="12"/>
  <c r="J12" i="12"/>
  <c r="J10" i="12"/>
  <c r="J7" i="12"/>
  <c r="J6" i="12"/>
  <c r="J5" i="12"/>
  <c r="J4" i="12"/>
  <c r="E51" i="12"/>
  <c r="E47" i="12"/>
  <c r="E45" i="12"/>
  <c r="E44" i="12"/>
  <c r="E43" i="12"/>
  <c r="E42" i="12"/>
  <c r="E41" i="12"/>
  <c r="E40" i="12"/>
  <c r="E38" i="12"/>
  <c r="E37" i="12"/>
  <c r="E36" i="12"/>
  <c r="E34" i="12"/>
  <c r="E31" i="12"/>
  <c r="E30" i="12"/>
  <c r="E27" i="12"/>
  <c r="E25" i="12"/>
  <c r="E23" i="12"/>
  <c r="E21" i="12"/>
  <c r="E19" i="12"/>
  <c r="E17" i="12"/>
  <c r="E12" i="12"/>
  <c r="E10" i="12"/>
  <c r="E7" i="12"/>
  <c r="E6" i="12"/>
  <c r="E5" i="12"/>
  <c r="E4" i="12"/>
  <c r="T36" i="7"/>
  <c r="T35" i="7"/>
  <c r="T32" i="7"/>
  <c r="T30" i="7"/>
  <c r="T28" i="7"/>
  <c r="T19" i="7"/>
  <c r="Y14" i="7"/>
  <c r="Y13" i="7"/>
  <c r="Y4" i="7"/>
  <c r="J55" i="7"/>
  <c r="J54" i="7"/>
  <c r="J53" i="7"/>
  <c r="J50" i="7"/>
  <c r="J49" i="7"/>
  <c r="J46" i="7"/>
  <c r="J43" i="7"/>
  <c r="J42" i="7"/>
  <c r="J41" i="7"/>
  <c r="J40" i="7"/>
  <c r="J39" i="7"/>
  <c r="J36" i="7"/>
  <c r="J35" i="7"/>
  <c r="J33" i="7"/>
  <c r="J32" i="7"/>
  <c r="J30" i="7"/>
  <c r="J29" i="7"/>
  <c r="J27" i="7"/>
  <c r="J25" i="7"/>
  <c r="J23" i="7"/>
  <c r="J22" i="7"/>
  <c r="J20" i="7"/>
  <c r="J18" i="7"/>
  <c r="J17" i="7"/>
  <c r="J16" i="7"/>
  <c r="J14" i="7"/>
  <c r="J12" i="7"/>
  <c r="J10" i="7"/>
  <c r="J9" i="7"/>
  <c r="J5" i="7"/>
  <c r="E55" i="7"/>
  <c r="E54" i="7"/>
  <c r="E53" i="7"/>
  <c r="E50" i="7"/>
  <c r="E49" i="7"/>
  <c r="E46" i="7"/>
  <c r="E43" i="7"/>
  <c r="E42" i="7"/>
  <c r="E41" i="7"/>
  <c r="E40" i="7"/>
  <c r="E39" i="7"/>
  <c r="E36" i="7"/>
  <c r="E35" i="7"/>
  <c r="E33" i="7"/>
  <c r="E32" i="7"/>
  <c r="E30" i="7"/>
  <c r="E29" i="7"/>
  <c r="E27" i="7"/>
  <c r="E25" i="7"/>
  <c r="E23" i="7"/>
  <c r="E22" i="7"/>
  <c r="E20" i="7"/>
  <c r="E18" i="7"/>
  <c r="E17" i="7"/>
  <c r="E16" i="7"/>
  <c r="E14" i="7"/>
  <c r="E12" i="7"/>
  <c r="E10" i="7"/>
  <c r="E9" i="7"/>
  <c r="E5" i="7"/>
  <c r="T28" i="11"/>
  <c r="T27" i="11"/>
  <c r="T26" i="11"/>
  <c r="T25" i="11"/>
  <c r="T19" i="11"/>
  <c r="T17" i="11"/>
  <c r="T16" i="11"/>
  <c r="Y11" i="11"/>
  <c r="Y7" i="11"/>
  <c r="Y6" i="11"/>
  <c r="Y5" i="11"/>
  <c r="Y4" i="11"/>
  <c r="J51" i="11"/>
  <c r="J48" i="11"/>
  <c r="J47" i="11"/>
  <c r="J46" i="11"/>
  <c r="J45" i="11"/>
  <c r="J40" i="11"/>
  <c r="J39" i="11"/>
  <c r="J37" i="11"/>
  <c r="J36" i="11"/>
  <c r="J35" i="11"/>
  <c r="J33" i="11"/>
  <c r="J31" i="11"/>
  <c r="J29" i="11"/>
  <c r="J28" i="11"/>
  <c r="J27" i="11"/>
  <c r="J25" i="11"/>
  <c r="J24" i="11"/>
  <c r="J21" i="11"/>
  <c r="J19" i="11"/>
  <c r="J17" i="11"/>
  <c r="J16" i="11"/>
  <c r="J15" i="11"/>
  <c r="J14" i="11"/>
  <c r="J13" i="11"/>
  <c r="J12" i="11"/>
  <c r="J10" i="11"/>
  <c r="J8" i="11"/>
  <c r="J7" i="11"/>
  <c r="J6" i="11"/>
  <c r="J5" i="11"/>
  <c r="J4" i="11"/>
  <c r="J52" i="11" s="1"/>
  <c r="E51" i="11"/>
  <c r="E48" i="11"/>
  <c r="E47" i="11"/>
  <c r="E46" i="11"/>
  <c r="E45" i="11"/>
  <c r="E40" i="11"/>
  <c r="E39" i="11"/>
  <c r="E37" i="11"/>
  <c r="E36" i="11"/>
  <c r="E35" i="11"/>
  <c r="E33" i="11"/>
  <c r="E31" i="11"/>
  <c r="E29" i="11"/>
  <c r="E28" i="11"/>
  <c r="E27" i="11"/>
  <c r="E25" i="11"/>
  <c r="E24" i="11"/>
  <c r="E21" i="11"/>
  <c r="E19" i="11"/>
  <c r="E17" i="11"/>
  <c r="E16" i="11"/>
  <c r="E15" i="11"/>
  <c r="E14" i="11"/>
  <c r="E13" i="11"/>
  <c r="E12" i="11"/>
  <c r="E10" i="11"/>
  <c r="E8" i="11"/>
  <c r="E7" i="11"/>
  <c r="E6" i="11"/>
  <c r="E52" i="11" s="1"/>
  <c r="E5" i="11"/>
  <c r="E4" i="11"/>
  <c r="T17" i="10"/>
  <c r="Y12" i="10"/>
  <c r="Y10" i="10"/>
  <c r="Y4" i="10"/>
  <c r="J42" i="10"/>
  <c r="J40" i="10"/>
  <c r="J39" i="10"/>
  <c r="J38" i="10"/>
  <c r="J36" i="10"/>
  <c r="J32" i="10"/>
  <c r="J31" i="10"/>
  <c r="J30" i="10"/>
  <c r="J29" i="10"/>
  <c r="J27" i="10"/>
  <c r="J26" i="10"/>
  <c r="J24" i="10"/>
  <c r="J23" i="10"/>
  <c r="J22" i="10"/>
  <c r="J21" i="10"/>
  <c r="J17" i="10"/>
  <c r="J16" i="10"/>
  <c r="J14" i="10"/>
  <c r="J13" i="10"/>
  <c r="J12" i="10"/>
  <c r="J8" i="10"/>
  <c r="J7" i="10"/>
  <c r="J45" i="10" s="1"/>
  <c r="J4" i="10"/>
  <c r="E42" i="10"/>
  <c r="E40" i="10"/>
  <c r="E39" i="10"/>
  <c r="E38" i="10"/>
  <c r="E36" i="10"/>
  <c r="E32" i="10"/>
  <c r="E31" i="10"/>
  <c r="E30" i="10"/>
  <c r="E29" i="10"/>
  <c r="E27" i="10"/>
  <c r="E26" i="10"/>
  <c r="E24" i="10"/>
  <c r="E23" i="10"/>
  <c r="E22" i="10"/>
  <c r="E21" i="10"/>
  <c r="E17" i="10"/>
  <c r="E16" i="10"/>
  <c r="E14" i="10"/>
  <c r="E13" i="10"/>
  <c r="E12" i="10"/>
  <c r="E8" i="10"/>
  <c r="E7" i="10"/>
  <c r="E4" i="10"/>
  <c r="T18" i="9"/>
  <c r="Y10" i="9"/>
  <c r="J49" i="9"/>
  <c r="J48" i="9"/>
  <c r="J46" i="9"/>
  <c r="J45" i="9"/>
  <c r="J40" i="9"/>
  <c r="J39" i="9"/>
  <c r="J38" i="9"/>
  <c r="J37" i="9"/>
  <c r="J35" i="9"/>
  <c r="J30" i="9"/>
  <c r="J29" i="9"/>
  <c r="J28" i="9"/>
  <c r="J26" i="9"/>
  <c r="J25" i="9"/>
  <c r="J24" i="9"/>
  <c r="J22" i="9"/>
  <c r="J21" i="9"/>
  <c r="J19" i="9"/>
  <c r="J15" i="9"/>
  <c r="J14" i="9"/>
  <c r="J13" i="9"/>
  <c r="J9" i="9"/>
  <c r="J8" i="9"/>
  <c r="J6" i="9"/>
  <c r="J4" i="9"/>
  <c r="E48" i="9"/>
  <c r="E46" i="9"/>
  <c r="E45" i="9"/>
  <c r="E40" i="9"/>
  <c r="E39" i="9"/>
  <c r="E38" i="9"/>
  <c r="E37" i="9"/>
  <c r="E35" i="9"/>
  <c r="E30" i="9"/>
  <c r="E29" i="9"/>
  <c r="E28" i="9"/>
  <c r="E26" i="9"/>
  <c r="E25" i="9"/>
  <c r="E24" i="9"/>
  <c r="E22" i="9"/>
  <c r="E21" i="9"/>
  <c r="E19" i="9"/>
  <c r="E15" i="9"/>
  <c r="E14" i="9"/>
  <c r="E13" i="9"/>
  <c r="E9" i="9"/>
  <c r="E8" i="9"/>
  <c r="E6" i="9"/>
  <c r="E4" i="9"/>
  <c r="T32" i="8"/>
  <c r="T30" i="8"/>
  <c r="T20" i="8"/>
  <c r="T18" i="8"/>
  <c r="Y11" i="8"/>
  <c r="Y7" i="8"/>
  <c r="J54" i="8"/>
  <c r="J52" i="8"/>
  <c r="J51" i="8"/>
  <c r="J50" i="8"/>
  <c r="J48" i="8"/>
  <c r="J47" i="8"/>
  <c r="J46" i="8"/>
  <c r="J44" i="8"/>
  <c r="J43" i="8"/>
  <c r="J39" i="8"/>
  <c r="J38" i="8"/>
  <c r="J37" i="8"/>
  <c r="J36" i="8"/>
  <c r="J34" i="8"/>
  <c r="J33" i="8"/>
  <c r="J28" i="8"/>
  <c r="J25" i="8"/>
  <c r="J24" i="8"/>
  <c r="J23" i="8"/>
  <c r="J22" i="8"/>
  <c r="J21" i="8"/>
  <c r="J20" i="8"/>
  <c r="J17" i="8"/>
  <c r="J14" i="8"/>
  <c r="J13" i="8"/>
  <c r="J10" i="8"/>
  <c r="J9" i="8"/>
  <c r="E54" i="8"/>
  <c r="E52" i="8"/>
  <c r="E51" i="8"/>
  <c r="E50" i="8"/>
  <c r="E48" i="8"/>
  <c r="E47" i="8"/>
  <c r="E46" i="8"/>
  <c r="E44" i="8"/>
  <c r="E43" i="8"/>
  <c r="E39" i="8"/>
  <c r="E38" i="8"/>
  <c r="E37" i="8"/>
  <c r="E36" i="8"/>
  <c r="E34" i="8"/>
  <c r="E33" i="8"/>
  <c r="E28" i="8"/>
  <c r="E25" i="8"/>
  <c r="E24" i="8"/>
  <c r="E23" i="8"/>
  <c r="E22" i="8"/>
  <c r="E21" i="8"/>
  <c r="E20" i="8"/>
  <c r="E17" i="8"/>
  <c r="E14" i="8"/>
  <c r="E13" i="8"/>
  <c r="E10" i="8"/>
  <c r="E9" i="8"/>
  <c r="J53" i="6"/>
  <c r="J52" i="6"/>
  <c r="J51" i="6"/>
  <c r="J48" i="6"/>
  <c r="J47" i="6"/>
  <c r="J45" i="6"/>
  <c r="J42" i="6"/>
  <c r="J41" i="6"/>
  <c r="J39" i="6"/>
  <c r="J38" i="6"/>
  <c r="J36" i="6"/>
  <c r="J34" i="6"/>
  <c r="J33" i="6"/>
  <c r="J25" i="6"/>
  <c r="J24" i="6"/>
  <c r="J23" i="6"/>
  <c r="J22" i="6"/>
  <c r="J21" i="6"/>
  <c r="J20" i="6"/>
  <c r="J19" i="6"/>
  <c r="J18" i="6"/>
  <c r="J17" i="6"/>
  <c r="J15" i="6"/>
  <c r="J14" i="6"/>
  <c r="J11" i="6"/>
  <c r="J8" i="6"/>
  <c r="J7" i="6"/>
  <c r="J4" i="6"/>
  <c r="E53" i="6"/>
  <c r="E52" i="6"/>
  <c r="E51" i="6"/>
  <c r="E48" i="6"/>
  <c r="E47" i="6"/>
  <c r="E45" i="6"/>
  <c r="E42" i="6"/>
  <c r="E41" i="6"/>
  <c r="E39" i="6"/>
  <c r="E38" i="6"/>
  <c r="E36" i="6"/>
  <c r="E34" i="6"/>
  <c r="E33" i="6"/>
  <c r="E25" i="6"/>
  <c r="E24" i="6"/>
  <c r="E23" i="6"/>
  <c r="E22" i="6"/>
  <c r="E21" i="6"/>
  <c r="E20" i="6"/>
  <c r="E19" i="6"/>
  <c r="E18" i="6"/>
  <c r="E17" i="6"/>
  <c r="E15" i="6"/>
  <c r="E14" i="6"/>
  <c r="E11" i="6"/>
  <c r="E8" i="6"/>
  <c r="E7" i="6"/>
  <c r="E4" i="6"/>
  <c r="T23" i="5"/>
  <c r="Y6" i="5"/>
  <c r="E45" i="5"/>
  <c r="E44" i="5"/>
  <c r="E43" i="5"/>
  <c r="E42" i="5"/>
  <c r="E38" i="5"/>
  <c r="E37" i="5"/>
  <c r="E35" i="5"/>
  <c r="E34" i="5"/>
  <c r="E29" i="5"/>
  <c r="E27" i="5"/>
  <c r="E26" i="5"/>
  <c r="E23" i="5"/>
  <c r="E21" i="5"/>
  <c r="E18" i="5"/>
  <c r="E15" i="5"/>
  <c r="E12" i="5"/>
  <c r="E10" i="5"/>
  <c r="E7" i="5"/>
  <c r="E6" i="5"/>
  <c r="E4" i="5"/>
  <c r="E3" i="5"/>
  <c r="T23" i="4"/>
  <c r="T13" i="4"/>
  <c r="Y7" i="4"/>
  <c r="Y6" i="4"/>
  <c r="J52" i="4"/>
  <c r="J51" i="4"/>
  <c r="J50" i="4"/>
  <c r="J49" i="4"/>
  <c r="J48" i="4"/>
  <c r="J47" i="4"/>
  <c r="J42" i="4"/>
  <c r="J41" i="4"/>
  <c r="J40" i="4"/>
  <c r="J39" i="4"/>
  <c r="J37" i="4"/>
  <c r="J36" i="4"/>
  <c r="J35" i="4"/>
  <c r="J34" i="4"/>
  <c r="J33" i="4"/>
  <c r="J31" i="4"/>
  <c r="J28" i="4"/>
  <c r="J27" i="4"/>
  <c r="J22" i="4"/>
  <c r="J21" i="4"/>
  <c r="J20" i="4"/>
  <c r="J15" i="4"/>
  <c r="J14" i="4"/>
  <c r="J13" i="4"/>
  <c r="J12" i="4"/>
  <c r="J9" i="4"/>
  <c r="J8" i="4"/>
  <c r="J7" i="4"/>
  <c r="E52" i="4"/>
  <c r="E51" i="4"/>
  <c r="E50" i="4"/>
  <c r="E49" i="4"/>
  <c r="E48" i="4"/>
  <c r="E47" i="4"/>
  <c r="E42" i="4"/>
  <c r="E41" i="4"/>
  <c r="E40" i="4"/>
  <c r="E39" i="4"/>
  <c r="E37" i="4"/>
  <c r="E36" i="4"/>
  <c r="E35" i="4"/>
  <c r="E34" i="4"/>
  <c r="E33" i="4"/>
  <c r="E31" i="4"/>
  <c r="E28" i="4"/>
  <c r="E27" i="4"/>
  <c r="E22" i="4"/>
  <c r="E21" i="4"/>
  <c r="E20" i="4"/>
  <c r="E15" i="4"/>
  <c r="E14" i="4"/>
  <c r="E13" i="4"/>
  <c r="E12" i="4"/>
  <c r="E9" i="4"/>
  <c r="E8" i="4"/>
  <c r="E7" i="4"/>
  <c r="T27" i="3"/>
  <c r="T23" i="3"/>
  <c r="T15" i="3"/>
  <c r="Y9" i="3"/>
  <c r="Y8" i="3"/>
  <c r="E44" i="3"/>
  <c r="E43" i="3"/>
  <c r="E42" i="3"/>
  <c r="E41" i="3"/>
  <c r="E38" i="3"/>
  <c r="E36" i="3"/>
  <c r="E33" i="3"/>
  <c r="E31" i="3"/>
  <c r="E30" i="3"/>
  <c r="E29" i="3"/>
  <c r="E28" i="3"/>
  <c r="E27" i="3"/>
  <c r="E26" i="3"/>
  <c r="E24" i="3"/>
  <c r="E21" i="3"/>
  <c r="E20" i="3"/>
  <c r="E17" i="3"/>
  <c r="E16" i="3"/>
  <c r="E15" i="3"/>
  <c r="E14" i="3"/>
  <c r="E13" i="3"/>
  <c r="E10" i="3"/>
  <c r="E7" i="3"/>
  <c r="E4" i="3"/>
  <c r="T22" i="2"/>
  <c r="T16" i="2"/>
  <c r="T14" i="2"/>
  <c r="T13" i="2"/>
  <c r="Y6" i="2"/>
  <c r="Y5" i="2"/>
  <c r="Y4" i="2"/>
  <c r="J50" i="2"/>
  <c r="J49" i="2"/>
  <c r="J48" i="2"/>
  <c r="J47" i="2"/>
  <c r="J44" i="2"/>
  <c r="J43" i="2"/>
  <c r="J41" i="2"/>
  <c r="J40" i="2"/>
  <c r="J39" i="2"/>
  <c r="J37" i="2"/>
  <c r="J36" i="2"/>
  <c r="J35" i="2"/>
  <c r="J33" i="2"/>
  <c r="J32" i="2"/>
  <c r="J31" i="2"/>
  <c r="J30" i="2"/>
  <c r="J29" i="2"/>
  <c r="J28" i="2"/>
  <c r="J26" i="2"/>
  <c r="J24" i="2"/>
  <c r="J22" i="2"/>
  <c r="J20" i="2"/>
  <c r="J19" i="2"/>
  <c r="J18" i="2"/>
  <c r="J17" i="2"/>
  <c r="J15" i="2"/>
  <c r="J14" i="2"/>
  <c r="J13" i="2"/>
  <c r="J12" i="2"/>
  <c r="J11" i="2"/>
  <c r="J9" i="2"/>
  <c r="J8" i="2"/>
  <c r="J7" i="2"/>
  <c r="J6" i="2"/>
  <c r="J51" i="2" s="1"/>
  <c r="J5" i="2"/>
  <c r="J4" i="2"/>
  <c r="E50" i="2"/>
  <c r="E49" i="2"/>
  <c r="E48" i="2"/>
  <c r="E47" i="2"/>
  <c r="E44" i="2"/>
  <c r="E43" i="2"/>
  <c r="E41" i="2"/>
  <c r="E40" i="2"/>
  <c r="E39" i="2"/>
  <c r="E37" i="2"/>
  <c r="E36" i="2"/>
  <c r="E35" i="2"/>
  <c r="E33" i="2"/>
  <c r="E32" i="2"/>
  <c r="E31" i="2"/>
  <c r="E30" i="2"/>
  <c r="E29" i="2"/>
  <c r="E28" i="2"/>
  <c r="E26" i="2"/>
  <c r="E24" i="2"/>
  <c r="E22" i="2"/>
  <c r="E20" i="2"/>
  <c r="E19" i="2"/>
  <c r="E18" i="2"/>
  <c r="E17" i="2"/>
  <c r="E15" i="2"/>
  <c r="E14" i="2"/>
  <c r="E13" i="2"/>
  <c r="E12" i="2"/>
  <c r="E11" i="2"/>
  <c r="E9" i="2"/>
  <c r="E8" i="2"/>
  <c r="E7" i="2"/>
  <c r="E6" i="2"/>
  <c r="E5" i="2"/>
  <c r="E4" i="2"/>
  <c r="T30" i="1"/>
  <c r="T19" i="1"/>
  <c r="T17" i="1"/>
  <c r="Y11" i="1"/>
  <c r="Y7" i="1"/>
  <c r="AH7" i="1"/>
  <c r="J49" i="1"/>
  <c r="J48" i="1"/>
  <c r="J47" i="1"/>
  <c r="J44" i="1"/>
  <c r="J41" i="1"/>
  <c r="J40" i="1"/>
  <c r="J39" i="1"/>
  <c r="J37" i="1"/>
  <c r="J35" i="1"/>
  <c r="J32" i="1"/>
  <c r="J30" i="1"/>
  <c r="J29" i="1"/>
  <c r="J28" i="1"/>
  <c r="J27" i="1"/>
  <c r="J25" i="1"/>
  <c r="J24" i="1"/>
  <c r="J23" i="1"/>
  <c r="J22" i="1"/>
  <c r="J21" i="1"/>
  <c r="J20" i="1"/>
  <c r="J19" i="1"/>
  <c r="J14" i="1"/>
  <c r="J12" i="1"/>
  <c r="J9" i="1"/>
  <c r="J7" i="1"/>
  <c r="J5" i="1"/>
  <c r="J4" i="1"/>
  <c r="E49" i="1"/>
  <c r="E48" i="1"/>
  <c r="E47" i="1"/>
  <c r="E44" i="1"/>
  <c r="E41" i="1"/>
  <c r="E40" i="1"/>
  <c r="E39" i="1"/>
  <c r="E37" i="1"/>
  <c r="E35" i="1"/>
  <c r="E32" i="1"/>
  <c r="E30" i="1"/>
  <c r="E29" i="1"/>
  <c r="E28" i="1"/>
  <c r="E27" i="1"/>
  <c r="E25" i="1"/>
  <c r="E24" i="1"/>
  <c r="E23" i="1"/>
  <c r="E22" i="1"/>
  <c r="E21" i="1"/>
  <c r="E20" i="1"/>
  <c r="E19" i="1"/>
  <c r="E14" i="1"/>
  <c r="E12" i="1"/>
  <c r="E9" i="1"/>
  <c r="E7" i="1"/>
  <c r="E5" i="1"/>
  <c r="E4" i="1"/>
  <c r="N25" i="9"/>
  <c r="I23" i="13"/>
  <c r="K23" i="13" s="1"/>
  <c r="J23" i="13"/>
  <c r="F345" i="13"/>
  <c r="C328" i="13"/>
  <c r="F544" i="13"/>
  <c r="C542" i="13"/>
  <c r="F563" i="13"/>
  <c r="C562" i="13"/>
  <c r="I20" i="13"/>
  <c r="J19" i="13"/>
  <c r="I19" i="13"/>
  <c r="C136" i="13"/>
  <c r="I40" i="13"/>
  <c r="K40" i="13" s="1"/>
  <c r="I77" i="13"/>
  <c r="I4" i="13"/>
  <c r="K4" i="13" s="1"/>
  <c r="J4" i="13"/>
  <c r="I34" i="13"/>
  <c r="J34" i="13"/>
  <c r="K34" i="13" s="1"/>
  <c r="I14" i="13"/>
  <c r="K14" i="13" s="1"/>
  <c r="J14" i="13"/>
  <c r="C501" i="13"/>
  <c r="C155" i="13"/>
  <c r="F126" i="13"/>
  <c r="C224" i="13"/>
  <c r="I60" i="13"/>
  <c r="J60" i="13"/>
  <c r="I24" i="13"/>
  <c r="K24" i="13" s="1"/>
  <c r="J24" i="13"/>
  <c r="I10" i="13"/>
  <c r="J10" i="13"/>
  <c r="K10" i="13" s="1"/>
  <c r="I31" i="13"/>
  <c r="K31" i="13" s="1"/>
  <c r="J31" i="13"/>
  <c r="I3" i="13"/>
  <c r="J3" i="13"/>
  <c r="C3" i="13"/>
  <c r="C582" i="13" s="1"/>
  <c r="C530" i="13"/>
  <c r="J3" i="2"/>
  <c r="E3" i="2"/>
  <c r="F41" i="13"/>
  <c r="C16" i="13"/>
  <c r="I16" i="13"/>
  <c r="J16" i="13"/>
  <c r="K16" i="13" s="1"/>
  <c r="I17" i="13"/>
  <c r="J17" i="13"/>
  <c r="I55" i="13"/>
  <c r="I25" i="13"/>
  <c r="J25" i="13"/>
  <c r="I79" i="13"/>
  <c r="J79" i="13"/>
  <c r="C125" i="13"/>
  <c r="C571" i="13"/>
  <c r="C36" i="13"/>
  <c r="I56" i="13"/>
  <c r="I63" i="13"/>
  <c r="C402" i="13"/>
  <c r="C579" i="13"/>
  <c r="I42" i="13"/>
  <c r="K42" i="13"/>
  <c r="C266" i="13"/>
  <c r="C380" i="13"/>
  <c r="I43" i="13"/>
  <c r="K43" i="13"/>
  <c r="I67" i="13"/>
  <c r="I50" i="13"/>
  <c r="F546" i="13"/>
  <c r="C545" i="13"/>
  <c r="C348" i="13"/>
  <c r="I72" i="13"/>
  <c r="F205" i="13"/>
  <c r="C185" i="13"/>
  <c r="I52" i="12"/>
  <c r="J52" i="12" s="1"/>
  <c r="H52" i="12"/>
  <c r="G52" i="12"/>
  <c r="D52" i="12"/>
  <c r="C52" i="12"/>
  <c r="E52" i="12" s="1"/>
  <c r="B52" i="12"/>
  <c r="J3" i="12"/>
  <c r="E3" i="12"/>
  <c r="C178" i="13"/>
  <c r="C557" i="13"/>
  <c r="C505" i="13"/>
  <c r="C574" i="13"/>
  <c r="C491" i="13"/>
  <c r="J36" i="13"/>
  <c r="I36" i="13"/>
  <c r="F319" i="13"/>
  <c r="I54" i="4"/>
  <c r="J54" i="4" s="1"/>
  <c r="H54" i="4"/>
  <c r="G54" i="4"/>
  <c r="D54" i="4"/>
  <c r="C54" i="4"/>
  <c r="E54" i="4" s="1"/>
  <c r="B54" i="4"/>
  <c r="F293" i="13"/>
  <c r="J3" i="4"/>
  <c r="E3" i="4"/>
  <c r="AG14" i="2"/>
  <c r="AG13" i="2"/>
  <c r="AH23" i="7"/>
  <c r="AH19" i="7"/>
  <c r="C219" i="13"/>
  <c r="C61" i="13"/>
  <c r="C355" i="13"/>
  <c r="C138" i="13"/>
  <c r="C493" i="13"/>
  <c r="W17" i="10"/>
  <c r="I61" i="13"/>
  <c r="AE9" i="12"/>
  <c r="C570" i="13"/>
  <c r="C398" i="13"/>
  <c r="W27" i="11"/>
  <c r="W23" i="7"/>
  <c r="W19" i="7"/>
  <c r="AE14" i="7"/>
  <c r="AE4" i="7"/>
  <c r="C251" i="13"/>
  <c r="C184" i="13"/>
  <c r="F299" i="13"/>
  <c r="C280" i="13"/>
  <c r="J3" i="7"/>
  <c r="E3" i="7"/>
  <c r="W28" i="11"/>
  <c r="W16" i="11"/>
  <c r="AE7" i="11"/>
  <c r="AE6" i="11"/>
  <c r="AE5" i="11"/>
  <c r="AE4" i="11"/>
  <c r="J20" i="13"/>
  <c r="C22" i="13"/>
  <c r="C88" i="13"/>
  <c r="AE10" i="9"/>
  <c r="C482" i="13"/>
  <c r="W22" i="8"/>
  <c r="C513" i="13"/>
  <c r="F206" i="13"/>
  <c r="C538" i="13"/>
  <c r="C370" i="13"/>
  <c r="D46" i="5"/>
  <c r="C231" i="13"/>
  <c r="C453" i="13"/>
  <c r="W27" i="3"/>
  <c r="W15" i="3"/>
  <c r="AE8" i="3"/>
  <c r="F208" i="13"/>
  <c r="I51" i="2"/>
  <c r="D51" i="2"/>
  <c r="W21" i="2"/>
  <c r="W14" i="2"/>
  <c r="W13" i="2"/>
  <c r="AE5" i="2"/>
  <c r="AE4" i="2"/>
  <c r="F68" i="13"/>
  <c r="C41" i="13"/>
  <c r="F143" i="13"/>
  <c r="C122" i="13"/>
  <c r="C70" i="13"/>
  <c r="C473" i="13"/>
  <c r="C467" i="13"/>
  <c r="AE11" i="1"/>
  <c r="AE7" i="1"/>
  <c r="C351" i="13"/>
  <c r="J37" i="13"/>
  <c r="I37" i="13"/>
  <c r="K37" i="13" s="1"/>
  <c r="C487" i="13"/>
  <c r="C212" i="13"/>
  <c r="C439" i="13"/>
  <c r="W19" i="1"/>
  <c r="I69" i="13"/>
  <c r="J27" i="13"/>
  <c r="I27" i="13"/>
  <c r="F272" i="13"/>
  <c r="C259" i="13"/>
  <c r="I65" i="13"/>
  <c r="J65" i="13"/>
  <c r="C225" i="13"/>
  <c r="C413" i="13"/>
  <c r="C153" i="13"/>
  <c r="C496" i="13"/>
  <c r="C385" i="13"/>
  <c r="C520" i="13"/>
  <c r="C465" i="13"/>
  <c r="C463" i="13"/>
  <c r="C80" i="13"/>
  <c r="C58" i="13"/>
  <c r="C200" i="13"/>
  <c r="C360" i="13"/>
  <c r="C564" i="13"/>
  <c r="C151" i="13"/>
  <c r="AH14" i="7"/>
  <c r="AH13" i="7"/>
  <c r="AH10" i="11"/>
  <c r="AH7" i="11"/>
  <c r="AH6" i="11"/>
  <c r="AH5" i="11"/>
  <c r="AH4" i="11"/>
  <c r="C63" i="13"/>
  <c r="C196" i="13"/>
  <c r="F308" i="13"/>
  <c r="C289" i="13"/>
  <c r="AH8" i="3"/>
  <c r="AH5" i="2"/>
  <c r="AH4" i="2"/>
  <c r="C93" i="13"/>
  <c r="C228" i="13"/>
  <c r="C211" i="13"/>
  <c r="C130" i="13"/>
  <c r="C129" i="13"/>
  <c r="C392" i="13"/>
  <c r="C391" i="13"/>
  <c r="C295" i="13"/>
  <c r="F314" i="13"/>
  <c r="F95" i="13"/>
  <c r="C69" i="13"/>
  <c r="C510" i="13"/>
  <c r="C100" i="13"/>
  <c r="C253" i="13"/>
  <c r="I54" i="13"/>
  <c r="C133" i="13"/>
  <c r="N33" i="11"/>
  <c r="C480" i="13"/>
  <c r="C577" i="13"/>
  <c r="I28" i="13"/>
  <c r="J9" i="13"/>
  <c r="K9" i="13" s="1"/>
  <c r="I9" i="13"/>
  <c r="J7" i="13"/>
  <c r="I7" i="13"/>
  <c r="J8" i="13"/>
  <c r="K8" i="13" s="1"/>
  <c r="I8" i="13"/>
  <c r="J35" i="13"/>
  <c r="I35" i="13"/>
  <c r="J5" i="13"/>
  <c r="I5" i="13"/>
  <c r="C532" i="13"/>
  <c r="C515" i="13"/>
  <c r="F316" i="13"/>
  <c r="C297" i="13"/>
  <c r="F188" i="13"/>
  <c r="C167" i="13"/>
  <c r="AK11" i="11"/>
  <c r="AK7" i="11"/>
  <c r="AK6" i="11"/>
  <c r="AK4" i="11"/>
  <c r="C359" i="13"/>
  <c r="C236" i="13"/>
  <c r="C531" i="13"/>
  <c r="C261" i="13"/>
  <c r="C107" i="13"/>
  <c r="C43" i="13"/>
  <c r="F98" i="13"/>
  <c r="C71" i="13"/>
  <c r="C361" i="13"/>
  <c r="C386" i="13"/>
  <c r="C85" i="13"/>
  <c r="C405" i="13"/>
  <c r="AK4" i="9"/>
  <c r="C388" i="13"/>
  <c r="C325" i="13"/>
  <c r="C221" i="13"/>
  <c r="C469" i="13"/>
  <c r="C393" i="13"/>
  <c r="C435" i="13"/>
  <c r="C528" i="13"/>
  <c r="C44" i="13"/>
  <c r="C478" i="13"/>
  <c r="AK14" i="7"/>
  <c r="AK4" i="7"/>
  <c r="AN4" i="7"/>
  <c r="F81" i="13"/>
  <c r="C20" i="13"/>
  <c r="C215" i="13"/>
  <c r="C245" i="13"/>
  <c r="C220" i="13"/>
  <c r="C446" i="13"/>
  <c r="C321" i="13"/>
  <c r="C459" i="13"/>
  <c r="C479" i="13"/>
  <c r="C99" i="13"/>
  <c r="C373" i="13"/>
  <c r="F42" i="13"/>
  <c r="C17" i="13"/>
  <c r="F130" i="13"/>
  <c r="C110" i="13"/>
  <c r="C199" i="13"/>
  <c r="C436" i="13"/>
  <c r="C451" i="13"/>
  <c r="C315" i="13"/>
  <c r="C249" i="13"/>
  <c r="F297" i="13"/>
  <c r="C277" i="13"/>
  <c r="C476" i="13"/>
  <c r="C65" i="13"/>
  <c r="C56" i="13"/>
  <c r="C243" i="13"/>
  <c r="F545" i="13"/>
  <c r="C246" i="13"/>
  <c r="C209" i="13"/>
  <c r="C318" i="13"/>
  <c r="C508" i="13"/>
  <c r="C421" i="13"/>
  <c r="C179" i="13"/>
  <c r="AK8" i="3"/>
  <c r="F302" i="13"/>
  <c r="C283" i="13"/>
  <c r="F6" i="13"/>
  <c r="F195" i="13"/>
  <c r="F84" i="13"/>
  <c r="AK8" i="2"/>
  <c r="AK5" i="2"/>
  <c r="AK4" i="2"/>
  <c r="C81" i="13"/>
  <c r="F31" i="13"/>
  <c r="C8" i="13"/>
  <c r="F142" i="13"/>
  <c r="C120" i="13"/>
  <c r="F268" i="13"/>
  <c r="C255" i="13"/>
  <c r="C37" i="13"/>
  <c r="C92" i="13"/>
  <c r="F357" i="13"/>
  <c r="C342" i="13"/>
  <c r="C431" i="13"/>
  <c r="C527" i="13"/>
  <c r="C365" i="13"/>
  <c r="C223" i="13"/>
  <c r="F104" i="13"/>
  <c r="F101" i="13"/>
  <c r="F271" i="13"/>
  <c r="F325" i="13"/>
  <c r="F190" i="13"/>
  <c r="F295" i="13"/>
  <c r="C258" i="13"/>
  <c r="C103" i="13"/>
  <c r="C247" i="13"/>
  <c r="C34" i="13"/>
  <c r="C468" i="13"/>
  <c r="C237" i="13"/>
  <c r="C62" i="13"/>
  <c r="C87" i="13"/>
  <c r="C19" i="13"/>
  <c r="C382" i="13"/>
  <c r="C306" i="13"/>
  <c r="C169" i="13"/>
  <c r="C275" i="13"/>
  <c r="F50" i="13"/>
  <c r="C356" i="13"/>
  <c r="C470" i="13"/>
  <c r="F305" i="13"/>
  <c r="C286" i="13"/>
  <c r="C156" i="13"/>
  <c r="C46" i="5"/>
  <c r="B46" i="5"/>
  <c r="E46" i="5" s="1"/>
  <c r="C368" i="13"/>
  <c r="F192" i="13"/>
  <c r="F125" i="13"/>
  <c r="C105" i="13"/>
  <c r="F83" i="13"/>
  <c r="F300" i="13"/>
  <c r="C163" i="13"/>
  <c r="C271" i="13"/>
  <c r="C161" i="13"/>
  <c r="C561" i="13"/>
  <c r="C263" i="13"/>
  <c r="C262" i="13"/>
  <c r="C142" i="13"/>
  <c r="C268" i="13"/>
  <c r="C484" i="13"/>
  <c r="C114" i="13"/>
  <c r="C144" i="13"/>
  <c r="C432" i="13"/>
  <c r="C112" i="13"/>
  <c r="C24" i="13"/>
  <c r="F78" i="13"/>
  <c r="C51" i="13"/>
  <c r="C516" i="13"/>
  <c r="C76" i="13"/>
  <c r="C235" i="13"/>
  <c r="C128" i="13"/>
  <c r="C121" i="13"/>
  <c r="C414" i="13"/>
  <c r="C267" i="13"/>
  <c r="F196" i="13"/>
  <c r="C176" i="13"/>
  <c r="H51" i="2"/>
  <c r="G51" i="2"/>
  <c r="C51" i="2"/>
  <c r="B51" i="2"/>
  <c r="C270" i="13"/>
  <c r="C415" i="13"/>
  <c r="F136" i="13"/>
  <c r="C14" i="13"/>
  <c r="C418" i="13"/>
  <c r="F131" i="13"/>
  <c r="F281" i="13"/>
  <c r="C269" i="13"/>
  <c r="C202" i="13"/>
  <c r="C309" i="13"/>
  <c r="C72" i="13"/>
  <c r="C304" i="13"/>
  <c r="C127" i="13"/>
  <c r="C477" i="13"/>
  <c r="C227" i="13"/>
  <c r="C559" i="13"/>
  <c r="C285" i="13"/>
  <c r="C387" i="13"/>
  <c r="C462" i="13"/>
  <c r="C94" i="13"/>
  <c r="F304" i="13"/>
  <c r="F36" i="13"/>
  <c r="F99" i="13"/>
  <c r="F323" i="13"/>
  <c r="F560" i="13"/>
  <c r="F283" i="13"/>
  <c r="F180" i="13"/>
  <c r="K35" i="13"/>
  <c r="K38" i="13"/>
  <c r="E55" i="8"/>
  <c r="K3" i="13"/>
  <c r="K32" i="13"/>
  <c r="K79" i="13"/>
  <c r="K20" i="13"/>
  <c r="K30" i="13"/>
  <c r="K18" i="13"/>
  <c r="K36" i="13"/>
  <c r="K27" i="13"/>
  <c r="K19" i="13"/>
  <c r="K26" i="13"/>
  <c r="K5" i="13"/>
  <c r="K17" i="13"/>
  <c r="K7" i="13"/>
  <c r="K25" i="13"/>
  <c r="E50" i="9"/>
  <c r="J52" i="1"/>
  <c r="J57" i="7"/>
  <c r="E51" i="2"/>
</calcChain>
</file>

<file path=xl/sharedStrings.xml><?xml version="1.0" encoding="utf-8"?>
<sst xmlns="http://schemas.openxmlformats.org/spreadsheetml/2006/main" count="11295" uniqueCount="1859">
  <si>
    <t>TRIES</t>
  </si>
  <si>
    <t>Tot</t>
  </si>
  <si>
    <t>POINTS</t>
  </si>
  <si>
    <t>TOTALS</t>
  </si>
  <si>
    <t>Evans</t>
  </si>
  <si>
    <t>Hartley</t>
  </si>
  <si>
    <t>Wood</t>
  </si>
  <si>
    <t>Penalty Tries</t>
  </si>
  <si>
    <t>Thompstone</t>
  </si>
  <si>
    <t>Williams</t>
  </si>
  <si>
    <t>George</t>
  </si>
  <si>
    <t>Farrell</t>
  </si>
  <si>
    <t>Trinder</t>
  </si>
  <si>
    <t>Low</t>
  </si>
  <si>
    <t>Yarde</t>
  </si>
  <si>
    <t>Steenson</t>
  </si>
  <si>
    <t>Spencer</t>
  </si>
  <si>
    <t>Joseph</t>
  </si>
  <si>
    <t>Marler</t>
  </si>
  <si>
    <t>Brown</t>
  </si>
  <si>
    <t>Buchanan</t>
  </si>
  <si>
    <t>Care</t>
  </si>
  <si>
    <t>Bassett</t>
  </si>
  <si>
    <t>Johnson</t>
  </si>
  <si>
    <t>Goode</t>
  </si>
  <si>
    <t>Launchbury</t>
  </si>
  <si>
    <t>Kitchener</t>
  </si>
  <si>
    <t>Slater</t>
  </si>
  <si>
    <t>James</t>
  </si>
  <si>
    <t>Most Points</t>
  </si>
  <si>
    <t>Burrell</t>
  </si>
  <si>
    <t>Rokoduguni</t>
  </si>
  <si>
    <t>Attwood</t>
  </si>
  <si>
    <t>Mullan</t>
  </si>
  <si>
    <t>Cooper-Woolley</t>
  </si>
  <si>
    <t>Thompson</t>
  </si>
  <si>
    <t>Youngs B</t>
  </si>
  <si>
    <t>Cook</t>
  </si>
  <si>
    <t>May</t>
  </si>
  <si>
    <t>Sharples</t>
  </si>
  <si>
    <t>Twelvetrees</t>
  </si>
  <si>
    <t>Stooke</t>
  </si>
  <si>
    <t>Att</t>
  </si>
  <si>
    <t>%</t>
  </si>
  <si>
    <t>Goals</t>
  </si>
  <si>
    <t>Ordered</t>
  </si>
  <si>
    <t>ordered</t>
  </si>
  <si>
    <t>TOTAL</t>
  </si>
  <si>
    <t>Ostrikov</t>
  </si>
  <si>
    <t>This Season</t>
  </si>
  <si>
    <t>-</t>
  </si>
  <si>
    <t>Vunipola B</t>
  </si>
  <si>
    <t>Vunipola M</t>
  </si>
  <si>
    <t>Mulipola</t>
  </si>
  <si>
    <t>Whitten</t>
  </si>
  <si>
    <t>Slade</t>
  </si>
  <si>
    <t>Mulchrone</t>
  </si>
  <si>
    <t>Hodgson</t>
  </si>
  <si>
    <t>Simpson</t>
  </si>
  <si>
    <t>McIntyre</t>
  </si>
  <si>
    <t>Myall</t>
  </si>
  <si>
    <t>Youngs T</t>
  </si>
  <si>
    <t>Sequences</t>
  </si>
  <si>
    <t>Prem</t>
  </si>
  <si>
    <t>na</t>
  </si>
  <si>
    <t>Ewers</t>
  </si>
  <si>
    <t>Miller</t>
  </si>
  <si>
    <t>n/a</t>
  </si>
  <si>
    <t>Dollman</t>
  </si>
  <si>
    <t>Welch</t>
  </si>
  <si>
    <t>Thomas</t>
  </si>
  <si>
    <t>Wallace</t>
  </si>
  <si>
    <t>Clifford</t>
  </si>
  <si>
    <t>Kalamafoni</t>
  </si>
  <si>
    <t>Hughes</t>
  </si>
  <si>
    <t>Barrington</t>
  </si>
  <si>
    <t>Tompkins</t>
  </si>
  <si>
    <t>Harrison</t>
  </si>
  <si>
    <t>Walker</t>
  </si>
  <si>
    <t>Gaskell</t>
  </si>
  <si>
    <t>Roberts</t>
  </si>
  <si>
    <t>Garvey</t>
  </si>
  <si>
    <t>Bateman</t>
  </si>
  <si>
    <t>Earle</t>
  </si>
  <si>
    <t>Wray</t>
  </si>
  <si>
    <t>Bosch</t>
  </si>
  <si>
    <t xml:space="preserve">Bosch </t>
  </si>
  <si>
    <t xml:space="preserve"> </t>
  </si>
  <si>
    <t>Holmes</t>
  </si>
  <si>
    <t>Mills</t>
  </si>
  <si>
    <t xml:space="preserve">Twelvetrees </t>
  </si>
  <si>
    <t>Kruis</t>
  </si>
  <si>
    <t>Collins</t>
  </si>
  <si>
    <t>Smith</t>
  </si>
  <si>
    <t>Day</t>
  </si>
  <si>
    <t>Kibirige</t>
  </si>
  <si>
    <t>Armand</t>
  </si>
  <si>
    <t>Burger</t>
  </si>
  <si>
    <t>Wigglesworth</t>
  </si>
  <si>
    <t>Haskell</t>
  </si>
  <si>
    <t>Daly</t>
  </si>
  <si>
    <t>Woodburn</t>
  </si>
  <si>
    <t>Watson</t>
  </si>
  <si>
    <t>Louw</t>
  </si>
  <si>
    <t>Lewis</t>
  </si>
  <si>
    <t>Young</t>
  </si>
  <si>
    <t>Morris</t>
  </si>
  <si>
    <t>Morgan</t>
  </si>
  <si>
    <t>Haywood</t>
  </si>
  <si>
    <t>Denman</t>
  </si>
  <si>
    <t>Tait</t>
  </si>
  <si>
    <t>Kvesic</t>
  </si>
  <si>
    <t>Ward</t>
  </si>
  <si>
    <t>Leota</t>
  </si>
  <si>
    <t>Clark</t>
  </si>
  <si>
    <t>Most Tries</t>
  </si>
  <si>
    <t>McGuigan</t>
  </si>
  <si>
    <t>Yeandle</t>
  </si>
  <si>
    <t>Batty</t>
  </si>
  <si>
    <t>Hill</t>
  </si>
  <si>
    <t>Ellis</t>
  </si>
  <si>
    <t>Sinoti</t>
  </si>
  <si>
    <t>Barritt</t>
  </si>
  <si>
    <t>CM</t>
  </si>
  <si>
    <t>Last Season</t>
  </si>
  <si>
    <t>Kirwan</t>
  </si>
  <si>
    <t>Robinson</t>
  </si>
  <si>
    <t>CL</t>
  </si>
  <si>
    <t>Catt</t>
  </si>
  <si>
    <t>Dunn</t>
  </si>
  <si>
    <t>Cowan-Dickie</t>
  </si>
  <si>
    <t>Francis</t>
  </si>
  <si>
    <t>Taione</t>
  </si>
  <si>
    <t>Lees</t>
  </si>
  <si>
    <t>Nowell</t>
  </si>
  <si>
    <t>Chudley</t>
  </si>
  <si>
    <t>Townsend</t>
  </si>
  <si>
    <t>Purdy</t>
  </si>
  <si>
    <t>Atkinson</t>
  </si>
  <si>
    <t>Braley</t>
  </si>
  <si>
    <t>Burns</t>
  </si>
  <si>
    <t>Afoa</t>
  </si>
  <si>
    <t>Galarza</t>
  </si>
  <si>
    <t>Savage</t>
  </si>
  <si>
    <t>Chisholm R</t>
  </si>
  <si>
    <t>Lambert</t>
  </si>
  <si>
    <t>Sinckler</t>
  </si>
  <si>
    <t>Collier</t>
  </si>
  <si>
    <t>Matthews</t>
  </si>
  <si>
    <t>Merrick</t>
  </si>
  <si>
    <t>Twomey</t>
  </si>
  <si>
    <t>Robshaw</t>
  </si>
  <si>
    <t>Pearce</t>
  </si>
  <si>
    <t>Cole</t>
  </si>
  <si>
    <t>Balmain</t>
  </si>
  <si>
    <t>Harris</t>
  </si>
  <si>
    <t>Lozowski</t>
  </si>
  <si>
    <t>Swainston</t>
  </si>
  <si>
    <t>Hepburn</t>
  </si>
  <si>
    <t>Rowlands</t>
  </si>
  <si>
    <t>Green</t>
  </si>
  <si>
    <t>Brookes</t>
  </si>
  <si>
    <t>Wilson M</t>
  </si>
  <si>
    <t>Barrow</t>
  </si>
  <si>
    <t>Lawes</t>
  </si>
  <si>
    <t>Craig</t>
  </si>
  <si>
    <t>Jennings</t>
  </si>
  <si>
    <t>Flynn</t>
  </si>
  <si>
    <t>Beaumont</t>
  </si>
  <si>
    <t>Figallo</t>
  </si>
  <si>
    <t>Sal</t>
  </si>
  <si>
    <t>© Hillsport Media Ltd</t>
  </si>
  <si>
    <t>Spurling</t>
  </si>
  <si>
    <t>Top Strike Rates*</t>
  </si>
  <si>
    <t>Witty</t>
  </si>
  <si>
    <t>Penny</t>
  </si>
  <si>
    <t>Swiel</t>
  </si>
  <si>
    <t>Itoje</t>
  </si>
  <si>
    <t>Hammersley</t>
  </si>
  <si>
    <t>Lahiff</t>
  </si>
  <si>
    <t>Tuala</t>
  </si>
  <si>
    <t>SANLAM CHALLENGE</t>
  </si>
  <si>
    <t>Homer T</t>
  </si>
  <si>
    <t>Bodilly</t>
  </si>
  <si>
    <t>Ewels</t>
  </si>
  <si>
    <t>Priestland</t>
  </si>
  <si>
    <t>2013/14</t>
  </si>
  <si>
    <t>Last Match             (all comps)</t>
  </si>
  <si>
    <t>Atkins</t>
  </si>
  <si>
    <t>Campagnaro</t>
  </si>
  <si>
    <t>Hendrickson</t>
  </si>
  <si>
    <t>Hill J</t>
  </si>
  <si>
    <t>Hill S</t>
  </si>
  <si>
    <t>Innard</t>
  </si>
  <si>
    <t>Malton</t>
  </si>
  <si>
    <t>Maunder</t>
  </si>
  <si>
    <t>Moon</t>
  </si>
  <si>
    <t>Short</t>
  </si>
  <si>
    <t>Woolmore</t>
  </si>
  <si>
    <t>Heinz</t>
  </si>
  <si>
    <t>Marshall</t>
  </si>
  <si>
    <t>McAllister</t>
  </si>
  <si>
    <t>Last Match             (All Comps)</t>
  </si>
  <si>
    <t>Horwill</t>
  </si>
  <si>
    <t>Luamanu</t>
  </si>
  <si>
    <t>Visser</t>
  </si>
  <si>
    <t>Fitzgerald</t>
  </si>
  <si>
    <t>O'Connor</t>
  </si>
  <si>
    <t>Taylor D</t>
  </si>
  <si>
    <t>Taylor H</t>
  </si>
  <si>
    <t>Symons</t>
  </si>
  <si>
    <t>Gopperth</t>
  </si>
  <si>
    <t>van Velze</t>
  </si>
  <si>
    <t xml:space="preserve">2013/14 </t>
  </si>
  <si>
    <t xml:space="preserve">2012/13 </t>
  </si>
  <si>
    <t>Rhodes</t>
  </si>
  <si>
    <t>Chick</t>
  </si>
  <si>
    <t>Welsh</t>
  </si>
  <si>
    <t>Fish</t>
  </si>
  <si>
    <t>Gibson</t>
  </si>
  <si>
    <t>Hutchinson</t>
  </si>
  <si>
    <t>Ludlam</t>
  </si>
  <si>
    <t>Neild</t>
  </si>
  <si>
    <t>Nott</t>
  </si>
  <si>
    <t>Rieder</t>
  </si>
  <si>
    <t>Robson</t>
  </si>
  <si>
    <t>2013/14                                  (Challenge Cup)</t>
  </si>
  <si>
    <t>Annett</t>
  </si>
  <si>
    <t>Arr</t>
  </si>
  <si>
    <t>Baldwin</t>
  </si>
  <si>
    <t>Barry</t>
  </si>
  <si>
    <t>Bower</t>
  </si>
  <si>
    <t>Cavubati</t>
  </si>
  <si>
    <t>Hammond</t>
  </si>
  <si>
    <t>Heem</t>
  </si>
  <si>
    <t>Mama</t>
  </si>
  <si>
    <t>Olivier</t>
  </si>
  <si>
    <t>Pennell</t>
  </si>
  <si>
    <t>Schonert</t>
  </si>
  <si>
    <t>Sowrey</t>
  </si>
  <si>
    <t>Veainu</t>
  </si>
  <si>
    <t xml:space="preserve">This Season </t>
  </si>
  <si>
    <t>2012/13</t>
  </si>
  <si>
    <t>Gls</t>
  </si>
  <si>
    <t xml:space="preserve">Last Season </t>
  </si>
  <si>
    <t>Mallinder</t>
  </si>
  <si>
    <t>Thacker H</t>
  </si>
  <si>
    <t>Hougaard</t>
  </si>
  <si>
    <t>Potgieter</t>
  </si>
  <si>
    <t>Ludlow</t>
  </si>
  <si>
    <t>Marchant</t>
  </si>
  <si>
    <t>Thorley</t>
  </si>
  <si>
    <t>Evans G</t>
  </si>
  <si>
    <t>Evans L</t>
  </si>
  <si>
    <t>2014/15</t>
  </si>
  <si>
    <t>Denton</t>
  </si>
  <si>
    <t>Fotuali'i</t>
  </si>
  <si>
    <t>2013/14                        (Chall Cup)</t>
  </si>
  <si>
    <t>OJ Barkley</t>
  </si>
  <si>
    <t>C,FH</t>
  </si>
  <si>
    <t>FH</t>
  </si>
  <si>
    <t>CP Malone</t>
  </si>
  <si>
    <t>SH</t>
  </si>
  <si>
    <t>FB</t>
  </si>
  <si>
    <t>W</t>
  </si>
  <si>
    <t>IR Balshaw</t>
  </si>
  <si>
    <t>TA Heathcote</t>
  </si>
  <si>
    <t>MJ Tindall</t>
  </si>
  <si>
    <t>C</t>
  </si>
  <si>
    <t>SB Vesty</t>
  </si>
  <si>
    <t>FB,FH</t>
  </si>
  <si>
    <t>FB,W</t>
  </si>
  <si>
    <t>W,C</t>
  </si>
  <si>
    <t>TMD Voyce</t>
  </si>
  <si>
    <t>N8</t>
  </si>
  <si>
    <t>FB,C</t>
  </si>
  <si>
    <t>BR</t>
  </si>
  <si>
    <t>F</t>
  </si>
  <si>
    <t>H</t>
  </si>
  <si>
    <t>L,BR</t>
  </si>
  <si>
    <t>RG Thirlby</t>
  </si>
  <si>
    <t>BW Daniel</t>
  </si>
  <si>
    <t>ME Stephenson</t>
  </si>
  <si>
    <t>P</t>
  </si>
  <si>
    <t>L</t>
  </si>
  <si>
    <t>2000-2003</t>
  </si>
  <si>
    <t>2005-2008</t>
  </si>
  <si>
    <t>SJ Drahm</t>
  </si>
  <si>
    <t>2001-2003</t>
  </si>
  <si>
    <t>1999-2000</t>
  </si>
  <si>
    <t>D Lemi</t>
  </si>
  <si>
    <t>2005-2009</t>
  </si>
  <si>
    <t>PA Burke</t>
  </si>
  <si>
    <t>1997-1998</t>
  </si>
  <si>
    <t>2007-2009</t>
  </si>
  <si>
    <t>2006-2008</t>
  </si>
  <si>
    <t>UB</t>
  </si>
  <si>
    <t>1999-2002</t>
  </si>
  <si>
    <t>1999-2003</t>
  </si>
  <si>
    <t>1999-2001</t>
  </si>
  <si>
    <t>T Arscott</t>
  </si>
  <si>
    <t>2000-2000</t>
  </si>
  <si>
    <t>DF Gray</t>
  </si>
  <si>
    <t>2005-2007</t>
  </si>
  <si>
    <t>2002-2003</t>
  </si>
  <si>
    <t>1997-2000</t>
  </si>
  <si>
    <t>AT Jarvis</t>
  </si>
  <si>
    <t>2008-2009</t>
  </si>
  <si>
    <t>OJ Lewsey</t>
  </si>
  <si>
    <t>2001-2002</t>
  </si>
  <si>
    <t>W,SH</t>
  </si>
  <si>
    <t>2006-2009</t>
  </si>
  <si>
    <t>1999-2009</t>
  </si>
  <si>
    <t>DPE Gibson</t>
  </si>
  <si>
    <t>TW Hayes</t>
  </si>
  <si>
    <t>L,N8</t>
  </si>
  <si>
    <t>1997-2002</t>
  </si>
  <si>
    <t>AC Elliott</t>
  </si>
  <si>
    <t>2000-2009</t>
  </si>
  <si>
    <t>1997-2006</t>
  </si>
  <si>
    <t>MacGinty</t>
  </si>
  <si>
    <t>Odogwu</t>
  </si>
  <si>
    <t>Phillips</t>
  </si>
  <si>
    <t>Webber</t>
  </si>
  <si>
    <t>CC Hodgson</t>
  </si>
  <si>
    <t>2000-2011</t>
  </si>
  <si>
    <t>DJ Cipriani</t>
  </si>
  <si>
    <t>2012-2016</t>
  </si>
  <si>
    <t>SP Howarth</t>
  </si>
  <si>
    <t>1997-1999</t>
  </si>
  <si>
    <t>NA Macleod</t>
  </si>
  <si>
    <t>2008-2015</t>
  </si>
  <si>
    <t>MJ Cueto</t>
  </si>
  <si>
    <t>2001-2015</t>
  </si>
  <si>
    <t>SM Hanley</t>
  </si>
  <si>
    <t>1998-2007</t>
  </si>
  <si>
    <t>NT Little</t>
  </si>
  <si>
    <t>JT Robinson</t>
  </si>
  <si>
    <t>2000-2007</t>
  </si>
  <si>
    <t>LR Thomas</t>
  </si>
  <si>
    <t>2006-2010</t>
  </si>
  <si>
    <t>JJN Baxendell</t>
  </si>
  <si>
    <t>1997-2005</t>
  </si>
  <si>
    <t>AJJ van Straaten</t>
  </si>
  <si>
    <t>2003-2003</t>
  </si>
  <si>
    <t>SW Davidson</t>
  </si>
  <si>
    <t>1998-2001</t>
  </si>
  <si>
    <t>CL McAlister</t>
  </si>
  <si>
    <t>D Larrechea</t>
  </si>
  <si>
    <t>MT Moore</t>
  </si>
  <si>
    <t>1997-2001</t>
  </si>
  <si>
    <t>2013-2016</t>
  </si>
  <si>
    <t>RW Miller</t>
  </si>
  <si>
    <t>2010-2014</t>
  </si>
  <si>
    <t>TD Beim</t>
  </si>
  <si>
    <t>CM Jones</t>
  </si>
  <si>
    <t>2002-2011</t>
  </si>
  <si>
    <t>V Courrent</t>
  </si>
  <si>
    <t>2005-2006</t>
  </si>
  <si>
    <t>TJ Brady</t>
  </si>
  <si>
    <t>2010-2016</t>
  </si>
  <si>
    <t>MMM Hercus</t>
  </si>
  <si>
    <t>2004-2005</t>
  </si>
  <si>
    <t>CD Bell</t>
  </si>
  <si>
    <t>2006-2011</t>
  </si>
  <si>
    <t>JW Leota</t>
  </si>
  <si>
    <t>2011-2016</t>
  </si>
  <si>
    <t>VS Going</t>
  </si>
  <si>
    <t>2000-2004</t>
  </si>
  <si>
    <t>DJ Braid</t>
  </si>
  <si>
    <t>O Ripol Fortuny</t>
  </si>
  <si>
    <t>2005-2010</t>
  </si>
  <si>
    <t>DF Schofield</t>
  </si>
  <si>
    <t>2001-2010</t>
  </si>
  <si>
    <t>DJ Seymour</t>
  </si>
  <si>
    <t>2009-2016</t>
  </si>
  <si>
    <t>JS Ford</t>
  </si>
  <si>
    <t>NPJ Walshe</t>
  </si>
  <si>
    <t>FH,SH</t>
  </si>
  <si>
    <t>2002-2004</t>
  </si>
  <si>
    <t>REP Wigglesworth</t>
  </si>
  <si>
    <t>2002-2010</t>
  </si>
  <si>
    <t>WJS Addison</t>
  </si>
  <si>
    <t>CJ Mayor</t>
  </si>
  <si>
    <t>2003-2008</t>
  </si>
  <si>
    <t>GSG Bond</t>
  </si>
  <si>
    <t>AP Anglesea</t>
  </si>
  <si>
    <t>1998-2005</t>
  </si>
  <si>
    <t>BJ Foden</t>
  </si>
  <si>
    <t>MB Lund</t>
  </si>
  <si>
    <t>2002-2016</t>
  </si>
  <si>
    <t>S Tuitupou</t>
  </si>
  <si>
    <t>SJ Mannix</t>
  </si>
  <si>
    <t>S Chabal</t>
  </si>
  <si>
    <t>2004-2009</t>
  </si>
  <si>
    <t>KS Ellis</t>
  </si>
  <si>
    <t>JM Fernandez Lobbe</t>
  </si>
  <si>
    <t>JP Gaskell</t>
  </si>
  <si>
    <t>2008-2014</t>
  </si>
  <si>
    <t>BJ Mather</t>
  </si>
  <si>
    <t>1998-2000</t>
  </si>
  <si>
    <t>DJ Peel</t>
  </si>
  <si>
    <t>CJ Yates</t>
  </si>
  <si>
    <t>BC Cohen</t>
  </si>
  <si>
    <t>2009-2011</t>
  </si>
  <si>
    <t>RM Smith</t>
  </si>
  <si>
    <t>SALE - TOP ALL TIME PREM SCORERS</t>
  </si>
  <si>
    <t>SALE - TOP ALL TIME PREM TRY SCORERS</t>
  </si>
  <si>
    <t>MJDB Deane</t>
  </si>
  <si>
    <t>2000-2002</t>
  </si>
  <si>
    <t>BW Redpath</t>
  </si>
  <si>
    <t>2000-2005</t>
  </si>
  <si>
    <t>PH Sanderson</t>
  </si>
  <si>
    <t>AJ Titterrell</t>
  </si>
  <si>
    <t>2001-2012</t>
  </si>
  <si>
    <t>Dennis</t>
  </si>
  <si>
    <t>Devoto</t>
  </si>
  <si>
    <t>Hohneck</t>
  </si>
  <si>
    <t>Genge</t>
  </si>
  <si>
    <t>Toomua</t>
  </si>
  <si>
    <t>Davidson</t>
  </si>
  <si>
    <t>Goneva</t>
  </si>
  <si>
    <t>Lockwood</t>
  </si>
  <si>
    <t>Koch</t>
  </si>
  <si>
    <t>Maitland</t>
  </si>
  <si>
    <t>Cipriani</t>
  </si>
  <si>
    <t>Cruse</t>
  </si>
  <si>
    <t>Garratt</t>
  </si>
  <si>
    <t>Hampson</t>
  </si>
  <si>
    <t>Taylor</t>
  </si>
  <si>
    <t>Woolstencroft</t>
  </si>
  <si>
    <t xml:space="preserve">Humphreys </t>
  </si>
  <si>
    <t>Humphreys</t>
  </si>
  <si>
    <t>Te'o</t>
  </si>
  <si>
    <t>Willison</t>
  </si>
  <si>
    <t>AJ Goode</t>
  </si>
  <si>
    <t>2008-2016</t>
  </si>
  <si>
    <t>1997-2008</t>
  </si>
  <si>
    <t>2006-2016</t>
  </si>
  <si>
    <t>2000-2010</t>
  </si>
  <si>
    <t>2004-2010</t>
  </si>
  <si>
    <t>2005-2014</t>
  </si>
  <si>
    <t>1997-2007</t>
  </si>
  <si>
    <t>R Lamb</t>
  </si>
  <si>
    <t>1997-2004</t>
  </si>
  <si>
    <t>2001-2007</t>
  </si>
  <si>
    <t>MS Mapletoft</t>
  </si>
  <si>
    <t>2002-2014</t>
  </si>
  <si>
    <t>2004-2012</t>
  </si>
  <si>
    <t>2009-2013</t>
  </si>
  <si>
    <t>2005-2016</t>
  </si>
  <si>
    <t>1999-2010</t>
  </si>
  <si>
    <t>1997-2010</t>
  </si>
  <si>
    <t>2004-2015</t>
  </si>
  <si>
    <t>PH Sackey</t>
  </si>
  <si>
    <t>2000-2013</t>
  </si>
  <si>
    <t>1997-2011</t>
  </si>
  <si>
    <t>1998-2013</t>
  </si>
  <si>
    <t>1997-2009</t>
  </si>
  <si>
    <t>2002-2015</t>
  </si>
  <si>
    <t>W,N8</t>
  </si>
  <si>
    <t>2007-2016</t>
  </si>
  <si>
    <t>1997-2003</t>
  </si>
  <si>
    <t>2010-2015</t>
  </si>
  <si>
    <t>1998-2004</t>
  </si>
  <si>
    <t>2003-2012</t>
  </si>
  <si>
    <t>2004-2016</t>
  </si>
  <si>
    <t>1997-2013</t>
  </si>
  <si>
    <t>1998-2011</t>
  </si>
  <si>
    <t>2003-2016</t>
  </si>
  <si>
    <t>ACT Gomarsall</t>
  </si>
  <si>
    <t>1998-2009</t>
  </si>
  <si>
    <t>MI Cairns</t>
  </si>
  <si>
    <t>2001-2013</t>
  </si>
  <si>
    <t>2006-2014</t>
  </si>
  <si>
    <t>1998-2008</t>
  </si>
  <si>
    <t>2007-2013</t>
  </si>
  <si>
    <t>2009-2015</t>
  </si>
  <si>
    <t>1999-2005</t>
  </si>
  <si>
    <t>2001-2006</t>
  </si>
  <si>
    <t>2002-2006</t>
  </si>
  <si>
    <t>2004-2007</t>
  </si>
  <si>
    <t>2010-2013</t>
  </si>
  <si>
    <t>2008-2010</t>
  </si>
  <si>
    <t>1998-2002</t>
  </si>
  <si>
    <t>2001-2005</t>
  </si>
  <si>
    <t>2003-2007</t>
  </si>
  <si>
    <t>2005-2012</t>
  </si>
  <si>
    <t>2013-2015</t>
  </si>
  <si>
    <t>2001-2009</t>
  </si>
  <si>
    <t>L,F</t>
  </si>
  <si>
    <t>2007-2012</t>
  </si>
  <si>
    <t>2008-2012</t>
  </si>
  <si>
    <t>BR Youngs</t>
  </si>
  <si>
    <t>GT Ford</t>
  </si>
  <si>
    <t>OJ Smith</t>
  </si>
  <si>
    <t>EF Daly</t>
  </si>
  <si>
    <t>JH Elliott</t>
  </si>
  <si>
    <t>MJM Tait</t>
  </si>
  <si>
    <t>JAW Haskell</t>
  </si>
  <si>
    <t>GP Kitchener</t>
  </si>
  <si>
    <t>JD Simpson-Daniel</t>
  </si>
  <si>
    <t>C Sharples</t>
  </si>
  <si>
    <t>JP Wilkinson</t>
  </si>
  <si>
    <t>MJ Garvey</t>
  </si>
  <si>
    <t>RMT Clegg</t>
  </si>
  <si>
    <t>DS Care</t>
  </si>
  <si>
    <t>MB Kvesic</t>
  </si>
  <si>
    <t>AD King</t>
  </si>
  <si>
    <t>PDA Dowson</t>
  </si>
  <si>
    <t>CDC Robshaw</t>
  </si>
  <si>
    <t>DM Hartley</t>
  </si>
  <si>
    <t>JPR Worsley</t>
  </si>
  <si>
    <t>JE George</t>
  </si>
  <si>
    <t>SJ Myler</t>
  </si>
  <si>
    <t>GMW Parling</t>
  </si>
  <si>
    <t>MN Brown</t>
  </si>
  <si>
    <t>JS Crane</t>
  </si>
  <si>
    <t>HD Vyvyan</t>
  </si>
  <si>
    <t>T Rees</t>
  </si>
  <si>
    <t>CJ Pennell</t>
  </si>
  <si>
    <t>TR Croft</t>
  </si>
  <si>
    <t>AJ Diprose</t>
  </si>
  <si>
    <t>MJS Dawson</t>
  </si>
  <si>
    <t>AJ Windo</t>
  </si>
  <si>
    <t>NJ Easter</t>
  </si>
  <si>
    <t>SD Shaw</t>
  </si>
  <si>
    <t>NA de Kock</t>
  </si>
  <si>
    <t>GS Chuter</t>
  </si>
  <si>
    <t>AA Lutui</t>
  </si>
  <si>
    <t>T Fuga</t>
  </si>
  <si>
    <t>G Ross</t>
  </si>
  <si>
    <t>DE West</t>
  </si>
  <si>
    <t>CR Andrew</t>
  </si>
  <si>
    <t>OPC Azam</t>
  </si>
  <si>
    <t>TA May</t>
  </si>
  <si>
    <t>PW Volley</t>
  </si>
  <si>
    <t>LBN Dallaglio</t>
  </si>
  <si>
    <t>R Ibanez</t>
  </si>
  <si>
    <t>NJ Evans</t>
  </si>
  <si>
    <t>ME Corry</t>
  </si>
  <si>
    <t>MO Johnson</t>
  </si>
  <si>
    <t>GEA Murphy</t>
  </si>
  <si>
    <t>NA Back</t>
  </si>
  <si>
    <t>RA Hill</t>
  </si>
  <si>
    <t>CE Latham</t>
  </si>
  <si>
    <t>MC Burke</t>
  </si>
  <si>
    <t>JF Boer</t>
  </si>
  <si>
    <t>DA Rasmussen</t>
  </si>
  <si>
    <t>EJ Joubert</t>
  </si>
  <si>
    <t>SM Jones</t>
  </si>
  <si>
    <t>NJ Schuster</t>
  </si>
  <si>
    <t>2006-2012</t>
  </si>
  <si>
    <t>1998-1999</t>
  </si>
  <si>
    <t>2007-2010</t>
  </si>
  <si>
    <t>2003-2004</t>
  </si>
  <si>
    <t>2014-2016</t>
  </si>
  <si>
    <t>2011-2013</t>
  </si>
  <si>
    <t>1998-2003</t>
  </si>
  <si>
    <t>2002-2008</t>
  </si>
  <si>
    <t>1999-2006</t>
  </si>
  <si>
    <t>2013-2014</t>
  </si>
  <si>
    <t>2015-2016</t>
  </si>
  <si>
    <t>2009-2014</t>
  </si>
  <si>
    <t>2004-2006</t>
  </si>
  <si>
    <t>2004-2008</t>
  </si>
  <si>
    <t>2000-2008</t>
  </si>
  <si>
    <t>V Goneva</t>
  </si>
  <si>
    <t>PJ Paramore</t>
  </si>
  <si>
    <t>CJ Ashton</t>
  </si>
  <si>
    <t>AT Tuilagi</t>
  </si>
  <si>
    <t>TW Varndell</t>
  </si>
  <si>
    <t>CT Wyles</t>
  </si>
  <si>
    <t>RJ Flutey</t>
  </si>
  <si>
    <t>TJW Visser</t>
  </si>
  <si>
    <t>MB Wood</t>
  </si>
  <si>
    <t>HC Charlton</t>
  </si>
  <si>
    <t>SE Booth</t>
  </si>
  <si>
    <t>JA Short</t>
  </si>
  <si>
    <t>CJ Harris</t>
  </si>
  <si>
    <t>KP Yates</t>
  </si>
  <si>
    <t>CJ Day</t>
  </si>
  <si>
    <t>LAW Dickson</t>
  </si>
  <si>
    <t>2006-2013</t>
  </si>
  <si>
    <t>2003-2009</t>
  </si>
  <si>
    <t>2005-2013</t>
  </si>
  <si>
    <t>2002-2007</t>
  </si>
  <si>
    <t>2001-2004</t>
  </si>
  <si>
    <t>AJ Powell</t>
  </si>
  <si>
    <t>J Turner-Hall</t>
  </si>
  <si>
    <t>AO Allen</t>
  </si>
  <si>
    <t>EJ Thrower</t>
  </si>
  <si>
    <t>EM Tuilagi</t>
  </si>
  <si>
    <t>MSK Tucker</t>
  </si>
  <si>
    <t>OC Morgan</t>
  </si>
  <si>
    <t>NJ Cato</t>
  </si>
  <si>
    <t>G Graham</t>
  </si>
  <si>
    <t>G Armstrong</t>
  </si>
  <si>
    <t>2015/16</t>
  </si>
  <si>
    <t>F,N8</t>
  </si>
  <si>
    <t>NKP Woods</t>
  </si>
  <si>
    <t>DJH Walder</t>
  </si>
  <si>
    <t>TRG Stimpson</t>
  </si>
  <si>
    <t>R Constable</t>
  </si>
  <si>
    <t>C Wade</t>
  </si>
  <si>
    <t>LPI Vainikolo</t>
  </si>
  <si>
    <t>EA Moncrieff</t>
  </si>
  <si>
    <t>SF Lamont</t>
  </si>
  <si>
    <t>T Lacroix</t>
  </si>
  <si>
    <t>LA Smith</t>
  </si>
  <si>
    <t>WWF Twelvetrees</t>
  </si>
  <si>
    <t>GB Everitt</t>
  </si>
  <si>
    <t>L Mercier</t>
  </si>
  <si>
    <t>AS Healey</t>
  </si>
  <si>
    <t>BM Barritt</t>
  </si>
  <si>
    <t>LD Lloyd</t>
  </si>
  <si>
    <t>BJ Kay</t>
  </si>
  <si>
    <t>PSK Gustard</t>
  </si>
  <si>
    <t>DC Lougheed</t>
  </si>
  <si>
    <t>LW Moody</t>
  </si>
  <si>
    <t>SRD Abbott</t>
  </si>
  <si>
    <t>D Strettle</t>
  </si>
  <si>
    <t>NE Morris</t>
  </si>
  <si>
    <t>OA Farrell</t>
  </si>
  <si>
    <t>AD Goode</t>
  </si>
  <si>
    <t>DJM Waldouck</t>
  </si>
  <si>
    <t>TGAL Flood</t>
  </si>
  <si>
    <t>MC van Gisbergen</t>
  </si>
  <si>
    <t>A Grove</t>
  </si>
  <si>
    <t>PK Jorgensen</t>
  </si>
  <si>
    <t>JL Matavesi</t>
  </si>
  <si>
    <t>JT Drauniniu</t>
  </si>
  <si>
    <t>2003-2011</t>
  </si>
  <si>
    <t>2009-2012</t>
  </si>
  <si>
    <t>Cooper</t>
  </si>
  <si>
    <t>I Mieres</t>
  </si>
  <si>
    <t>TR Waldrom</t>
  </si>
  <si>
    <t>2010-2012</t>
  </si>
  <si>
    <t>MJ Foster</t>
  </si>
  <si>
    <t>KG Horstmann</t>
  </si>
  <si>
    <t>FS Burns</t>
  </si>
  <si>
    <t>HR Paul</t>
  </si>
  <si>
    <t>NJ Robinson</t>
  </si>
  <si>
    <t>WCA Walker</t>
  </si>
  <si>
    <t>GD Laidlaw</t>
  </si>
  <si>
    <t>JW Hook</t>
  </si>
  <si>
    <t>TL Fanolua</t>
  </si>
  <si>
    <t>JJ May</t>
  </si>
  <si>
    <t>RW Cook</t>
  </si>
  <si>
    <t>J Forrester</t>
  </si>
  <si>
    <t>TD Taylor</t>
  </si>
  <si>
    <t>CE Catling</t>
  </si>
  <si>
    <t>BI Hayward</t>
  </si>
  <si>
    <t>A Qera</t>
  </si>
  <si>
    <t>2007-2011</t>
  </si>
  <si>
    <t>HR Trinder</t>
  </si>
  <si>
    <t>RC Tombs</t>
  </si>
  <si>
    <t>DN McRae</t>
  </si>
  <si>
    <t>2003-2005</t>
  </si>
  <si>
    <t>AR Hazell</t>
  </si>
  <si>
    <t>PG Saint-Andre</t>
  </si>
  <si>
    <t>JWM Bailey</t>
  </si>
  <si>
    <t>RGM Lawson</t>
  </si>
  <si>
    <t>BGW Johnson</t>
  </si>
  <si>
    <t>SM Kalamafoni</t>
  </si>
  <si>
    <t>LJW Narraway</t>
  </si>
  <si>
    <t>PC Richards</t>
  </si>
  <si>
    <t>RB Todd</t>
  </si>
  <si>
    <t>TJ Woodman</t>
  </si>
  <si>
    <t>GLOUCESTER - TOP ALL TIME PREM SCORERS</t>
  </si>
  <si>
    <t>JL Goodridge</t>
  </si>
  <si>
    <t>SO Ojomoh</t>
  </si>
  <si>
    <t>HA Purdy</t>
  </si>
  <si>
    <t>GLOUCESTER - TOP ALL TIME PREM TRY SCORERS</t>
  </si>
  <si>
    <t>BFK Botica</t>
  </si>
  <si>
    <t>UCC Monye</t>
  </si>
  <si>
    <t>JW Staunton</t>
  </si>
  <si>
    <t>RJ Liley</t>
  </si>
  <si>
    <t>A Dunne</t>
  </si>
  <si>
    <t>TM Williams</t>
  </si>
  <si>
    <t>DS O'Leary</t>
  </si>
  <si>
    <t>DD Luger</t>
  </si>
  <si>
    <t>S Keogh</t>
  </si>
  <si>
    <t>WJH Greenwood</t>
  </si>
  <si>
    <t>GV Lowe</t>
  </si>
  <si>
    <t>BP Gollings</t>
  </si>
  <si>
    <t>AP Mehrtens</t>
  </si>
  <si>
    <t>2006-2007</t>
  </si>
  <si>
    <t>GL Rees</t>
  </si>
  <si>
    <t>CJN Walker</t>
  </si>
  <si>
    <t>CR Jones</t>
  </si>
  <si>
    <t>SD Smith</t>
  </si>
  <si>
    <t>TD Guest</t>
  </si>
  <si>
    <t>JC Keyter</t>
  </si>
  <si>
    <t>MXG Yarde</t>
  </si>
  <si>
    <t>1999-2004</t>
  </si>
  <si>
    <t>J Williams</t>
  </si>
  <si>
    <t>KGM Wood</t>
  </si>
  <si>
    <t>NG Williams</t>
  </si>
  <si>
    <t>RJ Chisholm</t>
  </si>
  <si>
    <t>JA Clifford</t>
  </si>
  <si>
    <t>GW Duffy</t>
  </si>
  <si>
    <t>NJJ Greenstock</t>
  </si>
  <si>
    <t>GJ Morgan</t>
  </si>
  <si>
    <t>LP Wallace</t>
  </si>
  <si>
    <t>MA Hopper</t>
  </si>
  <si>
    <t>DJ Slemen</t>
  </si>
  <si>
    <t>2002-2002</t>
  </si>
  <si>
    <t>HARLEQUINS - TOP ALL TIME PREM SCORERS</t>
  </si>
  <si>
    <t>KS Dickson</t>
  </si>
  <si>
    <t>JC Evans</t>
  </si>
  <si>
    <t>GD Robson</t>
  </si>
  <si>
    <t>GA Harder</t>
  </si>
  <si>
    <t>2003-2006</t>
  </si>
  <si>
    <t>HJ Harries</t>
  </si>
  <si>
    <t>AC Leach</t>
  </si>
  <si>
    <t>S So'oialo</t>
  </si>
  <si>
    <t>HARLEQUINS - TOP ALL TIME PREM TRY SCORERS</t>
  </si>
  <si>
    <t>JT Stransky</t>
  </si>
  <si>
    <t>OR Williams</t>
  </si>
  <si>
    <t>IW Humphreys</t>
  </si>
  <si>
    <t>MW Smith</t>
  </si>
  <si>
    <t>J Dupuy</t>
  </si>
  <si>
    <t>JE Murphy</t>
  </si>
  <si>
    <t>SE Hamilton</t>
  </si>
  <si>
    <t>DJ Hipkiss</t>
  </si>
  <si>
    <t>TW Bell</t>
  </si>
  <si>
    <t>HA Ellis</t>
  </si>
  <si>
    <t>AD Thompstone</t>
  </si>
  <si>
    <t>2011-2015</t>
  </si>
  <si>
    <t>RE Pez</t>
  </si>
  <si>
    <t>CA Joiner</t>
  </si>
  <si>
    <t>RSR Rabeni</t>
  </si>
  <si>
    <t>PR Broadfoot</t>
  </si>
  <si>
    <t>MJ Horak</t>
  </si>
  <si>
    <t>DJ Hougaard</t>
  </si>
  <si>
    <t>TKP Veainu</t>
  </si>
  <si>
    <t>C,W</t>
  </si>
  <si>
    <t>LEICESTER - TOP ALL TIME PREM SCORERS</t>
  </si>
  <si>
    <t>MI Ayerza</t>
  </si>
  <si>
    <t>SO Mafi</t>
  </si>
  <si>
    <t>FV Tuilagi</t>
  </si>
  <si>
    <t>LEICESTER - TOP ALL TIME PREM TRY SCORERS</t>
  </si>
  <si>
    <t>JA Gopperth</t>
  </si>
  <si>
    <t>JD Noon</t>
  </si>
  <si>
    <t>VL Tuigamala</t>
  </si>
  <si>
    <t>TA Catterick</t>
  </si>
  <si>
    <t>SJ Legg</t>
  </si>
  <si>
    <t>MP Delany</t>
  </si>
  <si>
    <t>T Underwood</t>
  </si>
  <si>
    <t>JP Socino</t>
  </si>
  <si>
    <t>JR Naylor</t>
  </si>
  <si>
    <t>PJ Godman</t>
  </si>
  <si>
    <t>SB Grimes</t>
  </si>
  <si>
    <t>2016-2016</t>
  </si>
  <si>
    <t>ST Sinoti</t>
  </si>
  <si>
    <t>PR Lam</t>
  </si>
  <si>
    <t>MA Mayerhofler</t>
  </si>
  <si>
    <t>O Phillips</t>
  </si>
  <si>
    <t>RW Vickers</t>
  </si>
  <si>
    <t>P Walton</t>
  </si>
  <si>
    <t>M Shaw</t>
  </si>
  <si>
    <t>AC Tait</t>
  </si>
  <si>
    <t>JJ Hodgson</t>
  </si>
  <si>
    <t>2012-2014</t>
  </si>
  <si>
    <t>LJ Botham</t>
  </si>
  <si>
    <t>CB Willis</t>
  </si>
  <si>
    <t>LM Fielden</t>
  </si>
  <si>
    <t>JL Shaw</t>
  </si>
  <si>
    <t>GW Weir</t>
  </si>
  <si>
    <t>BA Wilson</t>
  </si>
  <si>
    <t>ME Wilson</t>
  </si>
  <si>
    <t>L Crichton</t>
  </si>
  <si>
    <t>N Latu</t>
  </si>
  <si>
    <t>NEWCASTLE - TOP ALL TIME PREM SCORERS</t>
  </si>
  <si>
    <t>WK Britz</t>
  </si>
  <si>
    <t>MPA McCarthy</t>
  </si>
  <si>
    <t>NJ Popplewell</t>
  </si>
  <si>
    <t>TJM Swinson</t>
  </si>
  <si>
    <t>E Taione</t>
  </si>
  <si>
    <t>DA Williams</t>
  </si>
  <si>
    <t>2008-2011</t>
  </si>
  <si>
    <t>MLR Young</t>
  </si>
  <si>
    <t>NEWCASTLE - TOP ALL TIME PREM TRY SCORERS</t>
  </si>
  <si>
    <t>PJ Grayson</t>
  </si>
  <si>
    <t>TB Reihana</t>
  </si>
  <si>
    <t>AM Hepher</t>
  </si>
  <si>
    <t>SJJ Geraghty</t>
  </si>
  <si>
    <t>AC Pountney</t>
  </si>
  <si>
    <t>JWR Wilson</t>
  </si>
  <si>
    <t>W,FH,C</t>
  </si>
  <si>
    <t>PM Diggin</t>
  </si>
  <si>
    <t>ND Beal</t>
  </si>
  <si>
    <t>CJ Spencer</t>
  </si>
  <si>
    <t>MC Allen</t>
  </si>
  <si>
    <t>LD Burrell</t>
  </si>
  <si>
    <t>JPR Clarke</t>
  </si>
  <si>
    <t>GP North</t>
  </si>
  <si>
    <t>SV Manoa</t>
  </si>
  <si>
    <t>TG Pisi</t>
  </si>
  <si>
    <t>SG Thompson</t>
  </si>
  <si>
    <t>1999-2007</t>
  </si>
  <si>
    <t>GL Seely</t>
  </si>
  <si>
    <t>SL Tonga'uiha</t>
  </si>
  <si>
    <t>KS Pisi</t>
  </si>
  <si>
    <t>MD Robinson</t>
  </si>
  <si>
    <t>JA Leslie</t>
  </si>
  <si>
    <t>GL Pagel</t>
  </si>
  <si>
    <t>JM Sleightholme</t>
  </si>
  <si>
    <t>AM Waller</t>
  </si>
  <si>
    <t>JJ Hanrahan</t>
  </si>
  <si>
    <t>DC Fox</t>
  </si>
  <si>
    <t>TA Wood</t>
  </si>
  <si>
    <t>CC Moir</t>
  </si>
  <si>
    <t>HS Thorneycroft</t>
  </si>
  <si>
    <t>WJE Hooley</t>
  </si>
  <si>
    <t>2014-2014</t>
  </si>
  <si>
    <t>JR Brooks</t>
  </si>
  <si>
    <t>2009-2010</t>
  </si>
  <si>
    <t>NORTHAMPTON - TOP ALL TIME PREM SCORERS</t>
  </si>
  <si>
    <t>NORTHAMPTON - TOP ALL TIME PREM TRY SCORERS</t>
  </si>
  <si>
    <t>GW Jackson</t>
  </si>
  <si>
    <t>GK Johnson</t>
  </si>
  <si>
    <t>T Castaignede</t>
  </si>
  <si>
    <t>MP Lynagh</t>
  </si>
  <si>
    <t>KJ Sorrell</t>
  </si>
  <si>
    <t>RA Haughton</t>
  </si>
  <si>
    <t>JB Johnston</t>
  </si>
  <si>
    <t>DW O'Mahony</t>
  </si>
  <si>
    <t>2000-2001</t>
  </si>
  <si>
    <t>SB Brits</t>
  </si>
  <si>
    <t>K Ratuvou</t>
  </si>
  <si>
    <t>JM Wray</t>
  </si>
  <si>
    <t>A Penaud</t>
  </si>
  <si>
    <t>TJ Horan</t>
  </si>
  <si>
    <t>DGR Scarbrough</t>
  </si>
  <si>
    <t>RD Penney</t>
  </si>
  <si>
    <t>RM Kydd</t>
  </si>
  <si>
    <t>KJ Chesney</t>
  </si>
  <si>
    <t>JF Pienaar</t>
  </si>
  <si>
    <t>BD Skirving</t>
  </si>
  <si>
    <t>RM Wallace</t>
  </si>
  <si>
    <t>JH de Beer</t>
  </si>
  <si>
    <t>KPP Bracken</t>
  </si>
  <si>
    <t>SCW Ravenscroft</t>
  </si>
  <si>
    <t>SARACENS - TOP ALL TIME PREM SCORERS</t>
  </si>
  <si>
    <t>SARACENS - TOP ALL TIME PREM TRY SCORERS</t>
  </si>
  <si>
    <t>PS Wallace</t>
  </si>
  <si>
    <t>WE Fraser</t>
  </si>
  <si>
    <t>FJ Leonelli Morey</t>
  </si>
  <si>
    <t>AJ Saull</t>
  </si>
  <si>
    <t>2008-2013</t>
  </si>
  <si>
    <t>TGL Shanklin</t>
  </si>
  <si>
    <t>Maka Vunipola</t>
  </si>
  <si>
    <t>Billy Vunipola</t>
  </si>
  <si>
    <t>KM Logan</t>
  </si>
  <si>
    <t>FHH Waters</t>
  </si>
  <si>
    <t>1999-2008</t>
  </si>
  <si>
    <t>PC Sampson</t>
  </si>
  <si>
    <t>TH Leota</t>
  </si>
  <si>
    <t>2012-2013</t>
  </si>
  <si>
    <t>JPM Simpson</t>
  </si>
  <si>
    <t>SM Roiser</t>
  </si>
  <si>
    <t>AO Erinle</t>
  </si>
  <si>
    <t>RAJ Henderson</t>
  </si>
  <si>
    <t>AF Johnson</t>
  </si>
  <si>
    <t>NWJ Hughes</t>
  </si>
  <si>
    <t>MCA Denney</t>
  </si>
  <si>
    <t>JDG Ufton</t>
  </si>
  <si>
    <t>CW Dowd</t>
  </si>
  <si>
    <t>JWR Carlisle</t>
  </si>
  <si>
    <t>PR Scrivener</t>
  </si>
  <si>
    <t>AJP Lozowski</t>
  </si>
  <si>
    <t>WR Green</t>
  </si>
  <si>
    <t>F Halai</t>
  </si>
  <si>
    <t>MS Leek</t>
  </si>
  <si>
    <t>TR Young</t>
  </si>
  <si>
    <t>WASPS - TOP ALL TIME PREM SCORERS</t>
  </si>
  <si>
    <t>WASPS - TOP ALL TIME PREM TRY SCORERS</t>
  </si>
  <si>
    <t>BA Jacobs</t>
  </si>
  <si>
    <t>EGE Reddan</t>
  </si>
  <si>
    <t>GEP Thompson</t>
  </si>
  <si>
    <t>MJ Friday</t>
  </si>
  <si>
    <t>R Howley</t>
  </si>
  <si>
    <t>DJ Robson</t>
  </si>
  <si>
    <t>M Weedon</t>
  </si>
  <si>
    <t>ST Piutau</t>
  </si>
  <si>
    <t>SLK Tagicakibau</t>
  </si>
  <si>
    <t>WORCESTER - TOP ALL TIME PREM SCORERS</t>
  </si>
  <si>
    <t>WORCESTER - TOP ALL TIME PREM TRY SCORERS</t>
  </si>
  <si>
    <t>JIS Brown</t>
  </si>
  <si>
    <t>MD Benjamin</t>
  </si>
  <si>
    <t>GM Delport</t>
  </si>
  <si>
    <t>M Jones</t>
  </si>
  <si>
    <t>AP Havili Kaufusi</t>
  </si>
  <si>
    <t>KC Vuna</t>
  </si>
  <si>
    <t>AG Symons</t>
  </si>
  <si>
    <t>BI Heem</t>
  </si>
  <si>
    <t>TM Lombard</t>
  </si>
  <si>
    <t>AT Hickey</t>
  </si>
  <si>
    <t>RL Gear</t>
  </si>
  <si>
    <t>BG Hinshelwood</t>
  </si>
  <si>
    <t>MJ Powell</t>
  </si>
  <si>
    <t>RG Mills</t>
  </si>
  <si>
    <t>EK Hickey</t>
  </si>
  <si>
    <t>2008-2008</t>
  </si>
  <si>
    <t>JD Arr</t>
  </si>
  <si>
    <t>G Pieters</t>
  </si>
  <si>
    <t>DG Quinnell</t>
  </si>
  <si>
    <t>ST Taulava</t>
  </si>
  <si>
    <t>S Vaili</t>
  </si>
  <si>
    <t>GJ van Velze</t>
  </si>
  <si>
    <t>MT Galarza</t>
  </si>
  <si>
    <t>T Harding</t>
  </si>
  <si>
    <t>W Olivier</t>
  </si>
  <si>
    <t>GP Rawlinson</t>
  </si>
  <si>
    <t>NE Talei</t>
  </si>
  <si>
    <t>Faosiliva</t>
  </si>
  <si>
    <t>Langdon</t>
  </si>
  <si>
    <t>Alofa</t>
  </si>
  <si>
    <t>Brew</t>
  </si>
  <si>
    <t>Ratuniyarawa</t>
  </si>
  <si>
    <t>Wilson D</t>
  </si>
  <si>
    <t>Waldouck</t>
  </si>
  <si>
    <t>Shillcock</t>
  </si>
  <si>
    <t>Grant</t>
  </si>
  <si>
    <t>Chisholm J</t>
  </si>
  <si>
    <t>Adams</t>
  </si>
  <si>
    <t>Tapuai</t>
  </si>
  <si>
    <t>Curry T</t>
  </si>
  <si>
    <t>Worth</t>
  </si>
  <si>
    <t>Umaga</t>
  </si>
  <si>
    <t>Eastgate</t>
  </si>
  <si>
    <t>Mullis</t>
  </si>
  <si>
    <t>Griffiths</t>
  </si>
  <si>
    <t>Whiteley</t>
  </si>
  <si>
    <t>Lang</t>
  </si>
  <si>
    <t>2013/14                           (Challenge Cup)</t>
  </si>
  <si>
    <t>Connon</t>
  </si>
  <si>
    <t>Howe</t>
  </si>
  <si>
    <t>Simmonds J</t>
  </si>
  <si>
    <t>Simmonds S</t>
  </si>
  <si>
    <t>Gallagher</t>
  </si>
  <si>
    <t>Taufete'e</t>
  </si>
  <si>
    <t>Solomona</t>
  </si>
  <si>
    <t>Takulua</t>
  </si>
  <si>
    <t>Lamositele</t>
  </si>
  <si>
    <t>Malins</t>
  </si>
  <si>
    <t>Vellacott</t>
  </si>
  <si>
    <t>Tuitavake</t>
  </si>
  <si>
    <t>Singleton</t>
  </si>
  <si>
    <t>Seals</t>
  </si>
  <si>
    <t>le Roux</t>
  </si>
  <si>
    <t>Waters</t>
  </si>
  <si>
    <t>Faletau</t>
  </si>
  <si>
    <t>Curry B</t>
  </si>
  <si>
    <t>CHAMPS CUP PO</t>
  </si>
  <si>
    <t>AC</t>
  </si>
  <si>
    <t xml:space="preserve">2014/15 </t>
  </si>
  <si>
    <t>2015/16                (Challenge Cup)</t>
  </si>
  <si>
    <t xml:space="preserve"> 2013/14</t>
  </si>
  <si>
    <t>Clarke</t>
  </si>
  <si>
    <t>Rapava-Ruskin</t>
  </si>
  <si>
    <t>Woodward</t>
  </si>
  <si>
    <t>Freeman</t>
  </si>
  <si>
    <t>O'Flaherty</t>
  </si>
  <si>
    <t>Salmon</t>
  </si>
  <si>
    <t>Catrakilis</t>
  </si>
  <si>
    <t>Bothma</t>
  </si>
  <si>
    <t>Boyce</t>
  </si>
  <si>
    <t>Glynn</t>
  </si>
  <si>
    <t>McNulty</t>
  </si>
  <si>
    <t>Saili</t>
  </si>
  <si>
    <t>Skelton</t>
  </si>
  <si>
    <t>Tolofua</t>
  </si>
  <si>
    <t>Eadie</t>
  </si>
  <si>
    <t>Ford-Robinson</t>
  </si>
  <si>
    <t xml:space="preserve">Francis </t>
  </si>
  <si>
    <t>Onojaife D</t>
  </si>
  <si>
    <t>Peters</t>
  </si>
  <si>
    <t>Ribbans</t>
  </si>
  <si>
    <t>Reinach</t>
  </si>
  <si>
    <t>van Wyk</t>
  </si>
  <si>
    <t>Cokanasiga</t>
  </si>
  <si>
    <t>Waller</t>
  </si>
  <si>
    <t>Ford G</t>
  </si>
  <si>
    <t>Ford J</t>
  </si>
  <si>
    <t>Owen</t>
  </si>
  <si>
    <t>Obano</t>
  </si>
  <si>
    <t>Underhill</t>
  </si>
  <si>
    <t>van der Sluys</t>
  </si>
  <si>
    <t>Cliff</t>
  </si>
  <si>
    <t>de Klerk</t>
  </si>
  <si>
    <t>John</t>
  </si>
  <si>
    <t>Ross</t>
  </si>
  <si>
    <t>Strauss</t>
  </si>
  <si>
    <t>Tarus</t>
  </si>
  <si>
    <t>de Jongh</t>
  </si>
  <si>
    <t>Harris A</t>
  </si>
  <si>
    <t>Harris B</t>
  </si>
  <si>
    <t>Langley</t>
  </si>
  <si>
    <t>Lovobalavu</t>
  </si>
  <si>
    <t>Kerrod</t>
  </si>
  <si>
    <t>Burrows</t>
  </si>
  <si>
    <t>Flood</t>
  </si>
  <si>
    <t>Mavinga</t>
  </si>
  <si>
    <t>Matavesi, Joel</t>
  </si>
  <si>
    <t>Matavesi, Josh</t>
  </si>
  <si>
    <t>Stuart</t>
  </si>
  <si>
    <t>Young M</t>
  </si>
  <si>
    <t>Young G</t>
  </si>
  <si>
    <t>Davison</t>
  </si>
  <si>
    <t>2014/15                                (Chall Cup)</t>
  </si>
  <si>
    <t>*Catrakilis for Montpellier in Top 14 2014/15, 2015/16 &amp; last season (Champs Cup)</t>
  </si>
  <si>
    <t>*Burns</t>
  </si>
  <si>
    <t>*Qual 10 attempts</t>
  </si>
  <si>
    <t>Willis J</t>
  </si>
  <si>
    <t>Ackermann</t>
  </si>
  <si>
    <t>Polledri</t>
  </si>
  <si>
    <t>Radwan</t>
  </si>
  <si>
    <t>Lance</t>
  </si>
  <si>
    <t>Elia</t>
  </si>
  <si>
    <t>Ibuanokpe</t>
  </si>
  <si>
    <t>Davis</t>
  </si>
  <si>
    <t>Hudson</t>
  </si>
  <si>
    <t>O'Sullivan</t>
  </si>
  <si>
    <t>Uzokwe</t>
  </si>
  <si>
    <t>Furbank</t>
  </si>
  <si>
    <t>Grayson</t>
  </si>
  <si>
    <t>Lawrence</t>
  </si>
  <si>
    <t>Carr</t>
  </si>
  <si>
    <t>Pisi</t>
  </si>
  <si>
    <t>Mitchell</t>
  </si>
  <si>
    <t>White</t>
  </si>
  <si>
    <t>Hardwick</t>
  </si>
  <si>
    <t>Lamb</t>
  </si>
  <si>
    <t>Cheeseman</t>
  </si>
  <si>
    <t>Ibitoye</t>
  </si>
  <si>
    <t>Safe</t>
  </si>
  <si>
    <t>Hanson</t>
  </si>
  <si>
    <t>*Catrakilis</t>
  </si>
  <si>
    <t>Vailanu</t>
  </si>
  <si>
    <t>Charteris</t>
  </si>
  <si>
    <t>James S</t>
  </si>
  <si>
    <t xml:space="preserve">James L </t>
  </si>
  <si>
    <t>James L</t>
  </si>
  <si>
    <t>Olowofela J</t>
  </si>
  <si>
    <t>Foster</t>
  </si>
  <si>
    <t>Segun</t>
  </si>
  <si>
    <t>Reffell</t>
  </si>
  <si>
    <t>Lawday</t>
  </si>
  <si>
    <t>Strong</t>
  </si>
  <si>
    <t>Douglas</t>
  </si>
  <si>
    <t>*Williams</t>
  </si>
  <si>
    <t>*Woodward</t>
  </si>
  <si>
    <t>Simmons</t>
  </si>
  <si>
    <t>Reed</t>
  </si>
  <si>
    <t>Redpath</t>
  </si>
  <si>
    <t>Lindsay</t>
  </si>
  <si>
    <t>Vuna</t>
  </si>
  <si>
    <t>Perenise</t>
  </si>
  <si>
    <t>Bayliss</t>
  </si>
  <si>
    <t>Brussow</t>
  </si>
  <si>
    <t>Earl</t>
  </si>
  <si>
    <t>*Ford G</t>
  </si>
  <si>
    <t>*Ford J</t>
  </si>
  <si>
    <t>Vaughan</t>
  </si>
  <si>
    <t>Butler</t>
  </si>
  <si>
    <t>Seabrook</t>
  </si>
  <si>
    <t>BATH 2018/19 SCORERS</t>
  </si>
  <si>
    <t>2016/17</t>
  </si>
  <si>
    <t>PREM CUP</t>
  </si>
  <si>
    <t>PR</t>
  </si>
  <si>
    <t>PC</t>
  </si>
  <si>
    <t>Fotuali'I</t>
  </si>
  <si>
    <t>GLO</t>
  </si>
  <si>
    <t>WOR</t>
  </si>
  <si>
    <t>SAL</t>
  </si>
  <si>
    <t>BTH</t>
  </si>
  <si>
    <t>NEW</t>
  </si>
  <si>
    <t>NOR</t>
  </si>
  <si>
    <t xml:space="preserve">Atkins D </t>
  </si>
  <si>
    <t xml:space="preserve">Mercer Z </t>
  </si>
  <si>
    <t xml:space="preserve">Penalty Tries </t>
  </si>
  <si>
    <t xml:space="preserve">Watson A </t>
  </si>
  <si>
    <t xml:space="preserve">Evans G </t>
  </si>
  <si>
    <t xml:space="preserve">Evans L </t>
  </si>
  <si>
    <t xml:space="preserve">Marshall T </t>
  </si>
  <si>
    <t xml:space="preserve">Williams O </t>
  </si>
  <si>
    <t xml:space="preserve">Chisholm J </t>
  </si>
  <si>
    <t xml:space="preserve">Chisholm R </t>
  </si>
  <si>
    <t xml:space="preserve">Lewis D </t>
  </si>
  <si>
    <t xml:space="preserve">Ford G </t>
  </si>
  <si>
    <t xml:space="preserve">Ford J </t>
  </si>
  <si>
    <t xml:space="preserve">Holmes J </t>
  </si>
  <si>
    <t xml:space="preserve">Thacker C </t>
  </si>
  <si>
    <t xml:space="preserve">White B </t>
  </si>
  <si>
    <t xml:space="preserve">Youngs B </t>
  </si>
  <si>
    <t xml:space="preserve">Youngs T </t>
  </si>
  <si>
    <t xml:space="preserve">Matavesi, Joel </t>
  </si>
  <si>
    <t xml:space="preserve">Matavesi, Josh </t>
  </si>
  <si>
    <t xml:space="preserve">Wilson D </t>
  </si>
  <si>
    <t xml:space="preserve">Wilson M </t>
  </si>
  <si>
    <t xml:space="preserve">Young G </t>
  </si>
  <si>
    <t xml:space="preserve">Young M </t>
  </si>
  <si>
    <t xml:space="preserve">Francis P </t>
  </si>
  <si>
    <t xml:space="preserve">Pisi K </t>
  </si>
  <si>
    <t xml:space="preserve">Waller A </t>
  </si>
  <si>
    <t xml:space="preserve">Curry B </t>
  </si>
  <si>
    <t xml:space="preserve">Curry T </t>
  </si>
  <si>
    <t xml:space="preserve">James S </t>
  </si>
  <si>
    <t xml:space="preserve">Jones M </t>
  </si>
  <si>
    <t xml:space="preserve">Taylor D </t>
  </si>
  <si>
    <t xml:space="preserve">Vunipola B </t>
  </si>
  <si>
    <t xml:space="preserve">Vunipola M </t>
  </si>
  <si>
    <t xml:space="preserve">Williams L </t>
  </si>
  <si>
    <t xml:space="preserve">James O </t>
  </si>
  <si>
    <t xml:space="preserve">Watson M </t>
  </si>
  <si>
    <t xml:space="preserve">Willis J </t>
  </si>
  <si>
    <t xml:space="preserve">Lewis S </t>
  </si>
  <si>
    <t xml:space="preserve">Phillips P </t>
  </si>
  <si>
    <t xml:space="preserve">Waller E </t>
  </si>
  <si>
    <t xml:space="preserve">Davis P </t>
  </si>
  <si>
    <t xml:space="preserve">Francis T </t>
  </si>
  <si>
    <t xml:space="preserve">Hill J </t>
  </si>
  <si>
    <t xml:space="preserve">Hill S </t>
  </si>
  <si>
    <t xml:space="preserve">Holmes G </t>
  </si>
  <si>
    <t xml:space="preserve">Simmonds J </t>
  </si>
  <si>
    <t xml:space="preserve">Simmonds S </t>
  </si>
  <si>
    <t xml:space="preserve">White N </t>
  </si>
  <si>
    <t xml:space="preserve">Williams H </t>
  </si>
  <si>
    <t>HAR</t>
  </si>
  <si>
    <t>EXE</t>
  </si>
  <si>
    <t>WAS</t>
  </si>
  <si>
    <t>SAR</t>
  </si>
  <si>
    <t>LEIC</t>
  </si>
  <si>
    <t xml:space="preserve">SAR </t>
  </si>
  <si>
    <t>Harris A (TJ)</t>
  </si>
  <si>
    <t xml:space="preserve">Harris B </t>
  </si>
  <si>
    <t xml:space="preserve">Harris C </t>
  </si>
  <si>
    <t xml:space="preserve">Harrison R </t>
  </si>
  <si>
    <t xml:space="preserve">Harrison S </t>
  </si>
  <si>
    <t xml:space="preserve">Harrison T </t>
  </si>
  <si>
    <t>Williams O</t>
  </si>
  <si>
    <t>James O</t>
  </si>
  <si>
    <t>Burns F</t>
  </si>
  <si>
    <t xml:space="preserve">Davies </t>
  </si>
  <si>
    <t>Davies</t>
  </si>
  <si>
    <t>Davies A</t>
  </si>
  <si>
    <t>Delmas</t>
  </si>
  <si>
    <t>McConnochie</t>
  </si>
  <si>
    <t>Noguera</t>
  </si>
  <si>
    <t>*Tapuai for Bath in previous seasons</t>
  </si>
  <si>
    <t>*Tapuai</t>
  </si>
  <si>
    <t>*Devoto</t>
  </si>
  <si>
    <t>*Devoto for Bath in 2014/15</t>
  </si>
  <si>
    <t>BRI</t>
  </si>
  <si>
    <t>Armstrong</t>
  </si>
  <si>
    <t>Batley</t>
  </si>
  <si>
    <t>Cosgrove</t>
  </si>
  <si>
    <t>Crane</t>
  </si>
  <si>
    <t>Cullen</t>
  </si>
  <si>
    <t>Dawe</t>
  </si>
  <si>
    <t>Edwards</t>
  </si>
  <si>
    <t>Faletau T</t>
  </si>
  <si>
    <t>Faletau S</t>
  </si>
  <si>
    <t>Fenton-Wells</t>
  </si>
  <si>
    <t>Haining</t>
  </si>
  <si>
    <t>Heenan</t>
  </si>
  <si>
    <t>Hurrell</t>
  </si>
  <si>
    <t>Jeffries</t>
  </si>
  <si>
    <t>Joyce</t>
  </si>
  <si>
    <t>Lam</t>
  </si>
  <si>
    <t>Latta</t>
  </si>
  <si>
    <t>Lay, James</t>
  </si>
  <si>
    <t>Lay, Jordan</t>
  </si>
  <si>
    <t>Leiua</t>
  </si>
  <si>
    <t>Luatua</t>
  </si>
  <si>
    <t>Madigan</t>
  </si>
  <si>
    <t>Morahan</t>
  </si>
  <si>
    <t>Muldowney</t>
  </si>
  <si>
    <t>O'Conor</t>
  </si>
  <si>
    <t>Pincus</t>
  </si>
  <si>
    <t>Pisi T</t>
  </si>
  <si>
    <t>Piutau C</t>
  </si>
  <si>
    <t>Piutau S</t>
  </si>
  <si>
    <t>Protheroe</t>
  </si>
  <si>
    <t>Randall</t>
  </si>
  <si>
    <t>Sheedy</t>
  </si>
  <si>
    <t>Stirzaker</t>
  </si>
  <si>
    <t>Thacker</t>
  </si>
  <si>
    <t>Thiede</t>
  </si>
  <si>
    <t>Thomas D</t>
  </si>
  <si>
    <t>Thomas H</t>
  </si>
  <si>
    <t>Thomas Y</t>
  </si>
  <si>
    <t>Tovey</t>
  </si>
  <si>
    <t>Uren</t>
  </si>
  <si>
    <t>Vui</t>
  </si>
  <si>
    <t>PREM  CUP</t>
  </si>
  <si>
    <t>Last Match            (All Comps)</t>
  </si>
  <si>
    <t>Smith G</t>
  </si>
  <si>
    <t>EXETER 2018/19 SCORERS</t>
  </si>
  <si>
    <t>Cordero</t>
  </si>
  <si>
    <t>Cuthbert</t>
  </si>
  <si>
    <t>Banahan</t>
  </si>
  <si>
    <t>GLOUCESTER 2018/19 SCORERS</t>
  </si>
  <si>
    <t>Dreyer</t>
  </si>
  <si>
    <t>Gleave</t>
  </si>
  <si>
    <t>Grobler</t>
  </si>
  <si>
    <t>Kriel</t>
  </si>
  <si>
    <t>Marais</t>
  </si>
  <si>
    <t>Mostert</t>
  </si>
  <si>
    <t>*Cipriani</t>
  </si>
  <si>
    <t>*Banahan</t>
  </si>
  <si>
    <t>Chall Cup</t>
  </si>
  <si>
    <t>Last Season    (Chall Cup)</t>
  </si>
  <si>
    <t>2016/17            (Chall Cup)</t>
  </si>
  <si>
    <t>2015/16           (Chall Cup)</t>
  </si>
  <si>
    <t>2014/15             (Chall Cup)</t>
  </si>
  <si>
    <t>HARLEQUINS 2018/19 SCORERS</t>
  </si>
  <si>
    <t>Auterac</t>
  </si>
  <si>
    <t>Crumpton</t>
  </si>
  <si>
    <t>Dombrandt</t>
  </si>
  <si>
    <t>Symons M</t>
  </si>
  <si>
    <t>Last Season      (Champs Cup)</t>
  </si>
  <si>
    <t>Aspland-Rob'son</t>
  </si>
  <si>
    <t>Cortes</t>
  </si>
  <si>
    <t xml:space="preserve">O'Connor B </t>
  </si>
  <si>
    <t>LEICESTER 2018/19 SCORERS</t>
  </si>
  <si>
    <t>Stevens</t>
  </si>
  <si>
    <t>Voss</t>
  </si>
  <si>
    <t>Spencer W</t>
  </si>
  <si>
    <t>NEWCASTLE 2018/19 SCORERS</t>
  </si>
  <si>
    <t>Graham, Gary</t>
  </si>
  <si>
    <t>Graham, Guy</t>
  </si>
  <si>
    <t>Arscott</t>
  </si>
  <si>
    <t>Collett</t>
  </si>
  <si>
    <t>Basham</t>
  </si>
  <si>
    <t>Socino</t>
  </si>
  <si>
    <t>Tait A</t>
  </si>
  <si>
    <t>Williams J</t>
  </si>
  <si>
    <t>*Arscott</t>
  </si>
  <si>
    <t>2015/16         (Chall Cup)</t>
  </si>
  <si>
    <t>2014/15       (Chall Cup)</t>
  </si>
  <si>
    <t>2013/14       (Chall Cup)</t>
  </si>
  <si>
    <t>Last Season        (Chall Cup)</t>
  </si>
  <si>
    <t>2016/17        (Chall Cup)</t>
  </si>
  <si>
    <t>*Flood</t>
  </si>
  <si>
    <t>Cmps Cup 13-17</t>
  </si>
  <si>
    <t>O'Connor J</t>
  </si>
  <si>
    <t>Biggar</t>
  </si>
  <si>
    <t>NORTHAMPTON 2018/19 SCORERS</t>
  </si>
  <si>
    <t>Naiyaravoro</t>
  </si>
  <si>
    <t>Franks</t>
  </si>
  <si>
    <t>Symons A</t>
  </si>
  <si>
    <t>Kellaway</t>
  </si>
  <si>
    <t>*Biggar</t>
  </si>
  <si>
    <t xml:space="preserve">*Biggar for Ospreys (P14) in previous seasons </t>
  </si>
  <si>
    <t>Last Season (Cmps Cup)</t>
  </si>
  <si>
    <t>Nagusa</t>
  </si>
  <si>
    <t>Jones M</t>
  </si>
  <si>
    <t>Jones J</t>
  </si>
  <si>
    <t xml:space="preserve">O'Connor J </t>
  </si>
  <si>
    <t>SALE 2018/19 SCORERS</t>
  </si>
  <si>
    <t>2016/17 (Champs Cup)</t>
  </si>
  <si>
    <t>SARACENS 2018/19 SCORERS</t>
  </si>
  <si>
    <t>Lewington</t>
  </si>
  <si>
    <t>Strettle</t>
  </si>
  <si>
    <t>Wigg'worth</t>
  </si>
  <si>
    <t>Atkinson J</t>
  </si>
  <si>
    <t>Shields</t>
  </si>
  <si>
    <t>Sopoaga</t>
  </si>
  <si>
    <t>Neal</t>
  </si>
  <si>
    <t>Le Bourgeois</t>
  </si>
  <si>
    <t>Searle</t>
  </si>
  <si>
    <t>Curtis</t>
  </si>
  <si>
    <t>West</t>
  </si>
  <si>
    <t>WASPS 2018/19 SCORERS</t>
  </si>
  <si>
    <t>Willis T</t>
  </si>
  <si>
    <t>*Searle</t>
  </si>
  <si>
    <t>*Sopoaga</t>
  </si>
  <si>
    <t>*Searle played for Bristol &amp; Sopoaga for Highlanders (SR) in previous seasons</t>
  </si>
  <si>
    <t>WORCESTER 2018/19 SCORERS</t>
  </si>
  <si>
    <t>Black</t>
  </si>
  <si>
    <t>Beck</t>
  </si>
  <si>
    <t>du Preez</t>
  </si>
  <si>
    <t>Heaney</t>
  </si>
  <si>
    <t>van Breda</t>
  </si>
  <si>
    <t>Venter</t>
  </si>
  <si>
    <t>Fatialofa</t>
  </si>
  <si>
    <t>Weir</t>
  </si>
  <si>
    <t>Miller I</t>
  </si>
  <si>
    <t>*Weir</t>
  </si>
  <si>
    <t>*Weir for Edinburgh &amp; Glasgow (P12/14) in previous seasons</t>
  </si>
  <si>
    <t>Atkins O</t>
  </si>
  <si>
    <t>Atkinson M</t>
  </si>
  <si>
    <t>Clark M</t>
  </si>
  <si>
    <t>Clark C</t>
  </si>
  <si>
    <t>Davies C</t>
  </si>
  <si>
    <t>Davis W</t>
  </si>
  <si>
    <t>Davis L</t>
  </si>
  <si>
    <t>Evans W</t>
  </si>
  <si>
    <t>Evans B</t>
  </si>
  <si>
    <t>Hill P</t>
  </si>
  <si>
    <t>Holmes E</t>
  </si>
  <si>
    <t>Marshall R</t>
  </si>
  <si>
    <t>McGuigan G</t>
  </si>
  <si>
    <t>McGuigan B</t>
  </si>
  <si>
    <t>Miller R</t>
  </si>
  <si>
    <t>Morris A</t>
  </si>
  <si>
    <t>Morris B</t>
  </si>
  <si>
    <t>Phillips J</t>
  </si>
  <si>
    <t>Spencer B</t>
  </si>
  <si>
    <t>Stuart S</t>
  </si>
  <si>
    <t>Stuart W</t>
  </si>
  <si>
    <t xml:space="preserve">Taylor H </t>
  </si>
  <si>
    <t>Taylor T</t>
  </si>
  <si>
    <t>White A</t>
  </si>
  <si>
    <t xml:space="preserve">Williams, Matt </t>
  </si>
  <si>
    <t>Young T</t>
  </si>
  <si>
    <t>Zhvania</t>
  </si>
  <si>
    <t>*Burns for Leicester &amp; Gloucester in previous seasons</t>
  </si>
  <si>
    <t>Wright</t>
  </si>
  <si>
    <t>CHALLENGE CUP</t>
  </si>
  <si>
    <t>PREMIERSHIP</t>
  </si>
  <si>
    <t>CHAMPIONS CUP</t>
  </si>
  <si>
    <t>van Rooyen</t>
  </si>
  <si>
    <t>Lasike</t>
  </si>
  <si>
    <t>Bettencourt</t>
  </si>
  <si>
    <t>Bettencourt P</t>
  </si>
  <si>
    <t>Ackermann R</t>
  </si>
  <si>
    <t>Adams J</t>
  </si>
  <si>
    <t>Afoa J</t>
  </si>
  <si>
    <t>Alofa A</t>
  </si>
  <si>
    <t>Annett N</t>
  </si>
  <si>
    <t>Armand D</t>
  </si>
  <si>
    <t>Arr J</t>
  </si>
  <si>
    <t>Arscott T</t>
  </si>
  <si>
    <t>Aspland-R'son S</t>
  </si>
  <si>
    <t>Attwood D</t>
  </si>
  <si>
    <t>Auterac N</t>
  </si>
  <si>
    <t>Baldwin L</t>
  </si>
  <si>
    <t>Balmain F</t>
  </si>
  <si>
    <t>Banahan M</t>
  </si>
  <si>
    <t>Barrington R</t>
  </si>
  <si>
    <t>Barritt B</t>
  </si>
  <si>
    <t>Barrow D</t>
  </si>
  <si>
    <t>Barry D</t>
  </si>
  <si>
    <t>Basham J</t>
  </si>
  <si>
    <t>Bassett J</t>
  </si>
  <si>
    <t>Batty R</t>
  </si>
  <si>
    <t>Bayliss J</t>
  </si>
  <si>
    <t>Beaumont J</t>
  </si>
  <si>
    <t>Beck A</t>
  </si>
  <si>
    <t>Biggar D</t>
  </si>
  <si>
    <t>Black C</t>
  </si>
  <si>
    <t>Bodilly M</t>
  </si>
  <si>
    <t>Bosch M</t>
  </si>
  <si>
    <t>Bothma R</t>
  </si>
  <si>
    <t>Bower R</t>
  </si>
  <si>
    <t>Boyce L</t>
  </si>
  <si>
    <t>Braley C</t>
  </si>
  <si>
    <t>Brew A</t>
  </si>
  <si>
    <t>Brookes K</t>
  </si>
  <si>
    <t>Brown M</t>
  </si>
  <si>
    <t>Brussow B</t>
  </si>
  <si>
    <t>Buchanan R</t>
  </si>
  <si>
    <t>Burger S</t>
  </si>
  <si>
    <t>Burrell L</t>
  </si>
  <si>
    <t>Burrows R</t>
  </si>
  <si>
    <t>Armstrong J</t>
  </si>
  <si>
    <t>Bateman G</t>
  </si>
  <si>
    <t>Batley J</t>
  </si>
  <si>
    <t>Butler W</t>
  </si>
  <si>
    <t>Campagnaro M</t>
  </si>
  <si>
    <t>Care D</t>
  </si>
  <si>
    <t>Carr N</t>
  </si>
  <si>
    <t>Catrakilis D</t>
  </si>
  <si>
    <t>Catt N</t>
  </si>
  <si>
    <t>Cavubati T</t>
  </si>
  <si>
    <t>Charteris L</t>
  </si>
  <si>
    <t>Cheeseman T</t>
  </si>
  <si>
    <t>Chick C</t>
  </si>
  <si>
    <t>Chudley W</t>
  </si>
  <si>
    <t>Cipriani D</t>
  </si>
  <si>
    <t>Clarke F</t>
  </si>
  <si>
    <t>Cliff W</t>
  </si>
  <si>
    <t>Clifford J</t>
  </si>
  <si>
    <t>Cokanasiga J</t>
  </si>
  <si>
    <t>Cole D</t>
  </si>
  <si>
    <t>Collett C</t>
  </si>
  <si>
    <t>Collier W</t>
  </si>
  <si>
    <t>Collins T</t>
  </si>
  <si>
    <t>Connon B</t>
  </si>
  <si>
    <t>Cook C</t>
  </si>
  <si>
    <t>Cooper K</t>
  </si>
  <si>
    <t>Cooper-W J</t>
  </si>
  <si>
    <t>Cordero S</t>
  </si>
  <si>
    <t>Cortes G</t>
  </si>
  <si>
    <t>Cosgrove J</t>
  </si>
  <si>
    <t>Cowan-Dickie L</t>
  </si>
  <si>
    <t>Craig J</t>
  </si>
  <si>
    <t>Crane J</t>
  </si>
  <si>
    <t>Crumpton M</t>
  </si>
  <si>
    <t>Cruse T</t>
  </si>
  <si>
    <t>Cullen R</t>
  </si>
  <si>
    <t>Curtis A</t>
  </si>
  <si>
    <t>Cuthbert A</t>
  </si>
  <si>
    <t>Daly E</t>
  </si>
  <si>
    <t>Davidson A</t>
  </si>
  <si>
    <t>Davison T</t>
  </si>
  <si>
    <t>Dawe O</t>
  </si>
  <si>
    <t>Day D</t>
  </si>
  <si>
    <t>de Jongh J</t>
  </si>
  <si>
    <t>de Klerk F</t>
  </si>
  <si>
    <t>Delmas V</t>
  </si>
  <si>
    <t>Denman G</t>
  </si>
  <si>
    <t>Dennis D</t>
  </si>
  <si>
    <t>Denton T</t>
  </si>
  <si>
    <t>Devoto O</t>
  </si>
  <si>
    <t>Dollman P</t>
  </si>
  <si>
    <t>Dombrandt A</t>
  </si>
  <si>
    <t>Douglas L</t>
  </si>
  <si>
    <t>Dreyer R</t>
  </si>
  <si>
    <t>du Preez C</t>
  </si>
  <si>
    <t>Dunn T</t>
  </si>
  <si>
    <t>Eadie M</t>
  </si>
  <si>
    <t>Earl B</t>
  </si>
  <si>
    <t>Earle N</t>
  </si>
  <si>
    <t>Eastgate C</t>
  </si>
  <si>
    <t>Edwards R</t>
  </si>
  <si>
    <t>Elia E</t>
  </si>
  <si>
    <t>Ellis T</t>
  </si>
  <si>
    <t>Ewels C</t>
  </si>
  <si>
    <t>Ewers D</t>
  </si>
  <si>
    <t>Faosiliva A</t>
  </si>
  <si>
    <t>Farrell O</t>
  </si>
  <si>
    <t>Fatialofa M</t>
  </si>
  <si>
    <t>Fenton-Wells N</t>
  </si>
  <si>
    <t>Figallo J</t>
  </si>
  <si>
    <t>Fish J</t>
  </si>
  <si>
    <t>Fitzgerald M</t>
  </si>
  <si>
    <t>Flood T</t>
  </si>
  <si>
    <t>Flynn J</t>
  </si>
  <si>
    <t>Ford-Robinson J</t>
  </si>
  <si>
    <t>Foster N</t>
  </si>
  <si>
    <t>Fotuali'I K</t>
  </si>
  <si>
    <t>Franks B</t>
  </si>
  <si>
    <t>Freeman J</t>
  </si>
  <si>
    <t>Furbank G</t>
  </si>
  <si>
    <t>Galarza M</t>
  </si>
  <si>
    <t>Gallagher M</t>
  </si>
  <si>
    <t>Garratt M</t>
  </si>
  <si>
    <t>Garvey M</t>
  </si>
  <si>
    <t>Gaskell J</t>
  </si>
  <si>
    <t>Genge E</t>
  </si>
  <si>
    <t>George J</t>
  </si>
  <si>
    <t>Gibson J</t>
  </si>
  <si>
    <t>Gleave G</t>
  </si>
  <si>
    <t>Glynn B</t>
  </si>
  <si>
    <t>Goneva V</t>
  </si>
  <si>
    <t>Goode A</t>
  </si>
  <si>
    <t>Gopperth J</t>
  </si>
  <si>
    <t>Grant P</t>
  </si>
  <si>
    <t>Grayson J</t>
  </si>
  <si>
    <t>Green C</t>
  </si>
  <si>
    <t>Griffiths T</t>
  </si>
  <si>
    <t>Grobler G</t>
  </si>
  <si>
    <t>Haining N</t>
  </si>
  <si>
    <t>Hammersley S</t>
  </si>
  <si>
    <t>Hammond D</t>
  </si>
  <si>
    <t>Hampson C</t>
  </si>
  <si>
    <t>Hanson J</t>
  </si>
  <si>
    <t>Hardwick R</t>
  </si>
  <si>
    <t>Hartley D</t>
  </si>
  <si>
    <t>Haskell J</t>
  </si>
  <si>
    <t>Haywood M</t>
  </si>
  <si>
    <t>Heaney P</t>
  </si>
  <si>
    <t>Heem B</t>
  </si>
  <si>
    <t>Heenan J</t>
  </si>
  <si>
    <t>Heinz W</t>
  </si>
  <si>
    <t>Hendrickson T</t>
  </si>
  <si>
    <t>Hepburn A</t>
  </si>
  <si>
    <t>Hodgson J</t>
  </si>
  <si>
    <t>Hohneck J</t>
  </si>
  <si>
    <t>Horwill J</t>
  </si>
  <si>
    <t>Hougaard F</t>
  </si>
  <si>
    <t>Howe T</t>
  </si>
  <si>
    <t>Hudson T</t>
  </si>
  <si>
    <t>Hughes N</t>
  </si>
  <si>
    <t>Humphreys P</t>
  </si>
  <si>
    <t>Hurrell W</t>
  </si>
  <si>
    <t>Hutchinson R</t>
  </si>
  <si>
    <t>Ibitoye G</t>
  </si>
  <si>
    <t>Ibuanokpe J</t>
  </si>
  <si>
    <t>Innard J</t>
  </si>
  <si>
    <t>Itoje M</t>
  </si>
  <si>
    <t>Jeffries S</t>
  </si>
  <si>
    <t>Jennings L</t>
  </si>
  <si>
    <t>John W</t>
  </si>
  <si>
    <t>Johnson A</t>
  </si>
  <si>
    <t>Joseph J</t>
  </si>
  <si>
    <t>Joyce J</t>
  </si>
  <si>
    <t>Kalamafoni S</t>
  </si>
  <si>
    <t>Kellaway A</t>
  </si>
  <si>
    <t>Kerrod S</t>
  </si>
  <si>
    <t>Kibirige Z</t>
  </si>
  <si>
    <t>Kirwan C</t>
  </si>
  <si>
    <t>Kitchener G</t>
  </si>
  <si>
    <t>Koch V</t>
  </si>
  <si>
    <t>Kriel J</t>
  </si>
  <si>
    <t>Kruis G</t>
  </si>
  <si>
    <t>Kvesic M</t>
  </si>
  <si>
    <t>Lahiff M</t>
  </si>
  <si>
    <t>Lam J</t>
  </si>
  <si>
    <t>Lamb D</t>
  </si>
  <si>
    <t>Lambert M</t>
  </si>
  <si>
    <t>Lamositele T</t>
  </si>
  <si>
    <t>Lance J</t>
  </si>
  <si>
    <t>Lang J</t>
  </si>
  <si>
    <t>Langdon C</t>
  </si>
  <si>
    <t>Langley D</t>
  </si>
  <si>
    <t>Lasike P</t>
  </si>
  <si>
    <t>Latta J</t>
  </si>
  <si>
    <t>Launchbury J</t>
  </si>
  <si>
    <t>Lawday T</t>
  </si>
  <si>
    <t>Lawes C</t>
  </si>
  <si>
    <t>Lawrence O</t>
  </si>
  <si>
    <t>Le Bourgeois M</t>
  </si>
  <si>
    <t>le Roux W</t>
  </si>
  <si>
    <t>Lees M</t>
  </si>
  <si>
    <t>Leiua A</t>
  </si>
  <si>
    <t>Leota J</t>
  </si>
  <si>
    <t>Lewington A</t>
  </si>
  <si>
    <t>Lindsay T</t>
  </si>
  <si>
    <t>Lockwood S</t>
  </si>
  <si>
    <t>Louw F</t>
  </si>
  <si>
    <t>Lovobalavu G</t>
  </si>
  <si>
    <t>Low M</t>
  </si>
  <si>
    <t>Lozowski A</t>
  </si>
  <si>
    <t>Luamanu M</t>
  </si>
  <si>
    <t>Luatua S</t>
  </si>
  <si>
    <t>Ludlam L</t>
  </si>
  <si>
    <t>Ludlow L</t>
  </si>
  <si>
    <t>MacGinty A</t>
  </si>
  <si>
    <t>Madigan I</t>
  </si>
  <si>
    <t>Maitland S</t>
  </si>
  <si>
    <t>Malins M</t>
  </si>
  <si>
    <t>Mallinder H</t>
  </si>
  <si>
    <t>Malton S</t>
  </si>
  <si>
    <t>Mama M</t>
  </si>
  <si>
    <t>Marais F</t>
  </si>
  <si>
    <t>Marchant J</t>
  </si>
  <si>
    <t>Marler J</t>
  </si>
  <si>
    <t>Matthews C</t>
  </si>
  <si>
    <t>Maunder J</t>
  </si>
  <si>
    <t>Mavinga S</t>
  </si>
  <si>
    <t>May J</t>
  </si>
  <si>
    <t>McAllister P</t>
  </si>
  <si>
    <t>McConnochie R</t>
  </si>
  <si>
    <t>McIntyre S</t>
  </si>
  <si>
    <t>McNulty J</t>
  </si>
  <si>
    <t>Merrick G</t>
  </si>
  <si>
    <t>Mills R</t>
  </si>
  <si>
    <t>Mitchell A</t>
  </si>
  <si>
    <t>Moon B</t>
  </si>
  <si>
    <t>Morahan L</t>
  </si>
  <si>
    <t>Morgan B</t>
  </si>
  <si>
    <t>Mostert F</t>
  </si>
  <si>
    <t>Mulchrone C</t>
  </si>
  <si>
    <t>Muldowney A</t>
  </si>
  <si>
    <t>Mulipola L</t>
  </si>
  <si>
    <t>Mullan M</t>
  </si>
  <si>
    <t>Mullis J</t>
  </si>
  <si>
    <t>Myall K</t>
  </si>
  <si>
    <t>Nagusa N</t>
  </si>
  <si>
    <t>Naiyaravoro T</t>
  </si>
  <si>
    <t>Neal R</t>
  </si>
  <si>
    <t>Neild C</t>
  </si>
  <si>
    <t>Noguera L</t>
  </si>
  <si>
    <t>Nott G</t>
  </si>
  <si>
    <t>Nowell J</t>
  </si>
  <si>
    <t>Obano B</t>
  </si>
  <si>
    <t>O'Conor P</t>
  </si>
  <si>
    <t>Odogwu P</t>
  </si>
  <si>
    <t>O'Flaherty T</t>
  </si>
  <si>
    <t>Olivier W</t>
  </si>
  <si>
    <t>Ostrikov A</t>
  </si>
  <si>
    <t>O'Sullivan A</t>
  </si>
  <si>
    <t>Owen G</t>
  </si>
  <si>
    <t>Pearce L</t>
  </si>
  <si>
    <t>Pennell C</t>
  </si>
  <si>
    <t>Penny T</t>
  </si>
  <si>
    <t>Perenise A</t>
  </si>
  <si>
    <t>Peters J</t>
  </si>
  <si>
    <t>Pincus T</t>
  </si>
  <si>
    <t>Polledri J</t>
  </si>
  <si>
    <t>Potgieter D</t>
  </si>
  <si>
    <t>Priestland R</t>
  </si>
  <si>
    <t>Protheroe M</t>
  </si>
  <si>
    <t>Purdy H</t>
  </si>
  <si>
    <t>Radwan A</t>
  </si>
  <si>
    <t>Randall H</t>
  </si>
  <si>
    <t>Rapava Ruskin V</t>
  </si>
  <si>
    <t>Ratuniyarawa A</t>
  </si>
  <si>
    <t>Redpath C</t>
  </si>
  <si>
    <t>Reed A</t>
  </si>
  <si>
    <t>Reffell S</t>
  </si>
  <si>
    <t>Reinach C</t>
  </si>
  <si>
    <t>Rhodes M</t>
  </si>
  <si>
    <t>Ribbans D</t>
  </si>
  <si>
    <t>Rieder A</t>
  </si>
  <si>
    <t>Roberts J</t>
  </si>
  <si>
    <t>Robinson S</t>
  </si>
  <si>
    <t>Robshaw C</t>
  </si>
  <si>
    <t>Robson D</t>
  </si>
  <si>
    <t>Rokoduguni S</t>
  </si>
  <si>
    <t>Ross J</t>
  </si>
  <si>
    <t>Rowlands W</t>
  </si>
  <si>
    <t>Safe W</t>
  </si>
  <si>
    <t>Saili F</t>
  </si>
  <si>
    <t>Salmon T</t>
  </si>
  <si>
    <t>Savage T</t>
  </si>
  <si>
    <t>Schonert N</t>
  </si>
  <si>
    <t>Seabrook T</t>
  </si>
  <si>
    <t>Seals W</t>
  </si>
  <si>
    <t>Searle B</t>
  </si>
  <si>
    <t>Segun R</t>
  </si>
  <si>
    <t>Sharples C</t>
  </si>
  <si>
    <t>Sheedy C</t>
  </si>
  <si>
    <t>Shields B</t>
  </si>
  <si>
    <t>Shillcock J</t>
  </si>
  <si>
    <t>Short J</t>
  </si>
  <si>
    <t>Simmons H</t>
  </si>
  <si>
    <t>Simpson J</t>
  </si>
  <si>
    <t>Sinckler K</t>
  </si>
  <si>
    <t>Singleton J</t>
  </si>
  <si>
    <t>Sinoti S</t>
  </si>
  <si>
    <t>Skelton W</t>
  </si>
  <si>
    <t>Skinner S</t>
  </si>
  <si>
    <t>Slade H</t>
  </si>
  <si>
    <t>Slater E</t>
  </si>
  <si>
    <t>Socino S</t>
  </si>
  <si>
    <t>Solomona D</t>
  </si>
  <si>
    <t>Sopoaga L</t>
  </si>
  <si>
    <t>Sowrey B</t>
  </si>
  <si>
    <t>Spurling S</t>
  </si>
  <si>
    <t>Steenson G</t>
  </si>
  <si>
    <t>Stevens J</t>
  </si>
  <si>
    <t>Stirzaker N</t>
  </si>
  <si>
    <t>Stooke E</t>
  </si>
  <si>
    <t>Strauss J</t>
  </si>
  <si>
    <t>Strettle D</t>
  </si>
  <si>
    <t>Strong H</t>
  </si>
  <si>
    <t>Swainston P</t>
  </si>
  <si>
    <t>Swiel T</t>
  </si>
  <si>
    <t>Taione E</t>
  </si>
  <si>
    <t>Takulua T</t>
  </si>
  <si>
    <t>Tapuai B</t>
  </si>
  <si>
    <t>Tarus A</t>
  </si>
  <si>
    <t>Taufete'e J</t>
  </si>
  <si>
    <t>Te'o B</t>
  </si>
  <si>
    <t>Thiede L</t>
  </si>
  <si>
    <t>Thompson G</t>
  </si>
  <si>
    <t>Thompstone A</t>
  </si>
  <si>
    <t>Thorley O</t>
  </si>
  <si>
    <t>Tolofua C</t>
  </si>
  <si>
    <t>Tompkins N</t>
  </si>
  <si>
    <t>Toomua M</t>
  </si>
  <si>
    <t>Tovey J</t>
  </si>
  <si>
    <t>Townsend S</t>
  </si>
  <si>
    <t>Trinder H</t>
  </si>
  <si>
    <t>Tuala A</t>
  </si>
  <si>
    <t>Tuilagi M</t>
  </si>
  <si>
    <t>Tuitavake N</t>
  </si>
  <si>
    <t>Twelvetrees B</t>
  </si>
  <si>
    <t>Twomey S</t>
  </si>
  <si>
    <t>Umaga J</t>
  </si>
  <si>
    <t>Underhill S</t>
  </si>
  <si>
    <t>Uren A</t>
  </si>
  <si>
    <t>Uzokwe S</t>
  </si>
  <si>
    <t>Vailanu S</t>
  </si>
  <si>
    <t>van Breda S</t>
  </si>
  <si>
    <t>van der Sluys W</t>
  </si>
  <si>
    <t>van Rooyen J</t>
  </si>
  <si>
    <t>van Velze GJ</t>
  </si>
  <si>
    <t>van Wyk F</t>
  </si>
  <si>
    <t>Vaughan W</t>
  </si>
  <si>
    <t>Veainu T</t>
  </si>
  <si>
    <t>Vellacott B</t>
  </si>
  <si>
    <t>Venter F</t>
  </si>
  <si>
    <t>Visser T</t>
  </si>
  <si>
    <t>Voss J</t>
  </si>
  <si>
    <t>Vui C</t>
  </si>
  <si>
    <t>Vuna C</t>
  </si>
  <si>
    <t>Waldouck D</t>
  </si>
  <si>
    <t>Walker C</t>
  </si>
  <si>
    <t>Wallace L</t>
  </si>
  <si>
    <t>Ward D</t>
  </si>
  <si>
    <t>Waters C</t>
  </si>
  <si>
    <t>Webber R</t>
  </si>
  <si>
    <t>Weir D</t>
  </si>
  <si>
    <t>Welch W</t>
  </si>
  <si>
    <t>Welsh J</t>
  </si>
  <si>
    <t>West T</t>
  </si>
  <si>
    <t>Whiteley T</t>
  </si>
  <si>
    <t>Whitten I</t>
  </si>
  <si>
    <t>Wigglesworth R</t>
  </si>
  <si>
    <t>Willison J</t>
  </si>
  <si>
    <t>Wilson J</t>
  </si>
  <si>
    <t>Wright M</t>
  </si>
  <si>
    <t>Witty W</t>
  </si>
  <si>
    <t>Wood T</t>
  </si>
  <si>
    <t>Woodburn O</t>
  </si>
  <si>
    <t>Woodward J</t>
  </si>
  <si>
    <t>Woolmore J</t>
  </si>
  <si>
    <t>Woolstencroft T</t>
  </si>
  <si>
    <t>Worth G</t>
  </si>
  <si>
    <t>Wray J</t>
  </si>
  <si>
    <t>Yarde M</t>
  </si>
  <si>
    <t>Yeandle J</t>
  </si>
  <si>
    <t>Zhvania Z</t>
  </si>
  <si>
    <t>Francis P</t>
  </si>
  <si>
    <t>Hardwick T</t>
  </si>
  <si>
    <t>Harrison S</t>
  </si>
  <si>
    <t>Ashton</t>
  </si>
  <si>
    <t>Mullen</t>
  </si>
  <si>
    <t>Mullen P</t>
  </si>
  <si>
    <t>Isiekwe</t>
  </si>
  <si>
    <t>Isiekwe N</t>
  </si>
  <si>
    <t>Thompson-Stringer</t>
  </si>
  <si>
    <t>Bresler</t>
  </si>
  <si>
    <t>Bresler A</t>
  </si>
  <si>
    <t>Clegg</t>
  </si>
  <si>
    <t>Cox</t>
  </si>
  <si>
    <t>Clegg J</t>
  </si>
  <si>
    <t>Cox M</t>
  </si>
  <si>
    <t>Milasinovich</t>
  </si>
  <si>
    <t>Milasinovich G</t>
  </si>
  <si>
    <t>Mudariki</t>
  </si>
  <si>
    <t>Mudariki F</t>
  </si>
  <si>
    <t>BRISTOL 2018/19 SCORERS</t>
  </si>
  <si>
    <t>*Williams with Leicester before 2017/18, Woodward with Bristol in 2016/17</t>
  </si>
  <si>
    <t>*Flood with Leicester &amp; Toulouse (T14) before 2017/18, Arscott with Sale in previous seasons</t>
  </si>
  <si>
    <t>Smith M</t>
  </si>
  <si>
    <t>^regular season</t>
  </si>
  <si>
    <t>*Ford brothers played for other clubs before last season</t>
  </si>
  <si>
    <t>Mercer</t>
  </si>
  <si>
    <t>2016/17           (Cmps Cup)</t>
  </si>
  <si>
    <t>2015/16           (Cmps Cup)</t>
  </si>
  <si>
    <t>2014/15           (Cmps Cup)</t>
  </si>
  <si>
    <t>2013/14           (European Cup)</t>
  </si>
  <si>
    <t>Hill T</t>
  </si>
  <si>
    <t>Painter</t>
  </si>
  <si>
    <t>Painter E</t>
  </si>
  <si>
    <t>Homer</t>
  </si>
  <si>
    <t>Eastmond</t>
  </si>
  <si>
    <t>Janse van Rensburg</t>
  </si>
  <si>
    <t>Janse van Rensburg R</t>
  </si>
  <si>
    <t>*Madigan</t>
  </si>
  <si>
    <t>Olowofela</t>
  </si>
  <si>
    <t xml:space="preserve">*Cipriani previous seasons with Wasps (Cmps Cup) </t>
  </si>
  <si>
    <t>Wells</t>
  </si>
  <si>
    <t>Wells H</t>
  </si>
  <si>
    <t>Wilkinson</t>
  </si>
  <si>
    <t>Wilkinson K</t>
  </si>
  <si>
    <t>Walker J</t>
  </si>
  <si>
    <t>Terry</t>
  </si>
  <si>
    <t>Coetzer</t>
  </si>
  <si>
    <t>Terry C</t>
  </si>
  <si>
    <t>Coetzer D</t>
  </si>
  <si>
    <t>Chapman</t>
  </si>
  <si>
    <t>Chapman C</t>
  </si>
  <si>
    <t>Barbeary</t>
  </si>
  <si>
    <t>Barbeary A</t>
  </si>
  <si>
    <t>Jardine</t>
  </si>
  <si>
    <t>Jardine S</t>
  </si>
  <si>
    <t>Feao</t>
  </si>
  <si>
    <t>Feao D</t>
  </si>
  <si>
    <t>Skinner H</t>
  </si>
  <si>
    <t>Bedlow</t>
  </si>
  <si>
    <t>Bedlow S</t>
  </si>
  <si>
    <t>Kunatani</t>
  </si>
  <si>
    <t>Kunatani S</t>
  </si>
  <si>
    <t>Eden</t>
  </si>
  <si>
    <t>Eden T</t>
  </si>
  <si>
    <t>Atkins D</t>
  </si>
  <si>
    <t>Reffell T</t>
  </si>
  <si>
    <t>Stevenson</t>
  </si>
  <si>
    <t>Stevenson B</t>
  </si>
  <si>
    <t>*Swiel</t>
  </si>
  <si>
    <t>2016/17 (Challenge Cup)</t>
  </si>
  <si>
    <t>*Mulipola</t>
  </si>
  <si>
    <t>*Swiel with Harlequins &amp; Mulipola with Leicester in previous seasons</t>
  </si>
  <si>
    <t>du Preez R</t>
  </si>
  <si>
    <t>Capstick</t>
  </si>
  <si>
    <t>Capstick R</t>
  </si>
  <si>
    <t>Keast</t>
  </si>
  <si>
    <t>Keast B</t>
  </si>
  <si>
    <t>Crossdale</t>
  </si>
  <si>
    <t>Crossdale A</t>
  </si>
  <si>
    <t>Ashton C</t>
  </si>
  <si>
    <t>Dingwall</t>
  </si>
  <si>
    <t>Dingwall F</t>
  </si>
  <si>
    <t>Sleightholme</t>
  </si>
  <si>
    <t>Sleightholme O</t>
  </si>
  <si>
    <t>Kpoku, Joel</t>
  </si>
  <si>
    <t>Kpoku, Jonathan</t>
  </si>
  <si>
    <t>Wilson, James</t>
  </si>
  <si>
    <t>Visagie</t>
  </si>
  <si>
    <t>Visagie J</t>
  </si>
  <si>
    <t>Wilson, Jack</t>
  </si>
  <si>
    <t>du Preez J-L</t>
  </si>
  <si>
    <t>Williams M</t>
  </si>
  <si>
    <t>Judge</t>
  </si>
  <si>
    <t>Judge C</t>
  </si>
  <si>
    <t>Murley</t>
  </si>
  <si>
    <t>Murley C</t>
  </si>
  <si>
    <t>Powell</t>
  </si>
  <si>
    <t>Powell C</t>
  </si>
  <si>
    <t>Lonsdale</t>
  </si>
  <si>
    <t>Lonsdale S</t>
  </si>
  <si>
    <t>Green M</t>
  </si>
  <si>
    <t>Graham</t>
  </si>
  <si>
    <t>Graham S</t>
  </si>
  <si>
    <t>Tuilagi F</t>
  </si>
  <si>
    <t>Coles</t>
  </si>
  <si>
    <t>Coles A</t>
  </si>
  <si>
    <t>Bristow</t>
  </si>
  <si>
    <t>Bristow T</t>
  </si>
  <si>
    <t>Blamire</t>
  </si>
  <si>
    <t>David</t>
  </si>
  <si>
    <t>David N</t>
  </si>
  <si>
    <t>Top Try Scorer^</t>
  </si>
  <si>
    <t>CHALL CUP</t>
  </si>
  <si>
    <t>*Madigan for Bordeaux (2016/17) Top 14 &amp; Cmps Cup &amp; Leinster (pre-2016/17) PRO12 &amp; Cmps Cup</t>
  </si>
  <si>
    <t>Morozov</t>
  </si>
  <si>
    <t>Morozov V</t>
  </si>
  <si>
    <t>Gigena</t>
  </si>
  <si>
    <t>Gigena F</t>
  </si>
  <si>
    <t>Daniels</t>
  </si>
  <si>
    <t>Daniels L</t>
  </si>
  <si>
    <t xml:space="preserve">Golden Boot^ </t>
  </si>
  <si>
    <t>Moon A</t>
  </si>
  <si>
    <t>Postlethwaite</t>
  </si>
  <si>
    <t>Postlethwaite M</t>
  </si>
  <si>
    <t>Adams-Hale</t>
  </si>
  <si>
    <t>Adams-Hale R</t>
  </si>
  <si>
    <t>Ah You</t>
  </si>
  <si>
    <t xml:space="preserve">Ah You R </t>
  </si>
  <si>
    <t>Hidalgo-Clyne</t>
  </si>
  <si>
    <t>Hidalgo-Clyne S</t>
  </si>
  <si>
    <t>Morris D</t>
  </si>
  <si>
    <t>Fotuali'i K</t>
  </si>
  <si>
    <t>N.B. Northampton awarded 28-0 win v Timisoara Saracens, no points or tries allocated to</t>
  </si>
  <si>
    <t>allocated to players from that match</t>
  </si>
  <si>
    <t>Blommetjies</t>
  </si>
  <si>
    <t>Blommetjies C</t>
  </si>
  <si>
    <t>Blamire 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</si>
</sst>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rgb="FFFFFF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2"/>
      <color theme="6" tint="-0.499984740745262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E2AC00"/>
      <name val="Calibri"/>
      <family val="2"/>
      <scheme val="minor"/>
    </font>
    <font>
      <b/>
      <sz val="12"/>
      <color rgb="FFFFC000"/>
      <name val="Calibri"/>
      <family val="2"/>
      <scheme val="minor"/>
    </font>
    <font>
      <b/>
      <sz val="12"/>
      <color theme="7" tint="0.59999389629810485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7" tint="0.59999389629810485"/>
      <name val="Calibri"/>
      <family val="2"/>
      <scheme val="minor"/>
    </font>
    <font>
      <sz val="11"/>
      <color theme="7" tint="0.59999389629810485"/>
      <name val="Calibri"/>
      <family val="2"/>
      <scheme val="minor"/>
    </font>
    <font>
      <sz val="11"/>
      <color theme="7" tint="0.79998168889431442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11"/>
      <color theme="4" tint="0.39997558519241921"/>
      <name val="Calibri"/>
      <family val="2"/>
      <scheme val="minor"/>
    </font>
    <font>
      <b/>
      <sz val="11"/>
      <color rgb="FF92D05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7" tint="0.39997558519241921"/>
      <name val="Calibri"/>
      <family val="2"/>
      <scheme val="minor"/>
    </font>
    <font>
      <b/>
      <sz val="12"/>
      <color theme="0" tint="-0.34998626667073579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b/>
      <sz val="11"/>
      <color theme="7" tint="0.39997558519241921"/>
      <name val="Calibri"/>
      <family val="2"/>
      <scheme val="minor"/>
    </font>
    <font>
      <sz val="11"/>
      <color rgb="FF008000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4" tint="0.39997558519241921"/>
      <name val="Calibri"/>
      <family val="2"/>
      <scheme val="minor"/>
    </font>
    <font>
      <b/>
      <sz val="12"/>
      <color theme="4" tint="0.39997558519241921"/>
      <name val="Calibri"/>
      <family val="2"/>
      <scheme val="minor"/>
    </font>
    <font>
      <sz val="11"/>
      <color rgb="FFFFFF00"/>
      <name val="Calibri"/>
      <family val="2"/>
      <scheme val="minor"/>
    </font>
    <font>
      <sz val="11"/>
      <color theme="8" tint="0.79998168889431442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theme="9" tint="0.3999755851924192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2AC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13392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00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9">
    <xf numFmtId="0" fontId="0" fillId="0" borderId="0" xfId="0"/>
    <xf numFmtId="0" fontId="9" fillId="4" borderId="4" xfId="0" applyFont="1" applyFill="1" applyBorder="1" applyAlignment="1">
      <alignment horizontal="right" vertical="center" wrapText="1"/>
    </xf>
    <xf numFmtId="0" fontId="11" fillId="4" borderId="4" xfId="0" applyFont="1" applyFill="1" applyBorder="1" applyAlignment="1">
      <alignment horizontal="right" vertical="center" wrapText="1"/>
    </xf>
    <xf numFmtId="0" fontId="11" fillId="4" borderId="3" xfId="0" applyFont="1" applyFill="1" applyBorder="1" applyAlignment="1">
      <alignment vertical="center" wrapText="1"/>
    </xf>
    <xf numFmtId="0" fontId="9" fillId="5" borderId="4" xfId="0" applyFont="1" applyFill="1" applyBorder="1" applyAlignment="1">
      <alignment horizontal="right" vertical="center" wrapText="1"/>
    </xf>
    <xf numFmtId="0" fontId="9" fillId="0" borderId="0" xfId="0" applyFont="1"/>
    <xf numFmtId="0" fontId="16" fillId="3" borderId="4" xfId="0" applyFont="1" applyFill="1" applyBorder="1" applyAlignment="1">
      <alignment horizontal="right" vertical="center" wrapText="1"/>
    </xf>
    <xf numFmtId="0" fontId="11" fillId="8" borderId="1" xfId="0" applyFont="1" applyFill="1" applyBorder="1" applyAlignment="1">
      <alignment horizontal="right" vertical="center" wrapText="1"/>
    </xf>
    <xf numFmtId="0" fontId="11" fillId="8" borderId="4" xfId="0" applyFont="1" applyFill="1" applyBorder="1" applyAlignment="1">
      <alignment horizontal="right" vertical="center" wrapText="1"/>
    </xf>
    <xf numFmtId="0" fontId="11" fillId="8" borderId="1" xfId="0" applyFont="1" applyFill="1" applyBorder="1" applyAlignment="1">
      <alignment vertical="center" wrapText="1"/>
    </xf>
    <xf numFmtId="0" fontId="11" fillId="8" borderId="1" xfId="0" applyFont="1" applyFill="1" applyBorder="1"/>
    <xf numFmtId="0" fontId="11" fillId="8" borderId="3" xfId="0" applyFont="1" applyFill="1" applyBorder="1"/>
    <xf numFmtId="0" fontId="11" fillId="8" borderId="4" xfId="0" applyFont="1" applyFill="1" applyBorder="1"/>
    <xf numFmtId="0" fontId="2" fillId="8" borderId="2" xfId="0" applyFont="1" applyFill="1" applyBorder="1" applyAlignment="1">
      <alignment vertical="center" wrapText="1"/>
    </xf>
    <xf numFmtId="0" fontId="11" fillId="8" borderId="3" xfId="0" applyFont="1" applyFill="1" applyBorder="1" applyAlignment="1">
      <alignment vertical="top" wrapText="1"/>
    </xf>
    <xf numFmtId="0" fontId="9" fillId="7" borderId="4" xfId="0" applyFont="1" applyFill="1" applyBorder="1" applyAlignment="1">
      <alignment horizontal="right" vertical="center" wrapText="1"/>
    </xf>
    <xf numFmtId="0" fontId="15" fillId="8" borderId="0" xfId="0" applyFont="1" applyFill="1" applyAlignment="1">
      <alignment vertical="center"/>
    </xf>
    <xf numFmtId="0" fontId="20" fillId="2" borderId="4" xfId="0" applyFont="1" applyFill="1" applyBorder="1" applyAlignment="1">
      <alignment horizontal="right" vertical="center" wrapText="1"/>
    </xf>
    <xf numFmtId="0" fontId="14" fillId="9" borderId="3" xfId="0" applyFont="1" applyFill="1" applyBorder="1" applyAlignment="1">
      <alignment vertical="center" wrapText="1"/>
    </xf>
    <xf numFmtId="0" fontId="16" fillId="3" borderId="3" xfId="0" applyFont="1" applyFill="1" applyBorder="1" applyAlignment="1">
      <alignment vertical="center" wrapText="1"/>
    </xf>
    <xf numFmtId="0" fontId="11" fillId="4" borderId="4" xfId="0" applyFont="1" applyFill="1" applyBorder="1"/>
    <xf numFmtId="0" fontId="11" fillId="4" borderId="3" xfId="0" applyFont="1" applyFill="1" applyBorder="1"/>
    <xf numFmtId="0" fontId="11" fillId="4" borderId="1" xfId="0" applyFont="1" applyFill="1" applyBorder="1" applyAlignment="1">
      <alignment horizontal="right" vertical="center" wrapText="1"/>
    </xf>
    <xf numFmtId="0" fontId="11" fillId="4" borderId="1" xfId="0" applyFont="1" applyFill="1" applyBorder="1"/>
    <xf numFmtId="0" fontId="9" fillId="4" borderId="1" xfId="0" applyFont="1" applyFill="1" applyBorder="1"/>
    <xf numFmtId="0" fontId="11" fillId="4" borderId="1" xfId="0" applyFont="1" applyFill="1" applyBorder="1" applyAlignment="1">
      <alignment vertical="center" wrapText="1"/>
    </xf>
    <xf numFmtId="0" fontId="11" fillId="4" borderId="2" xfId="0" applyFont="1" applyFill="1" applyBorder="1"/>
    <xf numFmtId="0" fontId="11" fillId="4" borderId="6" xfId="0" applyFont="1" applyFill="1" applyBorder="1"/>
    <xf numFmtId="0" fontId="2" fillId="4" borderId="2" xfId="0" applyFont="1" applyFill="1" applyBorder="1" applyAlignment="1">
      <alignment vertical="center" wrapText="1"/>
    </xf>
    <xf numFmtId="1" fontId="16" fillId="2" borderId="4" xfId="0" applyNumberFormat="1" applyFont="1" applyFill="1" applyBorder="1" applyAlignment="1">
      <alignment horizontal="right" vertical="center" wrapText="1"/>
    </xf>
    <xf numFmtId="0" fontId="18" fillId="0" borderId="0" xfId="0" applyFont="1"/>
    <xf numFmtId="0" fontId="7" fillId="4" borderId="2" xfId="0" applyFont="1" applyFill="1" applyBorder="1" applyAlignment="1">
      <alignment vertical="center" wrapText="1"/>
    </xf>
    <xf numFmtId="0" fontId="7" fillId="10" borderId="2" xfId="0" applyFont="1" applyFill="1" applyBorder="1" applyAlignment="1">
      <alignment horizontal="right" vertical="center" wrapText="1"/>
    </xf>
    <xf numFmtId="0" fontId="7" fillId="10" borderId="1" xfId="0" applyFont="1" applyFill="1" applyBorder="1" applyAlignment="1">
      <alignment horizontal="right" vertical="center" wrapText="1"/>
    </xf>
    <xf numFmtId="0" fontId="9" fillId="10" borderId="1" xfId="0" applyFont="1" applyFill="1" applyBorder="1"/>
    <xf numFmtId="1" fontId="9" fillId="10" borderId="1" xfId="0" applyNumberFormat="1" applyFont="1" applyFill="1" applyBorder="1"/>
    <xf numFmtId="0" fontId="7" fillId="8" borderId="1" xfId="0" applyFont="1" applyFill="1" applyBorder="1" applyAlignment="1">
      <alignment vertical="center" wrapText="1"/>
    </xf>
    <xf numFmtId="14" fontId="17" fillId="8" borderId="3" xfId="0" applyNumberFormat="1" applyFont="1" applyFill="1" applyBorder="1" applyAlignment="1">
      <alignment horizontal="left" vertical="center" wrapText="1"/>
    </xf>
    <xf numFmtId="1" fontId="16" fillId="3" borderId="4" xfId="0" applyNumberFormat="1" applyFont="1" applyFill="1" applyBorder="1" applyAlignment="1">
      <alignment horizontal="right" vertical="center" wrapText="1"/>
    </xf>
    <xf numFmtId="0" fontId="16" fillId="9" borderId="3" xfId="0" applyFont="1" applyFill="1" applyBorder="1" applyAlignment="1">
      <alignment vertical="center" wrapText="1"/>
    </xf>
    <xf numFmtId="14" fontId="0" fillId="8" borderId="3" xfId="0" applyNumberFormat="1" applyFill="1" applyBorder="1" applyAlignment="1">
      <alignment horizontal="left" vertical="center" wrapText="1"/>
    </xf>
    <xf numFmtId="0" fontId="11" fillId="10" borderId="1" xfId="0" applyFont="1" applyFill="1" applyBorder="1" applyAlignment="1">
      <alignment vertical="center" wrapText="1"/>
    </xf>
    <xf numFmtId="0" fontId="13" fillId="10" borderId="1" xfId="0" applyFont="1" applyFill="1" applyBorder="1"/>
    <xf numFmtId="0" fontId="5" fillId="8" borderId="0" xfId="0" applyFont="1" applyFill="1"/>
    <xf numFmtId="0" fontId="0" fillId="8" borderId="8" xfId="0" applyFill="1" applyBorder="1"/>
    <xf numFmtId="0" fontId="3" fillId="8" borderId="0" xfId="0" applyFont="1" applyFill="1"/>
    <xf numFmtId="0" fontId="0" fillId="8" borderId="0" xfId="0" applyFill="1"/>
    <xf numFmtId="0" fontId="5" fillId="8" borderId="8" xfId="0" applyFont="1" applyFill="1" applyBorder="1"/>
    <xf numFmtId="0" fontId="0" fillId="0" borderId="8" xfId="0" applyBorder="1"/>
    <xf numFmtId="0" fontId="1" fillId="8" borderId="8" xfId="0" applyFont="1" applyFill="1" applyBorder="1" applyAlignment="1">
      <alignment vertical="center" wrapText="1"/>
    </xf>
    <xf numFmtId="0" fontId="21" fillId="8" borderId="8" xfId="0" applyFont="1" applyFill="1" applyBorder="1" applyAlignment="1">
      <alignment horizontal="right" vertical="center" wrapText="1"/>
    </xf>
    <xf numFmtId="0" fontId="2" fillId="8" borderId="8" xfId="0" applyFont="1" applyFill="1" applyBorder="1" applyAlignment="1">
      <alignment horizontal="right" vertical="center" wrapText="1"/>
    </xf>
    <xf numFmtId="0" fontId="20" fillId="8" borderId="0" xfId="0" applyFont="1" applyFill="1" applyAlignment="1">
      <alignment horizontal="right" vertical="center" wrapText="1"/>
    </xf>
    <xf numFmtId="0" fontId="14" fillId="3" borderId="4" xfId="0" applyFont="1" applyFill="1" applyBorder="1" applyAlignment="1">
      <alignment horizontal="right" vertical="center" wrapText="1"/>
    </xf>
    <xf numFmtId="1" fontId="14" fillId="3" borderId="4" xfId="0" applyNumberFormat="1" applyFont="1" applyFill="1" applyBorder="1" applyAlignment="1">
      <alignment horizontal="right" vertical="center" wrapText="1"/>
    </xf>
    <xf numFmtId="0" fontId="14" fillId="3" borderId="3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vertical="center" wrapText="1"/>
    </xf>
    <xf numFmtId="0" fontId="11" fillId="8" borderId="0" xfId="0" applyFont="1" applyFill="1" applyAlignment="1">
      <alignment vertical="center" wrapText="1"/>
    </xf>
    <xf numFmtId="0" fontId="12" fillId="8" borderId="0" xfId="0" applyFont="1" applyFill="1" applyAlignment="1">
      <alignment horizontal="right" vertical="center" wrapText="1"/>
    </xf>
    <xf numFmtId="0" fontId="10" fillId="8" borderId="0" xfId="0" applyFont="1" applyFill="1" applyAlignment="1">
      <alignment horizontal="right" vertical="center" wrapText="1"/>
    </xf>
    <xf numFmtId="0" fontId="9" fillId="8" borderId="0" xfId="0" applyFont="1" applyFill="1" applyAlignment="1">
      <alignment horizontal="right" vertical="center" wrapText="1"/>
    </xf>
    <xf numFmtId="0" fontId="10" fillId="8" borderId="8" xfId="0" applyFont="1" applyFill="1" applyBorder="1" applyAlignment="1">
      <alignment horizontal="right" vertical="center" wrapText="1"/>
    </xf>
    <xf numFmtId="0" fontId="9" fillId="8" borderId="8" xfId="0" applyFont="1" applyFill="1" applyBorder="1" applyAlignment="1">
      <alignment vertical="center" wrapText="1"/>
    </xf>
    <xf numFmtId="0" fontId="5" fillId="0" borderId="0" xfId="0" applyFont="1"/>
    <xf numFmtId="1" fontId="16" fillId="8" borderId="0" xfId="0" applyNumberFormat="1" applyFont="1" applyFill="1" applyAlignment="1">
      <alignment horizontal="right" vertical="center" wrapText="1"/>
    </xf>
    <xf numFmtId="0" fontId="22" fillId="8" borderId="0" xfId="0" applyFont="1" applyFill="1" applyAlignment="1">
      <alignment vertical="center" wrapText="1"/>
    </xf>
    <xf numFmtId="0" fontId="9" fillId="12" borderId="4" xfId="0" applyFont="1" applyFill="1" applyBorder="1" applyAlignment="1">
      <alignment horizontal="right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right" vertical="center" wrapText="1"/>
    </xf>
    <xf numFmtId="0" fontId="23" fillId="11" borderId="4" xfId="0" applyFont="1" applyFill="1" applyBorder="1" applyAlignment="1">
      <alignment horizontal="right" vertical="center" wrapText="1"/>
    </xf>
    <xf numFmtId="0" fontId="17" fillId="8" borderId="0" xfId="0" applyFont="1" applyFill="1" applyAlignment="1">
      <alignment vertical="center" wrapText="1"/>
    </xf>
    <xf numFmtId="0" fontId="23" fillId="3" borderId="3" xfId="0" applyFont="1" applyFill="1" applyBorder="1" applyAlignment="1">
      <alignment vertical="center" wrapText="1"/>
    </xf>
    <xf numFmtId="0" fontId="9" fillId="8" borderId="1" xfId="0" applyFont="1" applyFill="1" applyBorder="1"/>
    <xf numFmtId="0" fontId="11" fillId="10" borderId="1" xfId="0" applyFont="1" applyFill="1" applyBorder="1"/>
    <xf numFmtId="0" fontId="20" fillId="2" borderId="3" xfId="0" applyFont="1" applyFill="1" applyBorder="1" applyAlignment="1">
      <alignment vertical="center" wrapText="1"/>
    </xf>
    <xf numFmtId="0" fontId="19" fillId="8" borderId="0" xfId="0" applyFont="1" applyFill="1"/>
    <xf numFmtId="0" fontId="19" fillId="8" borderId="0" xfId="0" applyFont="1" applyFill="1" applyAlignment="1">
      <alignment horizontal="right" vertical="center" wrapText="1"/>
    </xf>
    <xf numFmtId="0" fontId="13" fillId="8" borderId="0" xfId="0" applyFont="1" applyFill="1" applyAlignment="1">
      <alignment horizontal="right" vertical="center" wrapText="1"/>
    </xf>
    <xf numFmtId="0" fontId="13" fillId="8" borderId="12" xfId="0" applyFont="1" applyFill="1" applyBorder="1" applyAlignment="1">
      <alignment horizontal="right" vertical="center" wrapText="1"/>
    </xf>
    <xf numFmtId="1" fontId="13" fillId="8" borderId="0" xfId="0" applyNumberFormat="1" applyFont="1" applyFill="1" applyAlignment="1">
      <alignment horizontal="right" vertical="center" wrapText="1"/>
    </xf>
    <xf numFmtId="0" fontId="3" fillId="8" borderId="8" xfId="0" applyFont="1" applyFill="1" applyBorder="1"/>
    <xf numFmtId="0" fontId="13" fillId="8" borderId="12" xfId="0" applyFont="1" applyFill="1" applyBorder="1" applyAlignment="1">
      <alignment vertical="center" wrapText="1"/>
    </xf>
    <xf numFmtId="0" fontId="9" fillId="4" borderId="4" xfId="0" applyFont="1" applyFill="1" applyBorder="1"/>
    <xf numFmtId="0" fontId="16" fillId="8" borderId="0" xfId="0" applyFont="1" applyFill="1" applyAlignment="1">
      <alignment horizontal="right" vertical="center" wrapText="1"/>
    </xf>
    <xf numFmtId="0" fontId="19" fillId="8" borderId="5" xfId="0" applyFont="1" applyFill="1" applyBorder="1"/>
    <xf numFmtId="1" fontId="19" fillId="8" borderId="0" xfId="0" applyNumberFormat="1" applyFont="1" applyFill="1" applyAlignment="1">
      <alignment horizontal="right" vertical="center" wrapText="1"/>
    </xf>
    <xf numFmtId="0" fontId="0" fillId="0" borderId="12" xfId="0" applyBorder="1"/>
    <xf numFmtId="0" fontId="12" fillId="8" borderId="5" xfId="0" applyFont="1" applyFill="1" applyBorder="1" applyAlignment="1">
      <alignment vertical="center" wrapText="1"/>
    </xf>
    <xf numFmtId="0" fontId="12" fillId="8" borderId="5" xfId="0" applyFont="1" applyFill="1" applyBorder="1" applyAlignment="1">
      <alignment horizontal="right" vertical="center" wrapText="1"/>
    </xf>
    <xf numFmtId="1" fontId="12" fillId="8" borderId="5" xfId="0" applyNumberFormat="1" applyFont="1" applyFill="1" applyBorder="1" applyAlignment="1">
      <alignment horizontal="right" vertical="center" wrapText="1"/>
    </xf>
    <xf numFmtId="0" fontId="16" fillId="2" borderId="4" xfId="0" applyFont="1" applyFill="1" applyBorder="1" applyAlignment="1">
      <alignment horizontal="right" vertical="center" wrapText="1"/>
    </xf>
    <xf numFmtId="0" fontId="19" fillId="8" borderId="8" xfId="0" applyFont="1" applyFill="1" applyBorder="1" applyAlignment="1">
      <alignment horizontal="right" vertical="center" wrapText="1"/>
    </xf>
    <xf numFmtId="0" fontId="9" fillId="8" borderId="4" xfId="0" applyFont="1" applyFill="1" applyBorder="1"/>
    <xf numFmtId="0" fontId="11" fillId="8" borderId="3" xfId="0" applyFont="1" applyFill="1" applyBorder="1" applyAlignment="1">
      <alignment vertical="center" wrapText="1"/>
    </xf>
    <xf numFmtId="0" fontId="13" fillId="8" borderId="0" xfId="0" applyFont="1" applyFill="1" applyAlignment="1">
      <alignment vertical="center" wrapText="1"/>
    </xf>
    <xf numFmtId="0" fontId="14" fillId="8" borderId="14" xfId="0" applyFont="1" applyFill="1" applyBorder="1" applyAlignment="1">
      <alignment vertical="center" wrapText="1"/>
    </xf>
    <xf numFmtId="0" fontId="17" fillId="8" borderId="8" xfId="0" applyFont="1" applyFill="1" applyBorder="1"/>
    <xf numFmtId="0" fontId="17" fillId="8" borderId="0" xfId="0" applyFont="1" applyFill="1"/>
    <xf numFmtId="0" fontId="16" fillId="11" borderId="4" xfId="0" applyFont="1" applyFill="1" applyBorder="1" applyAlignment="1">
      <alignment horizontal="right" vertical="center" wrapText="1"/>
    </xf>
    <xf numFmtId="0" fontId="23" fillId="11" borderId="4" xfId="0" applyFont="1" applyFill="1" applyBorder="1" applyAlignment="1">
      <alignment vertical="center" wrapText="1"/>
    </xf>
    <xf numFmtId="0" fontId="24" fillId="3" borderId="8" xfId="0" applyFont="1" applyFill="1" applyBorder="1" applyAlignment="1">
      <alignment vertical="center"/>
    </xf>
    <xf numFmtId="0" fontId="24" fillId="3" borderId="6" xfId="0" applyFont="1" applyFill="1" applyBorder="1" applyAlignment="1">
      <alignment vertical="center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28" fillId="0" borderId="8" xfId="0" applyFont="1" applyBorder="1"/>
    <xf numFmtId="0" fontId="28" fillId="8" borderId="0" xfId="0" applyFont="1" applyFill="1"/>
    <xf numFmtId="0" fontId="25" fillId="8" borderId="0" xfId="0" applyFont="1" applyFill="1" applyAlignment="1">
      <alignment vertical="center"/>
    </xf>
    <xf numFmtId="0" fontId="2" fillId="8" borderId="13" xfId="0" applyFont="1" applyFill="1" applyBorder="1" applyAlignment="1">
      <alignment vertical="center"/>
    </xf>
    <xf numFmtId="0" fontId="17" fillId="0" borderId="0" xfId="0" applyFont="1"/>
    <xf numFmtId="0" fontId="4" fillId="8" borderId="0" xfId="0" applyFont="1" applyFill="1"/>
    <xf numFmtId="0" fontId="29" fillId="0" borderId="0" xfId="0" applyFont="1"/>
    <xf numFmtId="0" fontId="16" fillId="6" borderId="3" xfId="0" applyFont="1" applyFill="1" applyBorder="1" applyAlignment="1">
      <alignment vertical="center" wrapText="1"/>
    </xf>
    <xf numFmtId="0" fontId="16" fillId="6" borderId="4" xfId="0" applyFont="1" applyFill="1" applyBorder="1" applyAlignment="1">
      <alignment vertical="center" wrapText="1"/>
    </xf>
    <xf numFmtId="0" fontId="16" fillId="16" borderId="4" xfId="0" applyFont="1" applyFill="1" applyBorder="1" applyAlignment="1">
      <alignment horizontal="right" vertical="center" wrapText="1"/>
    </xf>
    <xf numFmtId="0" fontId="16" fillId="6" borderId="4" xfId="0" applyFont="1" applyFill="1" applyBorder="1" applyAlignment="1">
      <alignment horizontal="right" vertical="center" wrapText="1"/>
    </xf>
    <xf numFmtId="0" fontId="14" fillId="6" borderId="4" xfId="0" applyFont="1" applyFill="1" applyBorder="1" applyAlignment="1">
      <alignment horizontal="right" vertical="center" wrapText="1"/>
    </xf>
    <xf numFmtId="0" fontId="31" fillId="3" borderId="4" xfId="0" applyFont="1" applyFill="1" applyBorder="1" applyAlignment="1">
      <alignment horizontal="right" vertical="center" wrapText="1"/>
    </xf>
    <xf numFmtId="0" fontId="31" fillId="11" borderId="4" xfId="0" applyFont="1" applyFill="1" applyBorder="1" applyAlignment="1">
      <alignment horizontal="right" vertical="center" wrapText="1"/>
    </xf>
    <xf numFmtId="0" fontId="9" fillId="8" borderId="4" xfId="0" applyFont="1" applyFill="1" applyBorder="1" applyAlignment="1">
      <alignment horizontal="right" vertical="center" wrapText="1"/>
    </xf>
    <xf numFmtId="0" fontId="19" fillId="8" borderId="0" xfId="0" applyFont="1" applyFill="1" applyAlignment="1">
      <alignment horizontal="left" vertical="center" wrapText="1"/>
    </xf>
    <xf numFmtId="0" fontId="0" fillId="0" borderId="0" xfId="0" applyAlignment="1">
      <alignment horizontal="left"/>
    </xf>
    <xf numFmtId="1" fontId="30" fillId="8" borderId="0" xfId="0" applyNumberFormat="1" applyFont="1" applyFill="1" applyAlignment="1">
      <alignment horizontal="right" vertical="center" wrapText="1"/>
    </xf>
    <xf numFmtId="0" fontId="30" fillId="8" borderId="0" xfId="0" applyFont="1" applyFill="1" applyAlignment="1">
      <alignment horizontal="right" vertical="center" wrapText="1"/>
    </xf>
    <xf numFmtId="0" fontId="9" fillId="8" borderId="3" xfId="0" applyFont="1" applyFill="1" applyBorder="1" applyAlignment="1">
      <alignment horizontal="right" vertical="center" wrapText="1"/>
    </xf>
    <xf numFmtId="0" fontId="20" fillId="2" borderId="3" xfId="0" applyFont="1" applyFill="1" applyBorder="1" applyAlignment="1">
      <alignment horizontal="right" vertical="center" wrapText="1"/>
    </xf>
    <xf numFmtId="0" fontId="20" fillId="2" borderId="1" xfId="0" applyFont="1" applyFill="1" applyBorder="1" applyAlignment="1">
      <alignment vertical="center" wrapText="1"/>
    </xf>
    <xf numFmtId="0" fontId="1" fillId="8" borderId="0" xfId="0" applyFont="1" applyFill="1" applyAlignment="1">
      <alignment horizontal="center" vertical="center" wrapText="1"/>
    </xf>
    <xf numFmtId="0" fontId="11" fillId="8" borderId="0" xfId="0" applyFont="1" applyFill="1" applyAlignment="1">
      <alignment horizontal="right" vertical="center" wrapText="1"/>
    </xf>
    <xf numFmtId="1" fontId="11" fillId="8" borderId="0" xfId="0" applyNumberFormat="1" applyFont="1" applyFill="1" applyAlignment="1">
      <alignment horizontal="right" vertical="center" wrapText="1"/>
    </xf>
    <xf numFmtId="0" fontId="14" fillId="8" borderId="0" xfId="0" applyFont="1" applyFill="1" applyAlignment="1">
      <alignment horizontal="right" vertical="center" wrapText="1"/>
    </xf>
    <xf numFmtId="1" fontId="14" fillId="8" borderId="0" xfId="0" applyNumberFormat="1" applyFont="1" applyFill="1" applyAlignment="1">
      <alignment horizontal="right" vertical="center" wrapText="1"/>
    </xf>
    <xf numFmtId="0" fontId="14" fillId="3" borderId="3" xfId="0" applyFont="1" applyFill="1" applyBorder="1" applyAlignment="1">
      <alignment horizontal="right" vertical="center" wrapText="1"/>
    </xf>
    <xf numFmtId="0" fontId="13" fillId="3" borderId="3" xfId="0" applyFont="1" applyFill="1" applyBorder="1" applyAlignment="1">
      <alignment vertical="center" wrapText="1"/>
    </xf>
    <xf numFmtId="0" fontId="13" fillId="3" borderId="4" xfId="0" applyFont="1" applyFill="1" applyBorder="1" applyAlignment="1">
      <alignment horizontal="right" vertical="center" wrapText="1"/>
    </xf>
    <xf numFmtId="1" fontId="13" fillId="3" borderId="4" xfId="0" applyNumberFormat="1" applyFont="1" applyFill="1" applyBorder="1" applyAlignment="1">
      <alignment horizontal="right" vertical="center" wrapText="1"/>
    </xf>
    <xf numFmtId="0" fontId="13" fillId="3" borderId="3" xfId="0" applyFont="1" applyFill="1" applyBorder="1" applyAlignment="1">
      <alignment horizontal="right" vertical="center" wrapText="1"/>
    </xf>
    <xf numFmtId="0" fontId="13" fillId="3" borderId="1" xfId="0" applyFont="1" applyFill="1" applyBorder="1" applyAlignment="1">
      <alignment vertical="center" wrapText="1"/>
    </xf>
    <xf numFmtId="0" fontId="3" fillId="3" borderId="1" xfId="0" applyFont="1" applyFill="1" applyBorder="1"/>
    <xf numFmtId="0" fontId="13" fillId="3" borderId="1" xfId="0" applyFont="1" applyFill="1" applyBorder="1" applyAlignment="1">
      <alignment horizontal="right" vertical="center" wrapText="1"/>
    </xf>
    <xf numFmtId="0" fontId="24" fillId="3" borderId="9" xfId="0" applyFont="1" applyFill="1" applyBorder="1" applyAlignment="1">
      <alignment vertical="center"/>
    </xf>
    <xf numFmtId="0" fontId="14" fillId="9" borderId="4" xfId="0" applyFont="1" applyFill="1" applyBorder="1" applyAlignment="1">
      <alignment horizontal="right" vertical="center" wrapText="1"/>
    </xf>
    <xf numFmtId="0" fontId="14" fillId="9" borderId="1" xfId="0" applyFont="1" applyFill="1" applyBorder="1" applyAlignment="1">
      <alignment horizontal="right" vertical="center" wrapText="1"/>
    </xf>
    <xf numFmtId="1" fontId="14" fillId="9" borderId="4" xfId="0" applyNumberFormat="1" applyFont="1" applyFill="1" applyBorder="1" applyAlignment="1">
      <alignment horizontal="right" vertical="center" wrapText="1"/>
    </xf>
    <xf numFmtId="0" fontId="14" fillId="9" borderId="10" xfId="0" applyFont="1" applyFill="1" applyBorder="1" applyAlignment="1">
      <alignment vertical="center" wrapText="1"/>
    </xf>
    <xf numFmtId="0" fontId="14" fillId="3" borderId="11" xfId="0" applyFont="1" applyFill="1" applyBorder="1"/>
    <xf numFmtId="0" fontId="4" fillId="3" borderId="1" xfId="0" applyFont="1" applyFill="1" applyBorder="1"/>
    <xf numFmtId="1" fontId="14" fillId="9" borderId="1" xfId="0" applyNumberFormat="1" applyFont="1" applyFill="1" applyBorder="1" applyAlignment="1">
      <alignment horizontal="right" vertical="center" wrapText="1"/>
    </xf>
    <xf numFmtId="0" fontId="14" fillId="9" borderId="3" xfId="0" applyFont="1" applyFill="1" applyBorder="1" applyAlignment="1">
      <alignment horizontal="right" vertical="center" wrapText="1"/>
    </xf>
    <xf numFmtId="0" fontId="1" fillId="8" borderId="13" xfId="0" applyFont="1" applyFill="1" applyBorder="1" applyAlignment="1">
      <alignment horizontal="center" vertical="center" wrapText="1"/>
    </xf>
    <xf numFmtId="0" fontId="0" fillId="0" borderId="13" xfId="0" applyBorder="1"/>
    <xf numFmtId="0" fontId="16" fillId="3" borderId="3" xfId="0" applyFont="1" applyFill="1" applyBorder="1" applyAlignment="1">
      <alignment horizontal="right" vertical="center" wrapText="1"/>
    </xf>
    <xf numFmtId="0" fontId="0" fillId="0" borderId="1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7" fillId="10" borderId="1" xfId="0" applyFont="1" applyFill="1" applyBorder="1" applyAlignment="1">
      <alignment vertical="center" wrapText="1"/>
    </xf>
    <xf numFmtId="0" fontId="34" fillId="0" borderId="0" xfId="0" applyFont="1"/>
    <xf numFmtId="0" fontId="34" fillId="0" borderId="8" xfId="0" applyFont="1" applyBorder="1"/>
    <xf numFmtId="0" fontId="34" fillId="8" borderId="0" xfId="0" applyFont="1" applyFill="1"/>
    <xf numFmtId="0" fontId="9" fillId="8" borderId="1" xfId="0" applyFont="1" applyFill="1" applyBorder="1" applyAlignment="1">
      <alignment horizontal="right" vertical="center" wrapText="1"/>
    </xf>
    <xf numFmtId="14" fontId="16" fillId="2" borderId="3" xfId="0" applyNumberFormat="1" applyFont="1" applyFill="1" applyBorder="1" applyAlignment="1">
      <alignment horizontal="left" vertical="center" wrapText="1"/>
    </xf>
    <xf numFmtId="14" fontId="11" fillId="8" borderId="3" xfId="0" applyNumberFormat="1" applyFont="1" applyFill="1" applyBorder="1" applyAlignment="1">
      <alignment horizontal="left" vertical="center" wrapText="1"/>
    </xf>
    <xf numFmtId="14" fontId="17" fillId="8" borderId="1" xfId="0" applyNumberFormat="1" applyFont="1" applyFill="1" applyBorder="1" applyAlignment="1">
      <alignment horizontal="left" vertical="center" wrapText="1"/>
    </xf>
    <xf numFmtId="0" fontId="9" fillId="8" borderId="2" xfId="0" applyFont="1" applyFill="1" applyBorder="1" applyAlignment="1">
      <alignment horizontal="right" vertical="center" wrapText="1"/>
    </xf>
    <xf numFmtId="0" fontId="0" fillId="0" borderId="5" xfId="0" applyBorder="1"/>
    <xf numFmtId="0" fontId="16" fillId="8" borderId="11" xfId="0" applyFont="1" applyFill="1" applyBorder="1" applyAlignment="1">
      <alignment vertical="center" wrapText="1"/>
    </xf>
    <xf numFmtId="0" fontId="14" fillId="18" borderId="4" xfId="0" applyFont="1" applyFill="1" applyBorder="1" applyAlignment="1">
      <alignment horizontal="right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32" fillId="8" borderId="9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horizontal="right" vertical="center" wrapText="1"/>
    </xf>
    <xf numFmtId="0" fontId="16" fillId="2" borderId="1" xfId="0" applyFont="1" applyFill="1" applyBorder="1" applyAlignment="1">
      <alignment horizontal="right" vertical="center" wrapText="1"/>
    </xf>
    <xf numFmtId="1" fontId="16" fillId="2" borderId="1" xfId="0" applyNumberFormat="1" applyFont="1" applyFill="1" applyBorder="1" applyAlignment="1">
      <alignment horizontal="right" vertical="center" wrapText="1"/>
    </xf>
    <xf numFmtId="1" fontId="17" fillId="8" borderId="0" xfId="0" applyNumberFormat="1" applyFont="1" applyFill="1" applyAlignment="1">
      <alignment horizontal="right" vertical="center" wrapText="1"/>
    </xf>
    <xf numFmtId="0" fontId="17" fillId="8" borderId="8" xfId="0" applyFont="1" applyFill="1" applyBorder="1" applyAlignment="1">
      <alignment horizontal="right" vertical="center" wrapText="1"/>
    </xf>
    <xf numFmtId="0" fontId="17" fillId="8" borderId="0" xfId="0" applyFont="1" applyFill="1" applyAlignment="1">
      <alignment horizontal="right" vertical="center" wrapText="1"/>
    </xf>
    <xf numFmtId="0" fontId="6" fillId="8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9" fillId="4" borderId="14" xfId="0" applyFont="1" applyFill="1" applyBorder="1" applyAlignment="1">
      <alignment horizontal="right" vertical="center" wrapText="1"/>
    </xf>
    <xf numFmtId="0" fontId="16" fillId="20" borderId="4" xfId="0" applyFont="1" applyFill="1" applyBorder="1" applyAlignment="1">
      <alignment horizontal="right" vertical="center" wrapText="1"/>
    </xf>
    <xf numFmtId="0" fontId="36" fillId="20" borderId="3" xfId="0" applyFont="1" applyFill="1" applyBorder="1" applyAlignment="1">
      <alignment vertical="center" wrapText="1"/>
    </xf>
    <xf numFmtId="0" fontId="36" fillId="16" borderId="3" xfId="0" applyFont="1" applyFill="1" applyBorder="1" applyAlignment="1">
      <alignment vertical="center" wrapText="1"/>
    </xf>
    <xf numFmtId="0" fontId="37" fillId="0" borderId="8" xfId="0" applyFont="1" applyBorder="1"/>
    <xf numFmtId="0" fontId="37" fillId="8" borderId="0" xfId="0" applyFont="1" applyFill="1"/>
    <xf numFmtId="0" fontId="36" fillId="20" borderId="4" xfId="0" applyFont="1" applyFill="1" applyBorder="1" applyAlignment="1">
      <alignment horizontal="right" vertical="center" wrapText="1"/>
    </xf>
    <xf numFmtId="1" fontId="36" fillId="20" borderId="4" xfId="0" applyNumberFormat="1" applyFont="1" applyFill="1" applyBorder="1" applyAlignment="1">
      <alignment horizontal="right" vertical="center" wrapText="1"/>
    </xf>
    <xf numFmtId="0" fontId="36" fillId="20" borderId="1" xfId="0" applyFont="1" applyFill="1" applyBorder="1" applyAlignment="1">
      <alignment horizontal="right" vertical="center" wrapText="1"/>
    </xf>
    <xf numFmtId="0" fontId="36" fillId="20" borderId="3" xfId="0" applyFont="1" applyFill="1" applyBorder="1" applyAlignment="1">
      <alignment horizontal="right" vertical="center" wrapText="1"/>
    </xf>
    <xf numFmtId="14" fontId="36" fillId="20" borderId="3" xfId="0" applyNumberFormat="1" applyFont="1" applyFill="1" applyBorder="1" applyAlignment="1">
      <alignment horizontal="left" vertical="center" wrapText="1"/>
    </xf>
    <xf numFmtId="0" fontId="9" fillId="8" borderId="13" xfId="0" applyFont="1" applyFill="1" applyBorder="1"/>
    <xf numFmtId="0" fontId="0" fillId="0" borderId="8" xfId="0" applyBorder="1" applyAlignment="1">
      <alignment vertical="center" wrapText="1"/>
    </xf>
    <xf numFmtId="0" fontId="0" fillId="0" borderId="14" xfId="0" applyBorder="1"/>
    <xf numFmtId="0" fontId="9" fillId="4" borderId="3" xfId="0" applyFont="1" applyFill="1" applyBorder="1" applyAlignment="1">
      <alignment horizontal="right" vertical="center" wrapText="1"/>
    </xf>
    <xf numFmtId="0" fontId="39" fillId="20" borderId="4" xfId="0" applyFont="1" applyFill="1" applyBorder="1" applyAlignment="1">
      <alignment horizontal="right" vertical="center" wrapText="1"/>
    </xf>
    <xf numFmtId="0" fontId="39" fillId="16" borderId="4" xfId="0" applyFont="1" applyFill="1" applyBorder="1" applyAlignment="1">
      <alignment horizontal="right" vertical="center" wrapText="1"/>
    </xf>
    <xf numFmtId="0" fontId="16" fillId="6" borderId="2" xfId="0" applyFont="1" applyFill="1" applyBorder="1" applyAlignment="1">
      <alignment horizontal="right" vertical="center" wrapText="1"/>
    </xf>
    <xf numFmtId="0" fontId="14" fillId="3" borderId="1" xfId="0" applyFont="1" applyFill="1" applyBorder="1" applyAlignment="1">
      <alignment vertical="center" wrapText="1"/>
    </xf>
    <xf numFmtId="0" fontId="14" fillId="3" borderId="2" xfId="0" applyFont="1" applyFill="1" applyBorder="1" applyAlignment="1">
      <alignment horizontal="right" vertical="center" wrapText="1"/>
    </xf>
    <xf numFmtId="0" fontId="16" fillId="3" borderId="2" xfId="0" applyFont="1" applyFill="1" applyBorder="1" applyAlignment="1">
      <alignment horizontal="right" vertical="center" wrapText="1"/>
    </xf>
    <xf numFmtId="0" fontId="14" fillId="6" borderId="2" xfId="0" applyFont="1" applyFill="1" applyBorder="1" applyAlignment="1">
      <alignment horizontal="right" vertical="center" wrapText="1"/>
    </xf>
    <xf numFmtId="0" fontId="36" fillId="20" borderId="1" xfId="0" applyFont="1" applyFill="1" applyBorder="1" applyAlignment="1">
      <alignment vertical="center" wrapText="1"/>
    </xf>
    <xf numFmtId="0" fontId="39" fillId="20" borderId="2" xfId="0" applyFont="1" applyFill="1" applyBorder="1" applyAlignment="1">
      <alignment horizontal="right" vertical="center" wrapText="1"/>
    </xf>
    <xf numFmtId="0" fontId="16" fillId="20" borderId="2" xfId="0" applyFont="1" applyFill="1" applyBorder="1" applyAlignment="1">
      <alignment horizontal="right" vertical="center" wrapText="1"/>
    </xf>
    <xf numFmtId="0" fontId="36" fillId="16" borderId="2" xfId="0" applyFont="1" applyFill="1" applyBorder="1" applyAlignment="1">
      <alignment vertical="center" wrapText="1"/>
    </xf>
    <xf numFmtId="0" fontId="39" fillId="16" borderId="2" xfId="0" applyFont="1" applyFill="1" applyBorder="1" applyAlignment="1">
      <alignment horizontal="right" vertical="center" wrapText="1"/>
    </xf>
    <xf numFmtId="0" fontId="16" fillId="16" borderId="2" xfId="0" applyFont="1" applyFill="1" applyBorder="1" applyAlignment="1">
      <alignment horizontal="right" vertical="center" wrapText="1"/>
    </xf>
    <xf numFmtId="0" fontId="31" fillId="11" borderId="2" xfId="0" applyFont="1" applyFill="1" applyBorder="1" applyAlignment="1">
      <alignment horizontal="right" vertical="center" wrapText="1"/>
    </xf>
    <xf numFmtId="0" fontId="16" fillId="11" borderId="2" xfId="0" applyFont="1" applyFill="1" applyBorder="1" applyAlignment="1">
      <alignment horizontal="right" vertical="center" wrapText="1"/>
    </xf>
    <xf numFmtId="0" fontId="23" fillId="3" borderId="2" xfId="0" applyFont="1" applyFill="1" applyBorder="1" applyAlignment="1">
      <alignment horizontal="right" vertical="center" wrapText="1"/>
    </xf>
    <xf numFmtId="0" fontId="23" fillId="3" borderId="1" xfId="0" applyFont="1" applyFill="1" applyBorder="1" applyAlignment="1">
      <alignment vertical="center" wrapText="1"/>
    </xf>
    <xf numFmtId="0" fontId="23" fillId="11" borderId="2" xfId="0" applyFont="1" applyFill="1" applyBorder="1" applyAlignment="1">
      <alignment vertical="center" wrapText="1"/>
    </xf>
    <xf numFmtId="0" fontId="23" fillId="11" borderId="2" xfId="0" applyFont="1" applyFill="1" applyBorder="1" applyAlignment="1">
      <alignment horizontal="right" vertical="center" wrapText="1"/>
    </xf>
    <xf numFmtId="0" fontId="13" fillId="3" borderId="2" xfId="0" applyFont="1" applyFill="1" applyBorder="1" applyAlignment="1">
      <alignment horizontal="right" vertical="center" wrapText="1"/>
    </xf>
    <xf numFmtId="0" fontId="16" fillId="2" borderId="1" xfId="0" applyFont="1" applyFill="1" applyBorder="1" applyAlignment="1">
      <alignment vertical="center" wrapText="1"/>
    </xf>
    <xf numFmtId="0" fontId="16" fillId="2" borderId="2" xfId="0" applyFont="1" applyFill="1" applyBorder="1" applyAlignment="1">
      <alignment horizontal="right" vertical="center" wrapText="1"/>
    </xf>
    <xf numFmtId="0" fontId="16" fillId="6" borderId="2" xfId="0" applyFont="1" applyFill="1" applyBorder="1" applyAlignment="1">
      <alignment vertical="center" wrapText="1"/>
    </xf>
    <xf numFmtId="0" fontId="14" fillId="18" borderId="2" xfId="0" applyFont="1" applyFill="1" applyBorder="1" applyAlignment="1">
      <alignment horizontal="right" vertical="center" wrapText="1"/>
    </xf>
    <xf numFmtId="0" fontId="16" fillId="3" borderId="1" xfId="0" applyFont="1" applyFill="1" applyBorder="1" applyAlignment="1">
      <alignment vertical="center" wrapText="1"/>
    </xf>
    <xf numFmtId="0" fontId="31" fillId="3" borderId="2" xfId="0" applyFont="1" applyFill="1" applyBorder="1" applyAlignment="1">
      <alignment horizontal="right" vertical="center" wrapText="1"/>
    </xf>
    <xf numFmtId="0" fontId="13" fillId="18" borderId="1" xfId="0" applyFont="1" applyFill="1" applyBorder="1" applyAlignment="1">
      <alignment vertical="center" wrapText="1"/>
    </xf>
    <xf numFmtId="0" fontId="13" fillId="18" borderId="3" xfId="0" applyFont="1" applyFill="1" applyBorder="1" applyAlignment="1">
      <alignment vertical="center" wrapText="1"/>
    </xf>
    <xf numFmtId="0" fontId="13" fillId="22" borderId="2" xfId="0" applyFont="1" applyFill="1" applyBorder="1" applyAlignment="1">
      <alignment vertical="center" wrapText="1"/>
    </xf>
    <xf numFmtId="0" fontId="14" fillId="22" borderId="2" xfId="0" applyFont="1" applyFill="1" applyBorder="1" applyAlignment="1">
      <alignment horizontal="right" vertical="center" wrapText="1"/>
    </xf>
    <xf numFmtId="0" fontId="13" fillId="22" borderId="4" xfId="0" applyFont="1" applyFill="1" applyBorder="1" applyAlignment="1">
      <alignment vertical="center" wrapText="1"/>
    </xf>
    <xf numFmtId="0" fontId="14" fillId="22" borderId="4" xfId="0" applyFont="1" applyFill="1" applyBorder="1" applyAlignment="1">
      <alignment horizontal="right" vertical="center" wrapText="1"/>
    </xf>
    <xf numFmtId="0" fontId="13" fillId="22" borderId="3" xfId="0" applyFont="1" applyFill="1" applyBorder="1" applyAlignment="1">
      <alignment vertical="center" wrapText="1"/>
    </xf>
    <xf numFmtId="0" fontId="13" fillId="18" borderId="2" xfId="0" applyFont="1" applyFill="1" applyBorder="1" applyAlignment="1">
      <alignment horizontal="right" vertical="center" wrapText="1"/>
    </xf>
    <xf numFmtId="0" fontId="13" fillId="18" borderId="4" xfId="0" applyFont="1" applyFill="1" applyBorder="1" applyAlignment="1">
      <alignment horizontal="right" vertical="center" wrapText="1"/>
    </xf>
    <xf numFmtId="0" fontId="13" fillId="22" borderId="2" xfId="0" applyFont="1" applyFill="1" applyBorder="1" applyAlignment="1">
      <alignment horizontal="right" vertical="center" wrapText="1"/>
    </xf>
    <xf numFmtId="0" fontId="13" fillId="22" borderId="4" xfId="0" applyFont="1" applyFill="1" applyBorder="1" applyAlignment="1">
      <alignment horizontal="right" vertical="center" wrapText="1"/>
    </xf>
    <xf numFmtId="1" fontId="13" fillId="18" borderId="4" xfId="0" applyNumberFormat="1" applyFont="1" applyFill="1" applyBorder="1" applyAlignment="1">
      <alignment horizontal="right" vertical="center" wrapText="1"/>
    </xf>
    <xf numFmtId="0" fontId="13" fillId="18" borderId="16" xfId="0" applyFont="1" applyFill="1" applyBorder="1" applyAlignment="1">
      <alignment horizontal="right" vertical="center" wrapText="1"/>
    </xf>
    <xf numFmtId="1" fontId="13" fillId="18" borderId="16" xfId="0" applyNumberFormat="1" applyFont="1" applyFill="1" applyBorder="1" applyAlignment="1">
      <alignment horizontal="right" vertical="center" wrapText="1"/>
    </xf>
    <xf numFmtId="0" fontId="13" fillId="18" borderId="15" xfId="0" applyFont="1" applyFill="1" applyBorder="1" applyAlignment="1">
      <alignment horizontal="right" vertical="center" wrapText="1"/>
    </xf>
    <xf numFmtId="0" fontId="13" fillId="18" borderId="1" xfId="0" applyFont="1" applyFill="1" applyBorder="1" applyAlignment="1">
      <alignment horizontal="right" vertical="center" wrapText="1"/>
    </xf>
    <xf numFmtId="1" fontId="13" fillId="18" borderId="2" xfId="0" applyNumberFormat="1" applyFont="1" applyFill="1" applyBorder="1" applyAlignment="1">
      <alignment horizontal="right" vertical="center" wrapText="1"/>
    </xf>
    <xf numFmtId="0" fontId="13" fillId="18" borderId="3" xfId="0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1" fillId="8" borderId="8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vertical="center" wrapText="1"/>
    </xf>
    <xf numFmtId="0" fontId="11" fillId="4" borderId="3" xfId="0" applyFont="1" applyFill="1" applyBorder="1" applyAlignment="1">
      <alignment vertical="top" wrapText="1"/>
    </xf>
    <xf numFmtId="0" fontId="7" fillId="10" borderId="2" xfId="0" applyFont="1" applyFill="1" applyBorder="1" applyAlignment="1">
      <alignment vertical="center" wrapText="1"/>
    </xf>
    <xf numFmtId="0" fontId="9" fillId="8" borderId="0" xfId="0" applyFont="1" applyFill="1"/>
    <xf numFmtId="0" fontId="14" fillId="8" borderId="13" xfId="0" applyFont="1" applyFill="1" applyBorder="1" applyAlignment="1">
      <alignment horizontal="right" vertical="center" wrapText="1"/>
    </xf>
    <xf numFmtId="0" fontId="9" fillId="8" borderId="14" xfId="0" applyFont="1" applyFill="1" applyBorder="1" applyAlignment="1">
      <alignment horizontal="right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right" vertical="center" wrapText="1"/>
    </xf>
    <xf numFmtId="0" fontId="14" fillId="2" borderId="4" xfId="0" applyFont="1" applyFill="1" applyBorder="1" applyAlignment="1">
      <alignment horizontal="right" vertical="center" wrapText="1"/>
    </xf>
    <xf numFmtId="0" fontId="38" fillId="8" borderId="0" xfId="0" applyFont="1" applyFill="1" applyAlignment="1">
      <alignment horizontal="right" vertical="center" wrapText="1"/>
    </xf>
    <xf numFmtId="1" fontId="38" fillId="8" borderId="0" xfId="0" applyNumberFormat="1" applyFont="1" applyFill="1" applyAlignment="1">
      <alignment horizontal="right" vertical="center" wrapText="1"/>
    </xf>
    <xf numFmtId="0" fontId="39" fillId="11" borderId="2" xfId="0" applyFont="1" applyFill="1" applyBorder="1" applyAlignment="1">
      <alignment horizontal="right" vertical="center" wrapText="1"/>
    </xf>
    <xf numFmtId="0" fontId="39" fillId="11" borderId="4" xfId="0" applyFont="1" applyFill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14" fontId="16" fillId="3" borderId="3" xfId="0" applyNumberFormat="1" applyFont="1" applyFill="1" applyBorder="1" applyAlignment="1">
      <alignment horizontal="left" vertical="center" wrapText="1"/>
    </xf>
    <xf numFmtId="0" fontId="16" fillId="8" borderId="0" xfId="0" applyFont="1" applyFill="1"/>
    <xf numFmtId="0" fontId="39" fillId="3" borderId="2" xfId="0" applyFont="1" applyFill="1" applyBorder="1" applyAlignment="1">
      <alignment horizontal="right" vertical="center" wrapText="1"/>
    </xf>
    <xf numFmtId="0" fontId="39" fillId="3" borderId="4" xfId="0" applyFont="1" applyFill="1" applyBorder="1" applyAlignment="1">
      <alignment horizontal="right" vertical="center" wrapText="1"/>
    </xf>
    <xf numFmtId="0" fontId="39" fillId="21" borderId="2" xfId="0" applyFont="1" applyFill="1" applyBorder="1" applyAlignment="1">
      <alignment horizontal="right" vertical="center" wrapText="1"/>
    </xf>
    <xf numFmtId="0" fontId="39" fillId="21" borderId="4" xfId="0" applyFont="1" applyFill="1" applyBorder="1" applyAlignment="1">
      <alignment horizontal="right" vertical="center" wrapText="1"/>
    </xf>
    <xf numFmtId="14" fontId="14" fillId="3" borderId="3" xfId="0" applyNumberFormat="1" applyFont="1" applyFill="1" applyBorder="1" applyAlignment="1">
      <alignment horizontal="left" vertical="center" wrapText="1"/>
    </xf>
    <xf numFmtId="0" fontId="9" fillId="8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41" fillId="0" borderId="0" xfId="0" applyFont="1"/>
    <xf numFmtId="1" fontId="12" fillId="8" borderId="0" xfId="0" applyNumberFormat="1" applyFont="1" applyFill="1" applyAlignment="1">
      <alignment horizontal="right" vertical="center" wrapText="1"/>
    </xf>
    <xf numFmtId="1" fontId="12" fillId="8" borderId="14" xfId="0" applyNumberFormat="1" applyFont="1" applyFill="1" applyBorder="1" applyAlignment="1">
      <alignment horizontal="right" vertical="center" wrapText="1"/>
    </xf>
    <xf numFmtId="0" fontId="12" fillId="8" borderId="14" xfId="0" applyFont="1" applyFill="1" applyBorder="1" applyAlignment="1">
      <alignment horizontal="right" vertical="center" wrapText="1"/>
    </xf>
    <xf numFmtId="1" fontId="12" fillId="8" borderId="13" xfId="0" applyNumberFormat="1" applyFont="1" applyFill="1" applyBorder="1" applyAlignment="1">
      <alignment horizontal="right" vertical="center" wrapText="1"/>
    </xf>
    <xf numFmtId="0" fontId="36" fillId="16" borderId="4" xfId="0" applyFont="1" applyFill="1" applyBorder="1" applyAlignment="1">
      <alignment vertical="center" wrapText="1"/>
    </xf>
    <xf numFmtId="0" fontId="13" fillId="23" borderId="1" xfId="0" applyFont="1" applyFill="1" applyBorder="1" applyAlignment="1">
      <alignment vertical="center" wrapText="1"/>
    </xf>
    <xf numFmtId="0" fontId="27" fillId="23" borderId="2" xfId="0" applyFont="1" applyFill="1" applyBorder="1" applyAlignment="1">
      <alignment horizontal="right" vertical="center" wrapText="1"/>
    </xf>
    <xf numFmtId="0" fontId="16" fillId="23" borderId="2" xfId="0" applyFont="1" applyFill="1" applyBorder="1" applyAlignment="1">
      <alignment horizontal="right" vertical="center" wrapText="1"/>
    </xf>
    <xf numFmtId="0" fontId="13" fillId="23" borderId="3" xfId="0" applyFont="1" applyFill="1" applyBorder="1" applyAlignment="1">
      <alignment vertical="center" wrapText="1"/>
    </xf>
    <xf numFmtId="0" fontId="27" fillId="23" borderId="4" xfId="0" applyFont="1" applyFill="1" applyBorder="1" applyAlignment="1">
      <alignment horizontal="right" vertical="center" wrapText="1"/>
    </xf>
    <xf numFmtId="0" fontId="16" fillId="23" borderId="4" xfId="0" applyFont="1" applyFill="1" applyBorder="1" applyAlignment="1">
      <alignment horizontal="right" vertical="center" wrapText="1"/>
    </xf>
    <xf numFmtId="0" fontId="13" fillId="23" borderId="16" xfId="0" applyFont="1" applyFill="1" applyBorder="1" applyAlignment="1">
      <alignment horizontal="right" vertical="center" wrapText="1"/>
    </xf>
    <xf numFmtId="0" fontId="13" fillId="23" borderId="1" xfId="0" applyFont="1" applyFill="1" applyBorder="1" applyAlignment="1">
      <alignment horizontal="right" vertical="center" wrapText="1"/>
    </xf>
    <xf numFmtId="0" fontId="13" fillId="23" borderId="2" xfId="0" applyFont="1" applyFill="1" applyBorder="1" applyAlignment="1">
      <alignment horizontal="right" vertical="center" wrapText="1"/>
    </xf>
    <xf numFmtId="1" fontId="13" fillId="23" borderId="1" xfId="0" applyNumberFormat="1" applyFont="1" applyFill="1" applyBorder="1" applyAlignment="1">
      <alignment horizontal="right" vertical="center" wrapText="1"/>
    </xf>
    <xf numFmtId="0" fontId="13" fillId="23" borderId="4" xfId="0" applyFont="1" applyFill="1" applyBorder="1" applyAlignment="1">
      <alignment horizontal="right" vertical="center" wrapText="1"/>
    </xf>
    <xf numFmtId="1" fontId="13" fillId="23" borderId="4" xfId="0" applyNumberFormat="1" applyFont="1" applyFill="1" applyBorder="1" applyAlignment="1">
      <alignment horizontal="right" vertical="center" wrapText="1"/>
    </xf>
    <xf numFmtId="14" fontId="13" fillId="23" borderId="1" xfId="0" applyNumberFormat="1" applyFont="1" applyFill="1" applyBorder="1" applyAlignment="1">
      <alignment horizontal="left" vertical="center" wrapText="1"/>
    </xf>
    <xf numFmtId="0" fontId="43" fillId="3" borderId="1" xfId="0" applyFont="1" applyFill="1" applyBorder="1" applyAlignment="1">
      <alignment vertical="center" wrapText="1"/>
    </xf>
    <xf numFmtId="0" fontId="43" fillId="3" borderId="3" xfId="0" applyFont="1" applyFill="1" applyBorder="1" applyAlignment="1">
      <alignment vertical="center" wrapText="1"/>
    </xf>
    <xf numFmtId="0" fontId="43" fillId="21" borderId="2" xfId="0" applyFont="1" applyFill="1" applyBorder="1" applyAlignment="1">
      <alignment vertical="center" wrapText="1"/>
    </xf>
    <xf numFmtId="0" fontId="43" fillId="21" borderId="4" xfId="0" applyFont="1" applyFill="1" applyBorder="1" applyAlignment="1">
      <alignment vertical="center" wrapText="1"/>
    </xf>
    <xf numFmtId="0" fontId="43" fillId="21" borderId="3" xfId="0" applyFont="1" applyFill="1" applyBorder="1" applyAlignment="1">
      <alignment vertical="center" wrapText="1"/>
    </xf>
    <xf numFmtId="0" fontId="43" fillId="21" borderId="2" xfId="0" applyFont="1" applyFill="1" applyBorder="1" applyAlignment="1">
      <alignment horizontal="right" vertical="center" wrapText="1"/>
    </xf>
    <xf numFmtId="0" fontId="43" fillId="21" borderId="4" xfId="0" applyFont="1" applyFill="1" applyBorder="1" applyAlignment="1">
      <alignment horizontal="right" vertical="center" wrapText="1"/>
    </xf>
    <xf numFmtId="0" fontId="43" fillId="21" borderId="1" xfId="0" applyFont="1" applyFill="1" applyBorder="1" applyAlignment="1">
      <alignment horizontal="right" vertical="center" wrapText="1"/>
    </xf>
    <xf numFmtId="0" fontId="43" fillId="21" borderId="3" xfId="0" applyFont="1" applyFill="1" applyBorder="1" applyAlignment="1">
      <alignment horizontal="right" vertical="center" wrapText="1"/>
    </xf>
    <xf numFmtId="0" fontId="43" fillId="3" borderId="2" xfId="0" applyFont="1" applyFill="1" applyBorder="1" applyAlignment="1">
      <alignment horizontal="center" vertical="center" wrapText="1"/>
    </xf>
    <xf numFmtId="0" fontId="43" fillId="3" borderId="4" xfId="0" applyFont="1" applyFill="1" applyBorder="1" applyAlignment="1">
      <alignment horizontal="right" vertical="center" wrapText="1"/>
    </xf>
    <xf numFmtId="1" fontId="43" fillId="3" borderId="4" xfId="0" applyNumberFormat="1" applyFont="1" applyFill="1" applyBorder="1" applyAlignment="1">
      <alignment horizontal="right" vertical="center" wrapText="1"/>
    </xf>
    <xf numFmtId="0" fontId="43" fillId="3" borderId="1" xfId="0" applyFont="1" applyFill="1" applyBorder="1" applyAlignment="1">
      <alignment horizontal="right" vertical="center" wrapText="1"/>
    </xf>
    <xf numFmtId="0" fontId="44" fillId="0" borderId="0" xfId="0" applyFont="1"/>
    <xf numFmtId="0" fontId="43" fillId="3" borderId="3" xfId="0" applyFont="1" applyFill="1" applyBorder="1" applyAlignment="1">
      <alignment horizontal="right" vertical="center" wrapText="1"/>
    </xf>
    <xf numFmtId="0" fontId="43" fillId="3" borderId="2" xfId="0" applyFont="1" applyFill="1" applyBorder="1" applyAlignment="1">
      <alignment horizontal="right" vertical="center" wrapText="1"/>
    </xf>
    <xf numFmtId="1" fontId="43" fillId="3" borderId="2" xfId="0" applyNumberFormat="1" applyFont="1" applyFill="1" applyBorder="1" applyAlignment="1">
      <alignment horizontal="right" vertical="center" wrapText="1"/>
    </xf>
    <xf numFmtId="14" fontId="43" fillId="3" borderId="3" xfId="0" applyNumberFormat="1" applyFont="1" applyFill="1" applyBorder="1" applyAlignment="1">
      <alignment horizontal="left" vertical="center" wrapText="1"/>
    </xf>
    <xf numFmtId="0" fontId="1" fillId="8" borderId="9" xfId="0" applyFont="1" applyFill="1" applyBorder="1" applyAlignment="1">
      <alignment horizontal="center" vertical="center" wrapText="1"/>
    </xf>
    <xf numFmtId="0" fontId="45" fillId="0" borderId="0" xfId="0" applyFont="1"/>
    <xf numFmtId="0" fontId="31" fillId="6" borderId="2" xfId="0" applyFont="1" applyFill="1" applyBorder="1" applyAlignment="1">
      <alignment horizontal="right" vertical="center" wrapText="1"/>
    </xf>
    <xf numFmtId="0" fontId="31" fillId="6" borderId="4" xfId="0" applyFont="1" applyFill="1" applyBorder="1" applyAlignment="1">
      <alignment horizontal="right" vertical="center" wrapText="1"/>
    </xf>
    <xf numFmtId="0" fontId="46" fillId="8" borderId="8" xfId="0" applyFont="1" applyFill="1" applyBorder="1" applyAlignment="1">
      <alignment horizontal="right" vertical="center" wrapText="1"/>
    </xf>
    <xf numFmtId="0" fontId="45" fillId="8" borderId="0" xfId="0" applyFont="1" applyFill="1"/>
    <xf numFmtId="0" fontId="45" fillId="0" borderId="8" xfId="0" applyFont="1" applyBorder="1"/>
    <xf numFmtId="0" fontId="31" fillId="23" borderId="2" xfId="0" applyFont="1" applyFill="1" applyBorder="1" applyAlignment="1">
      <alignment horizontal="center" vertical="center" wrapText="1"/>
    </xf>
    <xf numFmtId="0" fontId="31" fillId="23" borderId="4" xfId="0" applyFont="1" applyFill="1" applyBorder="1" applyAlignment="1">
      <alignment horizontal="right" vertical="center" wrapText="1"/>
    </xf>
    <xf numFmtId="0" fontId="45" fillId="8" borderId="8" xfId="0" applyFont="1" applyFill="1" applyBorder="1"/>
    <xf numFmtId="0" fontId="13" fillId="21" borderId="3" xfId="0" applyFont="1" applyFill="1" applyBorder="1" applyAlignment="1">
      <alignment vertical="center" wrapText="1"/>
    </xf>
    <xf numFmtId="0" fontId="31" fillId="21" borderId="4" xfId="0" applyFont="1" applyFill="1" applyBorder="1" applyAlignment="1">
      <alignment horizontal="right" vertical="center" wrapText="1"/>
    </xf>
    <xf numFmtId="0" fontId="27" fillId="21" borderId="4" xfId="0" applyFont="1" applyFill="1" applyBorder="1" applyAlignment="1">
      <alignment horizontal="right" vertical="center" wrapText="1"/>
    </xf>
    <xf numFmtId="0" fontId="16" fillId="21" borderId="4" xfId="0" applyFont="1" applyFill="1" applyBorder="1" applyAlignment="1">
      <alignment horizontal="right" vertical="center" wrapText="1"/>
    </xf>
    <xf numFmtId="0" fontId="13" fillId="21" borderId="1" xfId="0" applyFont="1" applyFill="1" applyBorder="1" applyAlignment="1">
      <alignment vertical="center" wrapText="1"/>
    </xf>
    <xf numFmtId="0" fontId="31" fillId="21" borderId="2" xfId="0" applyFont="1" applyFill="1" applyBorder="1" applyAlignment="1">
      <alignment horizontal="right" vertical="center" wrapText="1"/>
    </xf>
    <xf numFmtId="0" fontId="27" fillId="21" borderId="2" xfId="0" applyFont="1" applyFill="1" applyBorder="1" applyAlignment="1">
      <alignment horizontal="right" vertical="center" wrapText="1"/>
    </xf>
    <xf numFmtId="0" fontId="16" fillId="21" borderId="2" xfId="0" applyFont="1" applyFill="1" applyBorder="1" applyAlignment="1">
      <alignment horizontal="right" vertical="center" wrapText="1"/>
    </xf>
    <xf numFmtId="0" fontId="16" fillId="21" borderId="5" xfId="0" applyFont="1" applyFill="1" applyBorder="1" applyAlignment="1">
      <alignment horizontal="right" vertical="center" wrapText="1"/>
    </xf>
    <xf numFmtId="0" fontId="31" fillId="2" borderId="2" xfId="0" applyFont="1" applyFill="1" applyBorder="1" applyAlignment="1">
      <alignment horizontal="right" vertical="center" wrapText="1"/>
    </xf>
    <xf numFmtId="0" fontId="31" fillId="2" borderId="4" xfId="0" applyFont="1" applyFill="1" applyBorder="1" applyAlignment="1">
      <alignment horizontal="right" vertical="center" wrapText="1"/>
    </xf>
    <xf numFmtId="0" fontId="46" fillId="8" borderId="0" xfId="0" applyFont="1" applyFill="1" applyAlignment="1">
      <alignment vertical="center"/>
    </xf>
    <xf numFmtId="0" fontId="31" fillId="18" borderId="2" xfId="0" applyFont="1" applyFill="1" applyBorder="1" applyAlignment="1">
      <alignment horizontal="right" vertical="center" wrapText="1"/>
    </xf>
    <xf numFmtId="0" fontId="31" fillId="18" borderId="4" xfId="0" applyFont="1" applyFill="1" applyBorder="1" applyAlignment="1">
      <alignment horizontal="right" vertical="center" wrapText="1"/>
    </xf>
    <xf numFmtId="0" fontId="31" fillId="22" borderId="2" xfId="0" applyFont="1" applyFill="1" applyBorder="1" applyAlignment="1">
      <alignment horizontal="right" vertical="center" wrapText="1"/>
    </xf>
    <xf numFmtId="0" fontId="31" fillId="22" borderId="4" xfId="0" applyFont="1" applyFill="1" applyBorder="1" applyAlignment="1">
      <alignment horizontal="right" vertical="center" wrapText="1"/>
    </xf>
    <xf numFmtId="0" fontId="31" fillId="0" borderId="0" xfId="0" applyFont="1"/>
    <xf numFmtId="0" fontId="31" fillId="20" borderId="2" xfId="0" applyFont="1" applyFill="1" applyBorder="1" applyAlignment="1">
      <alignment horizontal="right" vertical="center" wrapText="1"/>
    </xf>
    <xf numFmtId="0" fontId="31" fillId="20" borderId="4" xfId="0" applyFont="1" applyFill="1" applyBorder="1" applyAlignment="1">
      <alignment horizontal="right" vertical="center" wrapText="1"/>
    </xf>
    <xf numFmtId="0" fontId="31" fillId="16" borderId="2" xfId="0" applyFont="1" applyFill="1" applyBorder="1" applyAlignment="1">
      <alignment horizontal="right" vertical="center" wrapText="1"/>
    </xf>
    <xf numFmtId="0" fontId="31" fillId="16" borderId="4" xfId="0" applyFont="1" applyFill="1" applyBorder="1" applyAlignment="1">
      <alignment horizontal="right" vertical="center" wrapText="1"/>
    </xf>
    <xf numFmtId="0" fontId="31" fillId="8" borderId="8" xfId="0" applyFont="1" applyFill="1" applyBorder="1" applyAlignment="1">
      <alignment horizontal="right" vertical="center" wrapText="1"/>
    </xf>
    <xf numFmtId="0" fontId="31" fillId="8" borderId="0" xfId="0" applyFont="1" applyFill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47" fillId="0" borderId="0" xfId="0" applyFont="1"/>
    <xf numFmtId="0" fontId="12" fillId="8" borderId="8" xfId="0" applyFont="1" applyFill="1" applyBorder="1" applyAlignment="1">
      <alignment horizontal="right" vertical="center" wrapText="1"/>
    </xf>
    <xf numFmtId="0" fontId="0" fillId="8" borderId="0" xfId="0" applyFill="1" applyAlignment="1">
      <alignment horizontal="center" vertical="center" wrapText="1"/>
    </xf>
    <xf numFmtId="0" fontId="11" fillId="10" borderId="12" xfId="0" applyFont="1" applyFill="1" applyBorder="1"/>
    <xf numFmtId="0" fontId="0" fillId="8" borderId="13" xfId="0" applyFill="1" applyBorder="1" applyAlignment="1">
      <alignment horizontal="center" vertical="center" wrapText="1"/>
    </xf>
    <xf numFmtId="0" fontId="36" fillId="11" borderId="1" xfId="0" applyFont="1" applyFill="1" applyBorder="1" applyAlignment="1">
      <alignment vertical="center" wrapText="1"/>
    </xf>
    <xf numFmtId="0" fontId="36" fillId="11" borderId="3" xfId="0" applyFont="1" applyFill="1" applyBorder="1" applyAlignment="1">
      <alignment vertical="center" wrapText="1"/>
    </xf>
    <xf numFmtId="0" fontId="36" fillId="11" borderId="2" xfId="0" applyFont="1" applyFill="1" applyBorder="1" applyAlignment="1">
      <alignment horizontal="right" vertical="center" wrapText="1"/>
    </xf>
    <xf numFmtId="0" fontId="36" fillId="11" borderId="4" xfId="0" applyFont="1" applyFill="1" applyBorder="1" applyAlignment="1">
      <alignment horizontal="right" vertical="center" wrapText="1"/>
    </xf>
    <xf numFmtId="0" fontId="22" fillId="8" borderId="8" xfId="0" applyFont="1" applyFill="1" applyBorder="1" applyAlignment="1">
      <alignment vertical="center" wrapText="1"/>
    </xf>
    <xf numFmtId="0" fontId="48" fillId="0" borderId="0" xfId="0" applyFont="1"/>
    <xf numFmtId="0" fontId="48" fillId="8" borderId="8" xfId="0" applyFont="1" applyFill="1" applyBorder="1"/>
    <xf numFmtId="0" fontId="48" fillId="8" borderId="0" xfId="0" applyFont="1" applyFill="1"/>
    <xf numFmtId="0" fontId="48" fillId="0" borderId="8" xfId="0" applyFont="1" applyBorder="1"/>
    <xf numFmtId="0" fontId="9" fillId="4" borderId="3" xfId="0" applyFont="1" applyFill="1" applyBorder="1"/>
    <xf numFmtId="1" fontId="43" fillId="8" borderId="0" xfId="0" applyNumberFormat="1" applyFont="1" applyFill="1" applyAlignment="1">
      <alignment horizontal="right" vertical="center" wrapText="1"/>
    </xf>
    <xf numFmtId="0" fontId="43" fillId="8" borderId="0" xfId="0" applyFont="1" applyFill="1" applyAlignment="1">
      <alignment horizontal="right" vertical="center" wrapText="1"/>
    </xf>
    <xf numFmtId="0" fontId="36" fillId="8" borderId="0" xfId="0" applyFont="1" applyFill="1" applyAlignment="1">
      <alignment horizontal="right" vertical="center" wrapText="1"/>
    </xf>
    <xf numFmtId="1" fontId="36" fillId="8" borderId="0" xfId="0" applyNumberFormat="1" applyFont="1" applyFill="1" applyAlignment="1">
      <alignment horizontal="right" vertical="center" wrapText="1"/>
    </xf>
    <xf numFmtId="0" fontId="12" fillId="23" borderId="1" xfId="0" applyFont="1" applyFill="1" applyBorder="1" applyAlignment="1">
      <alignment vertical="center" wrapText="1"/>
    </xf>
    <xf numFmtId="0" fontId="31" fillId="23" borderId="2" xfId="0" applyFont="1" applyFill="1" applyBorder="1" applyAlignment="1">
      <alignment horizontal="right" vertical="center" wrapText="1"/>
    </xf>
    <xf numFmtId="0" fontId="12" fillId="23" borderId="2" xfId="0" applyFont="1" applyFill="1" applyBorder="1" applyAlignment="1">
      <alignment horizontal="right" vertical="center" wrapText="1"/>
    </xf>
    <xf numFmtId="0" fontId="12" fillId="23" borderId="3" xfId="0" applyFont="1" applyFill="1" applyBorder="1" applyAlignment="1">
      <alignment vertical="center" wrapText="1"/>
    </xf>
    <xf numFmtId="0" fontId="12" fillId="23" borderId="4" xfId="0" applyFont="1" applyFill="1" applyBorder="1" applyAlignment="1">
      <alignment horizontal="right" vertical="center" wrapText="1"/>
    </xf>
    <xf numFmtId="1" fontId="12" fillId="23" borderId="4" xfId="0" applyNumberFormat="1" applyFont="1" applyFill="1" applyBorder="1" applyAlignment="1">
      <alignment horizontal="right" vertical="center" wrapText="1"/>
    </xf>
    <xf numFmtId="14" fontId="12" fillId="23" borderId="3" xfId="0" applyNumberFormat="1" applyFont="1" applyFill="1" applyBorder="1" applyAlignment="1">
      <alignment horizontal="left" vertical="center" wrapText="1"/>
    </xf>
    <xf numFmtId="0" fontId="12" fillId="23" borderId="3" xfId="0" applyFont="1" applyFill="1" applyBorder="1" applyAlignment="1">
      <alignment horizontal="right" vertical="center" wrapText="1"/>
    </xf>
    <xf numFmtId="0" fontId="49" fillId="3" borderId="2" xfId="0" applyFont="1" applyFill="1" applyBorder="1" applyAlignment="1">
      <alignment horizontal="right" vertical="center" wrapText="1"/>
    </xf>
    <xf numFmtId="0" fontId="49" fillId="3" borderId="4" xfId="0" applyFont="1" applyFill="1" applyBorder="1" applyAlignment="1">
      <alignment horizontal="right" vertical="center" wrapText="1"/>
    </xf>
    <xf numFmtId="0" fontId="49" fillId="21" borderId="2" xfId="0" applyFont="1" applyFill="1" applyBorder="1" applyAlignment="1">
      <alignment horizontal="right" vertical="center" wrapText="1"/>
    </xf>
    <xf numFmtId="0" fontId="49" fillId="21" borderId="4" xfId="0" applyFont="1" applyFill="1" applyBorder="1" applyAlignment="1">
      <alignment horizontal="right" vertical="center" wrapText="1"/>
    </xf>
    <xf numFmtId="0" fontId="49" fillId="20" borderId="2" xfId="0" applyFont="1" applyFill="1" applyBorder="1" applyAlignment="1">
      <alignment horizontal="right" vertical="center" wrapText="1"/>
    </xf>
    <xf numFmtId="0" fontId="49" fillId="20" borderId="4" xfId="0" applyFont="1" applyFill="1" applyBorder="1" applyAlignment="1">
      <alignment horizontal="right" vertical="center" wrapText="1"/>
    </xf>
    <xf numFmtId="0" fontId="49" fillId="16" borderId="2" xfId="0" applyFont="1" applyFill="1" applyBorder="1" applyAlignment="1">
      <alignment horizontal="right" vertical="center" wrapText="1"/>
    </xf>
    <xf numFmtId="0" fontId="49" fillId="16" borderId="4" xfId="0" applyFont="1" applyFill="1" applyBorder="1" applyAlignment="1">
      <alignment horizontal="right" vertical="center" wrapText="1"/>
    </xf>
    <xf numFmtId="0" fontId="49" fillId="23" borderId="2" xfId="0" applyFont="1" applyFill="1" applyBorder="1" applyAlignment="1">
      <alignment horizontal="right" vertical="center" wrapText="1"/>
    </xf>
    <xf numFmtId="0" fontId="49" fillId="23" borderId="4" xfId="0" applyFont="1" applyFill="1" applyBorder="1" applyAlignment="1">
      <alignment horizontal="right" vertical="center" wrapText="1"/>
    </xf>
    <xf numFmtId="0" fontId="13" fillId="23" borderId="14" xfId="0" applyFont="1" applyFill="1" applyBorder="1" applyAlignment="1">
      <alignment horizontal="right" vertical="center" wrapText="1"/>
    </xf>
    <xf numFmtId="0" fontId="13" fillId="23" borderId="3" xfId="0" applyFont="1" applyFill="1" applyBorder="1" applyAlignment="1">
      <alignment horizontal="right" vertical="center" wrapText="1"/>
    </xf>
    <xf numFmtId="0" fontId="13" fillId="23" borderId="15" xfId="0" applyFont="1" applyFill="1" applyBorder="1" applyAlignment="1">
      <alignment horizontal="right" vertical="center" wrapText="1"/>
    </xf>
    <xf numFmtId="0" fontId="11" fillId="11" borderId="4" xfId="0" applyFont="1" applyFill="1" applyBorder="1" applyAlignment="1">
      <alignment vertical="center" wrapText="1"/>
    </xf>
    <xf numFmtId="0" fontId="14" fillId="11" borderId="4" xfId="0" applyFont="1" applyFill="1" applyBorder="1" applyAlignment="1">
      <alignment horizontal="right" vertical="center" wrapText="1"/>
    </xf>
    <xf numFmtId="0" fontId="49" fillId="11" borderId="4" xfId="0" applyFont="1" applyFill="1" applyBorder="1" applyAlignment="1">
      <alignment horizontal="right" vertical="center" wrapText="1"/>
    </xf>
    <xf numFmtId="0" fontId="11" fillId="11" borderId="4" xfId="0" applyFont="1" applyFill="1" applyBorder="1" applyAlignment="1">
      <alignment horizontal="right" vertical="center" wrapText="1"/>
    </xf>
    <xf numFmtId="0" fontId="11" fillId="11" borderId="2" xfId="0" applyFont="1" applyFill="1" applyBorder="1" applyAlignment="1">
      <alignment vertical="center" wrapText="1"/>
    </xf>
    <xf numFmtId="0" fontId="14" fillId="11" borderId="2" xfId="0" applyFont="1" applyFill="1" applyBorder="1" applyAlignment="1">
      <alignment horizontal="right" vertical="center" wrapText="1"/>
    </xf>
    <xf numFmtId="0" fontId="49" fillId="11" borderId="2" xfId="0" applyFont="1" applyFill="1" applyBorder="1" applyAlignment="1">
      <alignment horizontal="right" vertical="center" wrapText="1"/>
    </xf>
    <xf numFmtId="0" fontId="11" fillId="11" borderId="2" xfId="0" applyFont="1" applyFill="1" applyBorder="1" applyAlignment="1">
      <alignment horizontal="right" vertical="center" wrapText="1"/>
    </xf>
    <xf numFmtId="0" fontId="11" fillId="11" borderId="3" xfId="0" applyFont="1" applyFill="1" applyBorder="1" applyAlignment="1">
      <alignment vertical="center" wrapText="1"/>
    </xf>
    <xf numFmtId="0" fontId="50" fillId="2" borderId="2" xfId="0" applyFont="1" applyFill="1" applyBorder="1" applyAlignment="1">
      <alignment horizontal="right" vertical="center" wrapText="1"/>
    </xf>
    <xf numFmtId="0" fontId="50" fillId="2" borderId="4" xfId="0" applyFont="1" applyFill="1" applyBorder="1" applyAlignment="1">
      <alignment horizontal="right" vertical="center" wrapText="1"/>
    </xf>
    <xf numFmtId="0" fontId="50" fillId="6" borderId="2" xfId="0" applyFont="1" applyFill="1" applyBorder="1" applyAlignment="1">
      <alignment horizontal="right" vertical="center" wrapText="1"/>
    </xf>
    <xf numFmtId="0" fontId="50" fillId="6" borderId="4" xfId="0" applyFont="1" applyFill="1" applyBorder="1" applyAlignment="1">
      <alignment horizontal="right" vertical="center" wrapText="1"/>
    </xf>
    <xf numFmtId="0" fontId="49" fillId="18" borderId="2" xfId="0" applyFont="1" applyFill="1" applyBorder="1" applyAlignment="1">
      <alignment horizontal="right" vertical="center" wrapText="1"/>
    </xf>
    <xf numFmtId="0" fontId="49" fillId="18" borderId="4" xfId="0" applyFont="1" applyFill="1" applyBorder="1" applyAlignment="1">
      <alignment horizontal="right" vertical="center" wrapText="1"/>
    </xf>
    <xf numFmtId="0" fontId="49" fillId="22" borderId="2" xfId="0" applyFont="1" applyFill="1" applyBorder="1" applyAlignment="1">
      <alignment horizontal="right" vertical="center" wrapText="1"/>
    </xf>
    <xf numFmtId="0" fontId="49" fillId="22" borderId="4" xfId="0" applyFont="1" applyFill="1" applyBorder="1" applyAlignment="1">
      <alignment horizontal="right" vertical="center" wrapText="1"/>
    </xf>
    <xf numFmtId="0" fontId="16" fillId="11" borderId="2" xfId="0" applyFont="1" applyFill="1" applyBorder="1" applyAlignment="1">
      <alignment vertical="center" wrapText="1"/>
    </xf>
    <xf numFmtId="0" fontId="16" fillId="11" borderId="4" xfId="0" applyFont="1" applyFill="1" applyBorder="1" applyAlignment="1">
      <alignment vertical="center" wrapText="1"/>
    </xf>
    <xf numFmtId="0" fontId="16" fillId="11" borderId="3" xfId="0" applyFont="1" applyFill="1" applyBorder="1" applyAlignment="1">
      <alignment vertical="center" wrapText="1"/>
    </xf>
    <xf numFmtId="0" fontId="14" fillId="11" borderId="2" xfId="0" applyFont="1" applyFill="1" applyBorder="1" applyAlignment="1">
      <alignment vertical="center" wrapText="1"/>
    </xf>
    <xf numFmtId="0" fontId="14" fillId="11" borderId="4" xfId="0" applyFont="1" applyFill="1" applyBorder="1" applyAlignment="1">
      <alignment vertical="center" wrapText="1"/>
    </xf>
    <xf numFmtId="0" fontId="14" fillId="11" borderId="3" xfId="0" applyFont="1" applyFill="1" applyBorder="1" applyAlignment="1">
      <alignment vertical="center" wrapText="1"/>
    </xf>
    <xf numFmtId="0" fontId="12" fillId="11" borderId="1" xfId="0" applyFont="1" applyFill="1" applyBorder="1" applyAlignment="1">
      <alignment vertical="center" wrapText="1"/>
    </xf>
    <xf numFmtId="0" fontId="27" fillId="11" borderId="2" xfId="0" applyFont="1" applyFill="1" applyBorder="1" applyAlignment="1">
      <alignment horizontal="right" vertical="center" wrapText="1"/>
    </xf>
    <xf numFmtId="0" fontId="12" fillId="11" borderId="2" xfId="0" applyFont="1" applyFill="1" applyBorder="1" applyAlignment="1">
      <alignment horizontal="right" vertical="center" wrapText="1"/>
    </xf>
    <xf numFmtId="0" fontId="12" fillId="11" borderId="3" xfId="0" applyFont="1" applyFill="1" applyBorder="1" applyAlignment="1">
      <alignment vertical="center" wrapText="1"/>
    </xf>
    <xf numFmtId="0" fontId="27" fillId="11" borderId="4" xfId="0" applyFont="1" applyFill="1" applyBorder="1" applyAlignment="1">
      <alignment horizontal="right" vertical="center" wrapText="1"/>
    </xf>
    <xf numFmtId="0" fontId="12" fillId="11" borderId="4" xfId="0" applyFont="1" applyFill="1" applyBorder="1" applyAlignment="1">
      <alignment horizontal="right" vertical="center" wrapText="1"/>
    </xf>
    <xf numFmtId="0" fontId="14" fillId="3" borderId="1" xfId="0" applyFont="1" applyFill="1" applyBorder="1" applyAlignment="1">
      <alignment horizontal="right" vertical="center" wrapText="1"/>
    </xf>
    <xf numFmtId="0" fontId="11" fillId="8" borderId="1" xfId="0" applyFont="1" applyFill="1" applyBorder="1" applyAlignment="1">
      <alignment vertical="top" wrapText="1"/>
    </xf>
    <xf numFmtId="0" fontId="11" fillId="4" borderId="1" xfId="0" applyFont="1" applyFill="1" applyBorder="1" applyAlignment="1">
      <alignment vertical="top" wrapText="1"/>
    </xf>
    <xf numFmtId="0" fontId="31" fillId="25" borderId="2" xfId="0" applyFont="1" applyFill="1" applyBorder="1" applyAlignment="1">
      <alignment horizontal="right" vertical="center" wrapText="1"/>
    </xf>
    <xf numFmtId="0" fontId="14" fillId="25" borderId="2" xfId="0" applyFont="1" applyFill="1" applyBorder="1" applyAlignment="1">
      <alignment horizontal="right" vertical="center" wrapText="1"/>
    </xf>
    <xf numFmtId="0" fontId="49" fillId="25" borderId="2" xfId="0" applyFont="1" applyFill="1" applyBorder="1" applyAlignment="1">
      <alignment horizontal="right" vertical="center" wrapText="1"/>
    </xf>
    <xf numFmtId="0" fontId="31" fillId="25" borderId="4" xfId="0" applyFont="1" applyFill="1" applyBorder="1" applyAlignment="1">
      <alignment horizontal="right" vertical="center" wrapText="1"/>
    </xf>
    <xf numFmtId="0" fontId="14" fillId="25" borderId="4" xfId="0" applyFont="1" applyFill="1" applyBorder="1" applyAlignment="1">
      <alignment horizontal="right" vertical="center" wrapText="1"/>
    </xf>
    <xf numFmtId="0" fontId="49" fillId="25" borderId="4" xfId="0" applyFont="1" applyFill="1" applyBorder="1" applyAlignment="1">
      <alignment horizontal="right" vertical="center" wrapText="1"/>
    </xf>
    <xf numFmtId="0" fontId="11" fillId="25" borderId="1" xfId="0" applyFont="1" applyFill="1" applyBorder="1" applyAlignment="1">
      <alignment vertical="center" wrapText="1"/>
    </xf>
    <xf numFmtId="0" fontId="11" fillId="25" borderId="3" xfId="0" applyFont="1" applyFill="1" applyBorder="1" applyAlignment="1">
      <alignment vertical="center" wrapText="1"/>
    </xf>
    <xf numFmtId="0" fontId="11" fillId="25" borderId="2" xfId="0" applyFont="1" applyFill="1" applyBorder="1" applyAlignment="1">
      <alignment horizontal="right" vertical="center" wrapText="1"/>
    </xf>
    <xf numFmtId="0" fontId="11" fillId="25" borderId="4" xfId="0" applyFont="1" applyFill="1" applyBorder="1" applyAlignment="1">
      <alignment horizontal="right" vertical="center" wrapText="1"/>
    </xf>
    <xf numFmtId="14" fontId="11" fillId="25" borderId="21" xfId="0" applyNumberFormat="1" applyFont="1" applyFill="1" applyBorder="1" applyAlignment="1">
      <alignment horizontal="left" vertical="center" wrapText="1"/>
    </xf>
    <xf numFmtId="0" fontId="11" fillId="25" borderId="20" xfId="0" applyFont="1" applyFill="1" applyBorder="1" applyAlignment="1">
      <alignment horizontal="right" vertical="center" wrapText="1"/>
    </xf>
    <xf numFmtId="1" fontId="11" fillId="25" borderId="2" xfId="0" applyNumberFormat="1" applyFont="1" applyFill="1" applyBorder="1" applyAlignment="1">
      <alignment horizontal="right" vertical="center" wrapText="1"/>
    </xf>
    <xf numFmtId="0" fontId="11" fillId="25" borderId="1" xfId="0" applyFont="1" applyFill="1" applyBorder="1" applyAlignment="1">
      <alignment horizontal="right" vertical="center" wrapText="1"/>
    </xf>
    <xf numFmtId="0" fontId="11" fillId="25" borderId="3" xfId="0" applyFont="1" applyFill="1" applyBorder="1" applyAlignment="1">
      <alignment horizontal="right" vertical="center" wrapText="1"/>
    </xf>
    <xf numFmtId="1" fontId="11" fillId="25" borderId="4" xfId="0" applyNumberFormat="1" applyFont="1" applyFill="1" applyBorder="1" applyAlignment="1">
      <alignment horizontal="right" vertical="center" wrapText="1"/>
    </xf>
    <xf numFmtId="0" fontId="11" fillId="25" borderId="17" xfId="0" applyFont="1" applyFill="1" applyBorder="1" applyAlignment="1">
      <alignment horizontal="right" vertical="center" wrapText="1"/>
    </xf>
    <xf numFmtId="0" fontId="11" fillId="25" borderId="18" xfId="0" applyFont="1" applyFill="1" applyBorder="1" applyAlignment="1">
      <alignment horizontal="right" vertical="center" wrapText="1"/>
    </xf>
    <xf numFmtId="0" fontId="11" fillId="25" borderId="17" xfId="0" applyFont="1" applyFill="1" applyBorder="1" applyAlignment="1">
      <alignment vertical="center" wrapText="1"/>
    </xf>
    <xf numFmtId="0" fontId="11" fillId="25" borderId="19" xfId="0" applyFont="1" applyFill="1" applyBorder="1" applyAlignment="1">
      <alignment vertical="center" wrapText="1"/>
    </xf>
    <xf numFmtId="0" fontId="11" fillId="25" borderId="22" xfId="0" applyFont="1" applyFill="1" applyBorder="1" applyAlignment="1">
      <alignment horizontal="right" vertical="center" wrapText="1"/>
    </xf>
    <xf numFmtId="0" fontId="11" fillId="25" borderId="19" xfId="0" applyFont="1" applyFill="1" applyBorder="1" applyAlignment="1">
      <alignment horizontal="right" vertical="center" wrapText="1"/>
    </xf>
    <xf numFmtId="0" fontId="11" fillId="25" borderId="16" xfId="0" applyFont="1" applyFill="1" applyBorder="1" applyAlignment="1">
      <alignment horizontal="right" vertical="center" wrapText="1"/>
    </xf>
    <xf numFmtId="0" fontId="11" fillId="25" borderId="15" xfId="0" applyFont="1" applyFill="1" applyBorder="1" applyAlignment="1">
      <alignment horizontal="right" vertical="center" wrapText="1"/>
    </xf>
    <xf numFmtId="0" fontId="11" fillId="25" borderId="14" xfId="0" applyFont="1" applyFill="1" applyBorder="1" applyAlignment="1">
      <alignment horizontal="right" vertical="center" wrapText="1"/>
    </xf>
    <xf numFmtId="1" fontId="11" fillId="25" borderId="6" xfId="0" applyNumberFormat="1" applyFont="1" applyFill="1" applyBorder="1" applyAlignment="1">
      <alignment horizontal="right" vertical="center" wrapText="1"/>
    </xf>
    <xf numFmtId="0" fontId="11" fillId="25" borderId="6" xfId="0" applyFont="1" applyFill="1" applyBorder="1" applyAlignment="1">
      <alignment horizontal="right" vertical="center" wrapText="1"/>
    </xf>
    <xf numFmtId="1" fontId="11" fillId="25" borderId="20" xfId="0" applyNumberFormat="1" applyFont="1" applyFill="1" applyBorder="1" applyAlignment="1">
      <alignment horizontal="right" vertical="center" wrapText="1"/>
    </xf>
    <xf numFmtId="1" fontId="11" fillId="25" borderId="14" xfId="0" applyNumberFormat="1" applyFont="1" applyFill="1" applyBorder="1" applyAlignment="1">
      <alignment horizontal="right" vertical="center" wrapText="1"/>
    </xf>
    <xf numFmtId="1" fontId="11" fillId="25" borderId="1" xfId="0" applyNumberFormat="1" applyFont="1" applyFill="1" applyBorder="1" applyAlignment="1">
      <alignment horizontal="right" vertical="center" wrapText="1"/>
    </xf>
    <xf numFmtId="14" fontId="11" fillId="25" borderId="1" xfId="0" applyNumberFormat="1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right" vertical="center" wrapText="1"/>
    </xf>
    <xf numFmtId="0" fontId="40" fillId="0" borderId="0" xfId="0" applyFont="1"/>
    <xf numFmtId="0" fontId="36" fillId="26" borderId="1" xfId="0" applyFont="1" applyFill="1" applyBorder="1" applyAlignment="1">
      <alignment vertical="center" wrapText="1"/>
    </xf>
    <xf numFmtId="0" fontId="31" fillId="26" borderId="2" xfId="0" applyFont="1" applyFill="1" applyBorder="1" applyAlignment="1">
      <alignment horizontal="right" vertical="center" wrapText="1"/>
    </xf>
    <xf numFmtId="0" fontId="39" fillId="26" borderId="2" xfId="0" applyFont="1" applyFill="1" applyBorder="1" applyAlignment="1">
      <alignment horizontal="right" vertical="center" wrapText="1"/>
    </xf>
    <xf numFmtId="0" fontId="49" fillId="26" borderId="2" xfId="0" applyFont="1" applyFill="1" applyBorder="1" applyAlignment="1">
      <alignment horizontal="right" vertical="center" wrapText="1"/>
    </xf>
    <xf numFmtId="0" fontId="36" fillId="26" borderId="2" xfId="0" applyFont="1" applyFill="1" applyBorder="1" applyAlignment="1">
      <alignment horizontal="right" vertical="center" wrapText="1"/>
    </xf>
    <xf numFmtId="0" fontId="36" fillId="26" borderId="3" xfId="0" applyFont="1" applyFill="1" applyBorder="1" applyAlignment="1">
      <alignment vertical="center" wrapText="1"/>
    </xf>
    <xf numFmtId="0" fontId="31" fillId="26" borderId="4" xfId="0" applyFont="1" applyFill="1" applyBorder="1" applyAlignment="1">
      <alignment horizontal="right" vertical="center" wrapText="1"/>
    </xf>
    <xf numFmtId="0" fontId="39" fillId="26" borderId="4" xfId="0" applyFont="1" applyFill="1" applyBorder="1" applyAlignment="1">
      <alignment horizontal="right" vertical="center" wrapText="1"/>
    </xf>
    <xf numFmtId="0" fontId="49" fillId="26" borderId="4" xfId="0" applyFont="1" applyFill="1" applyBorder="1" applyAlignment="1">
      <alignment horizontal="right" vertical="center" wrapText="1"/>
    </xf>
    <xf numFmtId="0" fontId="36" fillId="26" borderId="4" xfId="0" applyFont="1" applyFill="1" applyBorder="1" applyAlignment="1">
      <alignment horizontal="right" vertical="center" wrapText="1"/>
    </xf>
    <xf numFmtId="1" fontId="36" fillId="26" borderId="4" xfId="0" applyNumberFormat="1" applyFont="1" applyFill="1" applyBorder="1" applyAlignment="1">
      <alignment horizontal="right" vertical="center" wrapText="1"/>
    </xf>
    <xf numFmtId="0" fontId="36" fillId="26" borderId="3" xfId="0" applyFont="1" applyFill="1" applyBorder="1" applyAlignment="1">
      <alignment horizontal="right" vertical="center" wrapText="1"/>
    </xf>
    <xf numFmtId="0" fontId="11" fillId="8" borderId="0" xfId="0" applyFont="1" applyFill="1"/>
    <xf numFmtId="0" fontId="9" fillId="4" borderId="3" xfId="0" applyFont="1" applyFill="1" applyBorder="1" applyAlignment="1">
      <alignment vertical="center" wrapText="1"/>
    </xf>
    <xf numFmtId="1" fontId="20" fillId="2" borderId="4" xfId="0" applyNumberFormat="1" applyFont="1" applyFill="1" applyBorder="1" applyAlignment="1">
      <alignment horizontal="right" vertical="center" wrapText="1"/>
    </xf>
    <xf numFmtId="0" fontId="9" fillId="8" borderId="3" xfId="0" applyFont="1" applyFill="1" applyBorder="1" applyAlignment="1">
      <alignment vertical="center" wrapText="1"/>
    </xf>
    <xf numFmtId="0" fontId="11" fillId="8" borderId="3" xfId="0" applyFont="1" applyFill="1" applyBorder="1" applyAlignment="1">
      <alignment horizontal="right" vertical="center" wrapText="1"/>
    </xf>
    <xf numFmtId="0" fontId="11" fillId="4" borderId="2" xfId="0" applyFont="1" applyFill="1" applyBorder="1" applyAlignment="1">
      <alignment horizontal="right" vertical="center" wrapText="1"/>
    </xf>
    <xf numFmtId="0" fontId="9" fillId="8" borderId="3" xfId="0" applyFont="1" applyFill="1" applyBorder="1"/>
    <xf numFmtId="0" fontId="1" fillId="8" borderId="9" xfId="0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1" fillId="8" borderId="10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7" fillId="8" borderId="8" xfId="0" applyFont="1" applyFill="1" applyBorder="1" applyAlignment="1">
      <alignment vertical="center" wrapText="1"/>
    </xf>
    <xf numFmtId="0" fontId="0" fillId="0" borderId="8" xfId="0" applyBorder="1"/>
    <xf numFmtId="0" fontId="2" fillId="25" borderId="11" xfId="0" applyFont="1" applyFill="1" applyBorder="1" applyAlignment="1">
      <alignment horizontal="left"/>
    </xf>
    <xf numFmtId="0" fontId="2" fillId="25" borderId="12" xfId="0" applyFont="1" applyFill="1" applyBorder="1" applyAlignment="1">
      <alignment horizontal="left"/>
    </xf>
    <xf numFmtId="0" fontId="2" fillId="25" borderId="2" xfId="0" applyFont="1" applyFill="1" applyBorder="1" applyAlignment="1">
      <alignment horizontal="left"/>
    </xf>
    <xf numFmtId="0" fontId="11" fillId="24" borderId="7" xfId="0" applyFont="1" applyFill="1" applyBorder="1" applyAlignment="1">
      <alignment vertical="center" wrapText="1"/>
    </xf>
    <xf numFmtId="0" fontId="11" fillId="24" borderId="3" xfId="0" applyFont="1" applyFill="1" applyBorder="1" applyAlignment="1">
      <alignment vertical="center" wrapText="1"/>
    </xf>
    <xf numFmtId="0" fontId="11" fillId="13" borderId="7" xfId="0" applyFont="1" applyFill="1" applyBorder="1" applyAlignment="1">
      <alignment vertical="center" wrapText="1"/>
    </xf>
    <xf numFmtId="0" fontId="11" fillId="13" borderId="3" xfId="0" applyFont="1" applyFill="1" applyBorder="1" applyAlignment="1">
      <alignment vertical="center" wrapText="1"/>
    </xf>
    <xf numFmtId="0" fontId="11" fillId="17" borderId="7" xfId="0" applyFont="1" applyFill="1" applyBorder="1" applyAlignment="1">
      <alignment vertical="center" wrapText="1"/>
    </xf>
    <xf numFmtId="0" fontId="11" fillId="17" borderId="3" xfId="0" applyFont="1" applyFill="1" applyBorder="1" applyAlignment="1">
      <alignment vertical="center" wrapText="1"/>
    </xf>
    <xf numFmtId="0" fontId="1" fillId="12" borderId="9" xfId="0" applyFont="1" applyFill="1" applyBorder="1" applyAlignment="1">
      <alignment horizontal="center" vertical="center" wrapText="1"/>
    </xf>
    <xf numFmtId="0" fontId="1" fillId="12" borderId="8" xfId="0" applyFont="1" applyFill="1" applyBorder="1" applyAlignment="1">
      <alignment horizontal="center" vertical="center" wrapText="1"/>
    </xf>
    <xf numFmtId="0" fontId="1" fillId="12" borderId="6" xfId="0" applyFont="1" applyFill="1" applyBorder="1" applyAlignment="1">
      <alignment horizontal="center" vertical="center" wrapText="1"/>
    </xf>
    <xf numFmtId="0" fontId="1" fillId="12" borderId="10" xfId="0" applyFont="1" applyFill="1" applyBorder="1" applyAlignment="1">
      <alignment horizontal="center" vertical="center" wrapText="1"/>
    </xf>
    <xf numFmtId="0" fontId="1" fillId="12" borderId="5" xfId="0" applyFont="1" applyFill="1" applyBorder="1" applyAlignment="1">
      <alignment horizontal="center" vertical="center" wrapText="1"/>
    </xf>
    <xf numFmtId="0" fontId="1" fillId="12" borderId="4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0" fontId="0" fillId="8" borderId="10" xfId="0" applyFill="1" applyBorder="1" applyAlignment="1">
      <alignment horizontal="center" vertical="center" wrapText="1"/>
    </xf>
    <xf numFmtId="0" fontId="0" fillId="8" borderId="5" xfId="0" applyFill="1" applyBorder="1" applyAlignment="1">
      <alignment horizontal="center" vertical="center" wrapText="1"/>
    </xf>
    <xf numFmtId="0" fontId="0" fillId="8" borderId="4" xfId="0" applyFill="1" applyBorder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8" borderId="13" xfId="0" applyFont="1" applyFill="1" applyBorder="1" applyAlignment="1">
      <alignment horizontal="center" vertical="center" wrapText="1"/>
    </xf>
    <xf numFmtId="0" fontId="0" fillId="0" borderId="0" xfId="0"/>
    <xf numFmtId="0" fontId="33" fillId="23" borderId="9" xfId="0" applyFont="1" applyFill="1" applyBorder="1" applyAlignment="1">
      <alignment horizontal="left" vertical="center"/>
    </xf>
    <xf numFmtId="0" fontId="33" fillId="23" borderId="8" xfId="0" applyFont="1" applyFill="1" applyBorder="1" applyAlignment="1">
      <alignment horizontal="left" vertical="center"/>
    </xf>
    <xf numFmtId="0" fontId="33" fillId="23" borderId="6" xfId="0" applyFont="1" applyFill="1" applyBorder="1" applyAlignment="1">
      <alignment horizontal="left" vertical="center"/>
    </xf>
    <xf numFmtId="0" fontId="11" fillId="15" borderId="6" xfId="0" applyFont="1" applyFill="1" applyBorder="1" applyAlignment="1">
      <alignment vertical="center" wrapText="1"/>
    </xf>
    <xf numFmtId="0" fontId="11" fillId="15" borderId="4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17" fillId="8" borderId="13" xfId="0" applyFont="1" applyFill="1" applyBorder="1" applyAlignment="1">
      <alignment vertical="center" wrapText="1"/>
    </xf>
    <xf numFmtId="0" fontId="17" fillId="8" borderId="9" xfId="0" applyFont="1" applyFill="1" applyBorder="1" applyAlignment="1">
      <alignment vertical="center" wrapText="1"/>
    </xf>
    <xf numFmtId="0" fontId="17" fillId="8" borderId="8" xfId="0" applyFont="1" applyFill="1" applyBorder="1"/>
    <xf numFmtId="0" fontId="35" fillId="26" borderId="11" xfId="0" applyFont="1" applyFill="1" applyBorder="1" applyAlignment="1">
      <alignment horizontal="left" vertical="center"/>
    </xf>
    <xf numFmtId="0" fontId="35" fillId="26" borderId="12" xfId="0" applyFont="1" applyFill="1" applyBorder="1" applyAlignment="1">
      <alignment horizontal="left" vertical="center"/>
    </xf>
    <xf numFmtId="0" fontId="35" fillId="26" borderId="2" xfId="0" applyFont="1" applyFill="1" applyBorder="1" applyAlignment="1">
      <alignment horizontal="left" vertical="center"/>
    </xf>
    <xf numFmtId="0" fontId="0" fillId="8" borderId="13" xfId="0" applyFill="1" applyBorder="1" applyAlignment="1">
      <alignment vertical="center" wrapText="1"/>
    </xf>
    <xf numFmtId="0" fontId="33" fillId="18" borderId="11" xfId="0" applyFont="1" applyFill="1" applyBorder="1" applyAlignment="1">
      <alignment vertical="center"/>
    </xf>
    <xf numFmtId="0" fontId="3" fillId="18" borderId="12" xfId="0" applyFont="1" applyFill="1" applyBorder="1"/>
    <xf numFmtId="0" fontId="3" fillId="18" borderId="2" xfId="0" applyFont="1" applyFill="1" applyBorder="1"/>
    <xf numFmtId="0" fontId="0" fillId="0" borderId="13" xfId="0" applyBorder="1"/>
    <xf numFmtId="0" fontId="6" fillId="3" borderId="9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left" vertical="center"/>
    </xf>
    <xf numFmtId="0" fontId="2" fillId="8" borderId="9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vertical="center" wrapText="1"/>
    </xf>
    <xf numFmtId="0" fontId="17" fillId="8" borderId="0" xfId="0" applyFont="1" applyFill="1" applyAlignment="1">
      <alignment vertical="center" wrapText="1"/>
    </xf>
    <xf numFmtId="0" fontId="17" fillId="0" borderId="0" xfId="0" applyFont="1" applyAlignment="1">
      <alignment vertical="center" wrapText="1"/>
    </xf>
    <xf numFmtId="0" fontId="42" fillId="3" borderId="9" xfId="0" applyFont="1" applyFill="1" applyBorder="1" applyAlignment="1">
      <alignment horizontal="left" vertical="center"/>
    </xf>
    <xf numFmtId="0" fontId="42" fillId="3" borderId="8" xfId="0" applyFont="1" applyFill="1" applyBorder="1" applyAlignment="1">
      <alignment horizontal="left" vertical="center"/>
    </xf>
    <xf numFmtId="0" fontId="42" fillId="3" borderId="6" xfId="0" applyFont="1" applyFill="1" applyBorder="1" applyAlignment="1">
      <alignment horizontal="left" vertical="center"/>
    </xf>
    <xf numFmtId="0" fontId="11" fillId="19" borderId="7" xfId="0" applyFont="1" applyFill="1" applyBorder="1" applyAlignment="1">
      <alignment vertical="center" wrapText="1"/>
    </xf>
    <xf numFmtId="0" fontId="11" fillId="19" borderId="3" xfId="0" applyFont="1" applyFill="1" applyBorder="1" applyAlignment="1">
      <alignment vertical="center" wrapText="1"/>
    </xf>
    <xf numFmtId="0" fontId="35" fillId="20" borderId="9" xfId="0" applyFont="1" applyFill="1" applyBorder="1" applyAlignment="1">
      <alignment horizontal="left" vertical="center"/>
    </xf>
    <xf numFmtId="0" fontId="35" fillId="20" borderId="8" xfId="0" applyFont="1" applyFill="1" applyBorder="1" applyAlignment="1">
      <alignment horizontal="left" vertical="center"/>
    </xf>
    <xf numFmtId="0" fontId="35" fillId="20" borderId="6" xfId="0" applyFont="1" applyFill="1" applyBorder="1" applyAlignment="1">
      <alignment horizontal="left" vertical="center"/>
    </xf>
    <xf numFmtId="0" fontId="33" fillId="3" borderId="9" xfId="0" applyFont="1" applyFill="1" applyBorder="1" applyAlignment="1">
      <alignment horizontal="left" vertical="center"/>
    </xf>
    <xf numFmtId="0" fontId="33" fillId="3" borderId="8" xfId="0" applyFont="1" applyFill="1" applyBorder="1" applyAlignment="1">
      <alignment horizontal="left" vertical="center"/>
    </xf>
    <xf numFmtId="0" fontId="33" fillId="3" borderId="6" xfId="0" applyFont="1" applyFill="1" applyBorder="1" applyAlignment="1">
      <alignment horizontal="left" vertical="center"/>
    </xf>
    <xf numFmtId="0" fontId="9" fillId="14" borderId="7" xfId="0" applyFont="1" applyFill="1" applyBorder="1" applyAlignment="1">
      <alignment vertical="center" wrapText="1"/>
    </xf>
    <xf numFmtId="0" fontId="9" fillId="14" borderId="3" xfId="0" applyFont="1" applyFill="1" applyBorder="1" applyAlignment="1">
      <alignment vertical="center" wrapText="1"/>
    </xf>
    <xf numFmtId="0" fontId="24" fillId="3" borderId="9" xfId="0" applyFont="1" applyFill="1" applyBorder="1" applyAlignment="1">
      <alignment horizontal="left" vertical="center"/>
    </xf>
    <xf numFmtId="0" fontId="24" fillId="3" borderId="8" xfId="0" applyFont="1" applyFill="1" applyBorder="1" applyAlignment="1">
      <alignment horizontal="left" vertical="center"/>
    </xf>
    <xf numFmtId="0" fontId="24" fillId="3" borderId="6" xfId="0" applyFont="1" applyFill="1" applyBorder="1" applyAlignment="1">
      <alignment horizontal="left" vertical="center"/>
    </xf>
    <xf numFmtId="0" fontId="17" fillId="8" borderId="0" xfId="0" applyFont="1" applyFill="1"/>
    <xf numFmtId="0" fontId="17" fillId="0" borderId="0" xfId="0" applyFont="1"/>
    <xf numFmtId="0" fontId="8" fillId="23" borderId="9" xfId="0" applyFont="1" applyFill="1" applyBorder="1" applyAlignment="1">
      <alignment horizontal="left" vertical="center"/>
    </xf>
    <xf numFmtId="0" fontId="8" fillId="23" borderId="8" xfId="0" applyFont="1" applyFill="1" applyBorder="1" applyAlignment="1">
      <alignment horizontal="left" vertical="center"/>
    </xf>
    <xf numFmtId="0" fontId="8" fillId="23" borderId="6" xfId="0" applyFont="1" applyFill="1" applyBorder="1" applyAlignment="1">
      <alignment horizontal="left" vertical="center"/>
    </xf>
    <xf numFmtId="0" fontId="7" fillId="4" borderId="11" xfId="0" applyFont="1" applyFill="1" applyBorder="1" applyAlignment="1">
      <alignment vertical="center" wrapText="1"/>
    </xf>
    <xf numFmtId="0" fontId="7" fillId="4" borderId="12" xfId="0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</cellXfs>
  <cellStyles count="1"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</dxfs>
  <tableStyles count="0" defaultTableStyle="TableStyleMedium2" defaultPivotStyle="PivotStyleLight16"/>
  <colors>
    <mruColors>
      <color rgb="FF008000"/>
      <color rgb="FF682300"/>
      <color rgb="FFFF80FF"/>
      <color rgb="FF133926"/>
      <color rgb="FFE2AC00"/>
      <color rgb="FFC09200"/>
      <color rgb="FFBC8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06"/>
  <sheetViews>
    <sheetView zoomScaleNormal="100" workbookViewId="0">
      <selection activeCell="M16" sqref="M16"/>
    </sheetView>
  </sheetViews>
  <sheetFormatPr defaultRowHeight="14.3" x14ac:dyDescent="0.25"/>
  <cols>
    <col min="1" max="1" width="16.625" customWidth="1"/>
    <col min="2" max="2" width="3.75" customWidth="1"/>
    <col min="3" max="3" width="4.125" customWidth="1"/>
    <col min="4" max="5" width="4.75" customWidth="1"/>
    <col min="6" max="6" width="16.625" customWidth="1"/>
    <col min="7" max="10" width="5.25" customWidth="1"/>
    <col min="11" max="11" width="16.375" bestFit="1" customWidth="1"/>
    <col min="12" max="17" width="4.75" customWidth="1"/>
    <col min="18" max="19" width="5.75" customWidth="1"/>
    <col min="20" max="34" width="4.75" customWidth="1"/>
    <col min="35" max="37" width="5.375" customWidth="1"/>
    <col min="38" max="40" width="5.75" customWidth="1"/>
  </cols>
  <sheetData>
    <row r="1" spans="1:48" ht="16" customHeight="1" thickBot="1" x14ac:dyDescent="0.35">
      <c r="A1" s="471" t="s">
        <v>1069</v>
      </c>
      <c r="B1" s="472"/>
      <c r="C1" s="472"/>
      <c r="D1" s="472"/>
      <c r="E1" s="472"/>
      <c r="F1" s="472"/>
      <c r="G1" s="472"/>
      <c r="H1" s="472"/>
      <c r="I1" s="472"/>
      <c r="J1" s="473"/>
      <c r="K1" s="478" t="s">
        <v>1324</v>
      </c>
      <c r="L1" s="480" t="s">
        <v>49</v>
      </c>
      <c r="M1" s="481"/>
      <c r="N1" s="482"/>
      <c r="O1" s="486" t="s">
        <v>187</v>
      </c>
      <c r="P1" s="487"/>
      <c r="Q1" s="488"/>
      <c r="R1" s="492" t="s">
        <v>62</v>
      </c>
      <c r="S1" s="493"/>
      <c r="T1" s="457" t="s">
        <v>124</v>
      </c>
      <c r="U1" s="458"/>
      <c r="V1" s="459"/>
      <c r="W1" s="457" t="s">
        <v>1070</v>
      </c>
      <c r="X1" s="458"/>
      <c r="Y1" s="459"/>
      <c r="Z1" s="149"/>
      <c r="AA1" s="237"/>
      <c r="AB1" s="237"/>
      <c r="AC1" s="457" t="s">
        <v>598</v>
      </c>
      <c r="AD1" s="458"/>
      <c r="AE1" s="459"/>
      <c r="AF1" s="457" t="s">
        <v>254</v>
      </c>
      <c r="AG1" s="458"/>
      <c r="AH1" s="459"/>
      <c r="AI1" s="457" t="s">
        <v>186</v>
      </c>
      <c r="AJ1" s="458"/>
      <c r="AK1" s="459"/>
      <c r="AL1" s="457" t="s">
        <v>242</v>
      </c>
      <c r="AM1" s="458"/>
      <c r="AN1" s="459"/>
      <c r="AO1" s="127"/>
      <c r="AP1" s="5"/>
      <c r="AQ1" s="5"/>
      <c r="AR1" s="5"/>
      <c r="AT1" s="5"/>
    </row>
    <row r="2" spans="1:48" ht="14.95" customHeight="1" thickBot="1" x14ac:dyDescent="0.3">
      <c r="A2" s="411" t="s">
        <v>0</v>
      </c>
      <c r="B2" s="405" t="s">
        <v>1072</v>
      </c>
      <c r="C2" s="406" t="s">
        <v>123</v>
      </c>
      <c r="D2" s="407" t="s">
        <v>1073</v>
      </c>
      <c r="E2" s="413" t="s">
        <v>1</v>
      </c>
      <c r="F2" s="377" t="s">
        <v>2</v>
      </c>
      <c r="G2" s="205" t="s">
        <v>1072</v>
      </c>
      <c r="H2" s="378" t="s">
        <v>123</v>
      </c>
      <c r="I2" s="379" t="s">
        <v>1073</v>
      </c>
      <c r="J2" s="380" t="s">
        <v>1</v>
      </c>
      <c r="K2" s="479"/>
      <c r="L2" s="483"/>
      <c r="M2" s="484"/>
      <c r="N2" s="485"/>
      <c r="O2" s="489"/>
      <c r="P2" s="490"/>
      <c r="Q2" s="491"/>
      <c r="R2" s="494"/>
      <c r="S2" s="495"/>
      <c r="T2" s="460"/>
      <c r="U2" s="461"/>
      <c r="V2" s="462"/>
      <c r="W2" s="460"/>
      <c r="X2" s="461"/>
      <c r="Y2" s="462"/>
      <c r="Z2" s="127"/>
      <c r="AA2" s="127"/>
      <c r="AB2" s="127"/>
      <c r="AC2" s="460"/>
      <c r="AD2" s="461"/>
      <c r="AE2" s="462"/>
      <c r="AF2" s="460"/>
      <c r="AG2" s="461"/>
      <c r="AH2" s="462"/>
      <c r="AI2" s="460"/>
      <c r="AJ2" s="461"/>
      <c r="AK2" s="462"/>
      <c r="AL2" s="460"/>
      <c r="AM2" s="461"/>
      <c r="AN2" s="462"/>
      <c r="AO2" s="127"/>
      <c r="AT2" s="5"/>
      <c r="AU2" s="5"/>
      <c r="AV2" s="5"/>
    </row>
    <row r="3" spans="1:48" ht="14.95" customHeight="1" thickBot="1" x14ac:dyDescent="0.3">
      <c r="A3" s="412" t="s">
        <v>188</v>
      </c>
      <c r="B3" s="408">
        <v>0</v>
      </c>
      <c r="C3" s="409">
        <v>0</v>
      </c>
      <c r="D3" s="410">
        <v>0</v>
      </c>
      <c r="E3" s="414">
        <f>SUM(B3:D3)</f>
        <v>0</v>
      </c>
      <c r="F3" s="373" t="s">
        <v>188</v>
      </c>
      <c r="G3" s="118">
        <v>3</v>
      </c>
      <c r="H3" s="374">
        <v>0</v>
      </c>
      <c r="I3" s="375">
        <v>0</v>
      </c>
      <c r="J3" s="376">
        <f>SUM(G3:I3)</f>
        <v>3</v>
      </c>
      <c r="K3" s="37" t="s">
        <v>87</v>
      </c>
      <c r="L3" s="66" t="s">
        <v>243</v>
      </c>
      <c r="M3" s="66" t="s">
        <v>42</v>
      </c>
      <c r="N3" s="66" t="s">
        <v>43</v>
      </c>
      <c r="O3" s="1" t="s">
        <v>243</v>
      </c>
      <c r="P3" s="1" t="s">
        <v>42</v>
      </c>
      <c r="Q3" s="1" t="s">
        <v>43</v>
      </c>
      <c r="R3" s="4" t="s">
        <v>63</v>
      </c>
      <c r="S3" s="4" t="s">
        <v>957</v>
      </c>
      <c r="T3" s="119" t="s">
        <v>243</v>
      </c>
      <c r="U3" s="119" t="s">
        <v>42</v>
      </c>
      <c r="V3" s="119" t="s">
        <v>43</v>
      </c>
      <c r="W3" s="124" t="s">
        <v>243</v>
      </c>
      <c r="X3" s="119" t="s">
        <v>42</v>
      </c>
      <c r="Y3" s="158" t="s">
        <v>43</v>
      </c>
      <c r="Z3" s="60"/>
      <c r="AA3" s="60"/>
      <c r="AB3" s="60"/>
      <c r="AC3" s="158" t="s">
        <v>243</v>
      </c>
      <c r="AD3" s="119" t="s">
        <v>42</v>
      </c>
      <c r="AE3" s="119" t="s">
        <v>43</v>
      </c>
      <c r="AF3" s="119" t="s">
        <v>243</v>
      </c>
      <c r="AG3" s="119" t="s">
        <v>42</v>
      </c>
      <c r="AH3" s="119" t="s">
        <v>43</v>
      </c>
      <c r="AI3" s="119" t="s">
        <v>243</v>
      </c>
      <c r="AJ3" s="119" t="s">
        <v>42</v>
      </c>
      <c r="AK3" s="119" t="s">
        <v>43</v>
      </c>
      <c r="AL3" s="119" t="s">
        <v>243</v>
      </c>
      <c r="AM3" s="119" t="s">
        <v>42</v>
      </c>
      <c r="AN3" s="119" t="s">
        <v>43</v>
      </c>
      <c r="AO3" s="60"/>
      <c r="AP3" s="5"/>
      <c r="AQ3" s="5"/>
      <c r="AR3" s="5"/>
    </row>
    <row r="4" spans="1:48" ht="14.95" customHeight="1" thickBot="1" x14ac:dyDescent="0.3">
      <c r="A4" s="412" t="s">
        <v>32</v>
      </c>
      <c r="B4" s="408">
        <v>0</v>
      </c>
      <c r="C4" s="409">
        <v>0</v>
      </c>
      <c r="D4" s="410">
        <v>0</v>
      </c>
      <c r="E4" s="414">
        <f t="shared" ref="E4:E51" si="0">SUM(B4:D4)</f>
        <v>0</v>
      </c>
      <c r="F4" s="381" t="s">
        <v>32</v>
      </c>
      <c r="G4" s="118">
        <v>0</v>
      </c>
      <c r="H4" s="374">
        <v>0</v>
      </c>
      <c r="I4" s="375">
        <v>0</v>
      </c>
      <c r="J4" s="376">
        <f t="shared" ref="J4:J51" si="1">SUM(G4:I4)</f>
        <v>0</v>
      </c>
      <c r="K4" s="415" t="s">
        <v>188</v>
      </c>
      <c r="L4" s="418">
        <v>1</v>
      </c>
      <c r="M4" s="418">
        <v>2</v>
      </c>
      <c r="N4" s="416">
        <v>50</v>
      </c>
      <c r="O4" s="414" t="s">
        <v>50</v>
      </c>
      <c r="P4" s="414" t="s">
        <v>50</v>
      </c>
      <c r="Q4" s="414" t="s">
        <v>50</v>
      </c>
      <c r="R4" s="416">
        <v>1</v>
      </c>
      <c r="S4" s="416">
        <v>1</v>
      </c>
      <c r="T4" s="416" t="s">
        <v>50</v>
      </c>
      <c r="U4" s="416" t="s">
        <v>50</v>
      </c>
      <c r="V4" s="416" t="s">
        <v>50</v>
      </c>
      <c r="W4" s="416" t="s">
        <v>50</v>
      </c>
      <c r="X4" s="416" t="s">
        <v>50</v>
      </c>
      <c r="Y4" s="416" t="s">
        <v>50</v>
      </c>
      <c r="Z4" s="60"/>
      <c r="AA4" s="60"/>
      <c r="AB4" s="60"/>
      <c r="AC4" s="418" t="s">
        <v>50</v>
      </c>
      <c r="AD4" s="416" t="s">
        <v>50</v>
      </c>
      <c r="AE4" s="416" t="s">
        <v>50</v>
      </c>
      <c r="AF4" s="416" t="s">
        <v>50</v>
      </c>
      <c r="AG4" s="416" t="s">
        <v>50</v>
      </c>
      <c r="AH4" s="416" t="s">
        <v>50</v>
      </c>
      <c r="AI4" s="416" t="s">
        <v>50</v>
      </c>
      <c r="AJ4" s="416" t="s">
        <v>50</v>
      </c>
      <c r="AK4" s="416" t="s">
        <v>50</v>
      </c>
      <c r="AL4" s="416" t="s">
        <v>50</v>
      </c>
      <c r="AM4" s="416" t="s">
        <v>50</v>
      </c>
      <c r="AN4" s="416" t="s">
        <v>50</v>
      </c>
      <c r="AO4" s="122"/>
    </row>
    <row r="5" spans="1:48" ht="14.95" customHeight="1" thickBot="1" x14ac:dyDescent="0.3">
      <c r="A5" s="412" t="s">
        <v>118</v>
      </c>
      <c r="B5" s="408">
        <v>1</v>
      </c>
      <c r="C5" s="409">
        <v>0</v>
      </c>
      <c r="D5" s="410">
        <v>3</v>
      </c>
      <c r="E5" s="414">
        <f t="shared" si="0"/>
        <v>4</v>
      </c>
      <c r="F5" s="381" t="s">
        <v>118</v>
      </c>
      <c r="G5" s="118">
        <v>5</v>
      </c>
      <c r="H5" s="374">
        <v>0</v>
      </c>
      <c r="I5" s="375">
        <v>15</v>
      </c>
      <c r="J5" s="376">
        <f t="shared" si="1"/>
        <v>20</v>
      </c>
      <c r="K5" s="411" t="s">
        <v>1014</v>
      </c>
      <c r="L5" s="414">
        <v>40</v>
      </c>
      <c r="M5" s="414">
        <v>56</v>
      </c>
      <c r="N5" s="417">
        <f>SUM(L5/M5)*100</f>
        <v>71.428571428571431</v>
      </c>
      <c r="O5" s="414">
        <v>2</v>
      </c>
      <c r="P5" s="414">
        <v>3</v>
      </c>
      <c r="Q5" s="417">
        <f>SUM(O5/P5)*100</f>
        <v>66.666666666666657</v>
      </c>
      <c r="R5" s="413">
        <v>1</v>
      </c>
      <c r="S5" s="413">
        <v>1</v>
      </c>
      <c r="T5" s="413">
        <v>35</v>
      </c>
      <c r="U5" s="413">
        <v>45</v>
      </c>
      <c r="V5" s="417">
        <f>SUM(T5/U5)*100</f>
        <v>77.777777777777786</v>
      </c>
      <c r="W5" s="418">
        <v>62</v>
      </c>
      <c r="X5" s="413">
        <v>72</v>
      </c>
      <c r="Y5" s="417">
        <f>SUM(W5/X5)*100</f>
        <v>86.111111111111114</v>
      </c>
      <c r="Z5" s="122"/>
      <c r="AA5" s="122"/>
      <c r="AB5" s="122"/>
      <c r="AC5" s="418">
        <v>39</v>
      </c>
      <c r="AD5" s="413">
        <v>49</v>
      </c>
      <c r="AE5" s="417">
        <f>SUM(AC5/AD5)*100</f>
        <v>79.591836734693871</v>
      </c>
      <c r="AF5" s="413">
        <v>55</v>
      </c>
      <c r="AG5" s="413">
        <v>80</v>
      </c>
      <c r="AH5" s="417">
        <f>SUM(AF5/AG5)*100</f>
        <v>68.75</v>
      </c>
      <c r="AI5" s="413">
        <v>40</v>
      </c>
      <c r="AJ5" s="413">
        <v>70</v>
      </c>
      <c r="AK5" s="417">
        <f>SUM(AI5/AJ5)*100</f>
        <v>57.142857142857139</v>
      </c>
      <c r="AL5" s="413">
        <v>87</v>
      </c>
      <c r="AM5" s="413">
        <v>117</v>
      </c>
      <c r="AN5" s="413">
        <v>74</v>
      </c>
      <c r="AO5" s="123"/>
      <c r="AT5" s="5"/>
      <c r="AU5" s="5"/>
      <c r="AV5" s="5"/>
    </row>
    <row r="6" spans="1:48" ht="14.95" customHeight="1" thickBot="1" x14ac:dyDescent="0.3">
      <c r="A6" s="412" t="s">
        <v>1061</v>
      </c>
      <c r="B6" s="408">
        <v>0</v>
      </c>
      <c r="C6" s="409">
        <v>0</v>
      </c>
      <c r="D6" s="410">
        <v>1</v>
      </c>
      <c r="E6" s="414">
        <f t="shared" si="0"/>
        <v>1</v>
      </c>
      <c r="F6" s="381" t="s">
        <v>1061</v>
      </c>
      <c r="G6" s="118">
        <v>0</v>
      </c>
      <c r="H6" s="374">
        <v>0</v>
      </c>
      <c r="I6" s="375">
        <v>5</v>
      </c>
      <c r="J6" s="376">
        <f t="shared" si="1"/>
        <v>5</v>
      </c>
      <c r="K6" s="411" t="s">
        <v>1147</v>
      </c>
      <c r="L6" s="414">
        <v>1</v>
      </c>
      <c r="M6" s="414">
        <v>2</v>
      </c>
      <c r="N6" s="414">
        <v>50</v>
      </c>
      <c r="O6" s="414" t="s">
        <v>50</v>
      </c>
      <c r="P6" s="414" t="s">
        <v>50</v>
      </c>
      <c r="Q6" s="414" t="s">
        <v>50</v>
      </c>
      <c r="R6" s="413">
        <v>-1</v>
      </c>
      <c r="S6" s="413">
        <v>-1</v>
      </c>
      <c r="T6" s="413" t="s">
        <v>50</v>
      </c>
      <c r="U6" s="413" t="s">
        <v>50</v>
      </c>
      <c r="V6" s="413" t="s">
        <v>50</v>
      </c>
      <c r="W6" s="413" t="s">
        <v>50</v>
      </c>
      <c r="X6" s="413" t="s">
        <v>50</v>
      </c>
      <c r="Y6" s="413" t="s">
        <v>50</v>
      </c>
      <c r="Z6" s="122"/>
      <c r="AA6" s="122"/>
      <c r="AB6" s="122"/>
      <c r="AC6" s="418"/>
      <c r="AD6" s="413"/>
      <c r="AE6" s="417"/>
      <c r="AF6" s="413"/>
      <c r="AG6" s="413"/>
      <c r="AH6" s="417"/>
      <c r="AI6" s="413"/>
      <c r="AJ6" s="413"/>
      <c r="AK6" s="417"/>
      <c r="AL6" s="413"/>
      <c r="AM6" s="413"/>
      <c r="AN6" s="413"/>
      <c r="AO6" s="123"/>
    </row>
    <row r="7" spans="1:48" ht="14.95" customHeight="1" thickBot="1" x14ac:dyDescent="0.3">
      <c r="A7" s="412" t="s">
        <v>920</v>
      </c>
      <c r="B7" s="408">
        <v>0</v>
      </c>
      <c r="C7" s="409">
        <v>0</v>
      </c>
      <c r="D7" s="410">
        <v>0</v>
      </c>
      <c r="E7" s="414">
        <f t="shared" si="0"/>
        <v>0</v>
      </c>
      <c r="F7" s="381" t="s">
        <v>920</v>
      </c>
      <c r="G7" s="118">
        <v>0</v>
      </c>
      <c r="H7" s="374">
        <v>0</v>
      </c>
      <c r="I7" s="375">
        <v>0</v>
      </c>
      <c r="J7" s="376">
        <f t="shared" si="1"/>
        <v>0</v>
      </c>
      <c r="K7" s="411" t="s">
        <v>182</v>
      </c>
      <c r="L7" s="414" t="s">
        <v>50</v>
      </c>
      <c r="M7" s="414" t="s">
        <v>50</v>
      </c>
      <c r="N7" s="414" t="s">
        <v>50</v>
      </c>
      <c r="O7" s="414" t="s">
        <v>50</v>
      </c>
      <c r="P7" s="414" t="s">
        <v>50</v>
      </c>
      <c r="Q7" s="414" t="s">
        <v>50</v>
      </c>
      <c r="R7" s="413">
        <v>1</v>
      </c>
      <c r="S7" s="413">
        <v>1</v>
      </c>
      <c r="T7" s="413" t="s">
        <v>50</v>
      </c>
      <c r="U7" s="413" t="s">
        <v>50</v>
      </c>
      <c r="V7" s="413" t="s">
        <v>50</v>
      </c>
      <c r="W7" s="418">
        <v>12</v>
      </c>
      <c r="X7" s="413">
        <v>14</v>
      </c>
      <c r="Y7" s="417">
        <f>SUM(W7/X7)*100</f>
        <v>85.714285714285708</v>
      </c>
      <c r="Z7" s="122"/>
      <c r="AA7" s="122"/>
      <c r="AB7" s="122"/>
      <c r="AC7" s="418">
        <v>21</v>
      </c>
      <c r="AD7" s="413">
        <v>29</v>
      </c>
      <c r="AE7" s="417">
        <f>SUM(AC7/AD7)*100</f>
        <v>72.41379310344827</v>
      </c>
      <c r="AF7" s="413">
        <v>17</v>
      </c>
      <c r="AG7" s="413">
        <v>28</v>
      </c>
      <c r="AH7" s="417">
        <f>SUM(AF7/AG7)*100</f>
        <v>60.714285714285708</v>
      </c>
      <c r="AI7" s="413" t="s">
        <v>50</v>
      </c>
      <c r="AJ7" s="413" t="s">
        <v>50</v>
      </c>
      <c r="AK7" s="413" t="s">
        <v>50</v>
      </c>
      <c r="AL7" s="413" t="s">
        <v>50</v>
      </c>
      <c r="AM7" s="413" t="s">
        <v>50</v>
      </c>
      <c r="AN7" s="413" t="s">
        <v>50</v>
      </c>
      <c r="AO7" s="123"/>
    </row>
    <row r="8" spans="1:48" ht="14.95" customHeight="1" thickBot="1" x14ac:dyDescent="0.3">
      <c r="A8" s="412" t="s">
        <v>140</v>
      </c>
      <c r="B8" s="408">
        <v>2</v>
      </c>
      <c r="C8" s="409">
        <v>1</v>
      </c>
      <c r="D8" s="410">
        <v>0</v>
      </c>
      <c r="E8" s="414">
        <f t="shared" si="0"/>
        <v>3</v>
      </c>
      <c r="F8" s="381" t="s">
        <v>140</v>
      </c>
      <c r="G8" s="118">
        <v>118</v>
      </c>
      <c r="H8" s="374">
        <v>25</v>
      </c>
      <c r="I8" s="375">
        <v>4</v>
      </c>
      <c r="J8" s="376">
        <f t="shared" si="1"/>
        <v>147</v>
      </c>
      <c r="K8" s="412" t="s">
        <v>256</v>
      </c>
      <c r="L8" s="414">
        <v>1</v>
      </c>
      <c r="M8" s="414">
        <v>1</v>
      </c>
      <c r="N8" s="414">
        <v>100</v>
      </c>
      <c r="O8" s="414" t="s">
        <v>50</v>
      </c>
      <c r="P8" s="414" t="s">
        <v>50</v>
      </c>
      <c r="Q8" s="414" t="s">
        <v>50</v>
      </c>
      <c r="R8" s="414">
        <v>1</v>
      </c>
      <c r="S8" s="414">
        <v>1</v>
      </c>
      <c r="T8" s="414">
        <v>0</v>
      </c>
      <c r="U8" s="414">
        <v>1</v>
      </c>
      <c r="V8" s="417">
        <f>SUM(T8/U8)*100</f>
        <v>0</v>
      </c>
      <c r="W8" s="419" t="s">
        <v>50</v>
      </c>
      <c r="X8" s="414" t="s">
        <v>50</v>
      </c>
      <c r="Y8" s="414" t="s">
        <v>50</v>
      </c>
      <c r="Z8" s="123"/>
      <c r="AA8" s="123"/>
      <c r="AB8" s="123"/>
      <c r="AC8" s="419" t="s">
        <v>50</v>
      </c>
      <c r="AD8" s="414" t="s">
        <v>50</v>
      </c>
      <c r="AE8" s="414" t="s">
        <v>50</v>
      </c>
      <c r="AF8" s="414" t="s">
        <v>50</v>
      </c>
      <c r="AG8" s="414" t="s">
        <v>50</v>
      </c>
      <c r="AH8" s="414" t="s">
        <v>50</v>
      </c>
      <c r="AI8" s="414" t="s">
        <v>50</v>
      </c>
      <c r="AJ8" s="414" t="s">
        <v>50</v>
      </c>
      <c r="AK8" s="414" t="s">
        <v>50</v>
      </c>
      <c r="AL8" s="414" t="s">
        <v>50</v>
      </c>
      <c r="AM8" s="414" t="s">
        <v>50</v>
      </c>
      <c r="AN8" s="414" t="s">
        <v>50</v>
      </c>
    </row>
    <row r="9" spans="1:48" ht="14.95" customHeight="1" thickBot="1" x14ac:dyDescent="0.3">
      <c r="A9" s="412" t="s">
        <v>128</v>
      </c>
      <c r="B9" s="408">
        <v>3</v>
      </c>
      <c r="C9" s="409">
        <v>0</v>
      </c>
      <c r="D9" s="410">
        <v>0</v>
      </c>
      <c r="E9" s="414">
        <f t="shared" si="0"/>
        <v>3</v>
      </c>
      <c r="F9" s="381" t="s">
        <v>128</v>
      </c>
      <c r="G9" s="118">
        <v>15</v>
      </c>
      <c r="H9" s="374">
        <v>0</v>
      </c>
      <c r="I9" s="375">
        <v>0</v>
      </c>
      <c r="J9" s="376">
        <f t="shared" si="1"/>
        <v>15</v>
      </c>
      <c r="K9" s="412" t="s">
        <v>17</v>
      </c>
      <c r="L9" s="414" t="s">
        <v>50</v>
      </c>
      <c r="M9" s="414" t="s">
        <v>50</v>
      </c>
      <c r="N9" s="414" t="s">
        <v>50</v>
      </c>
      <c r="O9" s="414" t="s">
        <v>50</v>
      </c>
      <c r="P9" s="414" t="s">
        <v>50</v>
      </c>
      <c r="Q9" s="414" t="s">
        <v>50</v>
      </c>
      <c r="R9" s="414">
        <v>1</v>
      </c>
      <c r="S9" s="414">
        <v>1</v>
      </c>
      <c r="T9" s="413">
        <v>1</v>
      </c>
      <c r="U9" s="413">
        <v>1</v>
      </c>
      <c r="V9" s="417">
        <f>SUM(T9/U9)*100</f>
        <v>100</v>
      </c>
      <c r="W9" s="419" t="s">
        <v>50</v>
      </c>
      <c r="X9" s="414" t="s">
        <v>50</v>
      </c>
      <c r="Y9" s="414" t="s">
        <v>50</v>
      </c>
      <c r="Z9" s="123"/>
      <c r="AA9" s="123"/>
      <c r="AB9" s="123"/>
      <c r="AC9" s="419" t="s">
        <v>50</v>
      </c>
      <c r="AD9" s="414" t="s">
        <v>50</v>
      </c>
      <c r="AE9" s="414" t="s">
        <v>50</v>
      </c>
      <c r="AF9" s="414" t="s">
        <v>50</v>
      </c>
      <c r="AG9" s="414" t="s">
        <v>50</v>
      </c>
      <c r="AH9" s="414" t="s">
        <v>50</v>
      </c>
      <c r="AI9" s="414" t="s">
        <v>50</v>
      </c>
      <c r="AJ9" s="414" t="s">
        <v>50</v>
      </c>
      <c r="AK9" s="414" t="s">
        <v>50</v>
      </c>
      <c r="AL9" s="414" t="s">
        <v>50</v>
      </c>
      <c r="AM9" s="414" t="s">
        <v>50</v>
      </c>
      <c r="AN9" s="414" t="s">
        <v>50</v>
      </c>
    </row>
    <row r="10" spans="1:48" ht="14.95" customHeight="1" thickBot="1" x14ac:dyDescent="0.3">
      <c r="A10" s="412" t="s">
        <v>1042</v>
      </c>
      <c r="B10" s="408">
        <v>0</v>
      </c>
      <c r="C10" s="409">
        <v>0</v>
      </c>
      <c r="D10" s="410">
        <v>0</v>
      </c>
      <c r="E10" s="414">
        <f t="shared" si="0"/>
        <v>0</v>
      </c>
      <c r="F10" s="381" t="s">
        <v>1042</v>
      </c>
      <c r="G10" s="118">
        <v>0</v>
      </c>
      <c r="H10" s="374">
        <v>0</v>
      </c>
      <c r="I10" s="375">
        <v>0</v>
      </c>
      <c r="J10" s="376">
        <f t="shared" si="1"/>
        <v>0</v>
      </c>
      <c r="K10" s="412" t="s">
        <v>1808</v>
      </c>
      <c r="L10" s="414">
        <v>1</v>
      </c>
      <c r="M10" s="414">
        <v>3</v>
      </c>
      <c r="N10" s="414">
        <v>50</v>
      </c>
      <c r="O10" s="414" t="s">
        <v>50</v>
      </c>
      <c r="P10" s="414" t="s">
        <v>50</v>
      </c>
      <c r="Q10" s="414" t="s">
        <v>50</v>
      </c>
      <c r="R10" s="414">
        <v>-1</v>
      </c>
      <c r="S10" s="414">
        <v>-2</v>
      </c>
      <c r="T10" s="414">
        <v>7</v>
      </c>
      <c r="U10" s="414">
        <v>8</v>
      </c>
      <c r="V10" s="417">
        <f>SUM(T10/U10)*100</f>
        <v>87.5</v>
      </c>
      <c r="W10" s="414" t="s">
        <v>50</v>
      </c>
      <c r="X10" s="414" t="s">
        <v>50</v>
      </c>
      <c r="Y10" s="414" t="s">
        <v>50</v>
      </c>
      <c r="Z10" s="123"/>
      <c r="AA10" s="123"/>
      <c r="AB10" s="123"/>
      <c r="AC10" s="418" t="s">
        <v>50</v>
      </c>
      <c r="AD10" s="414" t="s">
        <v>50</v>
      </c>
      <c r="AE10" s="414" t="s">
        <v>50</v>
      </c>
      <c r="AF10" s="414">
        <v>8</v>
      </c>
      <c r="AG10" s="414">
        <v>10</v>
      </c>
      <c r="AH10" s="414">
        <v>80</v>
      </c>
      <c r="AI10" s="414">
        <v>7</v>
      </c>
      <c r="AJ10" s="414">
        <v>9</v>
      </c>
      <c r="AK10" s="420">
        <v>77.777777777777786</v>
      </c>
      <c r="AL10" s="414" t="s">
        <v>50</v>
      </c>
      <c r="AM10" s="414" t="s">
        <v>50</v>
      </c>
      <c r="AN10" s="414" t="s">
        <v>50</v>
      </c>
      <c r="AP10" s="5"/>
      <c r="AQ10" s="5"/>
      <c r="AR10" s="5"/>
    </row>
    <row r="11" spans="1:48" ht="14.95" customHeight="1" thickBot="1" x14ac:dyDescent="0.3">
      <c r="A11" s="412" t="s">
        <v>135</v>
      </c>
      <c r="B11" s="408">
        <v>2</v>
      </c>
      <c r="C11" s="409">
        <v>0</v>
      </c>
      <c r="D11" s="410">
        <v>0</v>
      </c>
      <c r="E11" s="414">
        <f t="shared" si="0"/>
        <v>2</v>
      </c>
      <c r="F11" s="381" t="s">
        <v>135</v>
      </c>
      <c r="G11" s="118">
        <v>10</v>
      </c>
      <c r="H11" s="374">
        <v>0</v>
      </c>
      <c r="I11" s="375">
        <v>0</v>
      </c>
      <c r="J11" s="376">
        <f t="shared" si="1"/>
        <v>10</v>
      </c>
      <c r="K11" s="412" t="s">
        <v>185</v>
      </c>
      <c r="L11" s="414">
        <v>40</v>
      </c>
      <c r="M11" s="414">
        <v>50</v>
      </c>
      <c r="N11" s="417">
        <f>SUM(L11/M11)*100</f>
        <v>80</v>
      </c>
      <c r="O11" s="414">
        <v>3</v>
      </c>
      <c r="P11" s="414">
        <v>3</v>
      </c>
      <c r="Q11" s="417">
        <f>SUM(O11/P11)*100</f>
        <v>100</v>
      </c>
      <c r="R11" s="414">
        <v>3</v>
      </c>
      <c r="S11" s="414">
        <v>3</v>
      </c>
      <c r="T11" s="414">
        <v>52</v>
      </c>
      <c r="U11" s="414">
        <v>60</v>
      </c>
      <c r="V11" s="417">
        <f>SUM(T11/U11)*100</f>
        <v>86.666666666666671</v>
      </c>
      <c r="W11" s="419">
        <v>22</v>
      </c>
      <c r="X11" s="414">
        <v>29</v>
      </c>
      <c r="Y11" s="420">
        <f>SUM(W11/X11)*100</f>
        <v>75.862068965517238</v>
      </c>
      <c r="Z11" s="122"/>
      <c r="AA11" s="122"/>
      <c r="AB11" s="122"/>
      <c r="AC11" s="419">
        <v>19</v>
      </c>
      <c r="AD11" s="414">
        <v>29</v>
      </c>
      <c r="AE11" s="420">
        <f>SUM(AC11/AD11)*100</f>
        <v>65.517241379310349</v>
      </c>
      <c r="AF11" s="414" t="s">
        <v>50</v>
      </c>
      <c r="AG11" s="414" t="s">
        <v>50</v>
      </c>
      <c r="AH11" s="414" t="s">
        <v>50</v>
      </c>
      <c r="AI11" s="414" t="s">
        <v>50</v>
      </c>
      <c r="AJ11" s="414" t="s">
        <v>50</v>
      </c>
      <c r="AK11" s="414" t="s">
        <v>50</v>
      </c>
      <c r="AL11" s="414" t="s">
        <v>50</v>
      </c>
      <c r="AM11" s="414" t="s">
        <v>50</v>
      </c>
      <c r="AN11" s="414" t="s">
        <v>50</v>
      </c>
    </row>
    <row r="12" spans="1:48" ht="14.95" customHeight="1" thickBot="1" x14ac:dyDescent="0.3">
      <c r="A12" s="412" t="s">
        <v>114</v>
      </c>
      <c r="B12" s="408">
        <v>0</v>
      </c>
      <c r="C12" s="409">
        <v>0</v>
      </c>
      <c r="D12" s="410">
        <v>0</v>
      </c>
      <c r="E12" s="414">
        <f t="shared" si="0"/>
        <v>0</v>
      </c>
      <c r="F12" s="381" t="s">
        <v>114</v>
      </c>
      <c r="G12" s="118">
        <v>0</v>
      </c>
      <c r="H12" s="374">
        <v>0</v>
      </c>
      <c r="I12" s="375">
        <v>0</v>
      </c>
      <c r="J12" s="376">
        <f t="shared" si="1"/>
        <v>0</v>
      </c>
    </row>
    <row r="13" spans="1:48" ht="14.95" customHeight="1" thickBot="1" x14ac:dyDescent="0.3">
      <c r="A13" s="412" t="s">
        <v>983</v>
      </c>
      <c r="B13" s="408">
        <v>8</v>
      </c>
      <c r="C13" s="409">
        <v>1</v>
      </c>
      <c r="D13" s="410">
        <v>0</v>
      </c>
      <c r="E13" s="414">
        <f t="shared" si="0"/>
        <v>9</v>
      </c>
      <c r="F13" s="381" t="s">
        <v>983</v>
      </c>
      <c r="G13" s="118">
        <v>40</v>
      </c>
      <c r="H13" s="374">
        <v>5</v>
      </c>
      <c r="I13" s="375">
        <v>0</v>
      </c>
      <c r="J13" s="376">
        <f t="shared" si="1"/>
        <v>45</v>
      </c>
      <c r="K13" s="476" t="s">
        <v>1325</v>
      </c>
      <c r="L13" s="463" t="s">
        <v>49</v>
      </c>
      <c r="M13" s="464"/>
      <c r="N13" s="465"/>
      <c r="O13" s="457" t="s">
        <v>124</v>
      </c>
      <c r="P13" s="458"/>
      <c r="Q13" s="459"/>
      <c r="R13" s="457" t="s">
        <v>1070</v>
      </c>
      <c r="S13" s="458"/>
      <c r="T13" s="459"/>
      <c r="U13" s="457" t="s">
        <v>598</v>
      </c>
      <c r="V13" s="458"/>
      <c r="W13" s="459"/>
      <c r="X13" s="127"/>
      <c r="Y13" s="127"/>
      <c r="Z13" s="127"/>
      <c r="AA13" s="46"/>
      <c r="AC13" s="457" t="s">
        <v>254</v>
      </c>
      <c r="AD13" s="458"/>
      <c r="AE13" s="459"/>
      <c r="AF13" s="457" t="s">
        <v>257</v>
      </c>
      <c r="AG13" s="458"/>
      <c r="AH13" s="459"/>
      <c r="AK13" s="5"/>
      <c r="AL13" s="5"/>
      <c r="AM13" s="5"/>
      <c r="AN13" s="5"/>
    </row>
    <row r="14" spans="1:48" ht="14.95" customHeight="1" thickBot="1" x14ac:dyDescent="0.3">
      <c r="A14" s="412" t="s">
        <v>37</v>
      </c>
      <c r="B14" s="408">
        <v>2</v>
      </c>
      <c r="C14" s="409">
        <v>0</v>
      </c>
      <c r="D14" s="410">
        <v>0</v>
      </c>
      <c r="E14" s="414">
        <f t="shared" si="0"/>
        <v>2</v>
      </c>
      <c r="F14" s="381" t="s">
        <v>37</v>
      </c>
      <c r="G14" s="118">
        <v>10</v>
      </c>
      <c r="H14" s="374">
        <v>0</v>
      </c>
      <c r="I14" s="375">
        <v>0</v>
      </c>
      <c r="J14" s="376">
        <f t="shared" si="1"/>
        <v>10</v>
      </c>
      <c r="K14" s="477"/>
      <c r="L14" s="466"/>
      <c r="M14" s="467"/>
      <c r="N14" s="468"/>
      <c r="O14" s="460"/>
      <c r="P14" s="461"/>
      <c r="Q14" s="462"/>
      <c r="R14" s="460"/>
      <c r="S14" s="461"/>
      <c r="T14" s="462"/>
      <c r="U14" s="460"/>
      <c r="V14" s="461"/>
      <c r="W14" s="462"/>
      <c r="X14" s="127"/>
      <c r="Y14" s="127"/>
      <c r="Z14" s="127"/>
      <c r="AC14" s="460"/>
      <c r="AD14" s="461"/>
      <c r="AE14" s="462"/>
      <c r="AF14" s="460"/>
      <c r="AG14" s="461"/>
      <c r="AH14" s="462"/>
      <c r="AO14" s="5"/>
    </row>
    <row r="15" spans="1:48" ht="14.95" customHeight="1" thickBot="1" x14ac:dyDescent="0.3">
      <c r="A15" s="412" t="s">
        <v>1146</v>
      </c>
      <c r="B15" s="408">
        <v>0</v>
      </c>
      <c r="C15" s="409">
        <v>0</v>
      </c>
      <c r="D15" s="410">
        <v>0</v>
      </c>
      <c r="E15" s="414">
        <f t="shared" si="0"/>
        <v>0</v>
      </c>
      <c r="F15" s="381" t="s">
        <v>1147</v>
      </c>
      <c r="G15" s="118">
        <v>2</v>
      </c>
      <c r="H15" s="374">
        <v>0</v>
      </c>
      <c r="I15" s="375">
        <v>9</v>
      </c>
      <c r="J15" s="376">
        <f t="shared" si="1"/>
        <v>11</v>
      </c>
      <c r="K15" s="37"/>
      <c r="L15" s="15" t="s">
        <v>243</v>
      </c>
      <c r="M15" s="15" t="s">
        <v>42</v>
      </c>
      <c r="N15" s="15" t="s">
        <v>43</v>
      </c>
      <c r="O15" s="119" t="s">
        <v>243</v>
      </c>
      <c r="P15" s="119" t="s">
        <v>42</v>
      </c>
      <c r="Q15" s="119" t="s">
        <v>43</v>
      </c>
      <c r="R15" s="119" t="s">
        <v>243</v>
      </c>
      <c r="S15" s="119" t="s">
        <v>42</v>
      </c>
      <c r="T15" s="119" t="s">
        <v>43</v>
      </c>
      <c r="U15" s="124" t="s">
        <v>243</v>
      </c>
      <c r="V15" s="119" t="s">
        <v>42</v>
      </c>
      <c r="W15" s="119" t="s">
        <v>43</v>
      </c>
      <c r="AC15" s="124" t="s">
        <v>243</v>
      </c>
      <c r="AD15" s="119" t="s">
        <v>42</v>
      </c>
      <c r="AE15" s="119" t="s">
        <v>43</v>
      </c>
      <c r="AF15" s="158" t="s">
        <v>243</v>
      </c>
      <c r="AG15" s="119" t="s">
        <v>42</v>
      </c>
      <c r="AH15" s="119" t="s">
        <v>43</v>
      </c>
      <c r="AP15" s="5"/>
      <c r="AQ15" s="5"/>
      <c r="AR15" s="5"/>
    </row>
    <row r="16" spans="1:48" ht="14.95" customHeight="1" thickBot="1" x14ac:dyDescent="0.3">
      <c r="A16" s="412" t="s">
        <v>1023</v>
      </c>
      <c r="B16" s="408">
        <v>0</v>
      </c>
      <c r="C16" s="409">
        <v>0</v>
      </c>
      <c r="D16" s="410">
        <v>0</v>
      </c>
      <c r="E16" s="414">
        <f t="shared" si="0"/>
        <v>0</v>
      </c>
      <c r="F16" s="381" t="s">
        <v>1023</v>
      </c>
      <c r="G16" s="118">
        <v>0</v>
      </c>
      <c r="H16" s="374">
        <v>0</v>
      </c>
      <c r="I16" s="375">
        <v>0</v>
      </c>
      <c r="J16" s="376">
        <f t="shared" si="1"/>
        <v>0</v>
      </c>
      <c r="K16" s="435" t="s">
        <v>188</v>
      </c>
      <c r="L16" s="418" t="s">
        <v>50</v>
      </c>
      <c r="M16" s="418" t="s">
        <v>50</v>
      </c>
      <c r="N16" s="418" t="s">
        <v>50</v>
      </c>
      <c r="O16" s="418" t="s">
        <v>50</v>
      </c>
      <c r="P16" s="418" t="s">
        <v>50</v>
      </c>
      <c r="Q16" s="418" t="s">
        <v>50</v>
      </c>
      <c r="R16" s="418" t="s">
        <v>50</v>
      </c>
      <c r="S16" s="418" t="s">
        <v>50</v>
      </c>
      <c r="T16" s="418" t="s">
        <v>50</v>
      </c>
      <c r="U16" s="418" t="s">
        <v>50</v>
      </c>
      <c r="V16" s="418" t="s">
        <v>50</v>
      </c>
      <c r="W16" s="418" t="s">
        <v>50</v>
      </c>
      <c r="X16" s="261"/>
      <c r="Y16" s="261"/>
      <c r="Z16" s="261"/>
      <c r="AA16" s="261"/>
      <c r="AB16" s="261"/>
      <c r="AC16" s="425" t="s">
        <v>50</v>
      </c>
      <c r="AD16" s="422" t="s">
        <v>50</v>
      </c>
      <c r="AE16" s="422" t="s">
        <v>50</v>
      </c>
      <c r="AF16" s="421" t="s">
        <v>50</v>
      </c>
      <c r="AG16" s="422" t="s">
        <v>50</v>
      </c>
      <c r="AH16" s="422" t="s">
        <v>50</v>
      </c>
    </row>
    <row r="17" spans="1:44" ht="15.8" thickBot="1" x14ac:dyDescent="0.3">
      <c r="A17" s="412" t="s">
        <v>1149</v>
      </c>
      <c r="B17" s="408">
        <v>0</v>
      </c>
      <c r="C17" s="409">
        <v>0</v>
      </c>
      <c r="D17" s="410">
        <v>0</v>
      </c>
      <c r="E17" s="414">
        <f t="shared" si="0"/>
        <v>0</v>
      </c>
      <c r="F17" s="381" t="s">
        <v>1149</v>
      </c>
      <c r="G17" s="118">
        <v>0</v>
      </c>
      <c r="H17" s="374">
        <v>0</v>
      </c>
      <c r="I17" s="375">
        <v>0</v>
      </c>
      <c r="J17" s="376">
        <f t="shared" si="1"/>
        <v>0</v>
      </c>
      <c r="K17" s="411" t="s">
        <v>182</v>
      </c>
      <c r="L17" s="418" t="s">
        <v>50</v>
      </c>
      <c r="M17" s="418" t="s">
        <v>50</v>
      </c>
      <c r="N17" s="416" t="s">
        <v>50</v>
      </c>
      <c r="O17" s="418" t="s">
        <v>50</v>
      </c>
      <c r="P17" s="418" t="s">
        <v>50</v>
      </c>
      <c r="Q17" s="418" t="s">
        <v>50</v>
      </c>
      <c r="R17" s="429">
        <v>7</v>
      </c>
      <c r="S17" s="418">
        <v>9</v>
      </c>
      <c r="T17" s="434">
        <f>SUM(R17/S17)*100</f>
        <v>77.777777777777786</v>
      </c>
      <c r="U17" s="418" t="s">
        <v>50</v>
      </c>
      <c r="V17" s="418" t="s">
        <v>50</v>
      </c>
      <c r="W17" s="418" t="s">
        <v>50</v>
      </c>
      <c r="AA17" s="261"/>
      <c r="AB17" s="261"/>
      <c r="AC17" s="418" t="s">
        <v>50</v>
      </c>
      <c r="AD17" s="422" t="s">
        <v>50</v>
      </c>
      <c r="AE17" s="422" t="s">
        <v>50</v>
      </c>
      <c r="AF17" s="426" t="s">
        <v>50</v>
      </c>
      <c r="AG17" s="416" t="s">
        <v>50</v>
      </c>
      <c r="AH17" s="416" t="s">
        <v>50</v>
      </c>
    </row>
    <row r="18" spans="1:44" ht="15.8" thickBot="1" x14ac:dyDescent="0.3">
      <c r="A18" s="412" t="s">
        <v>1052</v>
      </c>
      <c r="B18" s="408">
        <v>0</v>
      </c>
      <c r="C18" s="409">
        <v>0</v>
      </c>
      <c r="D18" s="410">
        <v>0</v>
      </c>
      <c r="E18" s="414">
        <f t="shared" si="0"/>
        <v>0</v>
      </c>
      <c r="F18" s="381" t="s">
        <v>1052</v>
      </c>
      <c r="G18" s="118">
        <v>0</v>
      </c>
      <c r="H18" s="374">
        <v>0</v>
      </c>
      <c r="I18" s="375">
        <v>0</v>
      </c>
      <c r="J18" s="376">
        <f t="shared" si="1"/>
        <v>0</v>
      </c>
      <c r="K18" s="411" t="s">
        <v>1147</v>
      </c>
      <c r="L18" s="418">
        <v>0</v>
      </c>
      <c r="M18" s="418">
        <v>1</v>
      </c>
      <c r="N18" s="434">
        <f>SUM(L18/M18)*100</f>
        <v>0</v>
      </c>
      <c r="O18" s="418" t="s">
        <v>50</v>
      </c>
      <c r="P18" s="418" t="s">
        <v>50</v>
      </c>
      <c r="Q18" s="418" t="s">
        <v>50</v>
      </c>
      <c r="R18" s="418" t="s">
        <v>50</v>
      </c>
      <c r="S18" s="418" t="s">
        <v>50</v>
      </c>
      <c r="T18" s="418" t="s">
        <v>50</v>
      </c>
      <c r="U18" s="418" t="s">
        <v>50</v>
      </c>
      <c r="V18" s="429" t="s">
        <v>50</v>
      </c>
      <c r="W18" s="418" t="s">
        <v>50</v>
      </c>
      <c r="AA18" s="261"/>
      <c r="AB18" s="261"/>
      <c r="AC18" s="426" t="s">
        <v>50</v>
      </c>
      <c r="AD18" s="422" t="s">
        <v>50</v>
      </c>
      <c r="AE18" s="422" t="s">
        <v>50</v>
      </c>
      <c r="AF18" s="421" t="s">
        <v>50</v>
      </c>
      <c r="AG18" s="422" t="s">
        <v>50</v>
      </c>
      <c r="AH18" s="422" t="s">
        <v>50</v>
      </c>
    </row>
    <row r="19" spans="1:44" ht="15.8" thickBot="1" x14ac:dyDescent="0.3">
      <c r="A19" s="412" t="s">
        <v>129</v>
      </c>
      <c r="B19" s="408">
        <v>3</v>
      </c>
      <c r="C19" s="409">
        <v>0</v>
      </c>
      <c r="D19" s="410">
        <v>0</v>
      </c>
      <c r="E19" s="414">
        <f t="shared" si="0"/>
        <v>3</v>
      </c>
      <c r="F19" s="381" t="s">
        <v>129</v>
      </c>
      <c r="G19" s="118">
        <v>15</v>
      </c>
      <c r="H19" s="374">
        <v>0</v>
      </c>
      <c r="I19" s="375">
        <v>0</v>
      </c>
      <c r="J19" s="376">
        <f t="shared" si="1"/>
        <v>15</v>
      </c>
      <c r="K19" s="411" t="s">
        <v>185</v>
      </c>
      <c r="L19" s="414">
        <v>6</v>
      </c>
      <c r="M19" s="414">
        <v>7</v>
      </c>
      <c r="N19" s="417">
        <f>SUM(L19/M19)*100</f>
        <v>85.714285714285708</v>
      </c>
      <c r="O19" s="414">
        <v>14</v>
      </c>
      <c r="P19" s="414">
        <v>19</v>
      </c>
      <c r="Q19" s="417">
        <f>SUM(O19/P19)*100</f>
        <v>73.68421052631578</v>
      </c>
      <c r="R19" s="418">
        <v>17</v>
      </c>
      <c r="S19" s="418">
        <v>19</v>
      </c>
      <c r="T19" s="434">
        <f>SUM(R19/S19)*100</f>
        <v>89.473684210526315</v>
      </c>
      <c r="U19" s="418">
        <v>1</v>
      </c>
      <c r="V19" s="418">
        <v>1</v>
      </c>
      <c r="W19" s="433">
        <f>SUM(U19/V19)*100</f>
        <v>100</v>
      </c>
      <c r="AA19" s="261"/>
      <c r="AB19" s="261"/>
      <c r="AC19" s="421" t="s">
        <v>50</v>
      </c>
      <c r="AD19" s="422" t="s">
        <v>50</v>
      </c>
      <c r="AE19" s="422" t="s">
        <v>50</v>
      </c>
      <c r="AF19" s="419" t="s">
        <v>50</v>
      </c>
      <c r="AG19" s="414" t="s">
        <v>50</v>
      </c>
      <c r="AH19" s="414" t="s">
        <v>50</v>
      </c>
    </row>
    <row r="20" spans="1:44" ht="15.8" thickBot="1" x14ac:dyDescent="0.3">
      <c r="A20" s="412" t="s">
        <v>120</v>
      </c>
      <c r="B20" s="408">
        <v>1</v>
      </c>
      <c r="C20" s="409">
        <v>0</v>
      </c>
      <c r="D20" s="410">
        <v>0</v>
      </c>
      <c r="E20" s="414">
        <f t="shared" si="0"/>
        <v>1</v>
      </c>
      <c r="F20" s="381" t="s">
        <v>120</v>
      </c>
      <c r="G20" s="118">
        <v>5</v>
      </c>
      <c r="H20" s="374">
        <v>0</v>
      </c>
      <c r="I20" s="375">
        <v>0</v>
      </c>
      <c r="J20" s="376">
        <f t="shared" si="1"/>
        <v>5</v>
      </c>
      <c r="K20" s="411" t="s">
        <v>1808</v>
      </c>
      <c r="L20" s="418">
        <v>4</v>
      </c>
      <c r="M20" s="418">
        <v>6</v>
      </c>
      <c r="N20" s="418">
        <v>50</v>
      </c>
      <c r="O20" s="418" t="s">
        <v>50</v>
      </c>
      <c r="P20" s="418" t="s">
        <v>50</v>
      </c>
      <c r="Q20" s="418" t="s">
        <v>50</v>
      </c>
      <c r="R20" s="418" t="s">
        <v>50</v>
      </c>
      <c r="S20" s="418" t="s">
        <v>50</v>
      </c>
      <c r="T20" s="418" t="s">
        <v>50</v>
      </c>
      <c r="U20" s="418" t="s">
        <v>50</v>
      </c>
      <c r="V20" s="418" t="s">
        <v>50</v>
      </c>
      <c r="W20" s="418" t="s">
        <v>50</v>
      </c>
      <c r="AA20" s="261"/>
      <c r="AB20" s="261"/>
      <c r="AC20" s="418" t="s">
        <v>50</v>
      </c>
      <c r="AD20" s="418" t="s">
        <v>50</v>
      </c>
      <c r="AE20" s="418" t="s">
        <v>50</v>
      </c>
      <c r="AF20" s="418" t="s">
        <v>50</v>
      </c>
      <c r="AG20" s="418" t="s">
        <v>50</v>
      </c>
      <c r="AH20" s="418" t="s">
        <v>50</v>
      </c>
      <c r="AO20" s="5"/>
    </row>
    <row r="21" spans="1:44" ht="14.95" customHeight="1" thickBot="1" x14ac:dyDescent="0.3">
      <c r="A21" s="412" t="s">
        <v>184</v>
      </c>
      <c r="B21" s="408">
        <v>0</v>
      </c>
      <c r="C21" s="409">
        <v>1</v>
      </c>
      <c r="D21" s="410">
        <v>0</v>
      </c>
      <c r="E21" s="414">
        <f t="shared" si="0"/>
        <v>1</v>
      </c>
      <c r="F21" s="381" t="s">
        <v>184</v>
      </c>
      <c r="G21" s="118">
        <v>0</v>
      </c>
      <c r="H21" s="374">
        <v>5</v>
      </c>
      <c r="I21" s="375">
        <v>0</v>
      </c>
      <c r="J21" s="376">
        <f t="shared" si="1"/>
        <v>5</v>
      </c>
      <c r="K21" s="424" t="s">
        <v>1014</v>
      </c>
      <c r="L21" s="414">
        <v>9</v>
      </c>
      <c r="M21" s="414">
        <v>12</v>
      </c>
      <c r="N21" s="434">
        <f>SUM(L21/M21)*100</f>
        <v>75</v>
      </c>
      <c r="O21" s="414">
        <v>8</v>
      </c>
      <c r="P21" s="414">
        <v>8</v>
      </c>
      <c r="Q21" s="417">
        <f>SUM(O21/P21)*100</f>
        <v>100</v>
      </c>
      <c r="R21" s="414">
        <v>5</v>
      </c>
      <c r="S21" s="414">
        <v>8</v>
      </c>
      <c r="T21" s="420">
        <f>SUM(R21/S21)*100</f>
        <v>62.5</v>
      </c>
      <c r="U21" s="419">
        <v>15</v>
      </c>
      <c r="V21" s="414">
        <v>19</v>
      </c>
      <c r="W21" s="420">
        <f>SUM(U21/V21)*100</f>
        <v>78.94736842105263</v>
      </c>
      <c r="AA21" s="261"/>
      <c r="AB21" s="261"/>
      <c r="AC21" s="419">
        <v>6</v>
      </c>
      <c r="AD21" s="414">
        <v>9</v>
      </c>
      <c r="AE21" s="420">
        <f>SUM(AC21/AD21)*100</f>
        <v>66.666666666666657</v>
      </c>
      <c r="AF21" s="419">
        <v>10</v>
      </c>
      <c r="AG21" s="414">
        <v>15</v>
      </c>
      <c r="AH21" s="414">
        <v>67</v>
      </c>
      <c r="AP21" s="5"/>
      <c r="AQ21" s="5"/>
      <c r="AR21" s="5"/>
    </row>
    <row r="22" spans="1:44" ht="14.95" customHeight="1" thickBot="1" x14ac:dyDescent="0.3">
      <c r="A22" s="412" t="s">
        <v>954</v>
      </c>
      <c r="B22" s="408">
        <v>0</v>
      </c>
      <c r="C22" s="409">
        <v>0</v>
      </c>
      <c r="D22" s="410">
        <v>0</v>
      </c>
      <c r="E22" s="414">
        <f t="shared" si="0"/>
        <v>0</v>
      </c>
      <c r="F22" s="373" t="s">
        <v>954</v>
      </c>
      <c r="G22" s="118">
        <v>0</v>
      </c>
      <c r="H22" s="374">
        <v>0</v>
      </c>
      <c r="I22" s="375">
        <v>0</v>
      </c>
      <c r="J22" s="376">
        <f t="shared" si="1"/>
        <v>0</v>
      </c>
      <c r="AO22" s="5"/>
    </row>
    <row r="23" spans="1:44" ht="14.95" customHeight="1" thickBot="1" x14ac:dyDescent="0.3">
      <c r="A23" s="412" t="s">
        <v>1074</v>
      </c>
      <c r="B23" s="408">
        <v>0</v>
      </c>
      <c r="C23" s="409">
        <v>0</v>
      </c>
      <c r="D23" s="410">
        <v>0</v>
      </c>
      <c r="E23" s="414">
        <f t="shared" si="0"/>
        <v>0</v>
      </c>
      <c r="F23" s="373" t="s">
        <v>256</v>
      </c>
      <c r="G23" s="118">
        <v>2</v>
      </c>
      <c r="H23" s="374">
        <v>0</v>
      </c>
      <c r="I23" s="375">
        <v>0</v>
      </c>
      <c r="J23" s="376">
        <f t="shared" si="1"/>
        <v>2</v>
      </c>
      <c r="K23" s="474" t="s">
        <v>1071</v>
      </c>
      <c r="L23" s="463" t="s">
        <v>49</v>
      </c>
      <c r="M23" s="464"/>
      <c r="N23" s="465"/>
      <c r="O23" s="457" t="s">
        <v>124</v>
      </c>
      <c r="P23" s="458"/>
      <c r="Q23" s="459"/>
      <c r="R23" s="457" t="s">
        <v>1070</v>
      </c>
      <c r="S23" s="458"/>
      <c r="T23" s="459"/>
      <c r="U23" s="457" t="s">
        <v>254</v>
      </c>
      <c r="V23" s="458"/>
      <c r="W23" s="459"/>
      <c r="AC23" s="457" t="s">
        <v>186</v>
      </c>
      <c r="AD23" s="458"/>
      <c r="AE23" s="459"/>
    </row>
    <row r="24" spans="1:44" ht="14.95" customHeight="1" thickBot="1" x14ac:dyDescent="0.3">
      <c r="A24" s="412" t="s">
        <v>81</v>
      </c>
      <c r="B24" s="408">
        <v>0</v>
      </c>
      <c r="C24" s="409">
        <v>0</v>
      </c>
      <c r="D24" s="410">
        <v>0</v>
      </c>
      <c r="E24" s="414">
        <f t="shared" si="0"/>
        <v>0</v>
      </c>
      <c r="F24" s="381" t="s">
        <v>81</v>
      </c>
      <c r="G24" s="118">
        <v>0</v>
      </c>
      <c r="H24" s="374">
        <v>0</v>
      </c>
      <c r="I24" s="375">
        <v>0</v>
      </c>
      <c r="J24" s="376">
        <f t="shared" si="1"/>
        <v>0</v>
      </c>
      <c r="K24" s="475"/>
      <c r="L24" s="466"/>
      <c r="M24" s="467"/>
      <c r="N24" s="468"/>
      <c r="O24" s="460"/>
      <c r="P24" s="461"/>
      <c r="Q24" s="462"/>
      <c r="R24" s="460"/>
      <c r="S24" s="461"/>
      <c r="T24" s="462"/>
      <c r="U24" s="460"/>
      <c r="V24" s="461"/>
      <c r="W24" s="462"/>
      <c r="AC24" s="460"/>
      <c r="AD24" s="461"/>
      <c r="AE24" s="462"/>
      <c r="AP24" s="5"/>
      <c r="AQ24" s="5"/>
      <c r="AR24" s="5"/>
    </row>
    <row r="25" spans="1:44" ht="15.8" thickBot="1" x14ac:dyDescent="0.3">
      <c r="A25" s="412" t="s">
        <v>925</v>
      </c>
      <c r="B25" s="408">
        <v>0</v>
      </c>
      <c r="C25" s="409">
        <v>0</v>
      </c>
      <c r="D25" s="410">
        <v>0</v>
      </c>
      <c r="E25" s="414">
        <f t="shared" si="0"/>
        <v>0</v>
      </c>
      <c r="F25" s="381" t="s">
        <v>925</v>
      </c>
      <c r="G25" s="118">
        <v>0</v>
      </c>
      <c r="H25" s="374">
        <v>0</v>
      </c>
      <c r="I25" s="375">
        <v>0</v>
      </c>
      <c r="J25" s="376">
        <f t="shared" si="1"/>
        <v>0</v>
      </c>
      <c r="K25" s="37" t="s">
        <v>87</v>
      </c>
      <c r="L25" s="15" t="s">
        <v>243</v>
      </c>
      <c r="M25" s="15" t="s">
        <v>42</v>
      </c>
      <c r="N25" s="15" t="s">
        <v>43</v>
      </c>
      <c r="O25" s="119" t="s">
        <v>243</v>
      </c>
      <c r="P25" s="119" t="s">
        <v>42</v>
      </c>
      <c r="Q25" s="119" t="s">
        <v>43</v>
      </c>
      <c r="R25" s="119" t="s">
        <v>243</v>
      </c>
      <c r="S25" s="119" t="s">
        <v>42</v>
      </c>
      <c r="T25" s="119" t="s">
        <v>43</v>
      </c>
      <c r="U25" s="124" t="s">
        <v>243</v>
      </c>
      <c r="V25" s="119" t="s">
        <v>42</v>
      </c>
      <c r="W25" s="119" t="s">
        <v>43</v>
      </c>
      <c r="AC25" s="124" t="s">
        <v>243</v>
      </c>
      <c r="AD25" s="119" t="s">
        <v>42</v>
      </c>
      <c r="AE25" s="119" t="s">
        <v>43</v>
      </c>
    </row>
    <row r="26" spans="1:44" ht="15.8" thickBot="1" x14ac:dyDescent="0.3">
      <c r="A26" s="412" t="s">
        <v>160</v>
      </c>
      <c r="B26" s="408">
        <v>0</v>
      </c>
      <c r="C26" s="409">
        <v>1</v>
      </c>
      <c r="D26" s="410">
        <v>0</v>
      </c>
      <c r="E26" s="414">
        <f t="shared" si="0"/>
        <v>1</v>
      </c>
      <c r="F26" s="381" t="s">
        <v>160</v>
      </c>
      <c r="G26" s="118">
        <v>0</v>
      </c>
      <c r="H26" s="374">
        <v>5</v>
      </c>
      <c r="I26" s="375">
        <v>0</v>
      </c>
      <c r="J26" s="376">
        <f t="shared" si="1"/>
        <v>5</v>
      </c>
      <c r="K26" s="415" t="s">
        <v>188</v>
      </c>
      <c r="L26" s="418">
        <v>0</v>
      </c>
      <c r="M26" s="418">
        <v>1</v>
      </c>
      <c r="N26" s="417">
        <f>SUM(L26/M26)*100</f>
        <v>0</v>
      </c>
      <c r="O26" s="421" t="s">
        <v>50</v>
      </c>
      <c r="P26" s="422" t="s">
        <v>50</v>
      </c>
      <c r="Q26" s="422" t="s">
        <v>50</v>
      </c>
      <c r="R26" s="421" t="s">
        <v>50</v>
      </c>
      <c r="S26" s="422" t="s">
        <v>50</v>
      </c>
      <c r="T26" s="422" t="s">
        <v>50</v>
      </c>
      <c r="U26" s="421" t="s">
        <v>50</v>
      </c>
      <c r="V26" s="422" t="s">
        <v>50</v>
      </c>
      <c r="W26" s="422" t="s">
        <v>50</v>
      </c>
      <c r="AC26" s="425" t="s">
        <v>50</v>
      </c>
      <c r="AD26" s="422" t="s">
        <v>50</v>
      </c>
      <c r="AE26" s="422" t="s">
        <v>50</v>
      </c>
    </row>
    <row r="27" spans="1:44" ht="15.8" thickBot="1" x14ac:dyDescent="0.3">
      <c r="A27" s="412" t="s">
        <v>1755</v>
      </c>
      <c r="B27" s="408">
        <v>3</v>
      </c>
      <c r="C27" s="409">
        <v>0</v>
      </c>
      <c r="D27" s="410">
        <v>1</v>
      </c>
      <c r="E27" s="414">
        <f t="shared" si="0"/>
        <v>4</v>
      </c>
      <c r="F27" s="381" t="s">
        <v>1755</v>
      </c>
      <c r="G27" s="118">
        <v>15</v>
      </c>
      <c r="H27" s="374">
        <v>0</v>
      </c>
      <c r="I27" s="375">
        <v>5</v>
      </c>
      <c r="J27" s="376">
        <f t="shared" si="1"/>
        <v>20</v>
      </c>
      <c r="K27" s="411" t="s">
        <v>1014</v>
      </c>
      <c r="L27" s="414">
        <v>2</v>
      </c>
      <c r="M27" s="414">
        <v>2</v>
      </c>
      <c r="N27" s="417">
        <f>SUM(L27/M27)*100</f>
        <v>100</v>
      </c>
      <c r="O27" s="413">
        <v>17</v>
      </c>
      <c r="P27" s="413">
        <v>18</v>
      </c>
      <c r="Q27" s="417">
        <f>SUM(O27/P27)*100</f>
        <v>94.444444444444443</v>
      </c>
      <c r="R27" s="427" t="s">
        <v>50</v>
      </c>
      <c r="S27" s="427" t="s">
        <v>50</v>
      </c>
      <c r="T27" s="427" t="s">
        <v>50</v>
      </c>
      <c r="U27" s="428" t="s">
        <v>50</v>
      </c>
      <c r="V27" s="427" t="s">
        <v>50</v>
      </c>
      <c r="W27" s="427" t="s">
        <v>50</v>
      </c>
      <c r="AA27" s="261"/>
      <c r="AB27" s="261"/>
      <c r="AC27" s="428" t="s">
        <v>50</v>
      </c>
      <c r="AD27" s="427" t="s">
        <v>50</v>
      </c>
      <c r="AE27" s="427" t="s">
        <v>50</v>
      </c>
      <c r="AF27" s="261"/>
      <c r="AG27" s="261"/>
      <c r="AH27" s="261"/>
      <c r="AI27" s="261"/>
      <c r="AJ27" s="261"/>
      <c r="AK27" s="261"/>
    </row>
    <row r="28" spans="1:44" ht="15.8" thickBot="1" x14ac:dyDescent="0.3">
      <c r="A28" s="412" t="s">
        <v>17</v>
      </c>
      <c r="B28" s="408">
        <v>3</v>
      </c>
      <c r="C28" s="409">
        <v>0</v>
      </c>
      <c r="D28" s="410">
        <v>0</v>
      </c>
      <c r="E28" s="414">
        <f t="shared" si="0"/>
        <v>3</v>
      </c>
      <c r="F28" s="381" t="s">
        <v>17</v>
      </c>
      <c r="G28" s="118">
        <v>15</v>
      </c>
      <c r="H28" s="374">
        <v>0</v>
      </c>
      <c r="I28" s="375">
        <v>0</v>
      </c>
      <c r="J28" s="376">
        <f t="shared" si="1"/>
        <v>15</v>
      </c>
      <c r="K28" s="412" t="s">
        <v>1147</v>
      </c>
      <c r="L28" s="429">
        <v>4</v>
      </c>
      <c r="M28" s="429">
        <v>7</v>
      </c>
      <c r="N28" s="430">
        <f>SUM(L28/M28)*100</f>
        <v>57.142857142857139</v>
      </c>
      <c r="O28" s="431" t="s">
        <v>50</v>
      </c>
      <c r="P28" s="431" t="s">
        <v>50</v>
      </c>
      <c r="Q28" s="431" t="s">
        <v>50</v>
      </c>
      <c r="R28" s="431" t="s">
        <v>50</v>
      </c>
      <c r="S28" s="431" t="s">
        <v>50</v>
      </c>
      <c r="T28" s="431" t="s">
        <v>50</v>
      </c>
      <c r="U28" s="431" t="s">
        <v>50</v>
      </c>
      <c r="V28" s="431" t="s">
        <v>50</v>
      </c>
      <c r="W28" s="431" t="s">
        <v>50</v>
      </c>
      <c r="AA28" s="261"/>
      <c r="AB28" s="261"/>
      <c r="AC28" s="418" t="s">
        <v>50</v>
      </c>
      <c r="AD28" s="431" t="s">
        <v>50</v>
      </c>
      <c r="AE28" s="431" t="s">
        <v>50</v>
      </c>
      <c r="AF28" s="261"/>
      <c r="AG28" s="261"/>
      <c r="AH28" s="261"/>
      <c r="AI28" s="261"/>
      <c r="AJ28" s="261"/>
      <c r="AK28" s="261"/>
    </row>
    <row r="29" spans="1:44" ht="15.8" thickBot="1" x14ac:dyDescent="0.3">
      <c r="A29" s="412" t="s">
        <v>179</v>
      </c>
      <c r="B29" s="408">
        <v>0</v>
      </c>
      <c r="C29" s="409">
        <v>0</v>
      </c>
      <c r="D29" s="410">
        <v>0</v>
      </c>
      <c r="E29" s="414">
        <f t="shared" si="0"/>
        <v>0</v>
      </c>
      <c r="F29" s="373" t="s">
        <v>179</v>
      </c>
      <c r="G29" s="118">
        <v>0</v>
      </c>
      <c r="H29" s="374">
        <v>0</v>
      </c>
      <c r="I29" s="375">
        <v>0</v>
      </c>
      <c r="J29" s="376">
        <f t="shared" si="1"/>
        <v>0</v>
      </c>
      <c r="K29" s="412" t="s">
        <v>1808</v>
      </c>
      <c r="L29" s="418" t="s">
        <v>50</v>
      </c>
      <c r="M29" s="413" t="s">
        <v>50</v>
      </c>
      <c r="N29" s="418" t="s">
        <v>50</v>
      </c>
      <c r="O29" s="413">
        <v>0</v>
      </c>
      <c r="P29" s="413">
        <v>1</v>
      </c>
      <c r="Q29" s="417">
        <f>SUM(O29/P29)*100</f>
        <v>0</v>
      </c>
      <c r="R29" s="413"/>
      <c r="S29" s="413"/>
      <c r="T29" s="413"/>
      <c r="U29" s="413"/>
      <c r="V29" s="413"/>
      <c r="W29" s="413"/>
      <c r="AA29" s="261"/>
      <c r="AB29" s="261"/>
      <c r="AC29" s="419"/>
      <c r="AD29" s="418"/>
      <c r="AE29" s="418"/>
      <c r="AF29" s="261"/>
      <c r="AG29" s="261"/>
      <c r="AH29" s="261"/>
      <c r="AI29" s="261"/>
      <c r="AJ29" s="261"/>
      <c r="AK29" s="261"/>
      <c r="AO29" s="5"/>
    </row>
    <row r="30" spans="1:44" ht="15.8" thickBot="1" x14ac:dyDescent="0.3">
      <c r="A30" s="412" t="s">
        <v>103</v>
      </c>
      <c r="B30" s="408">
        <v>1</v>
      </c>
      <c r="C30" s="409">
        <v>2</v>
      </c>
      <c r="D30" s="410">
        <v>0</v>
      </c>
      <c r="E30" s="414">
        <f t="shared" si="0"/>
        <v>3</v>
      </c>
      <c r="F30" s="381" t="s">
        <v>103</v>
      </c>
      <c r="G30" s="118">
        <v>5</v>
      </c>
      <c r="H30" s="374">
        <v>10</v>
      </c>
      <c r="I30" s="375">
        <v>0</v>
      </c>
      <c r="J30" s="376">
        <f t="shared" si="1"/>
        <v>15</v>
      </c>
      <c r="K30" s="423" t="s">
        <v>185</v>
      </c>
      <c r="L30" s="414">
        <v>6</v>
      </c>
      <c r="M30" s="414">
        <v>6</v>
      </c>
      <c r="N30" s="417">
        <f>SUM(L30/M30)*100</f>
        <v>100</v>
      </c>
      <c r="O30" s="416" t="s">
        <v>50</v>
      </c>
      <c r="P30" s="416" t="s">
        <v>50</v>
      </c>
      <c r="Q30" s="416" t="s">
        <v>50</v>
      </c>
      <c r="R30" s="416">
        <v>7</v>
      </c>
      <c r="S30" s="416">
        <v>8</v>
      </c>
      <c r="T30" s="432">
        <f>SUM(R30/S30)*100</f>
        <v>87.5</v>
      </c>
      <c r="U30" s="419" t="s">
        <v>50</v>
      </c>
      <c r="V30" s="414" t="s">
        <v>50</v>
      </c>
      <c r="W30" s="414" t="s">
        <v>50</v>
      </c>
      <c r="AA30" s="261"/>
      <c r="AB30" s="261"/>
      <c r="AC30" s="419" t="s">
        <v>50</v>
      </c>
      <c r="AD30" s="414" t="s">
        <v>50</v>
      </c>
      <c r="AE30" s="414" t="s">
        <v>50</v>
      </c>
      <c r="AF30" s="261"/>
      <c r="AG30" s="261"/>
      <c r="AH30" s="261"/>
      <c r="AI30" s="261"/>
      <c r="AJ30" s="261"/>
      <c r="AK30" s="261"/>
    </row>
    <row r="31" spans="1:44" ht="15.8" thickBot="1" x14ac:dyDescent="0.3">
      <c r="A31" s="412" t="s">
        <v>1150</v>
      </c>
      <c r="B31" s="408">
        <v>4</v>
      </c>
      <c r="C31" s="409">
        <v>0</v>
      </c>
      <c r="D31" s="410">
        <v>1</v>
      </c>
      <c r="E31" s="414">
        <f t="shared" si="0"/>
        <v>5</v>
      </c>
      <c r="F31" s="381" t="s">
        <v>1150</v>
      </c>
      <c r="G31" s="118">
        <v>20</v>
      </c>
      <c r="H31" s="374">
        <v>0</v>
      </c>
      <c r="I31" s="375">
        <v>5</v>
      </c>
      <c r="J31" s="376">
        <f t="shared" si="1"/>
        <v>25</v>
      </c>
      <c r="K31" s="469" t="s">
        <v>1321</v>
      </c>
      <c r="L31" s="470"/>
      <c r="M31" s="470"/>
      <c r="N31" s="470"/>
      <c r="O31" s="470"/>
      <c r="P31" s="470"/>
      <c r="Q31" s="470"/>
      <c r="R31" s="470"/>
      <c r="S31" s="470"/>
      <c r="T31" s="470"/>
      <c r="U31" s="470"/>
      <c r="V31" s="470"/>
      <c r="W31" s="470"/>
      <c r="AP31" s="5"/>
      <c r="AQ31" s="5"/>
      <c r="AR31" s="5"/>
    </row>
    <row r="32" spans="1:44" ht="14.95" thickBot="1" x14ac:dyDescent="0.3">
      <c r="A32" s="412" t="s">
        <v>1747</v>
      </c>
      <c r="B32" s="408">
        <v>6</v>
      </c>
      <c r="C32" s="409">
        <v>2</v>
      </c>
      <c r="D32" s="410">
        <v>0</v>
      </c>
      <c r="E32" s="414">
        <f t="shared" si="0"/>
        <v>8</v>
      </c>
      <c r="F32" s="381" t="s">
        <v>1747</v>
      </c>
      <c r="G32" s="118">
        <v>30</v>
      </c>
      <c r="H32" s="374">
        <v>10</v>
      </c>
      <c r="I32" s="375">
        <v>0</v>
      </c>
      <c r="J32" s="376">
        <f t="shared" si="1"/>
        <v>40</v>
      </c>
    </row>
    <row r="33" spans="1:41" ht="14.95" thickBot="1" x14ac:dyDescent="0.3">
      <c r="A33" s="412" t="s">
        <v>1151</v>
      </c>
      <c r="B33" s="408">
        <v>0</v>
      </c>
      <c r="C33" s="409">
        <v>0</v>
      </c>
      <c r="D33" s="410">
        <v>0</v>
      </c>
      <c r="E33" s="414">
        <f t="shared" si="0"/>
        <v>0</v>
      </c>
      <c r="F33" s="381" t="s">
        <v>1151</v>
      </c>
      <c r="G33" s="118">
        <v>0</v>
      </c>
      <c r="H33" s="374">
        <v>0</v>
      </c>
      <c r="I33" s="375">
        <v>0</v>
      </c>
      <c r="J33" s="376">
        <f t="shared" si="1"/>
        <v>0</v>
      </c>
    </row>
    <row r="34" spans="1:41" ht="14.95" thickBot="1" x14ac:dyDescent="0.3">
      <c r="A34" s="412" t="s">
        <v>988</v>
      </c>
      <c r="B34" s="408">
        <v>1</v>
      </c>
      <c r="C34" s="409">
        <v>0</v>
      </c>
      <c r="D34" s="410">
        <v>0</v>
      </c>
      <c r="E34" s="414">
        <f t="shared" si="0"/>
        <v>1</v>
      </c>
      <c r="F34" s="381" t="s">
        <v>988</v>
      </c>
      <c r="G34" s="118">
        <v>5</v>
      </c>
      <c r="H34" s="374">
        <v>0</v>
      </c>
      <c r="I34" s="375">
        <v>0</v>
      </c>
      <c r="J34" s="376">
        <f t="shared" si="1"/>
        <v>5</v>
      </c>
    </row>
    <row r="35" spans="1:41" ht="14.95" thickBot="1" x14ac:dyDescent="0.3">
      <c r="A35" s="412" t="s">
        <v>7</v>
      </c>
      <c r="B35" s="408">
        <v>0</v>
      </c>
      <c r="C35" s="409">
        <v>0</v>
      </c>
      <c r="D35" s="410">
        <v>0</v>
      </c>
      <c r="E35" s="414">
        <f t="shared" si="0"/>
        <v>0</v>
      </c>
      <c r="F35" s="381" t="s">
        <v>7</v>
      </c>
      <c r="G35" s="118">
        <v>0</v>
      </c>
      <c r="H35" s="374">
        <v>0</v>
      </c>
      <c r="I35" s="375">
        <v>0</v>
      </c>
      <c r="J35" s="376">
        <f t="shared" si="1"/>
        <v>0</v>
      </c>
    </row>
    <row r="36" spans="1:41" ht="14.95" thickBot="1" x14ac:dyDescent="0.3">
      <c r="A36" s="412" t="s">
        <v>1060</v>
      </c>
      <c r="B36" s="408">
        <v>0</v>
      </c>
      <c r="C36" s="409">
        <v>0</v>
      </c>
      <c r="D36" s="410">
        <v>0</v>
      </c>
      <c r="E36" s="414">
        <f t="shared" si="0"/>
        <v>0</v>
      </c>
      <c r="F36" s="381" t="s">
        <v>1060</v>
      </c>
      <c r="G36" s="118">
        <v>0</v>
      </c>
      <c r="H36" s="374">
        <v>0</v>
      </c>
      <c r="I36" s="375">
        <v>0</v>
      </c>
      <c r="J36" s="376">
        <f t="shared" si="1"/>
        <v>0</v>
      </c>
      <c r="AJ36" s="5"/>
      <c r="AK36" s="5"/>
      <c r="AL36" s="5"/>
      <c r="AM36" s="5"/>
      <c r="AN36" s="5"/>
    </row>
    <row r="37" spans="1:41" ht="14.95" thickBot="1" x14ac:dyDescent="0.3">
      <c r="A37" s="412" t="s">
        <v>185</v>
      </c>
      <c r="B37" s="408">
        <v>2</v>
      </c>
      <c r="C37" s="409">
        <v>0</v>
      </c>
      <c r="D37" s="410">
        <v>0</v>
      </c>
      <c r="E37" s="414">
        <f t="shared" si="0"/>
        <v>2</v>
      </c>
      <c r="F37" s="381" t="s">
        <v>185</v>
      </c>
      <c r="G37" s="118">
        <v>114</v>
      </c>
      <c r="H37" s="374">
        <v>15</v>
      </c>
      <c r="I37" s="375">
        <v>13</v>
      </c>
      <c r="J37" s="376">
        <f t="shared" si="1"/>
        <v>142</v>
      </c>
    </row>
    <row r="38" spans="1:41" ht="14.95" thickBot="1" x14ac:dyDescent="0.3">
      <c r="A38" s="412" t="s">
        <v>80</v>
      </c>
      <c r="B38" s="408">
        <v>3</v>
      </c>
      <c r="C38" s="409">
        <v>1</v>
      </c>
      <c r="D38" s="410">
        <v>0</v>
      </c>
      <c r="E38" s="414">
        <f t="shared" si="0"/>
        <v>4</v>
      </c>
      <c r="F38" s="381" t="s">
        <v>80</v>
      </c>
      <c r="G38" s="118">
        <v>15</v>
      </c>
      <c r="H38" s="374">
        <v>5</v>
      </c>
      <c r="I38" s="375">
        <v>0</v>
      </c>
      <c r="J38" s="376">
        <f t="shared" si="1"/>
        <v>20</v>
      </c>
      <c r="AO38" s="5"/>
    </row>
    <row r="39" spans="1:41" ht="14.95" thickBot="1" x14ac:dyDescent="0.3">
      <c r="A39" s="412" t="s">
        <v>31</v>
      </c>
      <c r="B39" s="408">
        <v>3</v>
      </c>
      <c r="C39" s="409">
        <v>2</v>
      </c>
      <c r="D39" s="410">
        <v>4</v>
      </c>
      <c r="E39" s="414">
        <f t="shared" si="0"/>
        <v>9</v>
      </c>
      <c r="F39" s="381" t="s">
        <v>31</v>
      </c>
      <c r="G39" s="118">
        <v>15</v>
      </c>
      <c r="H39" s="374">
        <v>10</v>
      </c>
      <c r="I39" s="375">
        <v>20</v>
      </c>
      <c r="J39" s="376">
        <f t="shared" si="1"/>
        <v>45</v>
      </c>
    </row>
    <row r="40" spans="1:41" ht="14.95" thickBot="1" x14ac:dyDescent="0.3">
      <c r="A40" s="412" t="s">
        <v>41</v>
      </c>
      <c r="B40" s="408">
        <v>2</v>
      </c>
      <c r="C40" s="409">
        <v>0</v>
      </c>
      <c r="D40" s="410">
        <v>0</v>
      </c>
      <c r="E40" s="414">
        <f t="shared" si="0"/>
        <v>2</v>
      </c>
      <c r="F40" s="381" t="s">
        <v>41</v>
      </c>
      <c r="G40" s="118">
        <v>10</v>
      </c>
      <c r="H40" s="374">
        <v>0</v>
      </c>
      <c r="I40" s="375">
        <v>0</v>
      </c>
      <c r="J40" s="376">
        <f t="shared" si="1"/>
        <v>10</v>
      </c>
    </row>
    <row r="41" spans="1:41" ht="14.95" customHeight="1" thickBot="1" x14ac:dyDescent="0.3">
      <c r="A41" s="412" t="s">
        <v>70</v>
      </c>
      <c r="B41" s="408">
        <v>0</v>
      </c>
      <c r="C41" s="409">
        <v>1</v>
      </c>
      <c r="D41" s="410">
        <v>0</v>
      </c>
      <c r="E41" s="414">
        <f t="shared" si="0"/>
        <v>1</v>
      </c>
      <c r="F41" s="381" t="s">
        <v>70</v>
      </c>
      <c r="G41" s="118">
        <v>0</v>
      </c>
      <c r="H41" s="374">
        <v>5</v>
      </c>
      <c r="I41" s="375">
        <v>0</v>
      </c>
      <c r="J41" s="376">
        <f t="shared" si="1"/>
        <v>5</v>
      </c>
    </row>
    <row r="42" spans="1:41" ht="14.95" customHeight="1" thickBot="1" x14ac:dyDescent="0.3">
      <c r="A42" s="412" t="s">
        <v>989</v>
      </c>
      <c r="B42" s="408">
        <v>0</v>
      </c>
      <c r="C42" s="409">
        <v>1</v>
      </c>
      <c r="D42" s="410">
        <v>0</v>
      </c>
      <c r="E42" s="414">
        <f t="shared" si="0"/>
        <v>1</v>
      </c>
      <c r="F42" s="381" t="s">
        <v>989</v>
      </c>
      <c r="G42" s="118">
        <v>0</v>
      </c>
      <c r="H42" s="374">
        <v>5</v>
      </c>
      <c r="I42" s="375">
        <v>0</v>
      </c>
      <c r="J42" s="376">
        <f t="shared" si="1"/>
        <v>5</v>
      </c>
    </row>
    <row r="43" spans="1:41" ht="14.95" customHeight="1" thickBot="1" x14ac:dyDescent="0.3">
      <c r="A43" s="412" t="s">
        <v>1326</v>
      </c>
      <c r="B43" s="408">
        <v>1</v>
      </c>
      <c r="C43" s="409">
        <v>0</v>
      </c>
      <c r="D43" s="410">
        <v>0</v>
      </c>
      <c r="E43" s="414">
        <f t="shared" si="0"/>
        <v>1</v>
      </c>
      <c r="F43" s="381" t="s">
        <v>1326</v>
      </c>
      <c r="G43" s="118">
        <v>5</v>
      </c>
      <c r="H43" s="374">
        <v>0</v>
      </c>
      <c r="I43" s="375">
        <v>0</v>
      </c>
      <c r="J43" s="376">
        <f t="shared" si="1"/>
        <v>5</v>
      </c>
    </row>
    <row r="44" spans="1:41" ht="14.95" customHeight="1" thickBot="1" x14ac:dyDescent="0.3">
      <c r="A44" s="412" t="s">
        <v>1066</v>
      </c>
      <c r="B44" s="408">
        <v>0</v>
      </c>
      <c r="C44" s="409">
        <v>0</v>
      </c>
      <c r="D44" s="410">
        <v>0</v>
      </c>
      <c r="E44" s="414">
        <f t="shared" si="0"/>
        <v>0</v>
      </c>
      <c r="F44" s="381" t="s">
        <v>1066</v>
      </c>
      <c r="G44" s="118">
        <v>0</v>
      </c>
      <c r="H44" s="374">
        <v>0</v>
      </c>
      <c r="I44" s="375">
        <v>0</v>
      </c>
      <c r="J44" s="376">
        <f t="shared" si="1"/>
        <v>0</v>
      </c>
    </row>
    <row r="45" spans="1:41" ht="14.95" thickBot="1" x14ac:dyDescent="0.3">
      <c r="A45" s="412" t="s">
        <v>1059</v>
      </c>
      <c r="B45" s="408">
        <v>0</v>
      </c>
      <c r="C45" s="409">
        <v>0</v>
      </c>
      <c r="D45" s="410">
        <v>0</v>
      </c>
      <c r="E45" s="414">
        <f t="shared" si="0"/>
        <v>0</v>
      </c>
      <c r="F45" s="381" t="s">
        <v>1059</v>
      </c>
      <c r="G45" s="118">
        <v>0</v>
      </c>
      <c r="H45" s="374">
        <v>0</v>
      </c>
      <c r="I45" s="375">
        <v>0</v>
      </c>
      <c r="J45" s="376">
        <f t="shared" si="1"/>
        <v>0</v>
      </c>
    </row>
    <row r="46" spans="1:41" ht="14.95" thickBot="1" x14ac:dyDescent="0.3">
      <c r="A46" s="412" t="s">
        <v>78</v>
      </c>
      <c r="B46" s="408">
        <v>0</v>
      </c>
      <c r="C46" s="409">
        <v>0</v>
      </c>
      <c r="D46" s="410">
        <v>2</v>
      </c>
      <c r="E46" s="414">
        <f t="shared" si="0"/>
        <v>2</v>
      </c>
      <c r="F46" s="381" t="s">
        <v>78</v>
      </c>
      <c r="G46" s="118">
        <v>0</v>
      </c>
      <c r="H46" s="374">
        <v>0</v>
      </c>
      <c r="I46" s="375">
        <v>10</v>
      </c>
      <c r="J46" s="376">
        <f t="shared" si="1"/>
        <v>10</v>
      </c>
    </row>
    <row r="47" spans="1:41" ht="14.95" thickBot="1" x14ac:dyDescent="0.3">
      <c r="A47" s="412" t="s">
        <v>102</v>
      </c>
      <c r="B47" s="408">
        <v>1</v>
      </c>
      <c r="C47" s="409">
        <v>0</v>
      </c>
      <c r="D47" s="410">
        <v>0</v>
      </c>
      <c r="E47" s="414">
        <f t="shared" si="0"/>
        <v>1</v>
      </c>
      <c r="F47" s="381" t="s">
        <v>102</v>
      </c>
      <c r="G47" s="118">
        <v>5</v>
      </c>
      <c r="H47" s="374">
        <v>0</v>
      </c>
      <c r="I47" s="375">
        <v>0</v>
      </c>
      <c r="J47" s="376">
        <f t="shared" si="1"/>
        <v>5</v>
      </c>
    </row>
    <row r="48" spans="1:41" ht="14.95" thickBot="1" x14ac:dyDescent="0.3">
      <c r="A48" s="412" t="s">
        <v>434</v>
      </c>
      <c r="B48" s="408">
        <v>0</v>
      </c>
      <c r="C48" s="409">
        <v>0</v>
      </c>
      <c r="D48" s="410">
        <v>0</v>
      </c>
      <c r="E48" s="414">
        <f t="shared" si="0"/>
        <v>0</v>
      </c>
      <c r="F48" s="373" t="s">
        <v>434</v>
      </c>
      <c r="G48" s="118">
        <v>0</v>
      </c>
      <c r="H48" s="374">
        <v>0</v>
      </c>
      <c r="I48" s="375">
        <v>0</v>
      </c>
      <c r="J48" s="376">
        <f t="shared" si="1"/>
        <v>0</v>
      </c>
    </row>
    <row r="49" spans="1:40" ht="14.95" thickBot="1" x14ac:dyDescent="0.3">
      <c r="A49" s="412" t="s">
        <v>1811</v>
      </c>
      <c r="B49" s="408">
        <v>0</v>
      </c>
      <c r="C49" s="409">
        <v>0</v>
      </c>
      <c r="D49" s="410">
        <v>2</v>
      </c>
      <c r="E49" s="414">
        <f t="shared" si="0"/>
        <v>2</v>
      </c>
      <c r="F49" s="373" t="s">
        <v>1811</v>
      </c>
      <c r="G49" s="118">
        <v>0</v>
      </c>
      <c r="H49" s="374">
        <v>0</v>
      </c>
      <c r="I49" s="375">
        <v>10</v>
      </c>
      <c r="J49" s="376">
        <f t="shared" si="1"/>
        <v>10</v>
      </c>
      <c r="AJ49" s="5"/>
      <c r="AK49" s="5"/>
      <c r="AL49" s="5"/>
      <c r="AM49" s="5"/>
      <c r="AN49" s="5"/>
    </row>
    <row r="50" spans="1:40" ht="14.95" thickBot="1" x14ac:dyDescent="0.3">
      <c r="A50" s="412" t="s">
        <v>1808</v>
      </c>
      <c r="B50" s="408">
        <v>0</v>
      </c>
      <c r="C50" s="409">
        <v>0</v>
      </c>
      <c r="D50" s="410">
        <v>0</v>
      </c>
      <c r="E50" s="414">
        <f t="shared" si="0"/>
        <v>0</v>
      </c>
      <c r="F50" s="373" t="s">
        <v>1808</v>
      </c>
      <c r="G50" s="118">
        <v>2</v>
      </c>
      <c r="H50" s="374">
        <v>10</v>
      </c>
      <c r="I50" s="375">
        <v>0</v>
      </c>
      <c r="J50" s="376">
        <f t="shared" si="1"/>
        <v>12</v>
      </c>
    </row>
    <row r="51" spans="1:40" ht="14.95" thickBot="1" x14ac:dyDescent="0.3">
      <c r="A51" s="412" t="s">
        <v>1322</v>
      </c>
      <c r="B51" s="408">
        <v>0</v>
      </c>
      <c r="C51" s="409">
        <v>1</v>
      </c>
      <c r="D51" s="410">
        <v>0</v>
      </c>
      <c r="E51" s="414">
        <f t="shared" si="0"/>
        <v>1</v>
      </c>
      <c r="F51" s="373" t="s">
        <v>1322</v>
      </c>
      <c r="G51" s="118">
        <v>0</v>
      </c>
      <c r="H51" s="374">
        <v>5</v>
      </c>
      <c r="I51" s="375">
        <v>0</v>
      </c>
      <c r="J51" s="376">
        <f t="shared" si="1"/>
        <v>5</v>
      </c>
    </row>
    <row r="52" spans="1:40" ht="14.95" thickBot="1" x14ac:dyDescent="0.3">
      <c r="A52" s="412" t="s">
        <v>3</v>
      </c>
      <c r="B52" s="408">
        <f>SUM(B3:B51)</f>
        <v>52</v>
      </c>
      <c r="C52" s="409">
        <f>SUM(C3:C51)</f>
        <v>14</v>
      </c>
      <c r="D52" s="410">
        <f>SUM(D3:D51)</f>
        <v>14</v>
      </c>
      <c r="E52" s="414">
        <f t="shared" ref="E52" si="2">SUM(B52:D52)</f>
        <v>80</v>
      </c>
      <c r="F52" s="373" t="s">
        <v>3</v>
      </c>
      <c r="G52" s="118">
        <f>SUM(G3:G51)</f>
        <v>481</v>
      </c>
      <c r="H52" s="374">
        <f>SUM(H3:H51)</f>
        <v>115</v>
      </c>
      <c r="I52" s="375">
        <f>SUM(I3:I51)</f>
        <v>96</v>
      </c>
      <c r="J52" s="376">
        <f t="shared" ref="J52" si="3">SUM(G52:I52)</f>
        <v>692</v>
      </c>
    </row>
    <row r="53" spans="1:40" x14ac:dyDescent="0.25">
      <c r="B53" s="299"/>
      <c r="C53" s="155"/>
      <c r="D53" s="63"/>
      <c r="E53" s="102"/>
      <c r="F53" s="48"/>
      <c r="G53" s="304"/>
      <c r="H53" s="156"/>
      <c r="I53" s="63"/>
    </row>
    <row r="54" spans="1:40" ht="14.95" thickBot="1" x14ac:dyDescent="0.3">
      <c r="A54" t="s">
        <v>45</v>
      </c>
      <c r="B54" s="299"/>
      <c r="C54" s="155"/>
      <c r="D54" s="63"/>
      <c r="E54" s="102"/>
      <c r="F54" s="46"/>
      <c r="G54" s="303"/>
      <c r="H54" s="157"/>
      <c r="I54" s="43"/>
      <c r="J54" s="46"/>
    </row>
    <row r="55" spans="1:40" ht="14.95" thickBot="1" x14ac:dyDescent="0.3">
      <c r="A55" s="411" t="s">
        <v>0</v>
      </c>
      <c r="B55" s="405" t="s">
        <v>1072</v>
      </c>
      <c r="C55" s="406" t="s">
        <v>123</v>
      </c>
      <c r="D55" s="407" t="s">
        <v>1073</v>
      </c>
      <c r="E55" s="413" t="s">
        <v>1</v>
      </c>
      <c r="F55" s="377" t="s">
        <v>2</v>
      </c>
      <c r="G55" s="205" t="s">
        <v>1072</v>
      </c>
      <c r="H55" s="378" t="s">
        <v>123</v>
      </c>
      <c r="I55" s="379" t="s">
        <v>1073</v>
      </c>
      <c r="J55" s="380" t="s">
        <v>1</v>
      </c>
      <c r="AJ55" s="5"/>
      <c r="AK55" s="5"/>
      <c r="AL55" s="5"/>
      <c r="AM55" s="5"/>
      <c r="AN55" s="5"/>
    </row>
    <row r="56" spans="1:40" ht="14.95" thickBot="1" x14ac:dyDescent="0.3">
      <c r="A56" s="412" t="s">
        <v>983</v>
      </c>
      <c r="B56" s="408">
        <v>8</v>
      </c>
      <c r="C56" s="409">
        <v>1</v>
      </c>
      <c r="D56" s="410">
        <v>0</v>
      </c>
      <c r="E56" s="414">
        <f t="shared" ref="E56:E87" si="4">SUM(B56:D56)</f>
        <v>9</v>
      </c>
      <c r="F56" s="373" t="s">
        <v>140</v>
      </c>
      <c r="G56" s="118">
        <v>118</v>
      </c>
      <c r="H56" s="374">
        <v>25</v>
      </c>
      <c r="I56" s="375">
        <v>4</v>
      </c>
      <c r="J56" s="376">
        <f t="shared" ref="J56:J87" si="5">SUM(G56:I56)</f>
        <v>147</v>
      </c>
    </row>
    <row r="57" spans="1:40" ht="14.95" thickBot="1" x14ac:dyDescent="0.3">
      <c r="A57" s="412" t="s">
        <v>31</v>
      </c>
      <c r="B57" s="408">
        <v>3</v>
      </c>
      <c r="C57" s="409">
        <v>2</v>
      </c>
      <c r="D57" s="410">
        <v>4</v>
      </c>
      <c r="E57" s="414">
        <f t="shared" si="4"/>
        <v>9</v>
      </c>
      <c r="F57" s="381" t="s">
        <v>185</v>
      </c>
      <c r="G57" s="118">
        <v>114</v>
      </c>
      <c r="H57" s="374">
        <v>15</v>
      </c>
      <c r="I57" s="375">
        <v>13</v>
      </c>
      <c r="J57" s="376">
        <f t="shared" si="5"/>
        <v>142</v>
      </c>
    </row>
    <row r="58" spans="1:40" ht="14.95" thickBot="1" x14ac:dyDescent="0.3">
      <c r="A58" s="412" t="s">
        <v>1747</v>
      </c>
      <c r="B58" s="408">
        <v>6</v>
      </c>
      <c r="C58" s="409">
        <v>2</v>
      </c>
      <c r="D58" s="410">
        <v>0</v>
      </c>
      <c r="E58" s="414">
        <f t="shared" si="4"/>
        <v>8</v>
      </c>
      <c r="F58" s="381" t="s">
        <v>983</v>
      </c>
      <c r="G58" s="118">
        <v>40</v>
      </c>
      <c r="H58" s="374">
        <v>5</v>
      </c>
      <c r="I58" s="375">
        <v>0</v>
      </c>
      <c r="J58" s="376">
        <f t="shared" si="5"/>
        <v>45</v>
      </c>
    </row>
    <row r="59" spans="1:40" ht="14.95" thickBot="1" x14ac:dyDescent="0.3">
      <c r="A59" s="412" t="s">
        <v>1150</v>
      </c>
      <c r="B59" s="408">
        <v>4</v>
      </c>
      <c r="C59" s="409">
        <v>0</v>
      </c>
      <c r="D59" s="410">
        <v>1</v>
      </c>
      <c r="E59" s="414">
        <f t="shared" si="4"/>
        <v>5</v>
      </c>
      <c r="F59" s="381" t="s">
        <v>31</v>
      </c>
      <c r="G59" s="118">
        <v>15</v>
      </c>
      <c r="H59" s="374">
        <v>10</v>
      </c>
      <c r="I59" s="375">
        <v>20</v>
      </c>
      <c r="J59" s="376">
        <f t="shared" si="5"/>
        <v>45</v>
      </c>
    </row>
    <row r="60" spans="1:40" ht="14.95" thickBot="1" x14ac:dyDescent="0.3">
      <c r="A60" s="412" t="s">
        <v>118</v>
      </c>
      <c r="B60" s="408">
        <v>1</v>
      </c>
      <c r="C60" s="409">
        <v>0</v>
      </c>
      <c r="D60" s="410">
        <v>3</v>
      </c>
      <c r="E60" s="414">
        <f t="shared" si="4"/>
        <v>4</v>
      </c>
      <c r="F60" s="381" t="s">
        <v>1747</v>
      </c>
      <c r="G60" s="118">
        <v>30</v>
      </c>
      <c r="H60" s="374">
        <v>10</v>
      </c>
      <c r="I60" s="375">
        <v>0</v>
      </c>
      <c r="J60" s="376">
        <f t="shared" si="5"/>
        <v>40</v>
      </c>
    </row>
    <row r="61" spans="1:40" ht="14.95" thickBot="1" x14ac:dyDescent="0.3">
      <c r="A61" s="412" t="s">
        <v>1755</v>
      </c>
      <c r="B61" s="408">
        <v>3</v>
      </c>
      <c r="C61" s="409">
        <v>0</v>
      </c>
      <c r="D61" s="410">
        <v>1</v>
      </c>
      <c r="E61" s="414">
        <f t="shared" si="4"/>
        <v>4</v>
      </c>
      <c r="F61" s="381" t="s">
        <v>1150</v>
      </c>
      <c r="G61" s="118">
        <v>20</v>
      </c>
      <c r="H61" s="374">
        <v>0</v>
      </c>
      <c r="I61" s="375">
        <v>5</v>
      </c>
      <c r="J61" s="376">
        <f t="shared" si="5"/>
        <v>25</v>
      </c>
    </row>
    <row r="62" spans="1:40" ht="14.95" thickBot="1" x14ac:dyDescent="0.3">
      <c r="A62" s="412" t="s">
        <v>80</v>
      </c>
      <c r="B62" s="408">
        <v>3</v>
      </c>
      <c r="C62" s="409">
        <v>1</v>
      </c>
      <c r="D62" s="410">
        <v>0</v>
      </c>
      <c r="E62" s="414">
        <f t="shared" si="4"/>
        <v>4</v>
      </c>
      <c r="F62" s="381" t="s">
        <v>118</v>
      </c>
      <c r="G62" s="118">
        <v>5</v>
      </c>
      <c r="H62" s="374">
        <v>0</v>
      </c>
      <c r="I62" s="375">
        <v>15</v>
      </c>
      <c r="J62" s="376">
        <f t="shared" si="5"/>
        <v>20</v>
      </c>
    </row>
    <row r="63" spans="1:40" ht="14.95" thickBot="1" x14ac:dyDescent="0.3">
      <c r="A63" s="412" t="s">
        <v>140</v>
      </c>
      <c r="B63" s="408">
        <v>2</v>
      </c>
      <c r="C63" s="409">
        <v>1</v>
      </c>
      <c r="D63" s="410">
        <v>0</v>
      </c>
      <c r="E63" s="414">
        <f t="shared" si="4"/>
        <v>3</v>
      </c>
      <c r="F63" s="381" t="s">
        <v>1755</v>
      </c>
      <c r="G63" s="118">
        <v>15</v>
      </c>
      <c r="H63" s="374">
        <v>0</v>
      </c>
      <c r="I63" s="375">
        <v>5</v>
      </c>
      <c r="J63" s="376">
        <f t="shared" si="5"/>
        <v>20</v>
      </c>
    </row>
    <row r="64" spans="1:40" ht="14.95" thickBot="1" x14ac:dyDescent="0.3">
      <c r="A64" s="412" t="s">
        <v>128</v>
      </c>
      <c r="B64" s="408">
        <v>3</v>
      </c>
      <c r="C64" s="409">
        <v>0</v>
      </c>
      <c r="D64" s="410">
        <v>0</v>
      </c>
      <c r="E64" s="414">
        <f t="shared" si="4"/>
        <v>3</v>
      </c>
      <c r="F64" s="381" t="s">
        <v>80</v>
      </c>
      <c r="G64" s="118">
        <v>15</v>
      </c>
      <c r="H64" s="374">
        <v>5</v>
      </c>
      <c r="I64" s="375">
        <v>0</v>
      </c>
      <c r="J64" s="376">
        <f t="shared" si="5"/>
        <v>20</v>
      </c>
    </row>
    <row r="65" spans="1:10" ht="14.95" thickBot="1" x14ac:dyDescent="0.3">
      <c r="A65" s="412" t="s">
        <v>129</v>
      </c>
      <c r="B65" s="408">
        <v>3</v>
      </c>
      <c r="C65" s="409">
        <v>0</v>
      </c>
      <c r="D65" s="410">
        <v>0</v>
      </c>
      <c r="E65" s="414">
        <f t="shared" si="4"/>
        <v>3</v>
      </c>
      <c r="F65" s="381" t="s">
        <v>128</v>
      </c>
      <c r="G65" s="118">
        <v>15</v>
      </c>
      <c r="H65" s="374">
        <v>0</v>
      </c>
      <c r="I65" s="375">
        <v>0</v>
      </c>
      <c r="J65" s="376">
        <f t="shared" si="5"/>
        <v>15</v>
      </c>
    </row>
    <row r="66" spans="1:10" ht="14.95" thickBot="1" x14ac:dyDescent="0.3">
      <c r="A66" s="412" t="s">
        <v>17</v>
      </c>
      <c r="B66" s="408">
        <v>3</v>
      </c>
      <c r="C66" s="409">
        <v>0</v>
      </c>
      <c r="D66" s="410">
        <v>0</v>
      </c>
      <c r="E66" s="414">
        <f t="shared" si="4"/>
        <v>3</v>
      </c>
      <c r="F66" s="381" t="s">
        <v>129</v>
      </c>
      <c r="G66" s="118">
        <v>15</v>
      </c>
      <c r="H66" s="374">
        <v>0</v>
      </c>
      <c r="I66" s="375">
        <v>0</v>
      </c>
      <c r="J66" s="376">
        <f t="shared" si="5"/>
        <v>15</v>
      </c>
    </row>
    <row r="67" spans="1:10" ht="14.95" thickBot="1" x14ac:dyDescent="0.3">
      <c r="A67" s="412" t="s">
        <v>103</v>
      </c>
      <c r="B67" s="408">
        <v>1</v>
      </c>
      <c r="C67" s="409">
        <v>2</v>
      </c>
      <c r="D67" s="410">
        <v>0</v>
      </c>
      <c r="E67" s="414">
        <f t="shared" si="4"/>
        <v>3</v>
      </c>
      <c r="F67" s="381" t="s">
        <v>17</v>
      </c>
      <c r="G67" s="118">
        <v>15</v>
      </c>
      <c r="H67" s="374">
        <v>0</v>
      </c>
      <c r="I67" s="375">
        <v>0</v>
      </c>
      <c r="J67" s="376">
        <f t="shared" si="5"/>
        <v>15</v>
      </c>
    </row>
    <row r="68" spans="1:10" ht="14.95" thickBot="1" x14ac:dyDescent="0.3">
      <c r="A68" s="412" t="s">
        <v>135</v>
      </c>
      <c r="B68" s="408">
        <v>2</v>
      </c>
      <c r="C68" s="409">
        <v>0</v>
      </c>
      <c r="D68" s="410">
        <v>0</v>
      </c>
      <c r="E68" s="414">
        <f t="shared" si="4"/>
        <v>2</v>
      </c>
      <c r="F68" s="381" t="s">
        <v>103</v>
      </c>
      <c r="G68" s="118">
        <v>5</v>
      </c>
      <c r="H68" s="374">
        <v>10</v>
      </c>
      <c r="I68" s="375">
        <v>0</v>
      </c>
      <c r="J68" s="376">
        <f t="shared" si="5"/>
        <v>15</v>
      </c>
    </row>
    <row r="69" spans="1:10" ht="14.95" thickBot="1" x14ac:dyDescent="0.3">
      <c r="A69" s="412" t="s">
        <v>37</v>
      </c>
      <c r="B69" s="408">
        <v>2</v>
      </c>
      <c r="C69" s="409">
        <v>0</v>
      </c>
      <c r="D69" s="410">
        <v>0</v>
      </c>
      <c r="E69" s="414">
        <f t="shared" si="4"/>
        <v>2</v>
      </c>
      <c r="F69" s="381" t="s">
        <v>1808</v>
      </c>
      <c r="G69" s="118">
        <v>2</v>
      </c>
      <c r="H69" s="374">
        <v>10</v>
      </c>
      <c r="I69" s="375">
        <v>0</v>
      </c>
      <c r="J69" s="376">
        <f t="shared" si="5"/>
        <v>12</v>
      </c>
    </row>
    <row r="70" spans="1:10" ht="14.95" thickBot="1" x14ac:dyDescent="0.3">
      <c r="A70" s="412" t="s">
        <v>185</v>
      </c>
      <c r="B70" s="408">
        <v>2</v>
      </c>
      <c r="C70" s="409">
        <v>0</v>
      </c>
      <c r="D70" s="410">
        <v>0</v>
      </c>
      <c r="E70" s="414">
        <f t="shared" si="4"/>
        <v>2</v>
      </c>
      <c r="F70" s="381" t="s">
        <v>1147</v>
      </c>
      <c r="G70" s="118">
        <v>2</v>
      </c>
      <c r="H70" s="374">
        <v>0</v>
      </c>
      <c r="I70" s="375">
        <v>9</v>
      </c>
      <c r="J70" s="376">
        <f t="shared" si="5"/>
        <v>11</v>
      </c>
    </row>
    <row r="71" spans="1:10" ht="14.95" thickBot="1" x14ac:dyDescent="0.3">
      <c r="A71" s="412" t="s">
        <v>41</v>
      </c>
      <c r="B71" s="408">
        <v>2</v>
      </c>
      <c r="C71" s="409">
        <v>0</v>
      </c>
      <c r="D71" s="410">
        <v>0</v>
      </c>
      <c r="E71" s="414">
        <f t="shared" si="4"/>
        <v>2</v>
      </c>
      <c r="F71" s="381" t="s">
        <v>135</v>
      </c>
      <c r="G71" s="118">
        <v>10</v>
      </c>
      <c r="H71" s="374">
        <v>0</v>
      </c>
      <c r="I71" s="375">
        <v>0</v>
      </c>
      <c r="J71" s="376">
        <f t="shared" si="5"/>
        <v>10</v>
      </c>
    </row>
    <row r="72" spans="1:10" ht="14.95" thickBot="1" x14ac:dyDescent="0.3">
      <c r="A72" s="412" t="s">
        <v>78</v>
      </c>
      <c r="B72" s="408">
        <v>0</v>
      </c>
      <c r="C72" s="409">
        <v>0</v>
      </c>
      <c r="D72" s="410">
        <v>2</v>
      </c>
      <c r="E72" s="414">
        <f t="shared" si="4"/>
        <v>2</v>
      </c>
      <c r="F72" s="381" t="s">
        <v>37</v>
      </c>
      <c r="G72" s="118">
        <v>10</v>
      </c>
      <c r="H72" s="374">
        <v>0</v>
      </c>
      <c r="I72" s="375">
        <v>0</v>
      </c>
      <c r="J72" s="376">
        <f t="shared" si="5"/>
        <v>10</v>
      </c>
    </row>
    <row r="73" spans="1:10" ht="14.95" thickBot="1" x14ac:dyDescent="0.3">
      <c r="A73" s="412" t="s">
        <v>1811</v>
      </c>
      <c r="B73" s="408">
        <v>0</v>
      </c>
      <c r="C73" s="409">
        <v>0</v>
      </c>
      <c r="D73" s="410">
        <v>2</v>
      </c>
      <c r="E73" s="414">
        <f t="shared" si="4"/>
        <v>2</v>
      </c>
      <c r="F73" s="381" t="s">
        <v>41</v>
      </c>
      <c r="G73" s="118">
        <v>10</v>
      </c>
      <c r="H73" s="374">
        <v>0</v>
      </c>
      <c r="I73" s="375">
        <v>0</v>
      </c>
      <c r="J73" s="376">
        <f t="shared" si="5"/>
        <v>10</v>
      </c>
    </row>
    <row r="74" spans="1:10" ht="14.95" thickBot="1" x14ac:dyDescent="0.3">
      <c r="A74" s="412" t="s">
        <v>1061</v>
      </c>
      <c r="B74" s="408">
        <v>0</v>
      </c>
      <c r="C74" s="409">
        <v>0</v>
      </c>
      <c r="D74" s="410">
        <v>1</v>
      </c>
      <c r="E74" s="414">
        <f t="shared" si="4"/>
        <v>1</v>
      </c>
      <c r="F74" s="381" t="s">
        <v>78</v>
      </c>
      <c r="G74" s="118">
        <v>0</v>
      </c>
      <c r="H74" s="374">
        <v>0</v>
      </c>
      <c r="I74" s="375">
        <v>10</v>
      </c>
      <c r="J74" s="376">
        <f t="shared" si="5"/>
        <v>10</v>
      </c>
    </row>
    <row r="75" spans="1:10" ht="14.95" thickBot="1" x14ac:dyDescent="0.3">
      <c r="A75" s="412" t="s">
        <v>120</v>
      </c>
      <c r="B75" s="408">
        <v>1</v>
      </c>
      <c r="C75" s="409">
        <v>0</v>
      </c>
      <c r="D75" s="410">
        <v>0</v>
      </c>
      <c r="E75" s="414">
        <f t="shared" si="4"/>
        <v>1</v>
      </c>
      <c r="F75" s="373" t="s">
        <v>1811</v>
      </c>
      <c r="G75" s="118">
        <v>0</v>
      </c>
      <c r="H75" s="374">
        <v>0</v>
      </c>
      <c r="I75" s="375">
        <v>10</v>
      </c>
      <c r="J75" s="376">
        <f t="shared" si="5"/>
        <v>10</v>
      </c>
    </row>
    <row r="76" spans="1:10" ht="14.95" thickBot="1" x14ac:dyDescent="0.3">
      <c r="A76" s="412" t="s">
        <v>184</v>
      </c>
      <c r="B76" s="408">
        <v>0</v>
      </c>
      <c r="C76" s="409">
        <v>1</v>
      </c>
      <c r="D76" s="410">
        <v>0</v>
      </c>
      <c r="E76" s="414">
        <f t="shared" si="4"/>
        <v>1</v>
      </c>
      <c r="F76" s="373" t="s">
        <v>1061</v>
      </c>
      <c r="G76" s="118">
        <v>0</v>
      </c>
      <c r="H76" s="374">
        <v>0</v>
      </c>
      <c r="I76" s="375">
        <v>5</v>
      </c>
      <c r="J76" s="376">
        <f t="shared" si="5"/>
        <v>5</v>
      </c>
    </row>
    <row r="77" spans="1:10" ht="14.95" thickBot="1" x14ac:dyDescent="0.3">
      <c r="A77" s="412" t="s">
        <v>160</v>
      </c>
      <c r="B77" s="408">
        <v>0</v>
      </c>
      <c r="C77" s="409">
        <v>1</v>
      </c>
      <c r="D77" s="410">
        <v>0</v>
      </c>
      <c r="E77" s="414">
        <f t="shared" si="4"/>
        <v>1</v>
      </c>
      <c r="F77" s="381" t="s">
        <v>120</v>
      </c>
      <c r="G77" s="118">
        <v>5</v>
      </c>
      <c r="H77" s="374">
        <v>0</v>
      </c>
      <c r="I77" s="375">
        <v>0</v>
      </c>
      <c r="J77" s="376">
        <f t="shared" si="5"/>
        <v>5</v>
      </c>
    </row>
    <row r="78" spans="1:10" ht="14.95" thickBot="1" x14ac:dyDescent="0.3">
      <c r="A78" s="412" t="s">
        <v>988</v>
      </c>
      <c r="B78" s="408">
        <v>1</v>
      </c>
      <c r="C78" s="409">
        <v>0</v>
      </c>
      <c r="D78" s="410">
        <v>0</v>
      </c>
      <c r="E78" s="414">
        <f t="shared" si="4"/>
        <v>1</v>
      </c>
      <c r="F78" s="381" t="s">
        <v>184</v>
      </c>
      <c r="G78" s="118">
        <v>0</v>
      </c>
      <c r="H78" s="374">
        <v>5</v>
      </c>
      <c r="I78" s="375">
        <v>0</v>
      </c>
      <c r="J78" s="376">
        <f t="shared" si="5"/>
        <v>5</v>
      </c>
    </row>
    <row r="79" spans="1:10" ht="14.95" thickBot="1" x14ac:dyDescent="0.3">
      <c r="A79" s="412" t="s">
        <v>70</v>
      </c>
      <c r="B79" s="408">
        <v>0</v>
      </c>
      <c r="C79" s="409">
        <v>1</v>
      </c>
      <c r="D79" s="410">
        <v>0</v>
      </c>
      <c r="E79" s="414">
        <f t="shared" si="4"/>
        <v>1</v>
      </c>
      <c r="F79" s="381" t="s">
        <v>160</v>
      </c>
      <c r="G79" s="118">
        <v>0</v>
      </c>
      <c r="H79" s="374">
        <v>5</v>
      </c>
      <c r="I79" s="375">
        <v>0</v>
      </c>
      <c r="J79" s="376">
        <f t="shared" si="5"/>
        <v>5</v>
      </c>
    </row>
    <row r="80" spans="1:10" ht="14.95" thickBot="1" x14ac:dyDescent="0.3">
      <c r="A80" s="412" t="s">
        <v>989</v>
      </c>
      <c r="B80" s="408">
        <v>0</v>
      </c>
      <c r="C80" s="409">
        <v>1</v>
      </c>
      <c r="D80" s="410">
        <v>0</v>
      </c>
      <c r="E80" s="414">
        <f t="shared" si="4"/>
        <v>1</v>
      </c>
      <c r="F80" s="381" t="s">
        <v>988</v>
      </c>
      <c r="G80" s="118">
        <v>5</v>
      </c>
      <c r="H80" s="374">
        <v>0</v>
      </c>
      <c r="I80" s="375">
        <v>0</v>
      </c>
      <c r="J80" s="376">
        <f t="shared" si="5"/>
        <v>5</v>
      </c>
    </row>
    <row r="81" spans="1:10" ht="14.95" thickBot="1" x14ac:dyDescent="0.3">
      <c r="A81" s="412" t="s">
        <v>1326</v>
      </c>
      <c r="B81" s="408">
        <v>1</v>
      </c>
      <c r="C81" s="409">
        <v>0</v>
      </c>
      <c r="D81" s="410">
        <v>0</v>
      </c>
      <c r="E81" s="414">
        <f t="shared" si="4"/>
        <v>1</v>
      </c>
      <c r="F81" s="381" t="s">
        <v>70</v>
      </c>
      <c r="G81" s="118">
        <v>0</v>
      </c>
      <c r="H81" s="374">
        <v>5</v>
      </c>
      <c r="I81" s="375">
        <v>0</v>
      </c>
      <c r="J81" s="376">
        <f t="shared" si="5"/>
        <v>5</v>
      </c>
    </row>
    <row r="82" spans="1:10" ht="14.95" thickBot="1" x14ac:dyDescent="0.3">
      <c r="A82" s="412" t="s">
        <v>102</v>
      </c>
      <c r="B82" s="408">
        <v>1</v>
      </c>
      <c r="C82" s="409">
        <v>0</v>
      </c>
      <c r="D82" s="410">
        <v>0</v>
      </c>
      <c r="E82" s="414">
        <f t="shared" si="4"/>
        <v>1</v>
      </c>
      <c r="F82" s="373" t="s">
        <v>989</v>
      </c>
      <c r="G82" s="118">
        <v>0</v>
      </c>
      <c r="H82" s="374">
        <v>5</v>
      </c>
      <c r="I82" s="375">
        <v>0</v>
      </c>
      <c r="J82" s="376">
        <f t="shared" si="5"/>
        <v>5</v>
      </c>
    </row>
    <row r="83" spans="1:10" ht="14.95" thickBot="1" x14ac:dyDescent="0.3">
      <c r="A83" s="412" t="s">
        <v>1322</v>
      </c>
      <c r="B83" s="408">
        <v>0</v>
      </c>
      <c r="C83" s="409">
        <v>1</v>
      </c>
      <c r="D83" s="410">
        <v>0</v>
      </c>
      <c r="E83" s="414">
        <f t="shared" si="4"/>
        <v>1</v>
      </c>
      <c r="F83" s="381" t="s">
        <v>1326</v>
      </c>
      <c r="G83" s="118">
        <v>5</v>
      </c>
      <c r="H83" s="374">
        <v>0</v>
      </c>
      <c r="I83" s="375">
        <v>0</v>
      </c>
      <c r="J83" s="376">
        <f t="shared" si="5"/>
        <v>5</v>
      </c>
    </row>
    <row r="84" spans="1:10" ht="14.95" thickBot="1" x14ac:dyDescent="0.3">
      <c r="A84" s="412" t="s">
        <v>188</v>
      </c>
      <c r="B84" s="408">
        <v>0</v>
      </c>
      <c r="C84" s="409">
        <v>0</v>
      </c>
      <c r="D84" s="410">
        <v>0</v>
      </c>
      <c r="E84" s="414">
        <f t="shared" si="4"/>
        <v>0</v>
      </c>
      <c r="F84" s="381" t="s">
        <v>102</v>
      </c>
      <c r="G84" s="118">
        <v>5</v>
      </c>
      <c r="H84" s="374">
        <v>0</v>
      </c>
      <c r="I84" s="375">
        <v>0</v>
      </c>
      <c r="J84" s="376">
        <f t="shared" si="5"/>
        <v>5</v>
      </c>
    </row>
    <row r="85" spans="1:10" ht="14.95" thickBot="1" x14ac:dyDescent="0.3">
      <c r="A85" s="412" t="s">
        <v>32</v>
      </c>
      <c r="B85" s="408">
        <v>0</v>
      </c>
      <c r="C85" s="409">
        <v>0</v>
      </c>
      <c r="D85" s="410">
        <v>0</v>
      </c>
      <c r="E85" s="414">
        <f t="shared" si="4"/>
        <v>0</v>
      </c>
      <c r="F85" s="381" t="s">
        <v>1322</v>
      </c>
      <c r="G85" s="118">
        <v>0</v>
      </c>
      <c r="H85" s="374">
        <v>5</v>
      </c>
      <c r="I85" s="375">
        <v>0</v>
      </c>
      <c r="J85" s="376">
        <f t="shared" si="5"/>
        <v>5</v>
      </c>
    </row>
    <row r="86" spans="1:10" ht="14.95" thickBot="1" x14ac:dyDescent="0.3">
      <c r="A86" s="412" t="s">
        <v>920</v>
      </c>
      <c r="B86" s="408">
        <v>0</v>
      </c>
      <c r="C86" s="409">
        <v>0</v>
      </c>
      <c r="D86" s="410">
        <v>0</v>
      </c>
      <c r="E86" s="414">
        <f t="shared" si="4"/>
        <v>0</v>
      </c>
      <c r="F86" s="381" t="s">
        <v>188</v>
      </c>
      <c r="G86" s="118">
        <v>3</v>
      </c>
      <c r="H86" s="374">
        <v>0</v>
      </c>
      <c r="I86" s="375">
        <v>0</v>
      </c>
      <c r="J86" s="376">
        <f t="shared" si="5"/>
        <v>3</v>
      </c>
    </row>
    <row r="87" spans="1:10" ht="14.95" thickBot="1" x14ac:dyDescent="0.3">
      <c r="A87" s="412" t="s">
        <v>1042</v>
      </c>
      <c r="B87" s="408">
        <v>0</v>
      </c>
      <c r="C87" s="409">
        <v>0</v>
      </c>
      <c r="D87" s="410">
        <v>0</v>
      </c>
      <c r="E87" s="414">
        <f t="shared" si="4"/>
        <v>0</v>
      </c>
      <c r="F87" s="381" t="s">
        <v>256</v>
      </c>
      <c r="G87" s="118">
        <v>2</v>
      </c>
      <c r="H87" s="374">
        <v>0</v>
      </c>
      <c r="I87" s="375">
        <v>0</v>
      </c>
      <c r="J87" s="376">
        <f t="shared" si="5"/>
        <v>2</v>
      </c>
    </row>
    <row r="88" spans="1:10" ht="14.95" thickBot="1" x14ac:dyDescent="0.3">
      <c r="A88" s="412" t="s">
        <v>114</v>
      </c>
      <c r="B88" s="408">
        <v>0</v>
      </c>
      <c r="C88" s="409">
        <v>0</v>
      </c>
      <c r="D88" s="410">
        <v>0</v>
      </c>
      <c r="E88" s="414">
        <f t="shared" ref="E88:E104" si="6">SUM(B88:D88)</f>
        <v>0</v>
      </c>
      <c r="F88" s="381" t="s">
        <v>32</v>
      </c>
      <c r="G88" s="118">
        <v>0</v>
      </c>
      <c r="H88" s="374">
        <v>0</v>
      </c>
      <c r="I88" s="375">
        <v>0</v>
      </c>
      <c r="J88" s="376">
        <f t="shared" ref="J88:J104" si="7">SUM(G88:I88)</f>
        <v>0</v>
      </c>
    </row>
    <row r="89" spans="1:10" ht="14.95" thickBot="1" x14ac:dyDescent="0.3">
      <c r="A89" s="412" t="s">
        <v>1146</v>
      </c>
      <c r="B89" s="408">
        <v>0</v>
      </c>
      <c r="C89" s="409">
        <v>0</v>
      </c>
      <c r="D89" s="410">
        <v>0</v>
      </c>
      <c r="E89" s="414">
        <f t="shared" si="6"/>
        <v>0</v>
      </c>
      <c r="F89" s="381" t="s">
        <v>920</v>
      </c>
      <c r="G89" s="118">
        <v>0</v>
      </c>
      <c r="H89" s="374">
        <v>0</v>
      </c>
      <c r="I89" s="375">
        <v>0</v>
      </c>
      <c r="J89" s="376">
        <f t="shared" si="7"/>
        <v>0</v>
      </c>
    </row>
    <row r="90" spans="1:10" ht="14.95" thickBot="1" x14ac:dyDescent="0.3">
      <c r="A90" s="412" t="s">
        <v>1023</v>
      </c>
      <c r="B90" s="408">
        <v>0</v>
      </c>
      <c r="C90" s="409">
        <v>0</v>
      </c>
      <c r="D90" s="410">
        <v>0</v>
      </c>
      <c r="E90" s="414">
        <f t="shared" si="6"/>
        <v>0</v>
      </c>
      <c r="F90" s="381" t="s">
        <v>1042</v>
      </c>
      <c r="G90" s="118">
        <v>0</v>
      </c>
      <c r="H90" s="374">
        <v>0</v>
      </c>
      <c r="I90" s="375">
        <v>0</v>
      </c>
      <c r="J90" s="376">
        <f t="shared" si="7"/>
        <v>0</v>
      </c>
    </row>
    <row r="91" spans="1:10" ht="14.95" thickBot="1" x14ac:dyDescent="0.3">
      <c r="A91" s="412" t="s">
        <v>1149</v>
      </c>
      <c r="B91" s="408">
        <v>0</v>
      </c>
      <c r="C91" s="409">
        <v>0</v>
      </c>
      <c r="D91" s="410">
        <v>0</v>
      </c>
      <c r="E91" s="414">
        <f t="shared" si="6"/>
        <v>0</v>
      </c>
      <c r="F91" s="381" t="s">
        <v>114</v>
      </c>
      <c r="G91" s="118">
        <v>0</v>
      </c>
      <c r="H91" s="374">
        <v>0</v>
      </c>
      <c r="I91" s="375">
        <v>0</v>
      </c>
      <c r="J91" s="376">
        <f t="shared" si="7"/>
        <v>0</v>
      </c>
    </row>
    <row r="92" spans="1:10" ht="14.95" thickBot="1" x14ac:dyDescent="0.3">
      <c r="A92" s="412" t="s">
        <v>1052</v>
      </c>
      <c r="B92" s="408">
        <v>0</v>
      </c>
      <c r="C92" s="409">
        <v>0</v>
      </c>
      <c r="D92" s="410">
        <v>0</v>
      </c>
      <c r="E92" s="414">
        <f t="shared" si="6"/>
        <v>0</v>
      </c>
      <c r="F92" s="381" t="s">
        <v>1023</v>
      </c>
      <c r="G92" s="118">
        <v>0</v>
      </c>
      <c r="H92" s="374">
        <v>0</v>
      </c>
      <c r="I92" s="375">
        <v>0</v>
      </c>
      <c r="J92" s="376">
        <f t="shared" si="7"/>
        <v>0</v>
      </c>
    </row>
    <row r="93" spans="1:10" ht="14.95" thickBot="1" x14ac:dyDescent="0.3">
      <c r="A93" s="412" t="s">
        <v>954</v>
      </c>
      <c r="B93" s="408">
        <v>0</v>
      </c>
      <c r="C93" s="409">
        <v>0</v>
      </c>
      <c r="D93" s="410">
        <v>0</v>
      </c>
      <c r="E93" s="414">
        <f t="shared" si="6"/>
        <v>0</v>
      </c>
      <c r="F93" s="381" t="s">
        <v>1149</v>
      </c>
      <c r="G93" s="118">
        <v>0</v>
      </c>
      <c r="H93" s="374">
        <v>0</v>
      </c>
      <c r="I93" s="375">
        <v>0</v>
      </c>
      <c r="J93" s="376">
        <f t="shared" si="7"/>
        <v>0</v>
      </c>
    </row>
    <row r="94" spans="1:10" ht="14.95" thickBot="1" x14ac:dyDescent="0.3">
      <c r="A94" s="412" t="s">
        <v>1074</v>
      </c>
      <c r="B94" s="408">
        <v>0</v>
      </c>
      <c r="C94" s="409">
        <v>0</v>
      </c>
      <c r="D94" s="410">
        <v>0</v>
      </c>
      <c r="E94" s="414">
        <f t="shared" si="6"/>
        <v>0</v>
      </c>
      <c r="F94" s="381" t="s">
        <v>1052</v>
      </c>
      <c r="G94" s="118">
        <v>0</v>
      </c>
      <c r="H94" s="374">
        <v>0</v>
      </c>
      <c r="I94" s="375">
        <v>0</v>
      </c>
      <c r="J94" s="376">
        <f t="shared" si="7"/>
        <v>0</v>
      </c>
    </row>
    <row r="95" spans="1:10" ht="14.95" thickBot="1" x14ac:dyDescent="0.3">
      <c r="A95" s="412" t="s">
        <v>81</v>
      </c>
      <c r="B95" s="408">
        <v>0</v>
      </c>
      <c r="C95" s="409">
        <v>0</v>
      </c>
      <c r="D95" s="410">
        <v>0</v>
      </c>
      <c r="E95" s="414">
        <f t="shared" si="6"/>
        <v>0</v>
      </c>
      <c r="F95" s="381" t="s">
        <v>954</v>
      </c>
      <c r="G95" s="118">
        <v>0</v>
      </c>
      <c r="H95" s="374">
        <v>0</v>
      </c>
      <c r="I95" s="375">
        <v>0</v>
      </c>
      <c r="J95" s="376">
        <f t="shared" si="7"/>
        <v>0</v>
      </c>
    </row>
    <row r="96" spans="1:10" ht="14.95" thickBot="1" x14ac:dyDescent="0.3">
      <c r="A96" s="412" t="s">
        <v>925</v>
      </c>
      <c r="B96" s="408">
        <v>0</v>
      </c>
      <c r="C96" s="409">
        <v>0</v>
      </c>
      <c r="D96" s="410">
        <v>0</v>
      </c>
      <c r="E96" s="414">
        <f t="shared" si="6"/>
        <v>0</v>
      </c>
      <c r="F96" s="381" t="s">
        <v>81</v>
      </c>
      <c r="G96" s="118">
        <v>0</v>
      </c>
      <c r="H96" s="374">
        <v>0</v>
      </c>
      <c r="I96" s="375">
        <v>0</v>
      </c>
      <c r="J96" s="376">
        <f t="shared" si="7"/>
        <v>0</v>
      </c>
    </row>
    <row r="97" spans="1:10" ht="14.95" thickBot="1" x14ac:dyDescent="0.3">
      <c r="A97" s="412" t="s">
        <v>179</v>
      </c>
      <c r="B97" s="408">
        <v>0</v>
      </c>
      <c r="C97" s="409">
        <v>0</v>
      </c>
      <c r="D97" s="410">
        <v>0</v>
      </c>
      <c r="E97" s="414">
        <f t="shared" si="6"/>
        <v>0</v>
      </c>
      <c r="F97" s="381" t="s">
        <v>925</v>
      </c>
      <c r="G97" s="118">
        <v>0</v>
      </c>
      <c r="H97" s="374">
        <v>0</v>
      </c>
      <c r="I97" s="375">
        <v>0</v>
      </c>
      <c r="J97" s="376">
        <f t="shared" si="7"/>
        <v>0</v>
      </c>
    </row>
    <row r="98" spans="1:10" ht="14.95" thickBot="1" x14ac:dyDescent="0.3">
      <c r="A98" s="412" t="s">
        <v>1151</v>
      </c>
      <c r="B98" s="408">
        <v>0</v>
      </c>
      <c r="C98" s="409">
        <v>0</v>
      </c>
      <c r="D98" s="410">
        <v>0</v>
      </c>
      <c r="E98" s="414">
        <f t="shared" si="6"/>
        <v>0</v>
      </c>
      <c r="F98" s="381" t="s">
        <v>179</v>
      </c>
      <c r="G98" s="118">
        <v>0</v>
      </c>
      <c r="H98" s="374">
        <v>0</v>
      </c>
      <c r="I98" s="375">
        <v>0</v>
      </c>
      <c r="J98" s="376">
        <f t="shared" si="7"/>
        <v>0</v>
      </c>
    </row>
    <row r="99" spans="1:10" ht="14.95" thickBot="1" x14ac:dyDescent="0.3">
      <c r="A99" s="412" t="s">
        <v>7</v>
      </c>
      <c r="B99" s="408">
        <v>0</v>
      </c>
      <c r="C99" s="409">
        <v>0</v>
      </c>
      <c r="D99" s="410">
        <v>0</v>
      </c>
      <c r="E99" s="414">
        <f t="shared" si="6"/>
        <v>0</v>
      </c>
      <c r="F99" s="381" t="s">
        <v>1151</v>
      </c>
      <c r="G99" s="118">
        <v>0</v>
      </c>
      <c r="H99" s="374">
        <v>0</v>
      </c>
      <c r="I99" s="375">
        <v>0</v>
      </c>
      <c r="J99" s="376">
        <f t="shared" si="7"/>
        <v>0</v>
      </c>
    </row>
    <row r="100" spans="1:10" ht="14.95" thickBot="1" x14ac:dyDescent="0.3">
      <c r="A100" s="412" t="s">
        <v>1060</v>
      </c>
      <c r="B100" s="408">
        <v>0</v>
      </c>
      <c r="C100" s="409">
        <v>0</v>
      </c>
      <c r="D100" s="410">
        <v>0</v>
      </c>
      <c r="E100" s="414">
        <f t="shared" si="6"/>
        <v>0</v>
      </c>
      <c r="F100" s="381" t="s">
        <v>7</v>
      </c>
      <c r="G100" s="118">
        <v>0</v>
      </c>
      <c r="H100" s="374">
        <v>0</v>
      </c>
      <c r="I100" s="375">
        <v>0</v>
      </c>
      <c r="J100" s="376">
        <f t="shared" si="7"/>
        <v>0</v>
      </c>
    </row>
    <row r="101" spans="1:10" ht="14.95" thickBot="1" x14ac:dyDescent="0.3">
      <c r="A101" s="412" t="s">
        <v>1066</v>
      </c>
      <c r="B101" s="408">
        <v>0</v>
      </c>
      <c r="C101" s="409">
        <v>0</v>
      </c>
      <c r="D101" s="410">
        <v>0</v>
      </c>
      <c r="E101" s="414">
        <f t="shared" si="6"/>
        <v>0</v>
      </c>
      <c r="F101" s="373" t="s">
        <v>1060</v>
      </c>
      <c r="G101" s="118">
        <v>0</v>
      </c>
      <c r="H101" s="374">
        <v>0</v>
      </c>
      <c r="I101" s="375">
        <v>0</v>
      </c>
      <c r="J101" s="376">
        <f t="shared" si="7"/>
        <v>0</v>
      </c>
    </row>
    <row r="102" spans="1:10" ht="14.95" thickBot="1" x14ac:dyDescent="0.3">
      <c r="A102" s="412" t="s">
        <v>1059</v>
      </c>
      <c r="B102" s="408">
        <v>0</v>
      </c>
      <c r="C102" s="409">
        <v>0</v>
      </c>
      <c r="D102" s="410">
        <v>0</v>
      </c>
      <c r="E102" s="414">
        <f t="shared" si="6"/>
        <v>0</v>
      </c>
      <c r="F102" s="373" t="s">
        <v>1066</v>
      </c>
      <c r="G102" s="118">
        <v>0</v>
      </c>
      <c r="H102" s="374">
        <v>0</v>
      </c>
      <c r="I102" s="375">
        <v>0</v>
      </c>
      <c r="J102" s="376">
        <f t="shared" si="7"/>
        <v>0</v>
      </c>
    </row>
    <row r="103" spans="1:10" ht="14.95" thickBot="1" x14ac:dyDescent="0.3">
      <c r="A103" s="412" t="s">
        <v>434</v>
      </c>
      <c r="B103" s="408">
        <v>0</v>
      </c>
      <c r="C103" s="409">
        <v>0</v>
      </c>
      <c r="D103" s="410">
        <v>0</v>
      </c>
      <c r="E103" s="414">
        <f t="shared" si="6"/>
        <v>0</v>
      </c>
      <c r="F103" s="373" t="s">
        <v>1059</v>
      </c>
      <c r="G103" s="118">
        <v>0</v>
      </c>
      <c r="H103" s="374">
        <v>0</v>
      </c>
      <c r="I103" s="375">
        <v>0</v>
      </c>
      <c r="J103" s="376">
        <f t="shared" si="7"/>
        <v>0</v>
      </c>
    </row>
    <row r="104" spans="1:10" ht="14.95" thickBot="1" x14ac:dyDescent="0.3">
      <c r="A104" s="412" t="s">
        <v>1808</v>
      </c>
      <c r="B104" s="408">
        <v>0</v>
      </c>
      <c r="C104" s="409">
        <v>0</v>
      </c>
      <c r="D104" s="410">
        <v>0</v>
      </c>
      <c r="E104" s="414">
        <f t="shared" si="6"/>
        <v>0</v>
      </c>
      <c r="F104" s="373" t="s">
        <v>434</v>
      </c>
      <c r="G104" s="118">
        <v>0</v>
      </c>
      <c r="H104" s="374">
        <v>0</v>
      </c>
      <c r="I104" s="375">
        <v>0</v>
      </c>
      <c r="J104" s="376">
        <f t="shared" si="7"/>
        <v>0</v>
      </c>
    </row>
    <row r="105" spans="1:10" ht="14.95" thickBot="1" x14ac:dyDescent="0.3">
      <c r="A105" s="412" t="s">
        <v>3</v>
      </c>
      <c r="B105" s="408">
        <f>SUM(B56:B104)</f>
        <v>52</v>
      </c>
      <c r="C105" s="409">
        <f>SUM(C56:C104)</f>
        <v>14</v>
      </c>
      <c r="D105" s="410">
        <f>SUM(D56:D104)</f>
        <v>14</v>
      </c>
      <c r="E105" s="414">
        <f t="shared" ref="E105" si="8">SUM(B105:D105)</f>
        <v>80</v>
      </c>
      <c r="F105" s="373" t="s">
        <v>3</v>
      </c>
      <c r="G105" s="118">
        <f>SUM(G56:G104)</f>
        <v>481</v>
      </c>
      <c r="H105" s="374">
        <f>SUM(H56:H104)</f>
        <v>115</v>
      </c>
      <c r="I105" s="375">
        <f>SUM(I56:I104)</f>
        <v>96</v>
      </c>
      <c r="J105" s="376">
        <f t="shared" ref="J105" si="9">SUM(G105:I105)</f>
        <v>692</v>
      </c>
    </row>
    <row r="106" spans="1:10" x14ac:dyDescent="0.25">
      <c r="A106" s="65" t="s">
        <v>171</v>
      </c>
    </row>
  </sheetData>
  <sortState xmlns:xlrd2="http://schemas.microsoft.com/office/spreadsheetml/2017/richdata2" ref="F56:J104">
    <sortCondition descending="1" ref="J56:J104"/>
  </sortState>
  <mergeCells count="25">
    <mergeCell ref="K31:W31"/>
    <mergeCell ref="A1:J1"/>
    <mergeCell ref="K23:K24"/>
    <mergeCell ref="U23:W24"/>
    <mergeCell ref="K13:K14"/>
    <mergeCell ref="U13:W14"/>
    <mergeCell ref="K1:K2"/>
    <mergeCell ref="L1:N2"/>
    <mergeCell ref="O1:Q2"/>
    <mergeCell ref="L13:N14"/>
    <mergeCell ref="R13:T14"/>
    <mergeCell ref="R23:T24"/>
    <mergeCell ref="R1:S2"/>
    <mergeCell ref="T1:V2"/>
    <mergeCell ref="O13:Q14"/>
    <mergeCell ref="O23:Q24"/>
    <mergeCell ref="W1:Y2"/>
    <mergeCell ref="L23:N24"/>
    <mergeCell ref="AL1:AN2"/>
    <mergeCell ref="AF1:AH2"/>
    <mergeCell ref="AC1:AE2"/>
    <mergeCell ref="AI1:AK2"/>
    <mergeCell ref="AF13:AH14"/>
    <mergeCell ref="AC13:AE14"/>
    <mergeCell ref="AC23:AE2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X106"/>
  <sheetViews>
    <sheetView zoomScaleNormal="100" workbookViewId="0">
      <selection activeCell="O13" sqref="O13:Q14"/>
    </sheetView>
  </sheetViews>
  <sheetFormatPr defaultRowHeight="14.3" x14ac:dyDescent="0.25"/>
  <cols>
    <col min="1" max="1" width="18.25" bestFit="1" customWidth="1"/>
    <col min="2" max="2" width="3.75" customWidth="1"/>
    <col min="3" max="3" width="4.125" customWidth="1"/>
    <col min="4" max="5" width="4.75" customWidth="1"/>
    <col min="6" max="6" width="18.25" bestFit="1" customWidth="1"/>
    <col min="7" max="10" width="5.25" customWidth="1"/>
    <col min="11" max="11" width="16.75" customWidth="1"/>
    <col min="12" max="40" width="5.75" customWidth="1"/>
    <col min="41" max="41" width="15.375" bestFit="1" customWidth="1"/>
  </cols>
  <sheetData>
    <row r="1" spans="1:50" ht="14.95" customHeight="1" thickBot="1" x14ac:dyDescent="0.3">
      <c r="A1" s="543" t="s">
        <v>1265</v>
      </c>
      <c r="B1" s="544"/>
      <c r="C1" s="544"/>
      <c r="D1" s="544"/>
      <c r="E1" s="544"/>
      <c r="F1" s="544"/>
      <c r="G1" s="544"/>
      <c r="H1" s="544"/>
      <c r="I1" s="544"/>
      <c r="J1" s="545"/>
      <c r="K1" s="478" t="s">
        <v>1324</v>
      </c>
      <c r="L1" s="480" t="s">
        <v>49</v>
      </c>
      <c r="M1" s="481"/>
      <c r="N1" s="482"/>
      <c r="O1" s="486" t="s">
        <v>202</v>
      </c>
      <c r="P1" s="487"/>
      <c r="Q1" s="488"/>
      <c r="R1" s="492" t="s">
        <v>62</v>
      </c>
      <c r="S1" s="493"/>
      <c r="T1" s="457" t="s">
        <v>124</v>
      </c>
      <c r="U1" s="458"/>
      <c r="V1" s="459"/>
      <c r="W1" s="457" t="s">
        <v>1070</v>
      </c>
      <c r="X1" s="458"/>
      <c r="Y1" s="459"/>
      <c r="Z1" s="237"/>
      <c r="AA1" s="48"/>
      <c r="AB1" s="48"/>
      <c r="AC1" s="457" t="s">
        <v>598</v>
      </c>
      <c r="AD1" s="458"/>
      <c r="AE1" s="459"/>
      <c r="AF1" s="457" t="s">
        <v>254</v>
      </c>
      <c r="AG1" s="458"/>
      <c r="AH1" s="459"/>
      <c r="AI1" s="457" t="s">
        <v>186</v>
      </c>
      <c r="AJ1" s="458"/>
      <c r="AK1" s="459"/>
      <c r="AL1" s="457" t="s">
        <v>242</v>
      </c>
      <c r="AM1" s="458"/>
      <c r="AN1" s="459"/>
      <c r="AP1" s="5" t="s">
        <v>845</v>
      </c>
      <c r="AQ1" s="5"/>
      <c r="AR1" s="5"/>
      <c r="AU1" s="5" t="s">
        <v>846</v>
      </c>
    </row>
    <row r="2" spans="1:50" ht="14.95" customHeight="1" thickBot="1" x14ac:dyDescent="0.3">
      <c r="A2" s="137" t="s">
        <v>0</v>
      </c>
      <c r="B2" s="217" t="s">
        <v>1072</v>
      </c>
      <c r="C2" s="196" t="s">
        <v>123</v>
      </c>
      <c r="D2" s="360" t="s">
        <v>1073</v>
      </c>
      <c r="E2" s="211" t="s">
        <v>1</v>
      </c>
      <c r="F2" s="377" t="s">
        <v>2</v>
      </c>
      <c r="G2" s="205" t="s">
        <v>1072</v>
      </c>
      <c r="H2" s="210" t="s">
        <v>123</v>
      </c>
      <c r="I2" s="379" t="s">
        <v>1073</v>
      </c>
      <c r="J2" s="380" t="s">
        <v>1</v>
      </c>
      <c r="K2" s="479"/>
      <c r="L2" s="483"/>
      <c r="M2" s="484"/>
      <c r="N2" s="485"/>
      <c r="O2" s="489"/>
      <c r="P2" s="490"/>
      <c r="Q2" s="491"/>
      <c r="R2" s="494"/>
      <c r="S2" s="495"/>
      <c r="T2" s="460"/>
      <c r="U2" s="461"/>
      <c r="V2" s="462"/>
      <c r="W2" s="460"/>
      <c r="X2" s="461"/>
      <c r="Y2" s="462"/>
      <c r="AC2" s="460"/>
      <c r="AD2" s="461"/>
      <c r="AE2" s="462"/>
      <c r="AF2" s="460"/>
      <c r="AG2" s="461"/>
      <c r="AH2" s="462"/>
      <c r="AI2" s="460"/>
      <c r="AJ2" s="461"/>
      <c r="AK2" s="462"/>
      <c r="AL2" s="460"/>
      <c r="AM2" s="461"/>
      <c r="AN2" s="462"/>
      <c r="AP2" t="s">
        <v>821</v>
      </c>
      <c r="AQ2" t="s">
        <v>260</v>
      </c>
      <c r="AR2" t="s">
        <v>440</v>
      </c>
      <c r="AS2">
        <v>1192</v>
      </c>
      <c r="AU2" t="s">
        <v>569</v>
      </c>
      <c r="AV2" t="s">
        <v>264</v>
      </c>
      <c r="AW2" t="s">
        <v>327</v>
      </c>
      <c r="AX2">
        <v>38</v>
      </c>
    </row>
    <row r="3" spans="1:50" ht="14.95" customHeight="1" thickBot="1" x14ac:dyDescent="0.3">
      <c r="A3" s="133" t="s">
        <v>1846</v>
      </c>
      <c r="B3" s="117">
        <v>1</v>
      </c>
      <c r="C3" s="53">
        <v>0</v>
      </c>
      <c r="D3" s="361">
        <v>0</v>
      </c>
      <c r="E3" s="134">
        <f t="shared" ref="E3:E51" si="0">SUM(B3:D3)</f>
        <v>1</v>
      </c>
      <c r="F3" s="373" t="s">
        <v>1846</v>
      </c>
      <c r="G3" s="118">
        <v>5</v>
      </c>
      <c r="H3" s="69">
        <v>0</v>
      </c>
      <c r="I3" s="375">
        <v>0</v>
      </c>
      <c r="J3" s="376">
        <f t="shared" ref="J3:J51" si="1">SUM(G3:I3)</f>
        <v>5</v>
      </c>
      <c r="K3" s="40" t="s">
        <v>87</v>
      </c>
      <c r="L3" s="66" t="s">
        <v>243</v>
      </c>
      <c r="M3" s="66" t="s">
        <v>42</v>
      </c>
      <c r="N3" s="66" t="s">
        <v>43</v>
      </c>
      <c r="O3" s="1" t="s">
        <v>243</v>
      </c>
      <c r="P3" s="1" t="s">
        <v>42</v>
      </c>
      <c r="Q3" s="1" t="s">
        <v>43</v>
      </c>
      <c r="R3" s="4" t="s">
        <v>63</v>
      </c>
      <c r="S3" s="4" t="s">
        <v>957</v>
      </c>
      <c r="T3" s="119" t="s">
        <v>243</v>
      </c>
      <c r="U3" s="119" t="s">
        <v>42</v>
      </c>
      <c r="V3" s="119" t="s">
        <v>43</v>
      </c>
      <c r="W3" s="124" t="s">
        <v>243</v>
      </c>
      <c r="X3" s="119" t="s">
        <v>42</v>
      </c>
      <c r="Y3" s="119" t="s">
        <v>43</v>
      </c>
      <c r="AC3" s="124" t="s">
        <v>243</v>
      </c>
      <c r="AD3" s="119" t="s">
        <v>42</v>
      </c>
      <c r="AE3" s="119" t="s">
        <v>43</v>
      </c>
      <c r="AF3" s="119" t="s">
        <v>243</v>
      </c>
      <c r="AG3" s="119" t="s">
        <v>42</v>
      </c>
      <c r="AH3" s="119" t="s">
        <v>43</v>
      </c>
      <c r="AI3" s="119" t="s">
        <v>243</v>
      </c>
      <c r="AJ3" s="119" t="s">
        <v>42</v>
      </c>
      <c r="AK3" s="119" t="s">
        <v>43</v>
      </c>
      <c r="AL3" s="119" t="s">
        <v>243</v>
      </c>
      <c r="AM3" s="119" t="s">
        <v>42</v>
      </c>
      <c r="AN3" s="119" t="s">
        <v>43</v>
      </c>
      <c r="AP3" t="s">
        <v>623</v>
      </c>
      <c r="AQ3" t="s">
        <v>268</v>
      </c>
      <c r="AR3" t="s">
        <v>360</v>
      </c>
      <c r="AS3">
        <v>854</v>
      </c>
      <c r="AU3" t="s">
        <v>621</v>
      </c>
      <c r="AV3" t="s">
        <v>264</v>
      </c>
      <c r="AW3" t="s">
        <v>463</v>
      </c>
      <c r="AX3">
        <v>35</v>
      </c>
    </row>
    <row r="4" spans="1:50" ht="14.95" customHeight="1" thickBot="1" x14ac:dyDescent="0.3">
      <c r="A4" s="133" t="s">
        <v>75</v>
      </c>
      <c r="B4" s="117">
        <v>0</v>
      </c>
      <c r="C4" s="53">
        <v>0</v>
      </c>
      <c r="D4" s="361">
        <v>0</v>
      </c>
      <c r="E4" s="134">
        <f t="shared" si="0"/>
        <v>0</v>
      </c>
      <c r="F4" s="381" t="s">
        <v>75</v>
      </c>
      <c r="G4" s="118">
        <v>0</v>
      </c>
      <c r="H4" s="69">
        <v>0</v>
      </c>
      <c r="I4" s="375">
        <v>0</v>
      </c>
      <c r="J4" s="376">
        <f t="shared" si="1"/>
        <v>0</v>
      </c>
      <c r="K4" s="133" t="s">
        <v>11</v>
      </c>
      <c r="L4" s="134">
        <v>59</v>
      </c>
      <c r="M4" s="134">
        <v>80</v>
      </c>
      <c r="N4" s="135">
        <f>SUM(L4/M4)*100</f>
        <v>73.75</v>
      </c>
      <c r="O4" s="134">
        <v>5</v>
      </c>
      <c r="P4" s="134">
        <v>8</v>
      </c>
      <c r="Q4" s="134">
        <v>100</v>
      </c>
      <c r="R4" s="134">
        <v>1</v>
      </c>
      <c r="S4" s="134">
        <v>1</v>
      </c>
      <c r="T4" s="134">
        <v>82</v>
      </c>
      <c r="U4" s="134">
        <v>105</v>
      </c>
      <c r="V4" s="135">
        <f>SUM(T4/U4)*100</f>
        <v>78.095238095238102</v>
      </c>
      <c r="W4" s="136">
        <v>31</v>
      </c>
      <c r="X4" s="134">
        <v>43</v>
      </c>
      <c r="Y4" s="135">
        <f>SUM(W4/X4)*100</f>
        <v>72.093023255813947</v>
      </c>
      <c r="AC4" s="136">
        <v>43</v>
      </c>
      <c r="AD4" s="134">
        <v>55</v>
      </c>
      <c r="AE4" s="135">
        <f>SUM(AC4/AD4)*100</f>
        <v>78.181818181818187</v>
      </c>
      <c r="AF4" s="134">
        <v>50</v>
      </c>
      <c r="AG4" s="134">
        <v>61</v>
      </c>
      <c r="AH4" s="135">
        <f>SUM(AF4/AG4)*100</f>
        <v>81.967213114754102</v>
      </c>
      <c r="AI4" s="134">
        <v>58</v>
      </c>
      <c r="AJ4" s="134">
        <v>75</v>
      </c>
      <c r="AK4" s="135">
        <f>SUM(AI4/AJ4)*100</f>
        <v>77.333333333333329</v>
      </c>
      <c r="AL4" s="134">
        <v>46</v>
      </c>
      <c r="AM4" s="134">
        <v>62</v>
      </c>
      <c r="AN4" s="134">
        <v>74</v>
      </c>
      <c r="AP4" t="s">
        <v>324</v>
      </c>
      <c r="AQ4" t="s">
        <v>260</v>
      </c>
      <c r="AR4" t="s">
        <v>366</v>
      </c>
      <c r="AS4">
        <v>753</v>
      </c>
      <c r="AU4" t="s">
        <v>826</v>
      </c>
      <c r="AV4" t="s">
        <v>264</v>
      </c>
      <c r="AW4" t="s">
        <v>439</v>
      </c>
      <c r="AX4">
        <v>34</v>
      </c>
    </row>
    <row r="5" spans="1:50" ht="14.95" customHeight="1" thickBot="1" x14ac:dyDescent="0.3">
      <c r="A5" s="133" t="s">
        <v>122</v>
      </c>
      <c r="B5" s="117">
        <v>0</v>
      </c>
      <c r="C5" s="53">
        <v>2</v>
      </c>
      <c r="D5" s="361">
        <v>0</v>
      </c>
      <c r="E5" s="134">
        <f t="shared" si="0"/>
        <v>2</v>
      </c>
      <c r="F5" s="381" t="s">
        <v>122</v>
      </c>
      <c r="G5" s="118">
        <v>0</v>
      </c>
      <c r="H5" s="69">
        <v>10</v>
      </c>
      <c r="I5" s="375">
        <v>0</v>
      </c>
      <c r="J5" s="376">
        <f t="shared" si="1"/>
        <v>10</v>
      </c>
      <c r="K5" s="133" t="s">
        <v>156</v>
      </c>
      <c r="L5" s="134">
        <v>21</v>
      </c>
      <c r="M5" s="134">
        <v>27</v>
      </c>
      <c r="N5" s="135">
        <f>SUM(L5/M5)*100</f>
        <v>77.777777777777786</v>
      </c>
      <c r="O5" s="134" t="s">
        <v>50</v>
      </c>
      <c r="P5" s="134" t="s">
        <v>50</v>
      </c>
      <c r="Q5" s="135" t="s">
        <v>50</v>
      </c>
      <c r="R5" s="134">
        <v>5</v>
      </c>
      <c r="S5" s="134">
        <v>12</v>
      </c>
      <c r="T5" s="134">
        <v>26</v>
      </c>
      <c r="U5" s="134">
        <v>38</v>
      </c>
      <c r="V5" s="135">
        <f>SUM(T5/U5)*100</f>
        <v>68.421052631578945</v>
      </c>
      <c r="W5" s="136">
        <v>54</v>
      </c>
      <c r="X5" s="134">
        <v>78</v>
      </c>
      <c r="Y5" s="135">
        <f>SUM(W5/X5)*100</f>
        <v>69.230769230769226</v>
      </c>
      <c r="AC5" s="136">
        <v>4</v>
      </c>
      <c r="AD5" s="134">
        <v>4</v>
      </c>
      <c r="AE5" s="135">
        <f>SUM(AC5/AD5)*100</f>
        <v>100</v>
      </c>
      <c r="AF5" s="134">
        <v>14</v>
      </c>
      <c r="AG5" s="134">
        <v>17</v>
      </c>
      <c r="AH5" s="135">
        <f>SUM(AF5/AG5)*100</f>
        <v>82.35294117647058</v>
      </c>
      <c r="AI5" s="134" t="s">
        <v>50</v>
      </c>
      <c r="AJ5" s="134" t="s">
        <v>50</v>
      </c>
      <c r="AK5" s="134" t="s">
        <v>50</v>
      </c>
      <c r="AL5" s="134" t="s">
        <v>50</v>
      </c>
      <c r="AM5" s="134" t="s">
        <v>50</v>
      </c>
      <c r="AN5" s="134" t="s">
        <v>50</v>
      </c>
      <c r="AP5" t="s">
        <v>624</v>
      </c>
      <c r="AQ5" t="s">
        <v>260</v>
      </c>
      <c r="AR5" t="s">
        <v>436</v>
      </c>
      <c r="AS5">
        <v>457</v>
      </c>
      <c r="AU5" t="s">
        <v>572</v>
      </c>
      <c r="AV5" t="s">
        <v>271</v>
      </c>
      <c r="AW5" t="s">
        <v>436</v>
      </c>
      <c r="AX5">
        <v>33</v>
      </c>
    </row>
    <row r="6" spans="1:50" ht="14.95" customHeight="1" thickBot="1" x14ac:dyDescent="0.3">
      <c r="A6" s="133" t="s">
        <v>85</v>
      </c>
      <c r="B6" s="117">
        <v>2</v>
      </c>
      <c r="C6" s="53">
        <v>0</v>
      </c>
      <c r="D6" s="361">
        <v>0</v>
      </c>
      <c r="E6" s="134">
        <f t="shared" si="0"/>
        <v>2</v>
      </c>
      <c r="F6" s="381" t="s">
        <v>85</v>
      </c>
      <c r="G6" s="118">
        <v>14</v>
      </c>
      <c r="H6" s="69">
        <v>0</v>
      </c>
      <c r="I6" s="375">
        <v>0</v>
      </c>
      <c r="J6" s="376">
        <f t="shared" si="1"/>
        <v>14</v>
      </c>
      <c r="K6" s="133" t="s">
        <v>24</v>
      </c>
      <c r="L6" s="134">
        <v>9</v>
      </c>
      <c r="M6" s="134">
        <v>14</v>
      </c>
      <c r="N6" s="135">
        <f t="shared" ref="N6:N7" si="2">SUM(L6/M6)*100</f>
        <v>64.285714285714292</v>
      </c>
      <c r="O6" s="134" t="s">
        <v>50</v>
      </c>
      <c r="P6" s="134" t="s">
        <v>50</v>
      </c>
      <c r="Q6" s="135" t="s">
        <v>50</v>
      </c>
      <c r="R6" s="134">
        <v>3</v>
      </c>
      <c r="S6" s="134">
        <v>3</v>
      </c>
      <c r="T6" s="134" t="s">
        <v>50</v>
      </c>
      <c r="U6" s="134" t="s">
        <v>50</v>
      </c>
      <c r="V6" s="134" t="s">
        <v>50</v>
      </c>
      <c r="W6" s="136">
        <v>4</v>
      </c>
      <c r="X6" s="134">
        <v>9</v>
      </c>
      <c r="Y6" s="135">
        <f>SUM(W6/X6)*100</f>
        <v>44.444444444444443</v>
      </c>
      <c r="AC6" s="136">
        <v>13</v>
      </c>
      <c r="AD6" s="134">
        <v>15</v>
      </c>
      <c r="AE6" s="135">
        <f>SUM(AC6/AD6)*100</f>
        <v>86.666666666666671</v>
      </c>
      <c r="AF6" s="134">
        <v>28</v>
      </c>
      <c r="AG6" s="134">
        <v>37</v>
      </c>
      <c r="AH6" s="135">
        <f>SUM(AF6/AG6)*100</f>
        <v>75.675675675675677</v>
      </c>
      <c r="AI6" s="134">
        <v>19</v>
      </c>
      <c r="AJ6" s="134">
        <v>23</v>
      </c>
      <c r="AK6" s="135">
        <f>SUM(AI6/AJ6)*100</f>
        <v>82.608695652173907</v>
      </c>
      <c r="AL6" s="134">
        <v>1</v>
      </c>
      <c r="AM6" s="134">
        <v>1</v>
      </c>
      <c r="AN6" s="134">
        <v>100</v>
      </c>
      <c r="AP6" t="s">
        <v>822</v>
      </c>
      <c r="AQ6" t="s">
        <v>271</v>
      </c>
      <c r="AR6" t="s">
        <v>329</v>
      </c>
      <c r="AS6">
        <v>363</v>
      </c>
      <c r="AU6" t="s">
        <v>823</v>
      </c>
      <c r="AV6" t="s">
        <v>270</v>
      </c>
      <c r="AW6" t="s">
        <v>338</v>
      </c>
      <c r="AX6">
        <v>31</v>
      </c>
    </row>
    <row r="7" spans="1:50" ht="14.95" customHeight="1" thickBot="1" x14ac:dyDescent="0.3">
      <c r="A7" s="133" t="s">
        <v>97</v>
      </c>
      <c r="B7" s="117">
        <v>1</v>
      </c>
      <c r="C7" s="53">
        <v>0</v>
      </c>
      <c r="D7" s="361">
        <v>2</v>
      </c>
      <c r="E7" s="134">
        <f t="shared" si="0"/>
        <v>3</v>
      </c>
      <c r="F7" s="381" t="s">
        <v>97</v>
      </c>
      <c r="G7" s="118">
        <v>5</v>
      </c>
      <c r="H7" s="69">
        <v>0</v>
      </c>
      <c r="I7" s="375">
        <v>10</v>
      </c>
      <c r="J7" s="376">
        <f t="shared" si="1"/>
        <v>15</v>
      </c>
      <c r="K7" s="133" t="s">
        <v>16</v>
      </c>
      <c r="L7" s="134">
        <v>14</v>
      </c>
      <c r="M7" s="134">
        <v>20</v>
      </c>
      <c r="N7" s="135">
        <f t="shared" si="2"/>
        <v>70</v>
      </c>
      <c r="O7" s="134" t="s">
        <v>50</v>
      </c>
      <c r="P7" s="134" t="s">
        <v>50</v>
      </c>
      <c r="Q7" s="134" t="s">
        <v>50</v>
      </c>
      <c r="R7" s="134">
        <v>-2</v>
      </c>
      <c r="S7" s="134">
        <v>-2</v>
      </c>
      <c r="T7" s="134">
        <v>15</v>
      </c>
      <c r="U7" s="134">
        <v>20</v>
      </c>
      <c r="V7" s="135">
        <f>SUM(T7/U7)*100</f>
        <v>75</v>
      </c>
      <c r="W7" s="136">
        <v>7</v>
      </c>
      <c r="X7" s="134">
        <v>8</v>
      </c>
      <c r="Y7" s="135">
        <f>SUM(W7/X7)*100</f>
        <v>87.5</v>
      </c>
      <c r="AC7" s="136">
        <v>7</v>
      </c>
      <c r="AD7" s="134">
        <v>9</v>
      </c>
      <c r="AE7" s="135">
        <f>SUM(AC7/AD7)*100</f>
        <v>77.777777777777786</v>
      </c>
      <c r="AF7" s="134">
        <v>3</v>
      </c>
      <c r="AG7" s="134">
        <v>3</v>
      </c>
      <c r="AH7" s="135">
        <f>SUM(AF7/AG7)*100</f>
        <v>100</v>
      </c>
      <c r="AI7" s="134">
        <v>3</v>
      </c>
      <c r="AJ7" s="134">
        <v>4</v>
      </c>
      <c r="AK7" s="135">
        <f>SUM(AI7/AJ7)*100</f>
        <v>75</v>
      </c>
      <c r="AL7" s="134" t="s">
        <v>50</v>
      </c>
      <c r="AM7" s="134" t="s">
        <v>50</v>
      </c>
      <c r="AN7" s="134" t="s">
        <v>50</v>
      </c>
      <c r="AP7" t="s">
        <v>823</v>
      </c>
      <c r="AQ7" t="s">
        <v>270</v>
      </c>
      <c r="AR7" t="s">
        <v>338</v>
      </c>
      <c r="AS7">
        <v>338</v>
      </c>
      <c r="AU7" t="s">
        <v>522</v>
      </c>
      <c r="AV7" t="s">
        <v>274</v>
      </c>
      <c r="AW7" t="s">
        <v>350</v>
      </c>
      <c r="AX7">
        <v>23</v>
      </c>
    </row>
    <row r="8" spans="1:50" ht="14.95" customHeight="1" thickBot="1" x14ac:dyDescent="0.3">
      <c r="A8" s="133" t="s">
        <v>114</v>
      </c>
      <c r="B8" s="117">
        <v>1</v>
      </c>
      <c r="C8" s="53">
        <v>0</v>
      </c>
      <c r="D8" s="361">
        <v>0</v>
      </c>
      <c r="E8" s="134">
        <f t="shared" si="0"/>
        <v>1</v>
      </c>
      <c r="F8" s="381" t="s">
        <v>114</v>
      </c>
      <c r="G8" s="118">
        <v>5</v>
      </c>
      <c r="H8" s="69">
        <v>0</v>
      </c>
      <c r="I8" s="375">
        <v>0</v>
      </c>
      <c r="J8" s="376">
        <f t="shared" si="1"/>
        <v>5</v>
      </c>
      <c r="K8" s="133" t="s">
        <v>947</v>
      </c>
      <c r="L8" s="134">
        <v>1</v>
      </c>
      <c r="M8" s="134">
        <v>1</v>
      </c>
      <c r="N8" s="134">
        <v>100</v>
      </c>
      <c r="O8" s="134" t="s">
        <v>50</v>
      </c>
      <c r="P8" s="134" t="s">
        <v>50</v>
      </c>
      <c r="Q8" s="135" t="s">
        <v>50</v>
      </c>
      <c r="R8" s="134">
        <v>1</v>
      </c>
      <c r="S8" s="134">
        <v>1</v>
      </c>
      <c r="T8" s="134">
        <v>0</v>
      </c>
      <c r="U8" s="134">
        <v>1</v>
      </c>
      <c r="V8" s="135">
        <f>SUM(T8/U8)*100</f>
        <v>0</v>
      </c>
      <c r="W8" s="136" t="s">
        <v>50</v>
      </c>
      <c r="X8" s="134" t="s">
        <v>50</v>
      </c>
      <c r="Y8" s="134" t="s">
        <v>50</v>
      </c>
      <c r="AC8" s="136" t="s">
        <v>50</v>
      </c>
      <c r="AD8" s="134" t="s">
        <v>50</v>
      </c>
      <c r="AE8" s="134" t="s">
        <v>50</v>
      </c>
      <c r="AF8" s="134" t="s">
        <v>50</v>
      </c>
      <c r="AG8" s="134" t="s">
        <v>50</v>
      </c>
      <c r="AH8" s="134" t="s">
        <v>50</v>
      </c>
      <c r="AI8" s="134" t="s">
        <v>50</v>
      </c>
      <c r="AJ8" s="134" t="s">
        <v>50</v>
      </c>
      <c r="AK8" s="134" t="s">
        <v>50</v>
      </c>
      <c r="AL8" s="134" t="s">
        <v>50</v>
      </c>
      <c r="AM8" s="134" t="s">
        <v>50</v>
      </c>
      <c r="AN8" s="134" t="s">
        <v>50</v>
      </c>
      <c r="AP8" t="s">
        <v>435</v>
      </c>
      <c r="AQ8" t="s">
        <v>270</v>
      </c>
      <c r="AR8" t="s">
        <v>304</v>
      </c>
      <c r="AS8">
        <v>319</v>
      </c>
      <c r="AU8" t="s">
        <v>827</v>
      </c>
      <c r="AV8" t="s">
        <v>268</v>
      </c>
      <c r="AW8" t="s">
        <v>560</v>
      </c>
      <c r="AX8">
        <v>23</v>
      </c>
    </row>
    <row r="9" spans="1:50" ht="14.95" customHeight="1" thickBot="1" x14ac:dyDescent="0.3">
      <c r="A9" s="133" t="s">
        <v>1799</v>
      </c>
      <c r="B9" s="117">
        <v>0</v>
      </c>
      <c r="C9" s="53">
        <v>0</v>
      </c>
      <c r="D9" s="361">
        <v>2</v>
      </c>
      <c r="E9" s="134">
        <f t="shared" si="0"/>
        <v>2</v>
      </c>
      <c r="F9" s="381" t="s">
        <v>1799</v>
      </c>
      <c r="G9" s="118">
        <v>0</v>
      </c>
      <c r="H9" s="69">
        <v>0</v>
      </c>
      <c r="I9" s="375">
        <v>10</v>
      </c>
      <c r="J9" s="376">
        <f t="shared" si="1"/>
        <v>10</v>
      </c>
      <c r="K9" s="133" t="s">
        <v>935</v>
      </c>
      <c r="L9" s="134">
        <v>10</v>
      </c>
      <c r="M9" s="134">
        <v>10</v>
      </c>
      <c r="N9" s="134">
        <v>100</v>
      </c>
      <c r="O9" s="134" t="s">
        <v>50</v>
      </c>
      <c r="P9" s="134" t="s">
        <v>50</v>
      </c>
      <c r="Q9" s="135" t="s">
        <v>50</v>
      </c>
      <c r="R9" s="134">
        <v>10</v>
      </c>
      <c r="S9" s="134">
        <v>10</v>
      </c>
      <c r="T9" s="134" t="s">
        <v>50</v>
      </c>
      <c r="U9" s="134" t="s">
        <v>50</v>
      </c>
      <c r="V9" s="134" t="s">
        <v>50</v>
      </c>
      <c r="W9" s="136" t="s">
        <v>50</v>
      </c>
      <c r="X9" s="134" t="s">
        <v>50</v>
      </c>
      <c r="Y9" s="134" t="s">
        <v>50</v>
      </c>
      <c r="AC9" s="136" t="s">
        <v>50</v>
      </c>
      <c r="AD9" s="134" t="s">
        <v>50</v>
      </c>
      <c r="AE9" s="134" t="s">
        <v>50</v>
      </c>
      <c r="AF9" s="134" t="s">
        <v>50</v>
      </c>
      <c r="AG9" s="134" t="s">
        <v>50</v>
      </c>
      <c r="AH9" s="134" t="s">
        <v>50</v>
      </c>
      <c r="AI9" s="134" t="s">
        <v>50</v>
      </c>
      <c r="AJ9" s="134" t="s">
        <v>50</v>
      </c>
      <c r="AK9" s="134" t="s">
        <v>50</v>
      </c>
      <c r="AL9" s="134" t="s">
        <v>50</v>
      </c>
      <c r="AM9" s="134" t="s">
        <v>50</v>
      </c>
      <c r="AN9" s="134" t="s">
        <v>50</v>
      </c>
      <c r="AP9" t="s">
        <v>608</v>
      </c>
      <c r="AQ9" t="s">
        <v>260</v>
      </c>
      <c r="AR9" t="s">
        <v>289</v>
      </c>
      <c r="AS9">
        <v>280</v>
      </c>
      <c r="AU9" t="s">
        <v>828</v>
      </c>
      <c r="AV9" t="s">
        <v>264</v>
      </c>
      <c r="AW9" t="s">
        <v>695</v>
      </c>
      <c r="AX9">
        <v>23</v>
      </c>
    </row>
    <row r="10" spans="1:50" ht="14.95" customHeight="1" thickBot="1" x14ac:dyDescent="0.3">
      <c r="A10" s="133" t="s">
        <v>94</v>
      </c>
      <c r="B10" s="117">
        <v>0</v>
      </c>
      <c r="C10" s="53">
        <v>0</v>
      </c>
      <c r="D10" s="361">
        <v>0</v>
      </c>
      <c r="E10" s="134">
        <f t="shared" si="0"/>
        <v>0</v>
      </c>
      <c r="F10" s="381" t="s">
        <v>94</v>
      </c>
      <c r="G10" s="118">
        <v>0</v>
      </c>
      <c r="H10" s="69">
        <v>0</v>
      </c>
      <c r="I10" s="375">
        <v>0</v>
      </c>
      <c r="J10" s="376">
        <f t="shared" si="1"/>
        <v>0</v>
      </c>
      <c r="K10" s="133" t="s">
        <v>1268</v>
      </c>
      <c r="L10" s="134" t="s">
        <v>50</v>
      </c>
      <c r="M10" s="134" t="s">
        <v>50</v>
      </c>
      <c r="N10" s="134" t="s">
        <v>50</v>
      </c>
      <c r="O10" s="134" t="s">
        <v>50</v>
      </c>
      <c r="P10" s="134" t="s">
        <v>50</v>
      </c>
      <c r="Q10" s="134" t="s">
        <v>50</v>
      </c>
      <c r="R10" s="134" t="s">
        <v>50</v>
      </c>
      <c r="S10" s="134" t="s">
        <v>50</v>
      </c>
      <c r="T10" s="134" t="s">
        <v>50</v>
      </c>
      <c r="U10" s="134" t="s">
        <v>50</v>
      </c>
      <c r="V10" s="134" t="s">
        <v>50</v>
      </c>
      <c r="W10" s="136" t="s">
        <v>50</v>
      </c>
      <c r="X10" s="134" t="s">
        <v>50</v>
      </c>
      <c r="Y10" s="134" t="s">
        <v>50</v>
      </c>
      <c r="AC10" s="136">
        <v>0</v>
      </c>
      <c r="AD10" s="134">
        <v>0</v>
      </c>
      <c r="AE10" s="134" t="s">
        <v>50</v>
      </c>
      <c r="AF10" s="134">
        <v>1</v>
      </c>
      <c r="AG10" s="134">
        <v>1</v>
      </c>
      <c r="AH10" s="135">
        <f>SUM(AF10/AG10)*100</f>
        <v>100</v>
      </c>
      <c r="AI10" s="134" t="s">
        <v>50</v>
      </c>
      <c r="AJ10" s="134" t="s">
        <v>50</v>
      </c>
      <c r="AK10" s="134" t="s">
        <v>50</v>
      </c>
      <c r="AL10" s="134" t="s">
        <v>50</v>
      </c>
      <c r="AM10" s="134" t="s">
        <v>50</v>
      </c>
      <c r="AN10" s="134" t="s">
        <v>50</v>
      </c>
      <c r="AP10" t="s">
        <v>824</v>
      </c>
      <c r="AQ10" t="s">
        <v>260</v>
      </c>
      <c r="AR10" t="s">
        <v>293</v>
      </c>
      <c r="AS10">
        <v>279</v>
      </c>
      <c r="AU10" t="s">
        <v>544</v>
      </c>
      <c r="AV10" t="s">
        <v>276</v>
      </c>
      <c r="AW10" t="s">
        <v>437</v>
      </c>
      <c r="AX10">
        <v>22</v>
      </c>
    </row>
    <row r="11" spans="1:50" ht="14.95" customHeight="1" thickBot="1" x14ac:dyDescent="0.3">
      <c r="A11" s="133" t="s">
        <v>1063</v>
      </c>
      <c r="B11" s="117">
        <v>0</v>
      </c>
      <c r="C11" s="53">
        <v>2</v>
      </c>
      <c r="D11" s="361">
        <v>1</v>
      </c>
      <c r="E11" s="134">
        <f t="shared" si="0"/>
        <v>3</v>
      </c>
      <c r="F11" s="381" t="s">
        <v>1063</v>
      </c>
      <c r="G11" s="118">
        <v>0</v>
      </c>
      <c r="H11" s="69">
        <v>10</v>
      </c>
      <c r="I11" s="375">
        <v>5</v>
      </c>
      <c r="J11" s="376">
        <f t="shared" si="1"/>
        <v>15</v>
      </c>
      <c r="K11" s="137" t="s">
        <v>86</v>
      </c>
      <c r="L11" s="134">
        <v>2</v>
      </c>
      <c r="M11" s="134">
        <v>2</v>
      </c>
      <c r="N11" s="134">
        <v>100</v>
      </c>
      <c r="O11" s="134" t="s">
        <v>50</v>
      </c>
      <c r="P11" s="134" t="s">
        <v>50</v>
      </c>
      <c r="Q11" s="135" t="s">
        <v>50</v>
      </c>
      <c r="R11" s="138">
        <v>2</v>
      </c>
      <c r="S11" s="138">
        <v>2</v>
      </c>
      <c r="T11" s="134">
        <v>1</v>
      </c>
      <c r="U11" s="134">
        <v>2</v>
      </c>
      <c r="V11" s="135">
        <f>SUM(T11/U11)*100</f>
        <v>50</v>
      </c>
      <c r="W11" s="136">
        <v>2</v>
      </c>
      <c r="X11" s="134">
        <v>4</v>
      </c>
      <c r="Y11" s="135">
        <f>SUM(W11/X11)*100</f>
        <v>50</v>
      </c>
      <c r="AC11" s="136">
        <v>0</v>
      </c>
      <c r="AD11" s="134">
        <v>1</v>
      </c>
      <c r="AE11" s="134" t="s">
        <v>50</v>
      </c>
      <c r="AF11" s="134">
        <v>0</v>
      </c>
      <c r="AG11" s="134">
        <v>1</v>
      </c>
      <c r="AH11" s="134" t="s">
        <v>50</v>
      </c>
      <c r="AI11" s="138">
        <v>3</v>
      </c>
      <c r="AJ11" s="138">
        <v>6</v>
      </c>
      <c r="AK11" s="138">
        <f>SUM(AI11/AJ11)*100</f>
        <v>50</v>
      </c>
      <c r="AL11" s="139" t="s">
        <v>50</v>
      </c>
      <c r="AM11" s="139" t="s">
        <v>50</v>
      </c>
      <c r="AN11" s="139" t="s">
        <v>50</v>
      </c>
      <c r="AP11" t="s">
        <v>825</v>
      </c>
      <c r="AQ11" t="s">
        <v>268</v>
      </c>
      <c r="AR11" t="s">
        <v>471</v>
      </c>
      <c r="AS11">
        <v>203</v>
      </c>
      <c r="AU11" t="s">
        <v>825</v>
      </c>
      <c r="AV11" t="s">
        <v>268</v>
      </c>
      <c r="AW11" t="s">
        <v>471</v>
      </c>
      <c r="AX11">
        <v>21</v>
      </c>
    </row>
    <row r="12" spans="1:50" ht="14.95" customHeight="1" thickBot="1" x14ac:dyDescent="0.3">
      <c r="A12" s="133" t="s">
        <v>11</v>
      </c>
      <c r="B12" s="117">
        <v>0</v>
      </c>
      <c r="C12" s="53">
        <v>0</v>
      </c>
      <c r="D12" s="361">
        <v>0</v>
      </c>
      <c r="E12" s="134">
        <f t="shared" si="0"/>
        <v>0</v>
      </c>
      <c r="F12" s="381" t="s">
        <v>11</v>
      </c>
      <c r="G12" s="118">
        <v>143</v>
      </c>
      <c r="H12" s="69">
        <v>89</v>
      </c>
      <c r="I12" s="375">
        <v>0</v>
      </c>
      <c r="J12" s="376">
        <f t="shared" si="1"/>
        <v>232</v>
      </c>
      <c r="K12" s="81"/>
      <c r="L12" s="78"/>
      <c r="M12" s="77"/>
      <c r="N12" s="77"/>
      <c r="O12" s="78"/>
      <c r="P12" s="77"/>
      <c r="Q12" s="79"/>
      <c r="R12" s="80"/>
      <c r="S12" s="45"/>
      <c r="T12" s="45"/>
      <c r="U12" s="45"/>
      <c r="V12" s="45"/>
      <c r="W12" s="77"/>
      <c r="X12" s="77"/>
      <c r="Y12" s="77"/>
      <c r="AP12" t="s">
        <v>609</v>
      </c>
      <c r="AQ12" t="s">
        <v>260</v>
      </c>
      <c r="AR12" t="s">
        <v>309</v>
      </c>
      <c r="AS12">
        <v>194</v>
      </c>
      <c r="AU12" t="s">
        <v>830</v>
      </c>
      <c r="AV12" t="s">
        <v>278</v>
      </c>
      <c r="AW12" t="s">
        <v>375</v>
      </c>
      <c r="AX12">
        <v>20</v>
      </c>
    </row>
    <row r="13" spans="1:50" ht="14.95" customHeight="1" thickBot="1" x14ac:dyDescent="0.3">
      <c r="A13" s="133" t="s">
        <v>169</v>
      </c>
      <c r="B13" s="117">
        <v>0</v>
      </c>
      <c r="C13" s="53">
        <v>0</v>
      </c>
      <c r="D13" s="361">
        <v>0</v>
      </c>
      <c r="E13" s="134">
        <f t="shared" si="0"/>
        <v>0</v>
      </c>
      <c r="F13" s="381" t="s">
        <v>169</v>
      </c>
      <c r="G13" s="118">
        <v>0</v>
      </c>
      <c r="H13" s="69">
        <v>0</v>
      </c>
      <c r="I13" s="375">
        <v>0</v>
      </c>
      <c r="J13" s="376">
        <f t="shared" si="1"/>
        <v>0</v>
      </c>
      <c r="K13" s="476" t="s">
        <v>1325</v>
      </c>
      <c r="L13" s="480" t="s">
        <v>49</v>
      </c>
      <c r="M13" s="481"/>
      <c r="N13" s="482"/>
      <c r="O13" s="457" t="s">
        <v>124</v>
      </c>
      <c r="P13" s="458"/>
      <c r="Q13" s="459"/>
      <c r="R13" s="457" t="s">
        <v>1070</v>
      </c>
      <c r="S13" s="458"/>
      <c r="T13" s="459"/>
      <c r="U13" s="457" t="s">
        <v>598</v>
      </c>
      <c r="V13" s="458"/>
      <c r="W13" s="459"/>
      <c r="X13" s="127"/>
      <c r="Y13" s="127"/>
      <c r="AC13" s="127"/>
      <c r="AE13" s="457" t="s">
        <v>254</v>
      </c>
      <c r="AF13" s="458"/>
      <c r="AG13" s="459"/>
      <c r="AH13" s="457" t="s">
        <v>960</v>
      </c>
      <c r="AI13" s="458"/>
      <c r="AJ13" s="459"/>
      <c r="AP13" t="s">
        <v>735</v>
      </c>
      <c r="AQ13" t="s">
        <v>260</v>
      </c>
      <c r="AR13" t="s">
        <v>818</v>
      </c>
      <c r="AS13">
        <v>192</v>
      </c>
      <c r="AU13" t="s">
        <v>603</v>
      </c>
      <c r="AV13" t="s">
        <v>268</v>
      </c>
      <c r="AW13" t="s">
        <v>305</v>
      </c>
      <c r="AX13">
        <v>20</v>
      </c>
    </row>
    <row r="14" spans="1:50" ht="14.95" customHeight="1" thickBot="1" x14ac:dyDescent="0.3">
      <c r="A14" s="133" t="s">
        <v>942</v>
      </c>
      <c r="B14" s="117">
        <v>2</v>
      </c>
      <c r="C14" s="53">
        <v>0</v>
      </c>
      <c r="D14" s="361">
        <v>1</v>
      </c>
      <c r="E14" s="134">
        <f t="shared" si="0"/>
        <v>3</v>
      </c>
      <c r="F14" s="381" t="s">
        <v>942</v>
      </c>
      <c r="G14" s="118">
        <v>10</v>
      </c>
      <c r="H14" s="69">
        <v>0</v>
      </c>
      <c r="I14" s="375">
        <v>5</v>
      </c>
      <c r="J14" s="376">
        <f t="shared" si="1"/>
        <v>15</v>
      </c>
      <c r="K14" s="477"/>
      <c r="L14" s="483"/>
      <c r="M14" s="484"/>
      <c r="N14" s="485"/>
      <c r="O14" s="460"/>
      <c r="P14" s="461"/>
      <c r="Q14" s="462"/>
      <c r="R14" s="460"/>
      <c r="S14" s="461"/>
      <c r="T14" s="462"/>
      <c r="U14" s="460"/>
      <c r="V14" s="461"/>
      <c r="W14" s="462"/>
      <c r="X14" s="127"/>
      <c r="Y14" s="127"/>
      <c r="AC14" s="127"/>
      <c r="AE14" s="460"/>
      <c r="AF14" s="461"/>
      <c r="AG14" s="462"/>
      <c r="AH14" s="460"/>
      <c r="AI14" s="461"/>
      <c r="AJ14" s="462"/>
      <c r="AP14" t="s">
        <v>569</v>
      </c>
      <c r="AQ14" t="s">
        <v>264</v>
      </c>
      <c r="AR14" t="s">
        <v>327</v>
      </c>
      <c r="AS14">
        <v>190</v>
      </c>
      <c r="AU14" t="s">
        <v>624</v>
      </c>
      <c r="AV14" t="s">
        <v>260</v>
      </c>
      <c r="AW14" t="s">
        <v>436</v>
      </c>
      <c r="AX14">
        <v>19</v>
      </c>
    </row>
    <row r="15" spans="1:50" ht="14.95" customHeight="1" thickBot="1" x14ac:dyDescent="0.3">
      <c r="A15" s="133" t="s">
        <v>10</v>
      </c>
      <c r="B15" s="117">
        <v>5</v>
      </c>
      <c r="C15" s="53">
        <v>2</v>
      </c>
      <c r="D15" s="361">
        <v>0</v>
      </c>
      <c r="E15" s="134">
        <f t="shared" si="0"/>
        <v>7</v>
      </c>
      <c r="F15" s="381" t="s">
        <v>10</v>
      </c>
      <c r="G15" s="118">
        <v>25</v>
      </c>
      <c r="H15" s="69">
        <v>10</v>
      </c>
      <c r="I15" s="375">
        <v>0</v>
      </c>
      <c r="J15" s="376">
        <f t="shared" si="1"/>
        <v>35</v>
      </c>
      <c r="K15" s="40" t="s">
        <v>87</v>
      </c>
      <c r="L15" s="66" t="s">
        <v>243</v>
      </c>
      <c r="M15" s="66" t="s">
        <v>42</v>
      </c>
      <c r="N15" s="66" t="s">
        <v>43</v>
      </c>
      <c r="O15" s="119" t="s">
        <v>243</v>
      </c>
      <c r="P15" s="119" t="s">
        <v>42</v>
      </c>
      <c r="Q15" s="119" t="s">
        <v>43</v>
      </c>
      <c r="R15" s="119" t="s">
        <v>243</v>
      </c>
      <c r="S15" s="119" t="s">
        <v>42</v>
      </c>
      <c r="T15" s="119" t="s">
        <v>43</v>
      </c>
      <c r="U15" s="124" t="s">
        <v>243</v>
      </c>
      <c r="V15" s="119" t="s">
        <v>42</v>
      </c>
      <c r="W15" s="119" t="s">
        <v>43</v>
      </c>
      <c r="AC15" s="60"/>
      <c r="AE15" s="124" t="s">
        <v>243</v>
      </c>
      <c r="AF15" s="119" t="s">
        <v>42</v>
      </c>
      <c r="AG15" s="119" t="s">
        <v>43</v>
      </c>
      <c r="AH15" s="124" t="s">
        <v>243</v>
      </c>
      <c r="AI15" s="119" t="s">
        <v>42</v>
      </c>
      <c r="AJ15" s="119" t="s">
        <v>43</v>
      </c>
      <c r="AP15" t="s">
        <v>621</v>
      </c>
      <c r="AQ15" t="s">
        <v>264</v>
      </c>
      <c r="AR15" t="s">
        <v>463</v>
      </c>
      <c r="AS15">
        <v>175</v>
      </c>
      <c r="AU15" t="s">
        <v>831</v>
      </c>
      <c r="AV15" t="s">
        <v>264</v>
      </c>
      <c r="AW15" t="s">
        <v>552</v>
      </c>
      <c r="AX15">
        <v>18</v>
      </c>
    </row>
    <row r="16" spans="1:50" ht="14.95" customHeight="1" thickBot="1" x14ac:dyDescent="0.3">
      <c r="A16" s="133" t="s">
        <v>24</v>
      </c>
      <c r="B16" s="117">
        <v>1</v>
      </c>
      <c r="C16" s="53">
        <v>0</v>
      </c>
      <c r="D16" s="361">
        <v>0</v>
      </c>
      <c r="E16" s="134">
        <f t="shared" si="0"/>
        <v>1</v>
      </c>
      <c r="F16" s="381" t="s">
        <v>24</v>
      </c>
      <c r="G16" s="118">
        <v>26</v>
      </c>
      <c r="H16" s="69">
        <v>0</v>
      </c>
      <c r="I16" s="375">
        <v>0</v>
      </c>
      <c r="J16" s="376">
        <f t="shared" si="1"/>
        <v>26</v>
      </c>
      <c r="K16" s="133" t="s">
        <v>11</v>
      </c>
      <c r="L16" s="134">
        <v>36</v>
      </c>
      <c r="M16" s="134">
        <v>42</v>
      </c>
      <c r="N16" s="135">
        <f>SUM(L16/M16)*100</f>
        <v>85.714285714285708</v>
      </c>
      <c r="O16" s="134">
        <v>37</v>
      </c>
      <c r="P16" s="134">
        <v>42</v>
      </c>
      <c r="Q16" s="135">
        <f>SUM(O16/P16)*100</f>
        <v>88.095238095238088</v>
      </c>
      <c r="R16" s="134">
        <v>47</v>
      </c>
      <c r="S16" s="134">
        <v>57</v>
      </c>
      <c r="T16" s="135">
        <f>SUM(R16/S16)*100</f>
        <v>82.456140350877192</v>
      </c>
      <c r="U16" s="136">
        <v>48</v>
      </c>
      <c r="V16" s="134">
        <v>64</v>
      </c>
      <c r="W16" s="135">
        <f>SUM(U16/V16)*100</f>
        <v>75</v>
      </c>
      <c r="AA16" s="128"/>
      <c r="AB16" s="128"/>
      <c r="AC16" s="129"/>
      <c r="AE16" s="136">
        <v>15</v>
      </c>
      <c r="AF16" s="134">
        <v>19</v>
      </c>
      <c r="AG16" s="135">
        <f>SUM(AE16/AF16)*100</f>
        <v>78.94736842105263</v>
      </c>
      <c r="AH16" s="136">
        <v>24</v>
      </c>
      <c r="AI16" s="134">
        <v>33</v>
      </c>
      <c r="AJ16" s="135">
        <f>SUM(AH16/AI16)*100</f>
        <v>72.727272727272734</v>
      </c>
      <c r="AP16" t="s">
        <v>826</v>
      </c>
      <c r="AQ16" t="s">
        <v>264</v>
      </c>
      <c r="AR16" t="s">
        <v>439</v>
      </c>
      <c r="AS16">
        <v>170</v>
      </c>
      <c r="AU16" t="s">
        <v>281</v>
      </c>
      <c r="AV16" t="s">
        <v>264</v>
      </c>
      <c r="AW16" t="s">
        <v>329</v>
      </c>
      <c r="AX16">
        <v>16</v>
      </c>
    </row>
    <row r="17" spans="1:50" ht="14.95" customHeight="1" thickBot="1" x14ac:dyDescent="0.3">
      <c r="A17" s="133" t="s">
        <v>934</v>
      </c>
      <c r="B17" s="117">
        <v>0</v>
      </c>
      <c r="C17" s="53">
        <v>0</v>
      </c>
      <c r="D17" s="361">
        <v>0</v>
      </c>
      <c r="E17" s="134">
        <f t="shared" si="0"/>
        <v>0</v>
      </c>
      <c r="F17" s="381" t="s">
        <v>934</v>
      </c>
      <c r="G17" s="118">
        <v>0</v>
      </c>
      <c r="H17" s="69">
        <v>0</v>
      </c>
      <c r="I17" s="375">
        <v>0</v>
      </c>
      <c r="J17" s="376">
        <f t="shared" si="1"/>
        <v>0</v>
      </c>
      <c r="K17" s="133" t="s">
        <v>156</v>
      </c>
      <c r="L17" s="134">
        <v>11</v>
      </c>
      <c r="M17" s="134">
        <v>13</v>
      </c>
      <c r="N17" s="135">
        <f>SUM(L17/M17)*100</f>
        <v>84.615384615384613</v>
      </c>
      <c r="O17" s="134" t="s">
        <v>50</v>
      </c>
      <c r="P17" s="134" t="s">
        <v>50</v>
      </c>
      <c r="Q17" s="134" t="s">
        <v>50</v>
      </c>
      <c r="R17" s="134">
        <v>2</v>
      </c>
      <c r="S17" s="134">
        <v>5</v>
      </c>
      <c r="T17" s="135">
        <f>SUM(R17/S17)*100</f>
        <v>40</v>
      </c>
      <c r="U17" s="136" t="s">
        <v>50</v>
      </c>
      <c r="V17" s="134" t="s">
        <v>50</v>
      </c>
      <c r="W17" s="134" t="s">
        <v>50</v>
      </c>
      <c r="AA17" s="128"/>
      <c r="AB17" s="128"/>
      <c r="AC17" s="128"/>
      <c r="AE17" s="136">
        <v>4</v>
      </c>
      <c r="AF17" s="134">
        <v>4</v>
      </c>
      <c r="AG17" s="135">
        <f>SUM(AE17/AF17)*100</f>
        <v>100</v>
      </c>
      <c r="AH17" s="136" t="s">
        <v>50</v>
      </c>
      <c r="AI17" s="134" t="s">
        <v>50</v>
      </c>
      <c r="AJ17" s="134" t="s">
        <v>50</v>
      </c>
      <c r="AP17" t="s">
        <v>572</v>
      </c>
      <c r="AQ17" t="s">
        <v>271</v>
      </c>
      <c r="AR17" t="s">
        <v>436</v>
      </c>
      <c r="AS17">
        <v>165</v>
      </c>
      <c r="AU17" t="s">
        <v>832</v>
      </c>
      <c r="AV17" t="s">
        <v>276</v>
      </c>
      <c r="AW17" t="s">
        <v>360</v>
      </c>
      <c r="AX17">
        <v>14</v>
      </c>
    </row>
    <row r="18" spans="1:50" ht="14.95" customHeight="1" thickBot="1" x14ac:dyDescent="0.3">
      <c r="A18" s="133" t="s">
        <v>1728</v>
      </c>
      <c r="B18" s="117">
        <v>1</v>
      </c>
      <c r="C18" s="53">
        <v>0</v>
      </c>
      <c r="D18" s="361">
        <v>0</v>
      </c>
      <c r="E18" s="134">
        <f t="shared" si="0"/>
        <v>1</v>
      </c>
      <c r="F18" s="381" t="s">
        <v>1728</v>
      </c>
      <c r="G18" s="118">
        <v>5</v>
      </c>
      <c r="H18" s="69">
        <v>0</v>
      </c>
      <c r="I18" s="375">
        <v>0</v>
      </c>
      <c r="J18" s="376">
        <f t="shared" si="1"/>
        <v>5</v>
      </c>
      <c r="K18" s="133" t="s">
        <v>24</v>
      </c>
      <c r="L18" s="134" t="s">
        <v>50</v>
      </c>
      <c r="M18" s="134" t="s">
        <v>50</v>
      </c>
      <c r="N18" s="134" t="s">
        <v>50</v>
      </c>
      <c r="O18" s="134" t="s">
        <v>50</v>
      </c>
      <c r="P18" s="134" t="s">
        <v>50</v>
      </c>
      <c r="Q18" s="134" t="s">
        <v>50</v>
      </c>
      <c r="R18" s="134" t="s">
        <v>50</v>
      </c>
      <c r="S18" s="134" t="s">
        <v>50</v>
      </c>
      <c r="T18" s="134" t="s">
        <v>50</v>
      </c>
      <c r="U18" s="136" t="s">
        <v>50</v>
      </c>
      <c r="V18" s="134" t="s">
        <v>50</v>
      </c>
      <c r="W18" s="134" t="s">
        <v>50</v>
      </c>
      <c r="AA18" s="128"/>
      <c r="AB18" s="128"/>
      <c r="AC18" s="129"/>
      <c r="AE18" s="136">
        <v>1</v>
      </c>
      <c r="AF18" s="134">
        <v>1</v>
      </c>
      <c r="AG18" s="135">
        <f>SUM(AE18/AF18)*100</f>
        <v>100</v>
      </c>
      <c r="AH18" s="136">
        <v>6</v>
      </c>
      <c r="AI18" s="134">
        <v>8</v>
      </c>
      <c r="AJ18" s="135">
        <f>SUM(AH18/AI18)*100</f>
        <v>75</v>
      </c>
      <c r="AP18" t="s">
        <v>336</v>
      </c>
      <c r="AQ18" t="s">
        <v>260</v>
      </c>
      <c r="AR18" t="s">
        <v>480</v>
      </c>
      <c r="AS18">
        <v>152</v>
      </c>
      <c r="AU18" t="s">
        <v>821</v>
      </c>
      <c r="AV18" t="s">
        <v>260</v>
      </c>
      <c r="AW18" t="s">
        <v>440</v>
      </c>
      <c r="AX18">
        <v>13</v>
      </c>
    </row>
    <row r="19" spans="1:50" ht="14.95" customHeight="1" thickBot="1" x14ac:dyDescent="0.3">
      <c r="A19" s="133" t="s">
        <v>177</v>
      </c>
      <c r="B19" s="117">
        <v>2</v>
      </c>
      <c r="C19" s="53">
        <v>2</v>
      </c>
      <c r="D19" s="361">
        <v>0</v>
      </c>
      <c r="E19" s="134">
        <f t="shared" si="0"/>
        <v>4</v>
      </c>
      <c r="F19" s="381" t="s">
        <v>177</v>
      </c>
      <c r="G19" s="118">
        <v>10</v>
      </c>
      <c r="H19" s="69">
        <v>10</v>
      </c>
      <c r="I19" s="375">
        <v>0</v>
      </c>
      <c r="J19" s="376">
        <f t="shared" si="1"/>
        <v>20</v>
      </c>
      <c r="K19" s="133" t="s">
        <v>86</v>
      </c>
      <c r="L19" s="134" t="s">
        <v>50</v>
      </c>
      <c r="M19" s="134" t="s">
        <v>50</v>
      </c>
      <c r="N19" s="134" t="s">
        <v>50</v>
      </c>
      <c r="O19" s="134">
        <v>1</v>
      </c>
      <c r="P19" s="134">
        <v>2</v>
      </c>
      <c r="Q19" s="135">
        <f>SUM(O19/P19)*100</f>
        <v>50</v>
      </c>
      <c r="R19" s="134">
        <v>1</v>
      </c>
      <c r="S19" s="134">
        <v>2</v>
      </c>
      <c r="T19" s="135">
        <f>SUM(R19/S19)*100</f>
        <v>50</v>
      </c>
      <c r="U19" s="136" t="s">
        <v>50</v>
      </c>
      <c r="V19" s="134" t="s">
        <v>50</v>
      </c>
      <c r="W19" s="134" t="s">
        <v>50</v>
      </c>
      <c r="AA19" s="128"/>
      <c r="AB19" s="128"/>
      <c r="AC19" s="129"/>
      <c r="AE19" s="136">
        <v>1</v>
      </c>
      <c r="AF19" s="134">
        <v>2</v>
      </c>
      <c r="AG19" s="135">
        <f>SUM(AE19/AF19)*100</f>
        <v>50</v>
      </c>
      <c r="AH19" s="136">
        <v>1</v>
      </c>
      <c r="AI19" s="134">
        <v>1</v>
      </c>
      <c r="AJ19" s="135">
        <f>SUM(AH19/AI19)*100</f>
        <v>100</v>
      </c>
      <c r="AP19" t="s">
        <v>827</v>
      </c>
      <c r="AQ19" t="s">
        <v>268</v>
      </c>
      <c r="AR19" t="s">
        <v>560</v>
      </c>
      <c r="AS19">
        <v>118</v>
      </c>
      <c r="AU19" t="s">
        <v>549</v>
      </c>
      <c r="AV19" t="s">
        <v>276</v>
      </c>
      <c r="AW19" t="s">
        <v>477</v>
      </c>
      <c r="AX19">
        <v>13</v>
      </c>
    </row>
    <row r="20" spans="1:50" ht="14.95" customHeight="1" thickBot="1" x14ac:dyDescent="0.3">
      <c r="A20" s="133" t="s">
        <v>1814</v>
      </c>
      <c r="B20" s="117">
        <v>0</v>
      </c>
      <c r="C20" s="53">
        <v>1</v>
      </c>
      <c r="D20" s="361">
        <v>0</v>
      </c>
      <c r="E20" s="134">
        <f t="shared" si="0"/>
        <v>1</v>
      </c>
      <c r="F20" s="381" t="s">
        <v>1814</v>
      </c>
      <c r="G20" s="118">
        <v>0</v>
      </c>
      <c r="H20" s="69">
        <v>5</v>
      </c>
      <c r="I20" s="375">
        <v>0</v>
      </c>
      <c r="J20" s="376">
        <f t="shared" si="1"/>
        <v>5</v>
      </c>
      <c r="K20" s="133" t="s">
        <v>16</v>
      </c>
      <c r="L20" s="134">
        <v>4</v>
      </c>
      <c r="M20" s="134">
        <v>4</v>
      </c>
      <c r="N20" s="135">
        <f>SUM(L20/M20)*100</f>
        <v>100</v>
      </c>
      <c r="O20" s="134" t="s">
        <v>50</v>
      </c>
      <c r="P20" s="134" t="s">
        <v>50</v>
      </c>
      <c r="Q20" s="134" t="s">
        <v>50</v>
      </c>
      <c r="R20" s="134" t="s">
        <v>50</v>
      </c>
      <c r="S20" s="134" t="s">
        <v>50</v>
      </c>
      <c r="T20" s="134" t="s">
        <v>50</v>
      </c>
      <c r="U20" s="136" t="s">
        <v>50</v>
      </c>
      <c r="V20" s="134" t="s">
        <v>50</v>
      </c>
      <c r="W20" s="134" t="s">
        <v>50</v>
      </c>
      <c r="AA20" s="128"/>
      <c r="AB20" s="128"/>
      <c r="AC20" s="128"/>
      <c r="AE20" s="136" t="s">
        <v>50</v>
      </c>
      <c r="AF20" s="134" t="s">
        <v>50</v>
      </c>
      <c r="AG20" s="134" t="s">
        <v>50</v>
      </c>
      <c r="AH20" s="136" t="s">
        <v>50</v>
      </c>
      <c r="AI20" s="134" t="s">
        <v>50</v>
      </c>
      <c r="AJ20" s="134" t="s">
        <v>50</v>
      </c>
      <c r="AP20" t="s">
        <v>522</v>
      </c>
      <c r="AQ20" t="s">
        <v>274</v>
      </c>
      <c r="AR20" t="s">
        <v>350</v>
      </c>
      <c r="AS20">
        <v>115</v>
      </c>
      <c r="AU20" t="s">
        <v>836</v>
      </c>
      <c r="AV20" t="s">
        <v>268</v>
      </c>
      <c r="AW20" t="s">
        <v>364</v>
      </c>
      <c r="AX20">
        <v>12</v>
      </c>
    </row>
    <row r="21" spans="1:50" ht="14.95" customHeight="1" thickBot="1" x14ac:dyDescent="0.3">
      <c r="A21" s="133" t="s">
        <v>423</v>
      </c>
      <c r="B21" s="117">
        <v>0</v>
      </c>
      <c r="C21" s="53">
        <v>1</v>
      </c>
      <c r="D21" s="361">
        <v>0</v>
      </c>
      <c r="E21" s="134">
        <f t="shared" si="0"/>
        <v>1</v>
      </c>
      <c r="F21" s="381" t="s">
        <v>423</v>
      </c>
      <c r="G21" s="118">
        <v>0</v>
      </c>
      <c r="H21" s="69">
        <v>5</v>
      </c>
      <c r="I21" s="375">
        <v>0</v>
      </c>
      <c r="J21" s="376">
        <f t="shared" si="1"/>
        <v>5</v>
      </c>
      <c r="AP21" t="s">
        <v>828</v>
      </c>
      <c r="AQ21" t="s">
        <v>264</v>
      </c>
      <c r="AR21" t="s">
        <v>695</v>
      </c>
      <c r="AS21">
        <v>115</v>
      </c>
      <c r="AU21" t="s">
        <v>588</v>
      </c>
      <c r="AW21" t="s">
        <v>585</v>
      </c>
      <c r="AX21">
        <v>12</v>
      </c>
    </row>
    <row r="22" spans="1:50" ht="14.95" customHeight="1" thickBot="1" x14ac:dyDescent="0.3">
      <c r="A22" s="133" t="s">
        <v>1806</v>
      </c>
      <c r="B22" s="117">
        <v>1</v>
      </c>
      <c r="C22" s="53">
        <v>0</v>
      </c>
      <c r="D22" s="361">
        <v>3</v>
      </c>
      <c r="E22" s="134">
        <f t="shared" si="0"/>
        <v>4</v>
      </c>
      <c r="F22" s="381" t="s">
        <v>1806</v>
      </c>
      <c r="G22" s="118">
        <v>5</v>
      </c>
      <c r="H22" s="69">
        <v>0</v>
      </c>
      <c r="I22" s="375">
        <v>15</v>
      </c>
      <c r="J22" s="376">
        <f t="shared" si="1"/>
        <v>20</v>
      </c>
      <c r="K22" s="474" t="s">
        <v>1071</v>
      </c>
      <c r="L22" s="480" t="s">
        <v>49</v>
      </c>
      <c r="M22" s="481"/>
      <c r="N22" s="482"/>
      <c r="O22" s="457" t="s">
        <v>124</v>
      </c>
      <c r="P22" s="458"/>
      <c r="Q22" s="459"/>
      <c r="R22" s="457" t="s">
        <v>1070</v>
      </c>
      <c r="S22" s="458"/>
      <c r="T22" s="459"/>
      <c r="U22" s="457" t="s">
        <v>254</v>
      </c>
      <c r="V22" s="458"/>
      <c r="W22" s="459"/>
      <c r="AE22" s="457" t="s">
        <v>186</v>
      </c>
      <c r="AF22" s="458"/>
      <c r="AG22" s="459"/>
      <c r="AP22" t="s">
        <v>544</v>
      </c>
      <c r="AQ22" t="s">
        <v>276</v>
      </c>
      <c r="AR22" t="s">
        <v>437</v>
      </c>
      <c r="AS22">
        <v>110</v>
      </c>
      <c r="AU22" t="s">
        <v>835</v>
      </c>
      <c r="AV22" t="s">
        <v>263</v>
      </c>
      <c r="AW22" t="s">
        <v>565</v>
      </c>
      <c r="AX22">
        <v>12</v>
      </c>
    </row>
    <row r="23" spans="1:50" ht="14.95" customHeight="1" thickBot="1" x14ac:dyDescent="0.3">
      <c r="A23" s="133" t="s">
        <v>1807</v>
      </c>
      <c r="B23" s="117">
        <v>0</v>
      </c>
      <c r="C23" s="53">
        <v>0</v>
      </c>
      <c r="D23" s="361">
        <v>0</v>
      </c>
      <c r="E23" s="134">
        <f t="shared" si="0"/>
        <v>0</v>
      </c>
      <c r="F23" s="381" t="s">
        <v>1807</v>
      </c>
      <c r="G23" s="118">
        <v>0</v>
      </c>
      <c r="H23" s="69">
        <v>0</v>
      </c>
      <c r="I23" s="375">
        <v>0</v>
      </c>
      <c r="J23" s="376">
        <f t="shared" si="1"/>
        <v>0</v>
      </c>
      <c r="K23" s="475"/>
      <c r="L23" s="483"/>
      <c r="M23" s="484"/>
      <c r="N23" s="485"/>
      <c r="O23" s="460"/>
      <c r="P23" s="461"/>
      <c r="Q23" s="462"/>
      <c r="R23" s="460"/>
      <c r="S23" s="461"/>
      <c r="T23" s="462"/>
      <c r="U23" s="460"/>
      <c r="V23" s="461"/>
      <c r="W23" s="462"/>
      <c r="AE23" s="460"/>
      <c r="AF23" s="461"/>
      <c r="AG23" s="462"/>
      <c r="AP23" t="s">
        <v>657</v>
      </c>
      <c r="AQ23" t="s">
        <v>270</v>
      </c>
      <c r="AR23" t="s">
        <v>829</v>
      </c>
      <c r="AS23">
        <v>104</v>
      </c>
      <c r="AU23" t="s">
        <v>614</v>
      </c>
      <c r="AV23" t="s">
        <v>259</v>
      </c>
      <c r="AW23" t="s">
        <v>436</v>
      </c>
      <c r="AX23">
        <v>11</v>
      </c>
    </row>
    <row r="24" spans="1:50" ht="14.95" customHeight="1" thickBot="1" x14ac:dyDescent="0.3">
      <c r="A24" s="133" t="s">
        <v>91</v>
      </c>
      <c r="B24" s="117">
        <v>0</v>
      </c>
      <c r="C24" s="53">
        <v>0</v>
      </c>
      <c r="D24" s="361">
        <v>0</v>
      </c>
      <c r="E24" s="134">
        <f t="shared" si="0"/>
        <v>0</v>
      </c>
      <c r="F24" s="381" t="s">
        <v>91</v>
      </c>
      <c r="G24" s="118">
        <v>0</v>
      </c>
      <c r="H24" s="69">
        <v>0</v>
      </c>
      <c r="I24" s="375">
        <v>0</v>
      </c>
      <c r="J24" s="376">
        <f t="shared" si="1"/>
        <v>0</v>
      </c>
      <c r="K24" s="40" t="s">
        <v>87</v>
      </c>
      <c r="L24" s="66" t="s">
        <v>243</v>
      </c>
      <c r="M24" s="66" t="s">
        <v>42</v>
      </c>
      <c r="N24" s="66" t="s">
        <v>43</v>
      </c>
      <c r="O24" s="119" t="s">
        <v>243</v>
      </c>
      <c r="P24" s="119" t="s">
        <v>42</v>
      </c>
      <c r="Q24" s="119" t="s">
        <v>43</v>
      </c>
      <c r="R24" s="119" t="s">
        <v>243</v>
      </c>
      <c r="S24" s="119" t="s">
        <v>42</v>
      </c>
      <c r="T24" s="119" t="s">
        <v>43</v>
      </c>
      <c r="U24" s="124" t="s">
        <v>243</v>
      </c>
      <c r="V24" s="119" t="s">
        <v>42</v>
      </c>
      <c r="W24" s="119" t="s">
        <v>43</v>
      </c>
      <c r="AE24" s="124" t="s">
        <v>243</v>
      </c>
      <c r="AF24" s="119" t="s">
        <v>42</v>
      </c>
      <c r="AG24" s="119" t="s">
        <v>43</v>
      </c>
      <c r="AP24" t="s">
        <v>830</v>
      </c>
      <c r="AQ24" t="s">
        <v>278</v>
      </c>
      <c r="AR24" t="s">
        <v>375</v>
      </c>
      <c r="AS24">
        <v>100</v>
      </c>
      <c r="AU24" t="s">
        <v>838</v>
      </c>
      <c r="AV24" t="s">
        <v>284</v>
      </c>
      <c r="AW24" t="s">
        <v>458</v>
      </c>
      <c r="AX24">
        <v>11</v>
      </c>
    </row>
    <row r="25" spans="1:50" ht="14.95" customHeight="1" thickBot="1" x14ac:dyDescent="0.3">
      <c r="A25" s="133" t="s">
        <v>946</v>
      </c>
      <c r="B25" s="117">
        <v>0</v>
      </c>
      <c r="C25" s="53">
        <v>0</v>
      </c>
      <c r="D25" s="361">
        <v>0</v>
      </c>
      <c r="E25" s="134">
        <f t="shared" si="0"/>
        <v>0</v>
      </c>
      <c r="F25" s="381" t="s">
        <v>946</v>
      </c>
      <c r="G25" s="118">
        <v>0</v>
      </c>
      <c r="H25" s="69">
        <v>0</v>
      </c>
      <c r="I25" s="375">
        <v>0</v>
      </c>
      <c r="J25" s="376">
        <f t="shared" si="1"/>
        <v>0</v>
      </c>
      <c r="K25" s="133" t="s">
        <v>935</v>
      </c>
      <c r="L25" s="134">
        <v>2</v>
      </c>
      <c r="M25" s="134">
        <v>4</v>
      </c>
      <c r="N25" s="135">
        <f t="shared" ref="N25" si="3">SUM(L25/M25)*100</f>
        <v>50</v>
      </c>
      <c r="O25" s="134" t="s">
        <v>50</v>
      </c>
      <c r="P25" s="134" t="s">
        <v>50</v>
      </c>
      <c r="Q25" s="134" t="s">
        <v>50</v>
      </c>
      <c r="R25" s="134">
        <v>12</v>
      </c>
      <c r="S25" s="134">
        <v>20</v>
      </c>
      <c r="T25" s="135">
        <f>SUM(R25/S25)*100</f>
        <v>60</v>
      </c>
      <c r="U25" s="136" t="s">
        <v>50</v>
      </c>
      <c r="V25" s="134" t="s">
        <v>50</v>
      </c>
      <c r="W25" s="134" t="s">
        <v>50</v>
      </c>
      <c r="AE25" s="136" t="s">
        <v>50</v>
      </c>
      <c r="AF25" s="134" t="s">
        <v>50</v>
      </c>
      <c r="AG25" s="134" t="s">
        <v>50</v>
      </c>
      <c r="AP25" t="s">
        <v>603</v>
      </c>
      <c r="AQ25" t="s">
        <v>268</v>
      </c>
      <c r="AR25" t="s">
        <v>305</v>
      </c>
      <c r="AS25">
        <v>100</v>
      </c>
      <c r="AU25" t="s">
        <v>527</v>
      </c>
      <c r="AV25" t="s">
        <v>262</v>
      </c>
      <c r="AW25" t="s">
        <v>438</v>
      </c>
      <c r="AX25">
        <v>11</v>
      </c>
    </row>
    <row r="26" spans="1:50" ht="14.95" customHeight="1" thickBot="1" x14ac:dyDescent="0.3">
      <c r="A26" s="133" t="s">
        <v>1266</v>
      </c>
      <c r="B26" s="117">
        <v>9</v>
      </c>
      <c r="C26" s="53">
        <v>1</v>
      </c>
      <c r="D26" s="361">
        <v>1</v>
      </c>
      <c r="E26" s="134">
        <f t="shared" si="0"/>
        <v>11</v>
      </c>
      <c r="F26" s="381" t="s">
        <v>1266</v>
      </c>
      <c r="G26" s="118">
        <v>45</v>
      </c>
      <c r="H26" s="69">
        <v>5</v>
      </c>
      <c r="I26" s="375">
        <v>5</v>
      </c>
      <c r="J26" s="376">
        <f t="shared" si="1"/>
        <v>55</v>
      </c>
      <c r="K26" s="133" t="s">
        <v>947</v>
      </c>
      <c r="L26" s="134">
        <v>11</v>
      </c>
      <c r="M26" s="134">
        <v>19</v>
      </c>
      <c r="N26" s="135">
        <f>SUM(L26/M26)*100</f>
        <v>57.894736842105267</v>
      </c>
      <c r="O26" s="134">
        <v>15</v>
      </c>
      <c r="P26" s="134">
        <v>25</v>
      </c>
      <c r="Q26" s="135">
        <f>SUM(O26/P26)*100</f>
        <v>60</v>
      </c>
      <c r="R26" s="134">
        <v>3</v>
      </c>
      <c r="S26" s="134">
        <v>4</v>
      </c>
      <c r="T26" s="135">
        <f>SUM(R26/S26)*100</f>
        <v>75</v>
      </c>
      <c r="U26" s="136"/>
      <c r="V26" s="134"/>
      <c r="W26" s="134"/>
      <c r="AE26" s="136"/>
      <c r="AF26" s="134"/>
      <c r="AG26" s="134"/>
      <c r="AP26" t="s">
        <v>831</v>
      </c>
      <c r="AQ26" t="s">
        <v>264</v>
      </c>
      <c r="AR26" t="s">
        <v>552</v>
      </c>
      <c r="AS26">
        <v>90</v>
      </c>
      <c r="AU26" t="s">
        <v>324</v>
      </c>
      <c r="AV26" t="s">
        <v>260</v>
      </c>
      <c r="AW26" t="s">
        <v>366</v>
      </c>
      <c r="AX26">
        <v>11</v>
      </c>
    </row>
    <row r="27" spans="1:50" ht="14.95" customHeight="1" thickBot="1" x14ac:dyDescent="0.3">
      <c r="A27" s="133" t="s">
        <v>156</v>
      </c>
      <c r="B27" s="117">
        <v>3</v>
      </c>
      <c r="C27" s="53">
        <v>0</v>
      </c>
      <c r="D27" s="361">
        <v>0</v>
      </c>
      <c r="E27" s="134">
        <f t="shared" si="0"/>
        <v>3</v>
      </c>
      <c r="F27" s="381" t="s">
        <v>156</v>
      </c>
      <c r="G27" s="118">
        <v>70</v>
      </c>
      <c r="H27" s="69">
        <v>25</v>
      </c>
      <c r="I27" s="375">
        <v>27</v>
      </c>
      <c r="J27" s="376">
        <f t="shared" si="1"/>
        <v>122</v>
      </c>
      <c r="K27" s="133" t="s">
        <v>156</v>
      </c>
      <c r="L27" s="134">
        <v>11</v>
      </c>
      <c r="M27" s="134">
        <v>12</v>
      </c>
      <c r="N27" s="135">
        <f>SUM(L27/M27)*100</f>
        <v>91.666666666666657</v>
      </c>
      <c r="O27" s="134">
        <v>0</v>
      </c>
      <c r="P27" s="134">
        <v>1</v>
      </c>
      <c r="Q27" s="135">
        <f>SUM(O27/P27)*100</f>
        <v>0</v>
      </c>
      <c r="R27" s="134">
        <v>0</v>
      </c>
      <c r="S27" s="134">
        <v>1</v>
      </c>
      <c r="T27" s="135">
        <f>SUM(R27/S27)*100</f>
        <v>0</v>
      </c>
      <c r="U27" s="136">
        <v>21</v>
      </c>
      <c r="V27" s="134">
        <v>25</v>
      </c>
      <c r="W27" s="135">
        <f>SUM(U27/V27)*100</f>
        <v>84</v>
      </c>
      <c r="AE27" s="136" t="s">
        <v>50</v>
      </c>
      <c r="AF27" s="134" t="s">
        <v>50</v>
      </c>
      <c r="AG27" s="134" t="s">
        <v>50</v>
      </c>
      <c r="AP27" t="s">
        <v>281</v>
      </c>
      <c r="AQ27" t="s">
        <v>264</v>
      </c>
      <c r="AR27" t="s">
        <v>329</v>
      </c>
      <c r="AS27">
        <v>80</v>
      </c>
      <c r="AU27" t="s">
        <v>834</v>
      </c>
      <c r="AV27" t="s">
        <v>259</v>
      </c>
      <c r="AW27" t="s">
        <v>285</v>
      </c>
      <c r="AX27">
        <v>11</v>
      </c>
    </row>
    <row r="28" spans="1:50" ht="14.95" customHeight="1" thickBot="1" x14ac:dyDescent="0.3">
      <c r="A28" s="133" t="s">
        <v>424</v>
      </c>
      <c r="B28" s="117">
        <v>7</v>
      </c>
      <c r="C28" s="53">
        <v>5</v>
      </c>
      <c r="D28" s="361">
        <v>0</v>
      </c>
      <c r="E28" s="134">
        <f t="shared" si="0"/>
        <v>12</v>
      </c>
      <c r="F28" s="381" t="s">
        <v>424</v>
      </c>
      <c r="G28" s="118">
        <v>35</v>
      </c>
      <c r="H28" s="69">
        <v>25</v>
      </c>
      <c r="I28" s="375">
        <v>0</v>
      </c>
      <c r="J28" s="376">
        <f t="shared" si="1"/>
        <v>60</v>
      </c>
      <c r="K28" s="133" t="s">
        <v>16</v>
      </c>
      <c r="L28" s="134" t="s">
        <v>50</v>
      </c>
      <c r="M28" s="134" t="s">
        <v>50</v>
      </c>
      <c r="N28" s="134" t="s">
        <v>50</v>
      </c>
      <c r="O28" s="134" t="s">
        <v>50</v>
      </c>
      <c r="P28" s="134" t="s">
        <v>50</v>
      </c>
      <c r="Q28" s="134" t="s">
        <v>50</v>
      </c>
      <c r="R28" s="134">
        <v>3</v>
      </c>
      <c r="S28" s="134">
        <v>4</v>
      </c>
      <c r="T28" s="135">
        <f>SUM(R28/S28)*100</f>
        <v>75</v>
      </c>
      <c r="U28" s="136">
        <v>27</v>
      </c>
      <c r="V28" s="134">
        <v>36</v>
      </c>
      <c r="W28" s="135">
        <f>SUM(U28/V28)*100</f>
        <v>75</v>
      </c>
      <c r="AE28" s="136">
        <v>22</v>
      </c>
      <c r="AF28" s="134">
        <v>28</v>
      </c>
      <c r="AG28" s="135">
        <f>SUM(AE28/AF28)*100</f>
        <v>78.571428571428569</v>
      </c>
      <c r="AP28" t="s">
        <v>531</v>
      </c>
      <c r="AQ28" t="s">
        <v>260</v>
      </c>
      <c r="AR28" t="s">
        <v>294</v>
      </c>
      <c r="AS28">
        <v>79</v>
      </c>
      <c r="AU28" t="s">
        <v>839</v>
      </c>
      <c r="AV28" t="s">
        <v>277</v>
      </c>
      <c r="AW28" t="s">
        <v>305</v>
      </c>
      <c r="AX28">
        <v>11</v>
      </c>
    </row>
    <row r="29" spans="1:50" ht="14.95" customHeight="1" thickBot="1" x14ac:dyDescent="0.3">
      <c r="A29" s="133" t="s">
        <v>947</v>
      </c>
      <c r="B29" s="117">
        <v>1</v>
      </c>
      <c r="C29" s="53">
        <v>0</v>
      </c>
      <c r="D29" s="361">
        <v>2</v>
      </c>
      <c r="E29" s="134">
        <f t="shared" si="0"/>
        <v>3</v>
      </c>
      <c r="F29" s="381" t="s">
        <v>947</v>
      </c>
      <c r="G29" s="118">
        <v>7</v>
      </c>
      <c r="H29" s="69">
        <v>0</v>
      </c>
      <c r="I29" s="375">
        <v>41</v>
      </c>
      <c r="J29" s="376">
        <f t="shared" si="1"/>
        <v>48</v>
      </c>
      <c r="AP29" t="s">
        <v>280</v>
      </c>
      <c r="AQ29" t="s">
        <v>271</v>
      </c>
      <c r="AR29" t="s">
        <v>289</v>
      </c>
      <c r="AS29">
        <v>71</v>
      </c>
      <c r="AU29" t="s">
        <v>578</v>
      </c>
      <c r="AV29" t="s">
        <v>264</v>
      </c>
      <c r="AW29" t="s">
        <v>482</v>
      </c>
      <c r="AX29">
        <v>11</v>
      </c>
    </row>
    <row r="30" spans="1:50" ht="14.95" customHeight="1" thickBot="1" x14ac:dyDescent="0.3">
      <c r="A30" s="133" t="s">
        <v>1852</v>
      </c>
      <c r="B30" s="117">
        <v>2</v>
      </c>
      <c r="C30" s="53">
        <v>0</v>
      </c>
      <c r="D30" s="361">
        <v>0</v>
      </c>
      <c r="E30" s="134">
        <f t="shared" si="0"/>
        <v>2</v>
      </c>
      <c r="F30" s="381" t="s">
        <v>1852</v>
      </c>
      <c r="G30" s="118">
        <v>10</v>
      </c>
      <c r="H30" s="69">
        <v>0</v>
      </c>
      <c r="I30" s="375">
        <v>0</v>
      </c>
      <c r="J30" s="376">
        <f t="shared" si="1"/>
        <v>10</v>
      </c>
      <c r="K30" s="546" t="s">
        <v>181</v>
      </c>
      <c r="L30" s="457" t="s">
        <v>254</v>
      </c>
      <c r="M30" s="458"/>
      <c r="N30" s="459"/>
      <c r="O30" s="457" t="s">
        <v>186</v>
      </c>
      <c r="P30" s="458"/>
      <c r="Q30" s="459"/>
      <c r="AP30" t="s">
        <v>832</v>
      </c>
      <c r="AQ30" t="s">
        <v>276</v>
      </c>
      <c r="AR30" t="s">
        <v>360</v>
      </c>
      <c r="AS30">
        <v>70</v>
      </c>
      <c r="AU30" t="s">
        <v>840</v>
      </c>
      <c r="AV30" t="s">
        <v>276</v>
      </c>
      <c r="AW30" t="s">
        <v>584</v>
      </c>
      <c r="AX30">
        <v>11</v>
      </c>
    </row>
    <row r="31" spans="1:50" ht="14.95" customHeight="1" thickBot="1" x14ac:dyDescent="0.3">
      <c r="A31" s="133" t="s">
        <v>7</v>
      </c>
      <c r="B31" s="117">
        <v>1</v>
      </c>
      <c r="C31" s="53">
        <v>0</v>
      </c>
      <c r="D31" s="361">
        <v>0</v>
      </c>
      <c r="E31" s="134">
        <f t="shared" si="0"/>
        <v>1</v>
      </c>
      <c r="F31" s="381" t="s">
        <v>7</v>
      </c>
      <c r="G31" s="118">
        <v>7</v>
      </c>
      <c r="H31" s="69">
        <v>0</v>
      </c>
      <c r="I31" s="375">
        <v>0</v>
      </c>
      <c r="J31" s="376">
        <f t="shared" si="1"/>
        <v>7</v>
      </c>
      <c r="K31" s="547"/>
      <c r="L31" s="460"/>
      <c r="M31" s="461"/>
      <c r="N31" s="462"/>
      <c r="O31" s="460"/>
      <c r="P31" s="461"/>
      <c r="Q31" s="462"/>
      <c r="AP31" t="s">
        <v>833</v>
      </c>
      <c r="AQ31" t="s">
        <v>260</v>
      </c>
      <c r="AR31" t="s">
        <v>553</v>
      </c>
      <c r="AS31">
        <v>66</v>
      </c>
      <c r="AU31" t="s">
        <v>841</v>
      </c>
      <c r="AV31" t="s">
        <v>264</v>
      </c>
      <c r="AW31" t="s">
        <v>329</v>
      </c>
      <c r="AX31">
        <v>11</v>
      </c>
    </row>
    <row r="32" spans="1:50" ht="14.95" customHeight="1" thickBot="1" x14ac:dyDescent="0.3">
      <c r="A32" s="133" t="s">
        <v>1049</v>
      </c>
      <c r="B32" s="117">
        <v>0</v>
      </c>
      <c r="C32" s="53">
        <v>0</v>
      </c>
      <c r="D32" s="361">
        <v>0</v>
      </c>
      <c r="E32" s="134">
        <f t="shared" si="0"/>
        <v>0</v>
      </c>
      <c r="F32" s="381" t="s">
        <v>1049</v>
      </c>
      <c r="G32" s="118">
        <v>0</v>
      </c>
      <c r="H32" s="69">
        <v>0</v>
      </c>
      <c r="I32" s="375">
        <v>0</v>
      </c>
      <c r="J32" s="376">
        <f t="shared" si="1"/>
        <v>0</v>
      </c>
      <c r="K32" s="40" t="s">
        <v>87</v>
      </c>
      <c r="L32" s="119" t="s">
        <v>243</v>
      </c>
      <c r="M32" s="119" t="s">
        <v>42</v>
      </c>
      <c r="N32" s="119" t="s">
        <v>43</v>
      </c>
      <c r="O32" s="119" t="s">
        <v>243</v>
      </c>
      <c r="P32" s="119" t="s">
        <v>42</v>
      </c>
      <c r="Q32" s="119" t="s">
        <v>43</v>
      </c>
      <c r="AP32" t="s">
        <v>549</v>
      </c>
      <c r="AQ32" t="s">
        <v>276</v>
      </c>
      <c r="AR32" t="s">
        <v>477</v>
      </c>
      <c r="AS32">
        <v>65</v>
      </c>
      <c r="AU32" t="s">
        <v>843</v>
      </c>
      <c r="AV32" t="s">
        <v>262</v>
      </c>
      <c r="AW32" t="s">
        <v>319</v>
      </c>
      <c r="AX32">
        <v>10</v>
      </c>
    </row>
    <row r="33" spans="1:50" ht="14.95" customHeight="1" thickBot="1" x14ac:dyDescent="0.3">
      <c r="A33" s="133" t="s">
        <v>215</v>
      </c>
      <c r="B33" s="117">
        <v>2</v>
      </c>
      <c r="C33" s="53">
        <v>2</v>
      </c>
      <c r="D33" s="361">
        <v>0</v>
      </c>
      <c r="E33" s="134">
        <f t="shared" si="0"/>
        <v>4</v>
      </c>
      <c r="F33" s="381" t="s">
        <v>215</v>
      </c>
      <c r="G33" s="118">
        <v>10</v>
      </c>
      <c r="H33" s="69">
        <v>10</v>
      </c>
      <c r="I33" s="375">
        <v>0</v>
      </c>
      <c r="J33" s="376">
        <f t="shared" si="1"/>
        <v>20</v>
      </c>
      <c r="K33" s="133" t="s">
        <v>16</v>
      </c>
      <c r="L33" s="134">
        <v>1</v>
      </c>
      <c r="M33" s="134">
        <v>1</v>
      </c>
      <c r="N33" s="135">
        <f>SUM(L33/M33)*100</f>
        <v>100</v>
      </c>
      <c r="O33" s="134" t="s">
        <v>50</v>
      </c>
      <c r="P33" s="134" t="s">
        <v>50</v>
      </c>
      <c r="Q33" s="134" t="s">
        <v>50</v>
      </c>
      <c r="AP33" t="s">
        <v>834</v>
      </c>
      <c r="AQ33" t="s">
        <v>259</v>
      </c>
      <c r="AR33" t="s">
        <v>285</v>
      </c>
      <c r="AS33">
        <v>64</v>
      </c>
      <c r="AU33" t="s">
        <v>595</v>
      </c>
      <c r="AV33" t="s">
        <v>271</v>
      </c>
      <c r="AW33" t="s">
        <v>654</v>
      </c>
      <c r="AX33">
        <v>10</v>
      </c>
    </row>
    <row r="34" spans="1:50" ht="14.95" customHeight="1" thickBot="1" x14ac:dyDescent="0.3">
      <c r="A34" s="133" t="s">
        <v>1048</v>
      </c>
      <c r="B34" s="117">
        <v>0</v>
      </c>
      <c r="C34" s="53">
        <v>0</v>
      </c>
      <c r="D34" s="361">
        <v>2</v>
      </c>
      <c r="E34" s="134">
        <f t="shared" si="0"/>
        <v>2</v>
      </c>
      <c r="F34" s="381" t="s">
        <v>1048</v>
      </c>
      <c r="G34" s="118">
        <v>0</v>
      </c>
      <c r="H34" s="69">
        <v>0</v>
      </c>
      <c r="I34" s="375">
        <v>10</v>
      </c>
      <c r="J34" s="376">
        <f t="shared" si="1"/>
        <v>10</v>
      </c>
      <c r="AP34" t="s">
        <v>835</v>
      </c>
      <c r="AQ34" t="s">
        <v>263</v>
      </c>
      <c r="AR34" t="s">
        <v>565</v>
      </c>
      <c r="AS34">
        <v>63</v>
      </c>
      <c r="AU34" t="s">
        <v>513</v>
      </c>
      <c r="AV34" t="s">
        <v>278</v>
      </c>
      <c r="AW34" t="s">
        <v>360</v>
      </c>
      <c r="AX34">
        <v>10</v>
      </c>
    </row>
    <row r="35" spans="1:50" ht="14.95" customHeight="1" thickBot="1" x14ac:dyDescent="0.3">
      <c r="A35" s="133" t="s">
        <v>973</v>
      </c>
      <c r="B35" s="117">
        <v>3</v>
      </c>
      <c r="C35" s="53">
        <v>1</v>
      </c>
      <c r="D35" s="361">
        <v>1</v>
      </c>
      <c r="E35" s="134">
        <f t="shared" si="0"/>
        <v>5</v>
      </c>
      <c r="F35" s="381" t="s">
        <v>973</v>
      </c>
      <c r="G35" s="118">
        <v>15</v>
      </c>
      <c r="H35" s="69">
        <v>5</v>
      </c>
      <c r="I35" s="375">
        <v>5</v>
      </c>
      <c r="J35" s="376">
        <f t="shared" si="1"/>
        <v>25</v>
      </c>
      <c r="AP35" t="s">
        <v>836</v>
      </c>
      <c r="AQ35" t="s">
        <v>268</v>
      </c>
      <c r="AR35" t="s">
        <v>364</v>
      </c>
      <c r="AS35">
        <v>60</v>
      </c>
      <c r="AU35" t="s">
        <v>822</v>
      </c>
      <c r="AV35" t="s">
        <v>271</v>
      </c>
      <c r="AW35" t="s">
        <v>329</v>
      </c>
      <c r="AX35">
        <v>10</v>
      </c>
    </row>
    <row r="36" spans="1:50" ht="14.95" customHeight="1" thickBot="1" x14ac:dyDescent="0.3">
      <c r="A36" s="133" t="s">
        <v>16</v>
      </c>
      <c r="B36" s="117">
        <v>7</v>
      </c>
      <c r="C36" s="53">
        <v>3</v>
      </c>
      <c r="D36" s="361">
        <v>0</v>
      </c>
      <c r="E36" s="134">
        <f t="shared" si="0"/>
        <v>10</v>
      </c>
      <c r="F36" s="381" t="s">
        <v>16</v>
      </c>
      <c r="G36" s="118">
        <v>67</v>
      </c>
      <c r="H36" s="69">
        <v>24</v>
      </c>
      <c r="I36" s="375">
        <v>0</v>
      </c>
      <c r="J36" s="376">
        <f t="shared" si="1"/>
        <v>91</v>
      </c>
      <c r="AP36" t="s">
        <v>588</v>
      </c>
      <c r="AR36" t="s">
        <v>585</v>
      </c>
      <c r="AS36">
        <v>60</v>
      </c>
      <c r="AU36" t="s">
        <v>844</v>
      </c>
      <c r="AV36" t="s">
        <v>268</v>
      </c>
      <c r="AW36" t="s">
        <v>305</v>
      </c>
      <c r="AX36">
        <v>10</v>
      </c>
    </row>
    <row r="37" spans="1:50" ht="14.95" customHeight="1" thickBot="1" x14ac:dyDescent="0.3">
      <c r="A37" s="133" t="s">
        <v>172</v>
      </c>
      <c r="B37" s="117">
        <v>0</v>
      </c>
      <c r="C37" s="53">
        <v>0</v>
      </c>
      <c r="D37" s="361">
        <v>0</v>
      </c>
      <c r="E37" s="134">
        <f t="shared" si="0"/>
        <v>0</v>
      </c>
      <c r="F37" s="381" t="s">
        <v>172</v>
      </c>
      <c r="G37" s="118">
        <v>0</v>
      </c>
      <c r="H37" s="69">
        <v>0</v>
      </c>
      <c r="I37" s="375">
        <v>0</v>
      </c>
      <c r="J37" s="376">
        <f t="shared" si="1"/>
        <v>0</v>
      </c>
      <c r="AP37" t="s">
        <v>380</v>
      </c>
      <c r="AQ37" t="s">
        <v>262</v>
      </c>
      <c r="AR37" t="s">
        <v>360</v>
      </c>
      <c r="AS37">
        <v>60</v>
      </c>
      <c r="AU37" t="s">
        <v>853</v>
      </c>
      <c r="AV37" t="s">
        <v>283</v>
      </c>
      <c r="AW37" t="s">
        <v>366</v>
      </c>
      <c r="AX37">
        <v>9</v>
      </c>
    </row>
    <row r="38" spans="1:50" ht="14.95" customHeight="1" thickBot="1" x14ac:dyDescent="0.3">
      <c r="A38" s="133" t="s">
        <v>1267</v>
      </c>
      <c r="B38" s="117">
        <v>6</v>
      </c>
      <c r="C38" s="53">
        <v>2</v>
      </c>
      <c r="D38" s="361">
        <v>0</v>
      </c>
      <c r="E38" s="134">
        <f t="shared" si="0"/>
        <v>8</v>
      </c>
      <c r="F38" s="373" t="s">
        <v>1267</v>
      </c>
      <c r="G38" s="118">
        <v>30</v>
      </c>
      <c r="H38" s="69">
        <v>10</v>
      </c>
      <c r="I38" s="375">
        <v>0</v>
      </c>
      <c r="J38" s="376">
        <f t="shared" si="1"/>
        <v>40</v>
      </c>
      <c r="AP38" t="s">
        <v>614</v>
      </c>
      <c r="AQ38" t="s">
        <v>259</v>
      </c>
      <c r="AR38" t="s">
        <v>436</v>
      </c>
      <c r="AS38">
        <v>58</v>
      </c>
      <c r="AU38" t="s">
        <v>854</v>
      </c>
      <c r="AV38" t="s">
        <v>274</v>
      </c>
      <c r="AW38" t="s">
        <v>351</v>
      </c>
      <c r="AX38">
        <v>9</v>
      </c>
    </row>
    <row r="39" spans="1:50" ht="14.95" customHeight="1" thickBot="1" x14ac:dyDescent="0.3">
      <c r="A39" s="133" t="s">
        <v>208</v>
      </c>
      <c r="B39" s="117">
        <v>0</v>
      </c>
      <c r="C39" s="53">
        <v>0</v>
      </c>
      <c r="D39" s="361">
        <v>0</v>
      </c>
      <c r="E39" s="134">
        <f t="shared" si="0"/>
        <v>0</v>
      </c>
      <c r="F39" s="373" t="s">
        <v>208</v>
      </c>
      <c r="G39" s="118">
        <v>0</v>
      </c>
      <c r="H39" s="69">
        <v>0</v>
      </c>
      <c r="I39" s="375">
        <v>0</v>
      </c>
      <c r="J39" s="376">
        <f t="shared" si="1"/>
        <v>0</v>
      </c>
      <c r="AP39" t="s">
        <v>837</v>
      </c>
      <c r="AQ39" t="s">
        <v>296</v>
      </c>
      <c r="AR39" t="s">
        <v>555</v>
      </c>
      <c r="AS39">
        <v>58</v>
      </c>
      <c r="AU39" t="s">
        <v>518</v>
      </c>
      <c r="AV39" t="s">
        <v>284</v>
      </c>
      <c r="AW39" t="s">
        <v>448</v>
      </c>
      <c r="AX39">
        <v>9</v>
      </c>
    </row>
    <row r="40" spans="1:50" ht="14.95" customHeight="1" thickBot="1" x14ac:dyDescent="0.3">
      <c r="A40" s="133" t="s">
        <v>209</v>
      </c>
      <c r="B40" s="117">
        <v>0</v>
      </c>
      <c r="C40" s="53">
        <v>0</v>
      </c>
      <c r="D40" s="361">
        <v>0</v>
      </c>
      <c r="E40" s="134">
        <f t="shared" si="0"/>
        <v>0</v>
      </c>
      <c r="F40" s="373" t="s">
        <v>209</v>
      </c>
      <c r="G40" s="118">
        <v>0</v>
      </c>
      <c r="H40" s="69">
        <v>0</v>
      </c>
      <c r="I40" s="375">
        <v>0</v>
      </c>
      <c r="J40" s="376">
        <f t="shared" si="1"/>
        <v>0</v>
      </c>
      <c r="AP40" t="s">
        <v>838</v>
      </c>
      <c r="AQ40" t="s">
        <v>284</v>
      </c>
      <c r="AR40" t="s">
        <v>458</v>
      </c>
      <c r="AS40">
        <v>55</v>
      </c>
      <c r="AU40" t="s">
        <v>847</v>
      </c>
      <c r="AV40" t="s">
        <v>283</v>
      </c>
      <c r="AW40" t="s">
        <v>350</v>
      </c>
      <c r="AX40">
        <v>9</v>
      </c>
    </row>
    <row r="41" spans="1:50" ht="14.95" customHeight="1" thickBot="1" x14ac:dyDescent="0.3">
      <c r="A41" s="133" t="s">
        <v>1730</v>
      </c>
      <c r="B41" s="117">
        <v>0</v>
      </c>
      <c r="C41" s="53">
        <v>0</v>
      </c>
      <c r="D41" s="361">
        <v>0</v>
      </c>
      <c r="E41" s="134">
        <f t="shared" si="0"/>
        <v>0</v>
      </c>
      <c r="F41" s="373" t="s">
        <v>1730</v>
      </c>
      <c r="G41" s="118">
        <v>0</v>
      </c>
      <c r="H41" s="69">
        <v>0</v>
      </c>
      <c r="I41" s="375">
        <v>0</v>
      </c>
      <c r="J41" s="376">
        <f t="shared" si="1"/>
        <v>0</v>
      </c>
      <c r="AP41" t="s">
        <v>527</v>
      </c>
      <c r="AQ41" t="s">
        <v>262</v>
      </c>
      <c r="AR41" t="s">
        <v>438</v>
      </c>
      <c r="AS41">
        <v>55</v>
      </c>
      <c r="AU41" t="s">
        <v>380</v>
      </c>
      <c r="AV41" t="s">
        <v>262</v>
      </c>
      <c r="AW41" t="s">
        <v>360</v>
      </c>
      <c r="AX41">
        <v>9</v>
      </c>
    </row>
    <row r="42" spans="1:50" ht="14.95" customHeight="1" thickBot="1" x14ac:dyDescent="0.3">
      <c r="A42" s="133" t="s">
        <v>974</v>
      </c>
      <c r="B42" s="117">
        <v>1</v>
      </c>
      <c r="C42" s="53">
        <v>0</v>
      </c>
      <c r="D42" s="361">
        <v>0</v>
      </c>
      <c r="E42" s="134">
        <f t="shared" si="0"/>
        <v>1</v>
      </c>
      <c r="F42" s="373" t="s">
        <v>974</v>
      </c>
      <c r="G42" s="118">
        <v>5</v>
      </c>
      <c r="H42" s="69">
        <v>0</v>
      </c>
      <c r="I42" s="375">
        <v>0</v>
      </c>
      <c r="J42" s="376">
        <f t="shared" si="1"/>
        <v>5</v>
      </c>
      <c r="AP42" t="s">
        <v>839</v>
      </c>
      <c r="AQ42" t="s">
        <v>277</v>
      </c>
      <c r="AR42" t="s">
        <v>305</v>
      </c>
      <c r="AS42">
        <v>55</v>
      </c>
      <c r="AU42" t="s">
        <v>472</v>
      </c>
      <c r="AV42" t="s">
        <v>278</v>
      </c>
      <c r="AW42" t="s">
        <v>312</v>
      </c>
      <c r="AX42">
        <v>8</v>
      </c>
    </row>
    <row r="43" spans="1:50" ht="14.95" customHeight="1" thickBot="1" x14ac:dyDescent="0.3">
      <c r="A43" s="133" t="s">
        <v>76</v>
      </c>
      <c r="B43" s="117">
        <v>11</v>
      </c>
      <c r="C43" s="53">
        <v>3</v>
      </c>
      <c r="D43" s="361">
        <v>0</v>
      </c>
      <c r="E43" s="134">
        <f t="shared" si="0"/>
        <v>14</v>
      </c>
      <c r="F43" s="373" t="s">
        <v>76</v>
      </c>
      <c r="G43" s="118">
        <v>55</v>
      </c>
      <c r="H43" s="69">
        <v>15</v>
      </c>
      <c r="I43" s="375">
        <v>0</v>
      </c>
      <c r="J43" s="376">
        <f t="shared" si="1"/>
        <v>70</v>
      </c>
      <c r="AP43" t="s">
        <v>578</v>
      </c>
      <c r="AQ43" t="s">
        <v>264</v>
      </c>
      <c r="AR43" t="s">
        <v>482</v>
      </c>
      <c r="AS43">
        <v>55</v>
      </c>
      <c r="AU43" t="s">
        <v>623</v>
      </c>
      <c r="AV43" t="s">
        <v>268</v>
      </c>
      <c r="AW43" t="s">
        <v>360</v>
      </c>
      <c r="AX43">
        <v>8</v>
      </c>
    </row>
    <row r="44" spans="1:50" ht="14.95" customHeight="1" thickBot="1" x14ac:dyDescent="0.3">
      <c r="A44" s="133" t="s">
        <v>1041</v>
      </c>
      <c r="B44" s="117">
        <v>0</v>
      </c>
      <c r="C44" s="53">
        <v>0</v>
      </c>
      <c r="D44" s="361">
        <v>3</v>
      </c>
      <c r="E44" s="134">
        <f t="shared" si="0"/>
        <v>3</v>
      </c>
      <c r="F44" s="373" t="s">
        <v>1041</v>
      </c>
      <c r="G44" s="118">
        <v>0</v>
      </c>
      <c r="H44" s="69">
        <v>0</v>
      </c>
      <c r="I44" s="375">
        <v>15</v>
      </c>
      <c r="J44" s="376">
        <f t="shared" si="1"/>
        <v>15</v>
      </c>
      <c r="AP44" t="s">
        <v>840</v>
      </c>
      <c r="AQ44" t="s">
        <v>276</v>
      </c>
      <c r="AR44" t="s">
        <v>584</v>
      </c>
      <c r="AS44">
        <v>55</v>
      </c>
      <c r="AU44" t="s">
        <v>848</v>
      </c>
      <c r="AW44" t="s">
        <v>366</v>
      </c>
      <c r="AX44">
        <v>8</v>
      </c>
    </row>
    <row r="45" spans="1:50" ht="14.95" customHeight="1" thickBot="1" x14ac:dyDescent="0.3">
      <c r="A45" s="133" t="s">
        <v>51</v>
      </c>
      <c r="B45" s="117">
        <v>3</v>
      </c>
      <c r="C45" s="53">
        <v>3</v>
      </c>
      <c r="D45" s="361">
        <v>0</v>
      </c>
      <c r="E45" s="134">
        <f t="shared" si="0"/>
        <v>6</v>
      </c>
      <c r="F45" s="373" t="s">
        <v>51</v>
      </c>
      <c r="G45" s="118">
        <v>15</v>
      </c>
      <c r="H45" s="69">
        <v>15</v>
      </c>
      <c r="I45" s="375">
        <v>0</v>
      </c>
      <c r="J45" s="376">
        <f t="shared" si="1"/>
        <v>30</v>
      </c>
      <c r="AP45" t="s">
        <v>841</v>
      </c>
      <c r="AQ45" t="s">
        <v>264</v>
      </c>
      <c r="AR45" t="s">
        <v>329</v>
      </c>
      <c r="AS45">
        <v>55</v>
      </c>
      <c r="AU45" t="s">
        <v>849</v>
      </c>
      <c r="AV45" t="s">
        <v>271</v>
      </c>
      <c r="AW45" t="s">
        <v>294</v>
      </c>
      <c r="AX45">
        <v>8</v>
      </c>
    </row>
    <row r="46" spans="1:50" ht="14.95" thickBot="1" x14ac:dyDescent="0.3">
      <c r="A46" s="133" t="s">
        <v>52</v>
      </c>
      <c r="B46" s="117">
        <v>1</v>
      </c>
      <c r="C46" s="53">
        <v>0</v>
      </c>
      <c r="D46" s="361">
        <v>0</v>
      </c>
      <c r="E46" s="134">
        <f t="shared" si="0"/>
        <v>1</v>
      </c>
      <c r="F46" s="373" t="s">
        <v>52</v>
      </c>
      <c r="G46" s="118">
        <v>5</v>
      </c>
      <c r="H46" s="69">
        <v>0</v>
      </c>
      <c r="I46" s="375">
        <v>0</v>
      </c>
      <c r="J46" s="376">
        <f t="shared" si="1"/>
        <v>5</v>
      </c>
      <c r="AP46" t="s">
        <v>842</v>
      </c>
      <c r="AQ46" t="s">
        <v>260</v>
      </c>
      <c r="AR46" t="s">
        <v>309</v>
      </c>
      <c r="AS46">
        <v>53</v>
      </c>
      <c r="AU46" t="s">
        <v>528</v>
      </c>
      <c r="AV46" t="s">
        <v>278</v>
      </c>
      <c r="AW46" t="s">
        <v>305</v>
      </c>
      <c r="AX46">
        <v>7</v>
      </c>
    </row>
    <row r="47" spans="1:50" ht="14.95" thickBot="1" x14ac:dyDescent="0.3">
      <c r="A47" s="133" t="s">
        <v>935</v>
      </c>
      <c r="B47" s="117">
        <v>1</v>
      </c>
      <c r="C47" s="53">
        <v>0</v>
      </c>
      <c r="D47" s="361">
        <v>1</v>
      </c>
      <c r="E47" s="134">
        <f t="shared" si="0"/>
        <v>2</v>
      </c>
      <c r="F47" s="373" t="s">
        <v>935</v>
      </c>
      <c r="G47" s="118">
        <v>31</v>
      </c>
      <c r="H47" s="69">
        <v>0</v>
      </c>
      <c r="I47" s="375">
        <v>9</v>
      </c>
      <c r="J47" s="376">
        <f t="shared" si="1"/>
        <v>40</v>
      </c>
      <c r="AP47" t="s">
        <v>843</v>
      </c>
      <c r="AQ47" t="s">
        <v>262</v>
      </c>
      <c r="AR47" t="s">
        <v>319</v>
      </c>
      <c r="AS47">
        <v>50</v>
      </c>
      <c r="AU47" t="s">
        <v>850</v>
      </c>
      <c r="AV47" t="s">
        <v>276</v>
      </c>
      <c r="AW47" t="s">
        <v>851</v>
      </c>
      <c r="AX47">
        <v>7</v>
      </c>
    </row>
    <row r="48" spans="1:50" ht="14.95" customHeight="1" thickBot="1" x14ac:dyDescent="0.3">
      <c r="A48" s="133" t="s">
        <v>98</v>
      </c>
      <c r="B48" s="117">
        <v>1</v>
      </c>
      <c r="C48" s="53">
        <v>1</v>
      </c>
      <c r="D48" s="361">
        <v>0</v>
      </c>
      <c r="E48" s="134">
        <f t="shared" si="0"/>
        <v>2</v>
      </c>
      <c r="F48" s="373" t="s">
        <v>98</v>
      </c>
      <c r="G48" s="118">
        <v>5</v>
      </c>
      <c r="H48" s="69">
        <v>5</v>
      </c>
      <c r="I48" s="375">
        <v>0</v>
      </c>
      <c r="J48" s="376">
        <f t="shared" si="1"/>
        <v>10</v>
      </c>
      <c r="AP48" t="s">
        <v>595</v>
      </c>
      <c r="AQ48" t="s">
        <v>271</v>
      </c>
      <c r="AR48" t="s">
        <v>654</v>
      </c>
      <c r="AS48">
        <v>50</v>
      </c>
      <c r="AU48" t="s">
        <v>852</v>
      </c>
      <c r="AV48" t="s">
        <v>272</v>
      </c>
      <c r="AW48" t="s">
        <v>298</v>
      </c>
      <c r="AX48">
        <v>7</v>
      </c>
    </row>
    <row r="49" spans="1:50" ht="14.95" customHeight="1" thickBot="1" x14ac:dyDescent="0.3">
      <c r="A49" s="133" t="s">
        <v>9</v>
      </c>
      <c r="B49" s="117">
        <v>9</v>
      </c>
      <c r="C49" s="53">
        <v>2</v>
      </c>
      <c r="D49" s="361">
        <v>0</v>
      </c>
      <c r="E49" s="134">
        <f t="shared" si="0"/>
        <v>11</v>
      </c>
      <c r="F49" s="373" t="s">
        <v>9</v>
      </c>
      <c r="G49" s="118">
        <v>45</v>
      </c>
      <c r="H49" s="69">
        <v>10</v>
      </c>
      <c r="I49" s="375">
        <v>0</v>
      </c>
      <c r="J49" s="376">
        <f t="shared" si="1"/>
        <v>55</v>
      </c>
      <c r="AP49" t="s">
        <v>513</v>
      </c>
      <c r="AQ49" t="s">
        <v>278</v>
      </c>
      <c r="AR49" t="s">
        <v>360</v>
      </c>
      <c r="AS49">
        <v>50</v>
      </c>
      <c r="AU49" t="s">
        <v>580</v>
      </c>
      <c r="AV49" t="s">
        <v>283</v>
      </c>
      <c r="AW49" t="s">
        <v>565</v>
      </c>
      <c r="AX49">
        <v>7</v>
      </c>
    </row>
    <row r="50" spans="1:50" ht="14.95" thickBot="1" x14ac:dyDescent="0.3">
      <c r="A50" s="133" t="s">
        <v>430</v>
      </c>
      <c r="B50" s="117">
        <v>2</v>
      </c>
      <c r="C50" s="53">
        <v>0</v>
      </c>
      <c r="D50" s="361">
        <v>0</v>
      </c>
      <c r="E50" s="134">
        <f t="shared" si="0"/>
        <v>2</v>
      </c>
      <c r="F50" s="373" t="s">
        <v>430</v>
      </c>
      <c r="G50" s="118">
        <v>10</v>
      </c>
      <c r="H50" s="69">
        <v>0</v>
      </c>
      <c r="I50" s="375">
        <v>0</v>
      </c>
      <c r="J50" s="376">
        <f t="shared" si="1"/>
        <v>10</v>
      </c>
      <c r="AP50" t="s">
        <v>844</v>
      </c>
      <c r="AQ50" t="s">
        <v>268</v>
      </c>
      <c r="AR50" t="s">
        <v>305</v>
      </c>
      <c r="AS50">
        <v>50</v>
      </c>
    </row>
    <row r="51" spans="1:50" ht="14.95" thickBot="1" x14ac:dyDescent="0.3">
      <c r="A51" s="133" t="s">
        <v>84</v>
      </c>
      <c r="B51" s="117">
        <v>1</v>
      </c>
      <c r="C51" s="53">
        <v>1</v>
      </c>
      <c r="D51" s="361">
        <v>0</v>
      </c>
      <c r="E51" s="134">
        <f t="shared" si="0"/>
        <v>2</v>
      </c>
      <c r="F51" s="373" t="s">
        <v>84</v>
      </c>
      <c r="G51" s="118">
        <v>5</v>
      </c>
      <c r="H51" s="69">
        <v>5</v>
      </c>
      <c r="I51" s="375">
        <v>0</v>
      </c>
      <c r="J51" s="376">
        <f t="shared" si="1"/>
        <v>10</v>
      </c>
    </row>
    <row r="52" spans="1:50" ht="14.95" thickBot="1" x14ac:dyDescent="0.3">
      <c r="A52" s="133" t="s">
        <v>3</v>
      </c>
      <c r="B52" s="117">
        <f>SUM(B3:B51)</f>
        <v>88</v>
      </c>
      <c r="C52" s="53">
        <f t="shared" ref="C52:E52" si="4">SUM(C3:C51)</f>
        <v>34</v>
      </c>
      <c r="D52" s="361">
        <f t="shared" si="4"/>
        <v>19</v>
      </c>
      <c r="E52" s="134">
        <f t="shared" si="4"/>
        <v>141</v>
      </c>
      <c r="F52" s="373" t="s">
        <v>3</v>
      </c>
      <c r="G52" s="118">
        <f t="shared" ref="G52:J52" si="5">SUM(G3:G51)</f>
        <v>725</v>
      </c>
      <c r="H52" s="69">
        <f t="shared" si="5"/>
        <v>293</v>
      </c>
      <c r="I52" s="375">
        <f t="shared" si="5"/>
        <v>157</v>
      </c>
      <c r="J52" s="376">
        <f t="shared" si="5"/>
        <v>1175</v>
      </c>
    </row>
    <row r="53" spans="1:50" ht="16.3" x14ac:dyDescent="0.25">
      <c r="A53" s="108" t="s">
        <v>87</v>
      </c>
      <c r="B53" s="303"/>
      <c r="C53" s="110"/>
      <c r="D53" s="110"/>
      <c r="E53" s="97"/>
      <c r="F53" s="44"/>
      <c r="G53" s="307"/>
      <c r="H53" s="46"/>
      <c r="I53" s="46"/>
      <c r="J53" s="44"/>
    </row>
    <row r="54" spans="1:50" ht="14.95" thickBot="1" x14ac:dyDescent="0.3">
      <c r="A54" s="109" t="s">
        <v>45</v>
      </c>
      <c r="B54" s="303"/>
      <c r="C54" s="110"/>
      <c r="D54" s="110"/>
      <c r="E54" s="97"/>
      <c r="F54" s="46"/>
      <c r="G54" s="303"/>
      <c r="H54" s="46"/>
      <c r="I54" s="46"/>
      <c r="J54" s="46"/>
    </row>
    <row r="55" spans="1:50" ht="14.95" thickBot="1" x14ac:dyDescent="0.3">
      <c r="A55" s="137" t="s">
        <v>0</v>
      </c>
      <c r="B55" s="217" t="s">
        <v>1072</v>
      </c>
      <c r="C55" s="196" t="s">
        <v>123</v>
      </c>
      <c r="D55" s="360" t="s">
        <v>1073</v>
      </c>
      <c r="E55" s="211" t="s">
        <v>1</v>
      </c>
      <c r="F55" s="377" t="s">
        <v>2</v>
      </c>
      <c r="G55" s="205" t="s">
        <v>1072</v>
      </c>
      <c r="H55" s="210" t="s">
        <v>123</v>
      </c>
      <c r="I55" s="379" t="s">
        <v>1073</v>
      </c>
      <c r="J55" s="380" t="s">
        <v>1</v>
      </c>
    </row>
    <row r="56" spans="1:50" ht="14.95" thickBot="1" x14ac:dyDescent="0.3">
      <c r="A56" s="133" t="s">
        <v>76</v>
      </c>
      <c r="B56" s="117">
        <v>11</v>
      </c>
      <c r="C56" s="53">
        <v>3</v>
      </c>
      <c r="D56" s="361">
        <v>0</v>
      </c>
      <c r="E56" s="134">
        <f t="shared" ref="E56:E87" si="6">SUM(B56:D56)</f>
        <v>14</v>
      </c>
      <c r="F56" s="373" t="s">
        <v>11</v>
      </c>
      <c r="G56" s="118">
        <v>143</v>
      </c>
      <c r="H56" s="69">
        <v>89</v>
      </c>
      <c r="I56" s="375">
        <v>0</v>
      </c>
      <c r="J56" s="376">
        <f t="shared" ref="J56:J87" si="7">SUM(G56:I56)</f>
        <v>232</v>
      </c>
    </row>
    <row r="57" spans="1:50" ht="14.95" thickBot="1" x14ac:dyDescent="0.3">
      <c r="A57" s="133" t="s">
        <v>424</v>
      </c>
      <c r="B57" s="117">
        <v>7</v>
      </c>
      <c r="C57" s="53">
        <v>5</v>
      </c>
      <c r="D57" s="361">
        <v>0</v>
      </c>
      <c r="E57" s="134">
        <f t="shared" si="6"/>
        <v>12</v>
      </c>
      <c r="F57" s="381" t="s">
        <v>156</v>
      </c>
      <c r="G57" s="118">
        <v>70</v>
      </c>
      <c r="H57" s="69">
        <v>25</v>
      </c>
      <c r="I57" s="375">
        <v>27</v>
      </c>
      <c r="J57" s="376">
        <f t="shared" si="7"/>
        <v>122</v>
      </c>
    </row>
    <row r="58" spans="1:50" ht="14.95" thickBot="1" x14ac:dyDescent="0.3">
      <c r="A58" s="133" t="s">
        <v>1266</v>
      </c>
      <c r="B58" s="117">
        <v>9</v>
      </c>
      <c r="C58" s="53">
        <v>1</v>
      </c>
      <c r="D58" s="361">
        <v>1</v>
      </c>
      <c r="E58" s="134">
        <f t="shared" si="6"/>
        <v>11</v>
      </c>
      <c r="F58" s="381" t="s">
        <v>16</v>
      </c>
      <c r="G58" s="118">
        <v>67</v>
      </c>
      <c r="H58" s="69">
        <v>24</v>
      </c>
      <c r="I58" s="375">
        <v>0</v>
      </c>
      <c r="J58" s="376">
        <f t="shared" si="7"/>
        <v>91</v>
      </c>
    </row>
    <row r="59" spans="1:50" ht="14.95" thickBot="1" x14ac:dyDescent="0.3">
      <c r="A59" s="133" t="s">
        <v>9</v>
      </c>
      <c r="B59" s="117">
        <v>9</v>
      </c>
      <c r="C59" s="53">
        <v>2</v>
      </c>
      <c r="D59" s="361">
        <v>0</v>
      </c>
      <c r="E59" s="134">
        <f t="shared" si="6"/>
        <v>11</v>
      </c>
      <c r="F59" s="381" t="s">
        <v>76</v>
      </c>
      <c r="G59" s="118">
        <v>55</v>
      </c>
      <c r="H59" s="69">
        <v>15</v>
      </c>
      <c r="I59" s="375">
        <v>0</v>
      </c>
      <c r="J59" s="376">
        <f t="shared" si="7"/>
        <v>70</v>
      </c>
    </row>
    <row r="60" spans="1:50" ht="14.95" thickBot="1" x14ac:dyDescent="0.3">
      <c r="A60" s="133" t="s">
        <v>16</v>
      </c>
      <c r="B60" s="117">
        <v>7</v>
      </c>
      <c r="C60" s="53">
        <v>3</v>
      </c>
      <c r="D60" s="361">
        <v>0</v>
      </c>
      <c r="E60" s="134">
        <f t="shared" si="6"/>
        <v>10</v>
      </c>
      <c r="F60" s="381" t="s">
        <v>424</v>
      </c>
      <c r="G60" s="118">
        <v>35</v>
      </c>
      <c r="H60" s="69">
        <v>25</v>
      </c>
      <c r="I60" s="375">
        <v>0</v>
      </c>
      <c r="J60" s="376">
        <f t="shared" si="7"/>
        <v>60</v>
      </c>
    </row>
    <row r="61" spans="1:50" ht="14.95" thickBot="1" x14ac:dyDescent="0.3">
      <c r="A61" s="133" t="s">
        <v>1267</v>
      </c>
      <c r="B61" s="117">
        <v>6</v>
      </c>
      <c r="C61" s="53">
        <v>2</v>
      </c>
      <c r="D61" s="361">
        <v>0</v>
      </c>
      <c r="E61" s="134">
        <f t="shared" si="6"/>
        <v>8</v>
      </c>
      <c r="F61" s="381" t="s">
        <v>1266</v>
      </c>
      <c r="G61" s="118">
        <v>45</v>
      </c>
      <c r="H61" s="69">
        <v>5</v>
      </c>
      <c r="I61" s="375">
        <v>5</v>
      </c>
      <c r="J61" s="376">
        <f t="shared" si="7"/>
        <v>55</v>
      </c>
    </row>
    <row r="62" spans="1:50" ht="14.95" thickBot="1" x14ac:dyDescent="0.3">
      <c r="A62" s="133" t="s">
        <v>10</v>
      </c>
      <c r="B62" s="117">
        <v>5</v>
      </c>
      <c r="C62" s="53">
        <v>2</v>
      </c>
      <c r="D62" s="361">
        <v>0</v>
      </c>
      <c r="E62" s="134">
        <f t="shared" si="6"/>
        <v>7</v>
      </c>
      <c r="F62" s="381" t="s">
        <v>9</v>
      </c>
      <c r="G62" s="118">
        <v>45</v>
      </c>
      <c r="H62" s="69">
        <v>10</v>
      </c>
      <c r="I62" s="375">
        <v>0</v>
      </c>
      <c r="J62" s="376">
        <f t="shared" si="7"/>
        <v>55</v>
      </c>
    </row>
    <row r="63" spans="1:50" ht="14.95" thickBot="1" x14ac:dyDescent="0.3">
      <c r="A63" s="133" t="s">
        <v>51</v>
      </c>
      <c r="B63" s="117">
        <v>3</v>
      </c>
      <c r="C63" s="53">
        <v>3</v>
      </c>
      <c r="D63" s="361">
        <v>0</v>
      </c>
      <c r="E63" s="134">
        <f t="shared" si="6"/>
        <v>6</v>
      </c>
      <c r="F63" s="381" t="s">
        <v>947</v>
      </c>
      <c r="G63" s="118">
        <v>7</v>
      </c>
      <c r="H63" s="69">
        <v>0</v>
      </c>
      <c r="I63" s="375">
        <v>41</v>
      </c>
      <c r="J63" s="376">
        <f t="shared" si="7"/>
        <v>48</v>
      </c>
    </row>
    <row r="64" spans="1:50" ht="14.95" thickBot="1" x14ac:dyDescent="0.3">
      <c r="A64" s="133" t="s">
        <v>973</v>
      </c>
      <c r="B64" s="117">
        <v>3</v>
      </c>
      <c r="C64" s="53">
        <v>1</v>
      </c>
      <c r="D64" s="361">
        <v>1</v>
      </c>
      <c r="E64" s="134">
        <f t="shared" si="6"/>
        <v>5</v>
      </c>
      <c r="F64" s="381" t="s">
        <v>1267</v>
      </c>
      <c r="G64" s="118">
        <v>30</v>
      </c>
      <c r="H64" s="69">
        <v>10</v>
      </c>
      <c r="I64" s="375">
        <v>0</v>
      </c>
      <c r="J64" s="376">
        <f t="shared" si="7"/>
        <v>40</v>
      </c>
    </row>
    <row r="65" spans="1:10" ht="14.95" thickBot="1" x14ac:dyDescent="0.3">
      <c r="A65" s="133" t="s">
        <v>177</v>
      </c>
      <c r="B65" s="117">
        <v>2</v>
      </c>
      <c r="C65" s="53">
        <v>2</v>
      </c>
      <c r="D65" s="361">
        <v>0</v>
      </c>
      <c r="E65" s="134">
        <f t="shared" si="6"/>
        <v>4</v>
      </c>
      <c r="F65" s="381" t="s">
        <v>935</v>
      </c>
      <c r="G65" s="118">
        <v>31</v>
      </c>
      <c r="H65" s="69">
        <v>0</v>
      </c>
      <c r="I65" s="375">
        <v>9</v>
      </c>
      <c r="J65" s="376">
        <f t="shared" si="7"/>
        <v>40</v>
      </c>
    </row>
    <row r="66" spans="1:10" ht="14.95" thickBot="1" x14ac:dyDescent="0.3">
      <c r="A66" s="133" t="s">
        <v>1806</v>
      </c>
      <c r="B66" s="117">
        <v>1</v>
      </c>
      <c r="C66" s="53">
        <v>0</v>
      </c>
      <c r="D66" s="361">
        <v>3</v>
      </c>
      <c r="E66" s="134">
        <f t="shared" si="6"/>
        <v>4</v>
      </c>
      <c r="F66" s="381" t="s">
        <v>10</v>
      </c>
      <c r="G66" s="118">
        <v>25</v>
      </c>
      <c r="H66" s="69">
        <v>10</v>
      </c>
      <c r="I66" s="375">
        <v>0</v>
      </c>
      <c r="J66" s="376">
        <f t="shared" si="7"/>
        <v>35</v>
      </c>
    </row>
    <row r="67" spans="1:10" ht="14.95" thickBot="1" x14ac:dyDescent="0.3">
      <c r="A67" s="133" t="s">
        <v>215</v>
      </c>
      <c r="B67" s="117">
        <v>2</v>
      </c>
      <c r="C67" s="53">
        <v>2</v>
      </c>
      <c r="D67" s="361">
        <v>0</v>
      </c>
      <c r="E67" s="134">
        <f t="shared" si="6"/>
        <v>4</v>
      </c>
      <c r="F67" s="381" t="s">
        <v>51</v>
      </c>
      <c r="G67" s="118">
        <v>15</v>
      </c>
      <c r="H67" s="69">
        <v>15</v>
      </c>
      <c r="I67" s="375">
        <v>0</v>
      </c>
      <c r="J67" s="376">
        <f t="shared" si="7"/>
        <v>30</v>
      </c>
    </row>
    <row r="68" spans="1:10" ht="14.95" thickBot="1" x14ac:dyDescent="0.3">
      <c r="A68" s="133" t="s">
        <v>97</v>
      </c>
      <c r="B68" s="117">
        <v>1</v>
      </c>
      <c r="C68" s="53">
        <v>0</v>
      </c>
      <c r="D68" s="361">
        <v>2</v>
      </c>
      <c r="E68" s="134">
        <f t="shared" si="6"/>
        <v>3</v>
      </c>
      <c r="F68" s="381" t="s">
        <v>24</v>
      </c>
      <c r="G68" s="118">
        <v>26</v>
      </c>
      <c r="H68" s="69">
        <v>0</v>
      </c>
      <c r="I68" s="375">
        <v>0</v>
      </c>
      <c r="J68" s="376">
        <f t="shared" si="7"/>
        <v>26</v>
      </c>
    </row>
    <row r="69" spans="1:10" ht="14.95" thickBot="1" x14ac:dyDescent="0.3">
      <c r="A69" s="133" t="s">
        <v>1063</v>
      </c>
      <c r="B69" s="117">
        <v>0</v>
      </c>
      <c r="C69" s="53">
        <v>2</v>
      </c>
      <c r="D69" s="361">
        <v>1</v>
      </c>
      <c r="E69" s="134">
        <f t="shared" si="6"/>
        <v>3</v>
      </c>
      <c r="F69" s="381" t="s">
        <v>973</v>
      </c>
      <c r="G69" s="118">
        <v>15</v>
      </c>
      <c r="H69" s="69">
        <v>5</v>
      </c>
      <c r="I69" s="375">
        <v>5</v>
      </c>
      <c r="J69" s="376">
        <f t="shared" si="7"/>
        <v>25</v>
      </c>
    </row>
    <row r="70" spans="1:10" ht="14.95" thickBot="1" x14ac:dyDescent="0.3">
      <c r="A70" s="133" t="s">
        <v>942</v>
      </c>
      <c r="B70" s="117">
        <v>2</v>
      </c>
      <c r="C70" s="53">
        <v>0</v>
      </c>
      <c r="D70" s="361">
        <v>1</v>
      </c>
      <c r="E70" s="134">
        <f t="shared" si="6"/>
        <v>3</v>
      </c>
      <c r="F70" s="381" t="s">
        <v>177</v>
      </c>
      <c r="G70" s="118">
        <v>10</v>
      </c>
      <c r="H70" s="69">
        <v>10</v>
      </c>
      <c r="I70" s="375">
        <v>0</v>
      </c>
      <c r="J70" s="376">
        <f t="shared" si="7"/>
        <v>20</v>
      </c>
    </row>
    <row r="71" spans="1:10" ht="14.95" thickBot="1" x14ac:dyDescent="0.3">
      <c r="A71" s="133" t="s">
        <v>156</v>
      </c>
      <c r="B71" s="117">
        <v>3</v>
      </c>
      <c r="C71" s="53">
        <v>0</v>
      </c>
      <c r="D71" s="361">
        <v>0</v>
      </c>
      <c r="E71" s="134">
        <f t="shared" si="6"/>
        <v>3</v>
      </c>
      <c r="F71" s="381" t="s">
        <v>1806</v>
      </c>
      <c r="G71" s="118">
        <v>5</v>
      </c>
      <c r="H71" s="69">
        <v>0</v>
      </c>
      <c r="I71" s="375">
        <v>15</v>
      </c>
      <c r="J71" s="376">
        <f t="shared" si="7"/>
        <v>20</v>
      </c>
    </row>
    <row r="72" spans="1:10" ht="14.95" thickBot="1" x14ac:dyDescent="0.3">
      <c r="A72" s="133" t="s">
        <v>947</v>
      </c>
      <c r="B72" s="117">
        <v>1</v>
      </c>
      <c r="C72" s="53">
        <v>0</v>
      </c>
      <c r="D72" s="361">
        <v>2</v>
      </c>
      <c r="E72" s="134">
        <f t="shared" si="6"/>
        <v>3</v>
      </c>
      <c r="F72" s="381" t="s">
        <v>215</v>
      </c>
      <c r="G72" s="118">
        <v>10</v>
      </c>
      <c r="H72" s="69">
        <v>10</v>
      </c>
      <c r="I72" s="375">
        <v>0</v>
      </c>
      <c r="J72" s="376">
        <f t="shared" si="7"/>
        <v>20</v>
      </c>
    </row>
    <row r="73" spans="1:10" ht="14.95" thickBot="1" x14ac:dyDescent="0.3">
      <c r="A73" s="133" t="s">
        <v>1041</v>
      </c>
      <c r="B73" s="117">
        <v>0</v>
      </c>
      <c r="C73" s="53">
        <v>0</v>
      </c>
      <c r="D73" s="361">
        <v>3</v>
      </c>
      <c r="E73" s="134">
        <f t="shared" si="6"/>
        <v>3</v>
      </c>
      <c r="F73" s="381" t="s">
        <v>97</v>
      </c>
      <c r="G73" s="118">
        <v>5</v>
      </c>
      <c r="H73" s="69">
        <v>0</v>
      </c>
      <c r="I73" s="375">
        <v>10</v>
      </c>
      <c r="J73" s="376">
        <f t="shared" si="7"/>
        <v>15</v>
      </c>
    </row>
    <row r="74" spans="1:10" ht="14.95" thickBot="1" x14ac:dyDescent="0.3">
      <c r="A74" s="133" t="s">
        <v>122</v>
      </c>
      <c r="B74" s="117">
        <v>0</v>
      </c>
      <c r="C74" s="53">
        <v>2</v>
      </c>
      <c r="D74" s="361">
        <v>0</v>
      </c>
      <c r="E74" s="134">
        <f t="shared" si="6"/>
        <v>2</v>
      </c>
      <c r="F74" s="381" t="s">
        <v>1063</v>
      </c>
      <c r="G74" s="118">
        <v>0</v>
      </c>
      <c r="H74" s="69">
        <v>10</v>
      </c>
      <c r="I74" s="375">
        <v>5</v>
      </c>
      <c r="J74" s="376">
        <f t="shared" si="7"/>
        <v>15</v>
      </c>
    </row>
    <row r="75" spans="1:10" ht="14.95" thickBot="1" x14ac:dyDescent="0.3">
      <c r="A75" s="133" t="s">
        <v>85</v>
      </c>
      <c r="B75" s="117">
        <v>2</v>
      </c>
      <c r="C75" s="53">
        <v>0</v>
      </c>
      <c r="D75" s="361">
        <v>0</v>
      </c>
      <c r="E75" s="134">
        <f t="shared" si="6"/>
        <v>2</v>
      </c>
      <c r="F75" s="381" t="s">
        <v>942</v>
      </c>
      <c r="G75" s="118">
        <v>10</v>
      </c>
      <c r="H75" s="69">
        <v>0</v>
      </c>
      <c r="I75" s="375">
        <v>5</v>
      </c>
      <c r="J75" s="376">
        <f t="shared" si="7"/>
        <v>15</v>
      </c>
    </row>
    <row r="76" spans="1:10" ht="14.95" thickBot="1" x14ac:dyDescent="0.3">
      <c r="A76" s="133" t="s">
        <v>1799</v>
      </c>
      <c r="B76" s="117">
        <v>0</v>
      </c>
      <c r="C76" s="53">
        <v>0</v>
      </c>
      <c r="D76" s="361">
        <v>2</v>
      </c>
      <c r="E76" s="134">
        <f t="shared" si="6"/>
        <v>2</v>
      </c>
      <c r="F76" s="381" t="s">
        <v>1041</v>
      </c>
      <c r="G76" s="118">
        <v>0</v>
      </c>
      <c r="H76" s="69">
        <v>0</v>
      </c>
      <c r="I76" s="375">
        <v>15</v>
      </c>
      <c r="J76" s="376">
        <f t="shared" si="7"/>
        <v>15</v>
      </c>
    </row>
    <row r="77" spans="1:10" ht="14.95" thickBot="1" x14ac:dyDescent="0.3">
      <c r="A77" s="133" t="s">
        <v>1852</v>
      </c>
      <c r="B77" s="117">
        <v>2</v>
      </c>
      <c r="C77" s="53">
        <v>0</v>
      </c>
      <c r="D77" s="361">
        <v>0</v>
      </c>
      <c r="E77" s="134">
        <f t="shared" si="6"/>
        <v>2</v>
      </c>
      <c r="F77" s="381" t="s">
        <v>85</v>
      </c>
      <c r="G77" s="118">
        <v>14</v>
      </c>
      <c r="H77" s="69">
        <v>0</v>
      </c>
      <c r="I77" s="375">
        <v>0</v>
      </c>
      <c r="J77" s="376">
        <f t="shared" si="7"/>
        <v>14</v>
      </c>
    </row>
    <row r="78" spans="1:10" ht="14.95" thickBot="1" x14ac:dyDescent="0.3">
      <c r="A78" s="133" t="s">
        <v>1048</v>
      </c>
      <c r="B78" s="117">
        <v>0</v>
      </c>
      <c r="C78" s="53">
        <v>0</v>
      </c>
      <c r="D78" s="361">
        <v>2</v>
      </c>
      <c r="E78" s="134">
        <f t="shared" si="6"/>
        <v>2</v>
      </c>
      <c r="F78" s="381" t="s">
        <v>122</v>
      </c>
      <c r="G78" s="118">
        <v>0</v>
      </c>
      <c r="H78" s="69">
        <v>10</v>
      </c>
      <c r="I78" s="375">
        <v>0</v>
      </c>
      <c r="J78" s="376">
        <f t="shared" si="7"/>
        <v>10</v>
      </c>
    </row>
    <row r="79" spans="1:10" ht="14.95" thickBot="1" x14ac:dyDescent="0.3">
      <c r="A79" s="133" t="s">
        <v>935</v>
      </c>
      <c r="B79" s="117">
        <v>1</v>
      </c>
      <c r="C79" s="53">
        <v>0</v>
      </c>
      <c r="D79" s="361">
        <v>1</v>
      </c>
      <c r="E79" s="134">
        <f t="shared" si="6"/>
        <v>2</v>
      </c>
      <c r="F79" s="381" t="s">
        <v>1799</v>
      </c>
      <c r="G79" s="118">
        <v>0</v>
      </c>
      <c r="H79" s="69">
        <v>0</v>
      </c>
      <c r="I79" s="375">
        <v>10</v>
      </c>
      <c r="J79" s="376">
        <f t="shared" si="7"/>
        <v>10</v>
      </c>
    </row>
    <row r="80" spans="1:10" ht="14.95" thickBot="1" x14ac:dyDescent="0.3">
      <c r="A80" s="133" t="s">
        <v>98</v>
      </c>
      <c r="B80" s="117">
        <v>1</v>
      </c>
      <c r="C80" s="53">
        <v>1</v>
      </c>
      <c r="D80" s="361">
        <v>0</v>
      </c>
      <c r="E80" s="134">
        <f t="shared" si="6"/>
        <v>2</v>
      </c>
      <c r="F80" s="381" t="s">
        <v>1852</v>
      </c>
      <c r="G80" s="118">
        <v>10</v>
      </c>
      <c r="H80" s="69">
        <v>0</v>
      </c>
      <c r="I80" s="375">
        <v>0</v>
      </c>
      <c r="J80" s="376">
        <f t="shared" si="7"/>
        <v>10</v>
      </c>
    </row>
    <row r="81" spans="1:10" ht="14.95" thickBot="1" x14ac:dyDescent="0.3">
      <c r="A81" s="133" t="s">
        <v>430</v>
      </c>
      <c r="B81" s="117">
        <v>2</v>
      </c>
      <c r="C81" s="53">
        <v>0</v>
      </c>
      <c r="D81" s="361">
        <v>0</v>
      </c>
      <c r="E81" s="134">
        <f t="shared" si="6"/>
        <v>2</v>
      </c>
      <c r="F81" s="381" t="s">
        <v>1048</v>
      </c>
      <c r="G81" s="118">
        <v>0</v>
      </c>
      <c r="H81" s="69">
        <v>0</v>
      </c>
      <c r="I81" s="375">
        <v>10</v>
      </c>
      <c r="J81" s="376">
        <f t="shared" si="7"/>
        <v>10</v>
      </c>
    </row>
    <row r="82" spans="1:10" ht="14.95" thickBot="1" x14ac:dyDescent="0.3">
      <c r="A82" s="133" t="s">
        <v>84</v>
      </c>
      <c r="B82" s="117">
        <v>1</v>
      </c>
      <c r="C82" s="53">
        <v>1</v>
      </c>
      <c r="D82" s="361">
        <v>0</v>
      </c>
      <c r="E82" s="134">
        <f t="shared" si="6"/>
        <v>2</v>
      </c>
      <c r="F82" s="381" t="s">
        <v>98</v>
      </c>
      <c r="G82" s="118">
        <v>5</v>
      </c>
      <c r="H82" s="69">
        <v>5</v>
      </c>
      <c r="I82" s="375">
        <v>0</v>
      </c>
      <c r="J82" s="376">
        <f t="shared" si="7"/>
        <v>10</v>
      </c>
    </row>
    <row r="83" spans="1:10" ht="14.95" thickBot="1" x14ac:dyDescent="0.3">
      <c r="A83" s="133" t="s">
        <v>1846</v>
      </c>
      <c r="B83" s="117">
        <v>1</v>
      </c>
      <c r="C83" s="53">
        <v>0</v>
      </c>
      <c r="D83" s="361">
        <v>0</v>
      </c>
      <c r="E83" s="134">
        <f t="shared" si="6"/>
        <v>1</v>
      </c>
      <c r="F83" s="381" t="s">
        <v>430</v>
      </c>
      <c r="G83" s="118">
        <v>10</v>
      </c>
      <c r="H83" s="69">
        <v>0</v>
      </c>
      <c r="I83" s="375">
        <v>0</v>
      </c>
      <c r="J83" s="376">
        <f t="shared" si="7"/>
        <v>10</v>
      </c>
    </row>
    <row r="84" spans="1:10" ht="14.95" thickBot="1" x14ac:dyDescent="0.3">
      <c r="A84" s="133" t="s">
        <v>114</v>
      </c>
      <c r="B84" s="117">
        <v>1</v>
      </c>
      <c r="C84" s="53">
        <v>0</v>
      </c>
      <c r="D84" s="361">
        <v>0</v>
      </c>
      <c r="E84" s="134">
        <f t="shared" si="6"/>
        <v>1</v>
      </c>
      <c r="F84" s="381" t="s">
        <v>84</v>
      </c>
      <c r="G84" s="118">
        <v>5</v>
      </c>
      <c r="H84" s="69">
        <v>5</v>
      </c>
      <c r="I84" s="375">
        <v>0</v>
      </c>
      <c r="J84" s="376">
        <f t="shared" si="7"/>
        <v>10</v>
      </c>
    </row>
    <row r="85" spans="1:10" ht="14.95" thickBot="1" x14ac:dyDescent="0.3">
      <c r="A85" s="133" t="s">
        <v>24</v>
      </c>
      <c r="B85" s="117">
        <v>1</v>
      </c>
      <c r="C85" s="53">
        <v>0</v>
      </c>
      <c r="D85" s="361">
        <v>0</v>
      </c>
      <c r="E85" s="134">
        <f t="shared" si="6"/>
        <v>1</v>
      </c>
      <c r="F85" s="381" t="s">
        <v>7</v>
      </c>
      <c r="G85" s="118">
        <v>7</v>
      </c>
      <c r="H85" s="69">
        <v>0</v>
      </c>
      <c r="I85" s="375">
        <v>0</v>
      </c>
      <c r="J85" s="376">
        <f t="shared" si="7"/>
        <v>7</v>
      </c>
    </row>
    <row r="86" spans="1:10" ht="14.95" thickBot="1" x14ac:dyDescent="0.3">
      <c r="A86" s="133" t="s">
        <v>1728</v>
      </c>
      <c r="B86" s="117">
        <v>1</v>
      </c>
      <c r="C86" s="53">
        <v>0</v>
      </c>
      <c r="D86" s="361">
        <v>0</v>
      </c>
      <c r="E86" s="134">
        <f t="shared" si="6"/>
        <v>1</v>
      </c>
      <c r="F86" s="381" t="s">
        <v>1846</v>
      </c>
      <c r="G86" s="118">
        <v>5</v>
      </c>
      <c r="H86" s="69">
        <v>0</v>
      </c>
      <c r="I86" s="375">
        <v>0</v>
      </c>
      <c r="J86" s="376">
        <f t="shared" si="7"/>
        <v>5</v>
      </c>
    </row>
    <row r="87" spans="1:10" ht="14.95" thickBot="1" x14ac:dyDescent="0.3">
      <c r="A87" s="133" t="s">
        <v>1814</v>
      </c>
      <c r="B87" s="117">
        <v>0</v>
      </c>
      <c r="C87" s="53">
        <v>1</v>
      </c>
      <c r="D87" s="361">
        <v>0</v>
      </c>
      <c r="E87" s="134">
        <f t="shared" si="6"/>
        <v>1</v>
      </c>
      <c r="F87" s="381" t="s">
        <v>114</v>
      </c>
      <c r="G87" s="118">
        <v>5</v>
      </c>
      <c r="H87" s="69">
        <v>0</v>
      </c>
      <c r="I87" s="375">
        <v>0</v>
      </c>
      <c r="J87" s="376">
        <f t="shared" si="7"/>
        <v>5</v>
      </c>
    </row>
    <row r="88" spans="1:10" ht="14.95" thickBot="1" x14ac:dyDescent="0.3">
      <c r="A88" s="133" t="s">
        <v>423</v>
      </c>
      <c r="B88" s="117">
        <v>0</v>
      </c>
      <c r="C88" s="53">
        <v>1</v>
      </c>
      <c r="D88" s="361">
        <v>0</v>
      </c>
      <c r="E88" s="134">
        <f t="shared" ref="E88:E104" si="8">SUM(B88:D88)</f>
        <v>1</v>
      </c>
      <c r="F88" s="381" t="s">
        <v>1728</v>
      </c>
      <c r="G88" s="118">
        <v>5</v>
      </c>
      <c r="H88" s="69">
        <v>0</v>
      </c>
      <c r="I88" s="375">
        <v>0</v>
      </c>
      <c r="J88" s="376">
        <f t="shared" ref="J88:J104" si="9">SUM(G88:I88)</f>
        <v>5</v>
      </c>
    </row>
    <row r="89" spans="1:10" ht="14.95" thickBot="1" x14ac:dyDescent="0.3">
      <c r="A89" s="133" t="s">
        <v>7</v>
      </c>
      <c r="B89" s="117">
        <v>1</v>
      </c>
      <c r="C89" s="53">
        <v>0</v>
      </c>
      <c r="D89" s="361">
        <v>0</v>
      </c>
      <c r="E89" s="134">
        <f t="shared" si="8"/>
        <v>1</v>
      </c>
      <c r="F89" s="381" t="s">
        <v>1814</v>
      </c>
      <c r="G89" s="118">
        <v>0</v>
      </c>
      <c r="H89" s="69">
        <v>5</v>
      </c>
      <c r="I89" s="375">
        <v>0</v>
      </c>
      <c r="J89" s="376">
        <f t="shared" si="9"/>
        <v>5</v>
      </c>
    </row>
    <row r="90" spans="1:10" ht="14.95" thickBot="1" x14ac:dyDescent="0.3">
      <c r="A90" s="133" t="s">
        <v>974</v>
      </c>
      <c r="B90" s="117">
        <v>1</v>
      </c>
      <c r="C90" s="53">
        <v>0</v>
      </c>
      <c r="D90" s="361">
        <v>0</v>
      </c>
      <c r="E90" s="134">
        <f t="shared" si="8"/>
        <v>1</v>
      </c>
      <c r="F90" s="381" t="s">
        <v>423</v>
      </c>
      <c r="G90" s="118">
        <v>0</v>
      </c>
      <c r="H90" s="69">
        <v>5</v>
      </c>
      <c r="I90" s="375">
        <v>0</v>
      </c>
      <c r="J90" s="376">
        <f t="shared" si="9"/>
        <v>5</v>
      </c>
    </row>
    <row r="91" spans="1:10" ht="14.95" thickBot="1" x14ac:dyDescent="0.3">
      <c r="A91" s="133" t="s">
        <v>52</v>
      </c>
      <c r="B91" s="117">
        <v>1</v>
      </c>
      <c r="C91" s="53">
        <v>0</v>
      </c>
      <c r="D91" s="361">
        <v>0</v>
      </c>
      <c r="E91" s="134">
        <f t="shared" si="8"/>
        <v>1</v>
      </c>
      <c r="F91" s="373" t="s">
        <v>974</v>
      </c>
      <c r="G91" s="118">
        <v>5</v>
      </c>
      <c r="H91" s="69">
        <v>0</v>
      </c>
      <c r="I91" s="375">
        <v>0</v>
      </c>
      <c r="J91" s="376">
        <f t="shared" si="9"/>
        <v>5</v>
      </c>
    </row>
    <row r="92" spans="1:10" ht="14.95" thickBot="1" x14ac:dyDescent="0.3">
      <c r="A92" s="133" t="s">
        <v>75</v>
      </c>
      <c r="B92" s="117">
        <v>0</v>
      </c>
      <c r="C92" s="53">
        <v>0</v>
      </c>
      <c r="D92" s="361">
        <v>0</v>
      </c>
      <c r="E92" s="134">
        <f t="shared" si="8"/>
        <v>0</v>
      </c>
      <c r="F92" s="373" t="s">
        <v>52</v>
      </c>
      <c r="G92" s="118">
        <v>5</v>
      </c>
      <c r="H92" s="69">
        <v>0</v>
      </c>
      <c r="I92" s="375">
        <v>0</v>
      </c>
      <c r="J92" s="376">
        <f t="shared" si="9"/>
        <v>5</v>
      </c>
    </row>
    <row r="93" spans="1:10" ht="14.95" thickBot="1" x14ac:dyDescent="0.3">
      <c r="A93" s="133" t="s">
        <v>94</v>
      </c>
      <c r="B93" s="117">
        <v>0</v>
      </c>
      <c r="C93" s="53">
        <v>0</v>
      </c>
      <c r="D93" s="361">
        <v>0</v>
      </c>
      <c r="E93" s="134">
        <f t="shared" si="8"/>
        <v>0</v>
      </c>
      <c r="F93" s="373" t="s">
        <v>75</v>
      </c>
      <c r="G93" s="118">
        <v>0</v>
      </c>
      <c r="H93" s="69">
        <v>0</v>
      </c>
      <c r="I93" s="375">
        <v>0</v>
      </c>
      <c r="J93" s="376">
        <f t="shared" si="9"/>
        <v>0</v>
      </c>
    </row>
    <row r="94" spans="1:10" ht="14.95" thickBot="1" x14ac:dyDescent="0.3">
      <c r="A94" s="133" t="s">
        <v>11</v>
      </c>
      <c r="B94" s="117">
        <v>0</v>
      </c>
      <c r="C94" s="53">
        <v>0</v>
      </c>
      <c r="D94" s="361">
        <v>0</v>
      </c>
      <c r="E94" s="134">
        <f t="shared" si="8"/>
        <v>0</v>
      </c>
      <c r="F94" s="373" t="s">
        <v>94</v>
      </c>
      <c r="G94" s="118">
        <v>0</v>
      </c>
      <c r="H94" s="69">
        <v>0</v>
      </c>
      <c r="I94" s="375">
        <v>0</v>
      </c>
      <c r="J94" s="376">
        <f t="shared" si="9"/>
        <v>0</v>
      </c>
    </row>
    <row r="95" spans="1:10" ht="14.95" thickBot="1" x14ac:dyDescent="0.3">
      <c r="A95" s="133" t="s">
        <v>169</v>
      </c>
      <c r="B95" s="117">
        <v>0</v>
      </c>
      <c r="C95" s="53">
        <v>0</v>
      </c>
      <c r="D95" s="361">
        <v>0</v>
      </c>
      <c r="E95" s="134">
        <f t="shared" si="8"/>
        <v>0</v>
      </c>
      <c r="F95" s="373" t="s">
        <v>169</v>
      </c>
      <c r="G95" s="118">
        <v>0</v>
      </c>
      <c r="H95" s="69">
        <v>0</v>
      </c>
      <c r="I95" s="375">
        <v>0</v>
      </c>
      <c r="J95" s="376">
        <f t="shared" si="9"/>
        <v>0</v>
      </c>
    </row>
    <row r="96" spans="1:10" ht="14.95" thickBot="1" x14ac:dyDescent="0.3">
      <c r="A96" s="133" t="s">
        <v>934</v>
      </c>
      <c r="B96" s="117">
        <v>0</v>
      </c>
      <c r="C96" s="53">
        <v>0</v>
      </c>
      <c r="D96" s="361">
        <v>0</v>
      </c>
      <c r="E96" s="134">
        <f t="shared" si="8"/>
        <v>0</v>
      </c>
      <c r="F96" s="373" t="s">
        <v>934</v>
      </c>
      <c r="G96" s="118">
        <v>0</v>
      </c>
      <c r="H96" s="69">
        <v>0</v>
      </c>
      <c r="I96" s="375">
        <v>0</v>
      </c>
      <c r="J96" s="376">
        <f t="shared" si="9"/>
        <v>0</v>
      </c>
    </row>
    <row r="97" spans="1:10" ht="14.95" thickBot="1" x14ac:dyDescent="0.3">
      <c r="A97" s="133" t="s">
        <v>1807</v>
      </c>
      <c r="B97" s="117">
        <v>0</v>
      </c>
      <c r="C97" s="53">
        <v>0</v>
      </c>
      <c r="D97" s="361">
        <v>0</v>
      </c>
      <c r="E97" s="134">
        <f t="shared" si="8"/>
        <v>0</v>
      </c>
      <c r="F97" s="373" t="s">
        <v>1807</v>
      </c>
      <c r="G97" s="118">
        <v>0</v>
      </c>
      <c r="H97" s="69">
        <v>0</v>
      </c>
      <c r="I97" s="375">
        <v>0</v>
      </c>
      <c r="J97" s="376">
        <f t="shared" si="9"/>
        <v>0</v>
      </c>
    </row>
    <row r="98" spans="1:10" ht="14.95" thickBot="1" x14ac:dyDescent="0.3">
      <c r="A98" s="133" t="s">
        <v>91</v>
      </c>
      <c r="B98" s="117">
        <v>0</v>
      </c>
      <c r="C98" s="53">
        <v>0</v>
      </c>
      <c r="D98" s="361">
        <v>0</v>
      </c>
      <c r="E98" s="134">
        <f t="shared" si="8"/>
        <v>0</v>
      </c>
      <c r="F98" s="373" t="s">
        <v>91</v>
      </c>
      <c r="G98" s="118">
        <v>0</v>
      </c>
      <c r="H98" s="69">
        <v>0</v>
      </c>
      <c r="I98" s="375">
        <v>0</v>
      </c>
      <c r="J98" s="376">
        <f t="shared" si="9"/>
        <v>0</v>
      </c>
    </row>
    <row r="99" spans="1:10" ht="14.95" thickBot="1" x14ac:dyDescent="0.3">
      <c r="A99" s="133" t="s">
        <v>946</v>
      </c>
      <c r="B99" s="117">
        <v>0</v>
      </c>
      <c r="C99" s="53">
        <v>0</v>
      </c>
      <c r="D99" s="361">
        <v>0</v>
      </c>
      <c r="E99" s="134">
        <f t="shared" si="8"/>
        <v>0</v>
      </c>
      <c r="F99" s="373" t="s">
        <v>946</v>
      </c>
      <c r="G99" s="118">
        <v>0</v>
      </c>
      <c r="H99" s="69">
        <v>0</v>
      </c>
      <c r="I99" s="375">
        <v>0</v>
      </c>
      <c r="J99" s="376">
        <f t="shared" si="9"/>
        <v>0</v>
      </c>
    </row>
    <row r="100" spans="1:10" ht="14.95" thickBot="1" x14ac:dyDescent="0.3">
      <c r="A100" s="133" t="s">
        <v>1049</v>
      </c>
      <c r="B100" s="117">
        <v>0</v>
      </c>
      <c r="C100" s="53">
        <v>0</v>
      </c>
      <c r="D100" s="361">
        <v>0</v>
      </c>
      <c r="E100" s="134">
        <f t="shared" si="8"/>
        <v>0</v>
      </c>
      <c r="F100" s="373" t="s">
        <v>1049</v>
      </c>
      <c r="G100" s="118">
        <v>0</v>
      </c>
      <c r="H100" s="69">
        <v>0</v>
      </c>
      <c r="I100" s="375">
        <v>0</v>
      </c>
      <c r="J100" s="376">
        <f t="shared" si="9"/>
        <v>0</v>
      </c>
    </row>
    <row r="101" spans="1:10" ht="14.95" thickBot="1" x14ac:dyDescent="0.3">
      <c r="A101" s="133" t="s">
        <v>172</v>
      </c>
      <c r="B101" s="117">
        <v>0</v>
      </c>
      <c r="C101" s="53">
        <v>0</v>
      </c>
      <c r="D101" s="361">
        <v>0</v>
      </c>
      <c r="E101" s="134">
        <f t="shared" si="8"/>
        <v>0</v>
      </c>
      <c r="F101" s="373" t="s">
        <v>172</v>
      </c>
      <c r="G101" s="118">
        <v>0</v>
      </c>
      <c r="H101" s="69">
        <v>0</v>
      </c>
      <c r="I101" s="375">
        <v>0</v>
      </c>
      <c r="J101" s="376">
        <f t="shared" si="9"/>
        <v>0</v>
      </c>
    </row>
    <row r="102" spans="1:10" ht="14.95" thickBot="1" x14ac:dyDescent="0.3">
      <c r="A102" s="133" t="s">
        <v>208</v>
      </c>
      <c r="B102" s="117">
        <v>0</v>
      </c>
      <c r="C102" s="53">
        <v>0</v>
      </c>
      <c r="D102" s="361">
        <v>0</v>
      </c>
      <c r="E102" s="134">
        <f t="shared" si="8"/>
        <v>0</v>
      </c>
      <c r="F102" s="373" t="s">
        <v>208</v>
      </c>
      <c r="G102" s="118">
        <v>0</v>
      </c>
      <c r="H102" s="69">
        <v>0</v>
      </c>
      <c r="I102" s="375">
        <v>0</v>
      </c>
      <c r="J102" s="376">
        <f t="shared" si="9"/>
        <v>0</v>
      </c>
    </row>
    <row r="103" spans="1:10" ht="14.95" thickBot="1" x14ac:dyDescent="0.3">
      <c r="A103" s="133" t="s">
        <v>209</v>
      </c>
      <c r="B103" s="117">
        <v>0</v>
      </c>
      <c r="C103" s="53">
        <v>0</v>
      </c>
      <c r="D103" s="361">
        <v>0</v>
      </c>
      <c r="E103" s="134">
        <f t="shared" si="8"/>
        <v>0</v>
      </c>
      <c r="F103" s="373" t="s">
        <v>209</v>
      </c>
      <c r="G103" s="118">
        <v>0</v>
      </c>
      <c r="H103" s="69">
        <v>0</v>
      </c>
      <c r="I103" s="375">
        <v>0</v>
      </c>
      <c r="J103" s="376">
        <f t="shared" si="9"/>
        <v>0</v>
      </c>
    </row>
    <row r="104" spans="1:10" ht="14.95" thickBot="1" x14ac:dyDescent="0.3">
      <c r="A104" s="133" t="s">
        <v>1730</v>
      </c>
      <c r="B104" s="117">
        <v>0</v>
      </c>
      <c r="C104" s="53">
        <v>0</v>
      </c>
      <c r="D104" s="361">
        <v>0</v>
      </c>
      <c r="E104" s="134">
        <f t="shared" si="8"/>
        <v>0</v>
      </c>
      <c r="F104" s="373" t="s">
        <v>1730</v>
      </c>
      <c r="G104" s="118">
        <v>0</v>
      </c>
      <c r="H104" s="69">
        <v>0</v>
      </c>
      <c r="I104" s="375">
        <v>0</v>
      </c>
      <c r="J104" s="376">
        <f t="shared" si="9"/>
        <v>0</v>
      </c>
    </row>
    <row r="105" spans="1:10" ht="14.95" thickBot="1" x14ac:dyDescent="0.3">
      <c r="A105" s="133" t="s">
        <v>3</v>
      </c>
      <c r="B105" s="117">
        <f>SUM(B56:B104)</f>
        <v>88</v>
      </c>
      <c r="C105" s="53">
        <f t="shared" ref="C105:E105" si="10">SUM(C56:C104)</f>
        <v>34</v>
      </c>
      <c r="D105" s="361">
        <f t="shared" si="10"/>
        <v>19</v>
      </c>
      <c r="E105" s="134">
        <f t="shared" si="10"/>
        <v>141</v>
      </c>
      <c r="F105" s="373" t="s">
        <v>3</v>
      </c>
      <c r="G105" s="118">
        <f t="shared" ref="G105:J105" si="11">SUM(G56:G104)</f>
        <v>725</v>
      </c>
      <c r="H105" s="69">
        <f t="shared" si="11"/>
        <v>293</v>
      </c>
      <c r="I105" s="375">
        <f t="shared" si="11"/>
        <v>157</v>
      </c>
      <c r="J105" s="376">
        <f t="shared" si="11"/>
        <v>1175</v>
      </c>
    </row>
    <row r="106" spans="1:10" x14ac:dyDescent="0.25">
      <c r="A106" s="65" t="s">
        <v>171</v>
      </c>
    </row>
  </sheetData>
  <sortState xmlns:xlrd2="http://schemas.microsoft.com/office/spreadsheetml/2017/richdata2" ref="F56:J104">
    <sortCondition descending="1" ref="J56:J104"/>
  </sortState>
  <mergeCells count="27">
    <mergeCell ref="O30:Q31"/>
    <mergeCell ref="K30:K31"/>
    <mergeCell ref="L30:N31"/>
    <mergeCell ref="AI1:AK2"/>
    <mergeCell ref="R1:S2"/>
    <mergeCell ref="K22:K23"/>
    <mergeCell ref="L22:N23"/>
    <mergeCell ref="K13:K14"/>
    <mergeCell ref="K1:K2"/>
    <mergeCell ref="L1:N2"/>
    <mergeCell ref="O1:Q2"/>
    <mergeCell ref="AF1:AH2"/>
    <mergeCell ref="L13:N14"/>
    <mergeCell ref="U22:W23"/>
    <mergeCell ref="R22:T23"/>
    <mergeCell ref="O22:Q23"/>
    <mergeCell ref="AE22:AG23"/>
    <mergeCell ref="A1:J1"/>
    <mergeCell ref="AL1:AN2"/>
    <mergeCell ref="AC1:AE2"/>
    <mergeCell ref="U13:W14"/>
    <mergeCell ref="AE13:AG14"/>
    <mergeCell ref="W1:Y2"/>
    <mergeCell ref="R13:T14"/>
    <mergeCell ref="T1:V2"/>
    <mergeCell ref="AH13:AJ14"/>
    <mergeCell ref="O13:Q1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X116"/>
  <sheetViews>
    <sheetView zoomScaleNormal="100" workbookViewId="0">
      <selection activeCell="S14" sqref="S14"/>
    </sheetView>
  </sheetViews>
  <sheetFormatPr defaultRowHeight="14.3" x14ac:dyDescent="0.25"/>
  <cols>
    <col min="1" max="1" width="16.625" customWidth="1"/>
    <col min="2" max="2" width="3.75" customWidth="1"/>
    <col min="3" max="3" width="4.125" customWidth="1"/>
    <col min="4" max="5" width="4.75" customWidth="1"/>
    <col min="6" max="6" width="16.625" customWidth="1"/>
    <col min="7" max="10" width="5.25" customWidth="1"/>
    <col min="11" max="11" width="16.375" customWidth="1"/>
    <col min="12" max="13" width="5.625" customWidth="1"/>
    <col min="14" max="40" width="5.75" customWidth="1"/>
    <col min="41" max="41" width="15.375" bestFit="1" customWidth="1"/>
    <col min="43" max="43" width="9.25" bestFit="1" customWidth="1"/>
  </cols>
  <sheetData>
    <row r="1" spans="1:50" ht="14.95" customHeight="1" thickBot="1" x14ac:dyDescent="0.3">
      <c r="A1" s="548" t="s">
        <v>1277</v>
      </c>
      <c r="B1" s="549"/>
      <c r="C1" s="549"/>
      <c r="D1" s="549"/>
      <c r="E1" s="549"/>
      <c r="F1" s="549"/>
      <c r="G1" s="549"/>
      <c r="H1" s="549"/>
      <c r="I1" s="549"/>
      <c r="J1" s="550"/>
      <c r="K1" s="478" t="s">
        <v>1324</v>
      </c>
      <c r="L1" s="486" t="s">
        <v>241</v>
      </c>
      <c r="M1" s="487"/>
      <c r="N1" s="488"/>
      <c r="O1" s="486" t="s">
        <v>202</v>
      </c>
      <c r="P1" s="487"/>
      <c r="Q1" s="488"/>
      <c r="R1" s="492" t="s">
        <v>62</v>
      </c>
      <c r="S1" s="493"/>
      <c r="T1" s="457" t="s">
        <v>244</v>
      </c>
      <c r="U1" s="458"/>
      <c r="V1" s="459"/>
      <c r="W1" s="457" t="s">
        <v>1070</v>
      </c>
      <c r="X1" s="458"/>
      <c r="Y1" s="459"/>
      <c r="Z1" s="237"/>
      <c r="AA1" s="237"/>
      <c r="AB1" s="237"/>
      <c r="AC1" s="457" t="s">
        <v>598</v>
      </c>
      <c r="AD1" s="458"/>
      <c r="AE1" s="459"/>
      <c r="AF1" s="457" t="s">
        <v>254</v>
      </c>
      <c r="AG1" s="458"/>
      <c r="AH1" s="459"/>
      <c r="AI1" s="457" t="s">
        <v>186</v>
      </c>
      <c r="AJ1" s="458"/>
      <c r="AK1" s="459"/>
      <c r="AL1" s="457" t="s">
        <v>242</v>
      </c>
      <c r="AM1" s="458"/>
      <c r="AN1" s="459"/>
      <c r="AP1" s="5" t="s">
        <v>877</v>
      </c>
      <c r="AQ1" s="5"/>
      <c r="AR1" s="5"/>
      <c r="AU1" s="5" t="s">
        <v>878</v>
      </c>
    </row>
    <row r="2" spans="1:50" ht="14.95" customHeight="1" thickBot="1" x14ac:dyDescent="0.3">
      <c r="A2" s="208" t="s">
        <v>0</v>
      </c>
      <c r="B2" s="217" t="s">
        <v>1072</v>
      </c>
      <c r="C2" s="207" t="s">
        <v>123</v>
      </c>
      <c r="D2" s="360" t="s">
        <v>1073</v>
      </c>
      <c r="E2" s="197" t="s">
        <v>1</v>
      </c>
      <c r="F2" s="209" t="s">
        <v>2</v>
      </c>
      <c r="G2" s="205" t="s">
        <v>1072</v>
      </c>
      <c r="H2" s="210" t="s">
        <v>123</v>
      </c>
      <c r="I2" s="379" t="s">
        <v>1073</v>
      </c>
      <c r="J2" s="206" t="s">
        <v>1</v>
      </c>
      <c r="K2" s="479"/>
      <c r="L2" s="489"/>
      <c r="M2" s="490"/>
      <c r="N2" s="491"/>
      <c r="O2" s="489"/>
      <c r="P2" s="490"/>
      <c r="Q2" s="491"/>
      <c r="R2" s="494"/>
      <c r="S2" s="495"/>
      <c r="T2" s="460"/>
      <c r="U2" s="461"/>
      <c r="V2" s="462"/>
      <c r="W2" s="460"/>
      <c r="X2" s="461"/>
      <c r="Y2" s="462"/>
      <c r="Z2" s="127"/>
      <c r="AA2" s="127"/>
      <c r="AB2" s="127"/>
      <c r="AC2" s="460"/>
      <c r="AD2" s="461"/>
      <c r="AE2" s="462"/>
      <c r="AF2" s="460"/>
      <c r="AG2" s="461"/>
      <c r="AH2" s="462"/>
      <c r="AI2" s="460"/>
      <c r="AJ2" s="461"/>
      <c r="AK2" s="462"/>
      <c r="AL2" s="460"/>
      <c r="AM2" s="461"/>
      <c r="AN2" s="462"/>
      <c r="AP2" t="s">
        <v>508</v>
      </c>
      <c r="AQ2" t="s">
        <v>260</v>
      </c>
      <c r="AR2" t="s">
        <v>442</v>
      </c>
      <c r="AS2">
        <v>1000</v>
      </c>
      <c r="AU2" t="s">
        <v>604</v>
      </c>
      <c r="AV2" t="s">
        <v>460</v>
      </c>
      <c r="AW2" t="s">
        <v>366</v>
      </c>
      <c r="AX2">
        <v>52</v>
      </c>
    </row>
    <row r="3" spans="1:50" ht="14.95" customHeight="1" thickBot="1" x14ac:dyDescent="0.3">
      <c r="A3" s="71" t="s">
        <v>138</v>
      </c>
      <c r="B3" s="117">
        <v>0</v>
      </c>
      <c r="C3" s="68">
        <v>0</v>
      </c>
      <c r="D3" s="361">
        <v>0</v>
      </c>
      <c r="E3" s="6">
        <f>SUM(B3:D3)</f>
        <v>0</v>
      </c>
      <c r="F3" s="99" t="s">
        <v>138</v>
      </c>
      <c r="G3" s="118">
        <v>0</v>
      </c>
      <c r="H3" s="69">
        <v>0</v>
      </c>
      <c r="I3" s="375">
        <v>0</v>
      </c>
      <c r="J3" s="98">
        <f>SUM(G3:I3)</f>
        <v>0</v>
      </c>
      <c r="K3" s="37" t="s">
        <v>87</v>
      </c>
      <c r="L3" s="1" t="s">
        <v>243</v>
      </c>
      <c r="M3" s="1" t="s">
        <v>42</v>
      </c>
      <c r="N3" s="1" t="s">
        <v>43</v>
      </c>
      <c r="O3" s="1" t="s">
        <v>243</v>
      </c>
      <c r="P3" s="1" t="s">
        <v>42</v>
      </c>
      <c r="Q3" s="1" t="s">
        <v>43</v>
      </c>
      <c r="R3" s="4" t="s">
        <v>63</v>
      </c>
      <c r="S3" s="4" t="s">
        <v>957</v>
      </c>
      <c r="T3" s="119" t="s">
        <v>243</v>
      </c>
      <c r="U3" s="119" t="s">
        <v>42</v>
      </c>
      <c r="V3" s="119" t="s">
        <v>43</v>
      </c>
      <c r="W3" s="124" t="s">
        <v>243</v>
      </c>
      <c r="X3" s="119" t="s">
        <v>42</v>
      </c>
      <c r="Y3" s="119" t="s">
        <v>43</v>
      </c>
      <c r="Z3" s="60"/>
      <c r="AA3" s="60"/>
      <c r="AB3" s="60"/>
      <c r="AC3" s="124" t="s">
        <v>243</v>
      </c>
      <c r="AD3" s="119" t="s">
        <v>42</v>
      </c>
      <c r="AE3" s="119" t="s">
        <v>43</v>
      </c>
      <c r="AF3" s="119" t="s">
        <v>243</v>
      </c>
      <c r="AG3" s="119" t="s">
        <v>42</v>
      </c>
      <c r="AH3" s="119" t="s">
        <v>43</v>
      </c>
      <c r="AI3" s="119" t="s">
        <v>243</v>
      </c>
      <c r="AJ3" s="119" t="s">
        <v>42</v>
      </c>
      <c r="AK3" s="119" t="s">
        <v>43</v>
      </c>
      <c r="AL3" s="119" t="s">
        <v>243</v>
      </c>
      <c r="AM3" s="119" t="s">
        <v>42</v>
      </c>
      <c r="AN3" s="119" t="s">
        <v>43</v>
      </c>
      <c r="AP3" t="s">
        <v>627</v>
      </c>
      <c r="AQ3" t="s">
        <v>263</v>
      </c>
      <c r="AR3" t="s">
        <v>356</v>
      </c>
      <c r="AS3">
        <v>903</v>
      </c>
      <c r="AU3" t="s">
        <v>308</v>
      </c>
      <c r="AV3" t="s">
        <v>272</v>
      </c>
      <c r="AW3" t="s">
        <v>468</v>
      </c>
      <c r="AX3">
        <v>51</v>
      </c>
    </row>
    <row r="4" spans="1:50" ht="14.95" customHeight="1" thickBot="1" x14ac:dyDescent="0.3">
      <c r="A4" s="71" t="s">
        <v>1773</v>
      </c>
      <c r="B4" s="117">
        <v>0</v>
      </c>
      <c r="C4" s="68">
        <v>0</v>
      </c>
      <c r="D4" s="361">
        <v>1</v>
      </c>
      <c r="E4" s="6">
        <f>SUM(B4:D4)</f>
        <v>1</v>
      </c>
      <c r="F4" s="99" t="s">
        <v>1773</v>
      </c>
      <c r="G4" s="118">
        <v>0</v>
      </c>
      <c r="H4" s="69">
        <v>0</v>
      </c>
      <c r="I4" s="375">
        <v>5</v>
      </c>
      <c r="J4" s="98">
        <f>SUM(G4:I4)</f>
        <v>5</v>
      </c>
      <c r="K4" s="18" t="s">
        <v>211</v>
      </c>
      <c r="L4" s="53" t="s">
        <v>50</v>
      </c>
      <c r="M4" s="53" t="s">
        <v>50</v>
      </c>
      <c r="N4" s="53" t="s">
        <v>50</v>
      </c>
      <c r="O4" s="53" t="s">
        <v>50</v>
      </c>
      <c r="P4" s="53" t="s">
        <v>50</v>
      </c>
      <c r="Q4" s="53" t="s">
        <v>50</v>
      </c>
      <c r="R4" s="53">
        <v>2</v>
      </c>
      <c r="S4" s="53">
        <v>2</v>
      </c>
      <c r="T4" s="53">
        <v>57</v>
      </c>
      <c r="U4" s="53">
        <v>72</v>
      </c>
      <c r="V4" s="54">
        <f>SUM(T4/U4)*100</f>
        <v>79.166666666666657</v>
      </c>
      <c r="W4" s="132">
        <v>102</v>
      </c>
      <c r="X4" s="53">
        <v>128</v>
      </c>
      <c r="Y4" s="54">
        <f>SUM(W4/X4)*100</f>
        <v>79.6875</v>
      </c>
      <c r="Z4" s="131"/>
      <c r="AA4" s="131"/>
      <c r="AB4" s="131"/>
      <c r="AC4" s="132">
        <v>71</v>
      </c>
      <c r="AD4" s="53">
        <v>91</v>
      </c>
      <c r="AE4" s="54">
        <f>SUM(AC4/AD4)*100</f>
        <v>78.021978021978029</v>
      </c>
      <c r="AF4" s="53" t="s">
        <v>50</v>
      </c>
      <c r="AG4" s="53" t="s">
        <v>50</v>
      </c>
      <c r="AH4" s="53" t="s">
        <v>50</v>
      </c>
      <c r="AI4" s="53">
        <v>53</v>
      </c>
      <c r="AJ4" s="53">
        <v>78</v>
      </c>
      <c r="AK4" s="54">
        <f>SUM(AI4/AJ4)*100</f>
        <v>67.948717948717956</v>
      </c>
      <c r="AL4" s="53">
        <v>78</v>
      </c>
      <c r="AM4" s="53">
        <v>104</v>
      </c>
      <c r="AN4" s="54">
        <f>SUM(AL4/AM4)*100</f>
        <v>75</v>
      </c>
      <c r="AP4" t="s">
        <v>855</v>
      </c>
      <c r="AQ4" t="s">
        <v>264</v>
      </c>
      <c r="AR4" t="s">
        <v>444</v>
      </c>
      <c r="AS4">
        <v>862</v>
      </c>
      <c r="AU4" t="s">
        <v>273</v>
      </c>
      <c r="AV4" t="s">
        <v>264</v>
      </c>
      <c r="AW4" t="s">
        <v>584</v>
      </c>
      <c r="AX4">
        <v>43</v>
      </c>
    </row>
    <row r="5" spans="1:50" ht="14.95" customHeight="1" thickBot="1" x14ac:dyDescent="0.3">
      <c r="A5" s="71" t="s">
        <v>22</v>
      </c>
      <c r="B5" s="117">
        <v>7</v>
      </c>
      <c r="C5" s="68">
        <v>2</v>
      </c>
      <c r="D5" s="361">
        <v>2</v>
      </c>
      <c r="E5" s="6">
        <f t="shared" ref="E5:E56" si="0">SUM(B5:D5)</f>
        <v>11</v>
      </c>
      <c r="F5" s="99" t="s">
        <v>22</v>
      </c>
      <c r="G5" s="118">
        <v>35</v>
      </c>
      <c r="H5" s="69">
        <v>10</v>
      </c>
      <c r="I5" s="375">
        <v>10</v>
      </c>
      <c r="J5" s="98">
        <f t="shared" ref="J5:J56" si="1">SUM(G5:I5)</f>
        <v>55</v>
      </c>
      <c r="K5" s="18" t="s">
        <v>932</v>
      </c>
      <c r="L5" s="53" t="s">
        <v>50</v>
      </c>
      <c r="M5" s="53" t="s">
        <v>50</v>
      </c>
      <c r="N5" s="53" t="s">
        <v>50</v>
      </c>
      <c r="O5" s="53" t="s">
        <v>50</v>
      </c>
      <c r="P5" s="53" t="s">
        <v>50</v>
      </c>
      <c r="Q5" s="53" t="s">
        <v>50</v>
      </c>
      <c r="R5" s="53" t="s">
        <v>50</v>
      </c>
      <c r="S5" s="53">
        <v>5</v>
      </c>
      <c r="T5" s="53" t="s">
        <v>50</v>
      </c>
      <c r="U5" s="53" t="s">
        <v>50</v>
      </c>
      <c r="V5" s="53" t="s">
        <v>50</v>
      </c>
      <c r="W5" s="132" t="s">
        <v>50</v>
      </c>
      <c r="X5" s="53" t="s">
        <v>50</v>
      </c>
      <c r="Y5" s="53" t="s">
        <v>50</v>
      </c>
      <c r="Z5" s="130"/>
      <c r="AA5" s="130"/>
      <c r="AB5" s="130"/>
      <c r="AC5" s="132" t="s">
        <v>50</v>
      </c>
      <c r="AD5" s="53" t="s">
        <v>50</v>
      </c>
      <c r="AE5" s="53" t="s">
        <v>50</v>
      </c>
      <c r="AF5" s="53" t="s">
        <v>50</v>
      </c>
      <c r="AG5" s="53" t="s">
        <v>50</v>
      </c>
      <c r="AH5" s="53" t="s">
        <v>50</v>
      </c>
      <c r="AI5" s="53" t="s">
        <v>50</v>
      </c>
      <c r="AJ5" s="53" t="s">
        <v>50</v>
      </c>
      <c r="AK5" s="53" t="s">
        <v>50</v>
      </c>
      <c r="AL5" s="53" t="s">
        <v>50</v>
      </c>
      <c r="AM5" s="53" t="s">
        <v>50</v>
      </c>
      <c r="AN5" s="53" t="s">
        <v>50</v>
      </c>
      <c r="AP5" t="s">
        <v>601</v>
      </c>
      <c r="AQ5" t="s">
        <v>260</v>
      </c>
      <c r="AR5" t="s">
        <v>364</v>
      </c>
      <c r="AS5">
        <v>540</v>
      </c>
      <c r="AU5" t="s">
        <v>571</v>
      </c>
      <c r="AV5" t="s">
        <v>264</v>
      </c>
      <c r="AW5" t="s">
        <v>477</v>
      </c>
      <c r="AX5">
        <v>40</v>
      </c>
    </row>
    <row r="6" spans="1:50" ht="14.95" customHeight="1" thickBot="1" x14ac:dyDescent="0.3">
      <c r="A6" s="71" t="s">
        <v>161</v>
      </c>
      <c r="B6" s="117">
        <v>0</v>
      </c>
      <c r="C6" s="68">
        <v>0</v>
      </c>
      <c r="D6" s="361">
        <v>0</v>
      </c>
      <c r="E6" s="6">
        <f t="shared" si="0"/>
        <v>0</v>
      </c>
      <c r="F6" s="99" t="s">
        <v>161</v>
      </c>
      <c r="G6" s="118">
        <v>0</v>
      </c>
      <c r="H6" s="69">
        <v>0</v>
      </c>
      <c r="I6" s="375">
        <v>0</v>
      </c>
      <c r="J6" s="98">
        <f t="shared" si="1"/>
        <v>0</v>
      </c>
      <c r="K6" s="18" t="s">
        <v>28</v>
      </c>
      <c r="L6" s="53" t="s">
        <v>50</v>
      </c>
      <c r="M6" s="53" t="s">
        <v>50</v>
      </c>
      <c r="N6" s="53" t="s">
        <v>50</v>
      </c>
      <c r="O6" s="53" t="s">
        <v>50</v>
      </c>
      <c r="P6" s="53" t="s">
        <v>50</v>
      </c>
      <c r="Q6" s="53" t="s">
        <v>50</v>
      </c>
      <c r="R6" s="53" t="s">
        <v>50</v>
      </c>
      <c r="S6" s="53">
        <v>1</v>
      </c>
      <c r="T6" s="53" t="s">
        <v>50</v>
      </c>
      <c r="U6" s="53" t="s">
        <v>50</v>
      </c>
      <c r="V6" s="53" t="s">
        <v>50</v>
      </c>
      <c r="W6" s="132" t="s">
        <v>50</v>
      </c>
      <c r="X6" s="53" t="s">
        <v>50</v>
      </c>
      <c r="Y6" s="53" t="s">
        <v>50</v>
      </c>
      <c r="Z6" s="130"/>
      <c r="AA6" s="130"/>
      <c r="AB6" s="130"/>
      <c r="AC6" s="132" t="s">
        <v>50</v>
      </c>
      <c r="AD6" s="53" t="s">
        <v>50</v>
      </c>
      <c r="AE6" s="53" t="s">
        <v>50</v>
      </c>
      <c r="AF6" s="53" t="s">
        <v>50</v>
      </c>
      <c r="AG6" s="53" t="s">
        <v>50</v>
      </c>
      <c r="AH6" s="53" t="s">
        <v>50</v>
      </c>
      <c r="AI6" s="53" t="s">
        <v>50</v>
      </c>
      <c r="AJ6" s="53" t="s">
        <v>50</v>
      </c>
      <c r="AK6" s="53" t="s">
        <v>50</v>
      </c>
      <c r="AL6" s="53" t="s">
        <v>50</v>
      </c>
      <c r="AM6" s="53" t="s">
        <v>50</v>
      </c>
      <c r="AN6" s="53" t="s">
        <v>50</v>
      </c>
      <c r="AP6" t="s">
        <v>326</v>
      </c>
      <c r="AQ6" t="s">
        <v>260</v>
      </c>
      <c r="AR6" t="s">
        <v>340</v>
      </c>
      <c r="AS6">
        <v>471</v>
      </c>
      <c r="AU6" t="s">
        <v>855</v>
      </c>
      <c r="AV6" t="s">
        <v>264</v>
      </c>
      <c r="AW6" t="s">
        <v>444</v>
      </c>
      <c r="AX6">
        <v>37</v>
      </c>
    </row>
    <row r="7" spans="1:50" ht="14.95" customHeight="1" thickBot="1" x14ac:dyDescent="0.3">
      <c r="A7" s="71" t="s">
        <v>189</v>
      </c>
      <c r="B7" s="117">
        <v>0</v>
      </c>
      <c r="C7" s="68">
        <v>0</v>
      </c>
      <c r="D7" s="361">
        <v>0</v>
      </c>
      <c r="E7" s="6">
        <f t="shared" si="0"/>
        <v>0</v>
      </c>
      <c r="F7" s="99" t="s">
        <v>189</v>
      </c>
      <c r="G7" s="118">
        <v>0</v>
      </c>
      <c r="H7" s="69">
        <v>0</v>
      </c>
      <c r="I7" s="375">
        <v>0</v>
      </c>
      <c r="J7" s="98">
        <f t="shared" si="1"/>
        <v>0</v>
      </c>
      <c r="K7" s="18" t="s">
        <v>1775</v>
      </c>
      <c r="L7" s="53" t="s">
        <v>50</v>
      </c>
      <c r="M7" s="53" t="s">
        <v>50</v>
      </c>
      <c r="N7" s="53" t="s">
        <v>50</v>
      </c>
      <c r="O7" s="53" t="s">
        <v>50</v>
      </c>
      <c r="P7" s="53" t="s">
        <v>50</v>
      </c>
      <c r="Q7" s="53" t="s">
        <v>50</v>
      </c>
      <c r="R7" s="53" t="s">
        <v>64</v>
      </c>
      <c r="S7" s="53">
        <v>1</v>
      </c>
      <c r="T7" s="53" t="s">
        <v>50</v>
      </c>
      <c r="U7" s="53" t="s">
        <v>50</v>
      </c>
      <c r="V7" s="53" t="s">
        <v>50</v>
      </c>
      <c r="W7" s="53" t="s">
        <v>50</v>
      </c>
      <c r="X7" s="53" t="s">
        <v>50</v>
      </c>
      <c r="Y7" s="53" t="s">
        <v>50</v>
      </c>
      <c r="Z7" s="130"/>
      <c r="AA7" s="130"/>
      <c r="AB7" s="130"/>
      <c r="AC7" s="402" t="s">
        <v>50</v>
      </c>
      <c r="AD7" s="53" t="s">
        <v>50</v>
      </c>
      <c r="AE7" s="53" t="s">
        <v>50</v>
      </c>
      <c r="AF7" s="53" t="s">
        <v>50</v>
      </c>
      <c r="AG7" s="53" t="s">
        <v>50</v>
      </c>
      <c r="AH7" s="53" t="s">
        <v>50</v>
      </c>
      <c r="AI7" s="53" t="s">
        <v>50</v>
      </c>
      <c r="AJ7" s="53" t="s">
        <v>50</v>
      </c>
      <c r="AK7" s="53" t="s">
        <v>50</v>
      </c>
      <c r="AL7" s="53" t="s">
        <v>50</v>
      </c>
      <c r="AM7" s="53" t="s">
        <v>50</v>
      </c>
      <c r="AN7" s="53" t="s">
        <v>50</v>
      </c>
      <c r="AP7" t="s">
        <v>435</v>
      </c>
      <c r="AQ7" t="s">
        <v>270</v>
      </c>
      <c r="AR7" t="s">
        <v>488</v>
      </c>
      <c r="AS7">
        <v>387</v>
      </c>
      <c r="AU7" t="s">
        <v>454</v>
      </c>
      <c r="AV7" t="s">
        <v>264</v>
      </c>
      <c r="AW7" t="s">
        <v>371</v>
      </c>
      <c r="AX7">
        <v>30</v>
      </c>
    </row>
    <row r="8" spans="1:50" ht="14.95" customHeight="1" thickBot="1" x14ac:dyDescent="0.3">
      <c r="A8" s="71" t="s">
        <v>1030</v>
      </c>
      <c r="B8" s="117">
        <v>3</v>
      </c>
      <c r="C8" s="68">
        <v>0</v>
      </c>
      <c r="D8" s="361">
        <v>1</v>
      </c>
      <c r="E8" s="6">
        <f t="shared" si="0"/>
        <v>4</v>
      </c>
      <c r="F8" s="99" t="s">
        <v>1030</v>
      </c>
      <c r="G8" s="118">
        <v>15</v>
      </c>
      <c r="H8" s="69">
        <v>0</v>
      </c>
      <c r="I8" s="375">
        <v>5</v>
      </c>
      <c r="J8" s="98">
        <f t="shared" si="1"/>
        <v>20</v>
      </c>
      <c r="K8" s="18" t="s">
        <v>225</v>
      </c>
      <c r="L8" s="53" t="s">
        <v>50</v>
      </c>
      <c r="M8" s="53" t="s">
        <v>50</v>
      </c>
      <c r="N8" s="53" t="s">
        <v>50</v>
      </c>
      <c r="O8" s="53" t="s">
        <v>50</v>
      </c>
      <c r="P8" s="53" t="s">
        <v>50</v>
      </c>
      <c r="Q8" s="53" t="s">
        <v>50</v>
      </c>
      <c r="R8" s="53" t="s">
        <v>50</v>
      </c>
      <c r="S8" s="53">
        <v>-1</v>
      </c>
      <c r="T8" s="53" t="s">
        <v>50</v>
      </c>
      <c r="U8" s="53" t="s">
        <v>50</v>
      </c>
      <c r="V8" s="53" t="s">
        <v>50</v>
      </c>
      <c r="W8" s="132" t="s">
        <v>50</v>
      </c>
      <c r="X8" s="53" t="s">
        <v>50</v>
      </c>
      <c r="Y8" s="53" t="s">
        <v>50</v>
      </c>
      <c r="Z8" s="130"/>
      <c r="AA8" s="130"/>
      <c r="AB8" s="130"/>
      <c r="AC8" s="132" t="s">
        <v>50</v>
      </c>
      <c r="AD8" s="53" t="s">
        <v>50</v>
      </c>
      <c r="AE8" s="53" t="s">
        <v>50</v>
      </c>
      <c r="AF8" s="53" t="s">
        <v>50</v>
      </c>
      <c r="AG8" s="53" t="s">
        <v>50</v>
      </c>
      <c r="AH8" s="53" t="s">
        <v>50</v>
      </c>
      <c r="AI8" s="53" t="s">
        <v>50</v>
      </c>
      <c r="AJ8" s="53" t="s">
        <v>50</v>
      </c>
      <c r="AK8" s="53" t="s">
        <v>50</v>
      </c>
      <c r="AL8" s="53" t="s">
        <v>50</v>
      </c>
      <c r="AM8" s="53" t="s">
        <v>50</v>
      </c>
      <c r="AN8" s="53" t="s">
        <v>50</v>
      </c>
      <c r="AP8" t="s">
        <v>688</v>
      </c>
      <c r="AQ8" t="s">
        <v>263</v>
      </c>
      <c r="AR8" t="s">
        <v>329</v>
      </c>
      <c r="AS8">
        <v>280</v>
      </c>
      <c r="AU8" t="s">
        <v>856</v>
      </c>
      <c r="AV8" t="s">
        <v>268</v>
      </c>
      <c r="AW8" t="s">
        <v>857</v>
      </c>
      <c r="AX8">
        <v>30</v>
      </c>
    </row>
    <row r="9" spans="1:50" ht="14.95" customHeight="1" thickBot="1" x14ac:dyDescent="0.3">
      <c r="A9" s="71" t="s">
        <v>34</v>
      </c>
      <c r="B9" s="117">
        <v>0</v>
      </c>
      <c r="C9" s="68">
        <v>0</v>
      </c>
      <c r="D9" s="361">
        <v>0</v>
      </c>
      <c r="E9" s="6">
        <f t="shared" si="0"/>
        <v>0</v>
      </c>
      <c r="F9" s="99" t="s">
        <v>34</v>
      </c>
      <c r="G9" s="118">
        <v>0</v>
      </c>
      <c r="H9" s="69">
        <v>0</v>
      </c>
      <c r="I9" s="375">
        <v>0</v>
      </c>
      <c r="J9" s="98">
        <f t="shared" si="1"/>
        <v>0</v>
      </c>
      <c r="K9" s="18" t="s">
        <v>951</v>
      </c>
      <c r="L9" s="53" t="s">
        <v>50</v>
      </c>
      <c r="M9" s="53" t="s">
        <v>50</v>
      </c>
      <c r="N9" s="53" t="s">
        <v>50</v>
      </c>
      <c r="O9" s="53" t="s">
        <v>50</v>
      </c>
      <c r="P9" s="53" t="s">
        <v>50</v>
      </c>
      <c r="Q9" s="53" t="s">
        <v>50</v>
      </c>
      <c r="R9" s="53" t="s">
        <v>50</v>
      </c>
      <c r="S9" s="53">
        <v>2</v>
      </c>
      <c r="T9" s="53" t="s">
        <v>50</v>
      </c>
      <c r="U9" s="53" t="s">
        <v>50</v>
      </c>
      <c r="V9" s="53" t="s">
        <v>50</v>
      </c>
      <c r="W9" s="132" t="s">
        <v>50</v>
      </c>
      <c r="X9" s="53" t="s">
        <v>50</v>
      </c>
      <c r="Y9" s="53" t="s">
        <v>50</v>
      </c>
      <c r="Z9" s="130"/>
      <c r="AA9" s="130"/>
      <c r="AB9" s="130"/>
      <c r="AC9" s="132" t="s">
        <v>50</v>
      </c>
      <c r="AD9" s="53" t="s">
        <v>50</v>
      </c>
      <c r="AE9" s="53" t="s">
        <v>50</v>
      </c>
      <c r="AF9" s="53" t="s">
        <v>50</v>
      </c>
      <c r="AG9" s="53" t="s">
        <v>50</v>
      </c>
      <c r="AH9" s="53" t="s">
        <v>50</v>
      </c>
      <c r="AI9" s="53" t="s">
        <v>50</v>
      </c>
      <c r="AJ9" s="53" t="s">
        <v>50</v>
      </c>
      <c r="AK9" s="53" t="s">
        <v>50</v>
      </c>
      <c r="AL9" s="53" t="s">
        <v>50</v>
      </c>
      <c r="AM9" s="53" t="s">
        <v>50</v>
      </c>
      <c r="AN9" s="53" t="s">
        <v>50</v>
      </c>
      <c r="AP9" t="s">
        <v>604</v>
      </c>
      <c r="AQ9" t="s">
        <v>460</v>
      </c>
      <c r="AR9" t="s">
        <v>366</v>
      </c>
      <c r="AS9">
        <v>260</v>
      </c>
      <c r="AU9" t="s">
        <v>512</v>
      </c>
      <c r="AV9" t="s">
        <v>277</v>
      </c>
      <c r="AW9" t="s">
        <v>456</v>
      </c>
      <c r="AX9">
        <v>28</v>
      </c>
    </row>
    <row r="10" spans="1:50" ht="14.95" customHeight="1" thickBot="1" x14ac:dyDescent="0.3">
      <c r="A10" s="71" t="s">
        <v>426</v>
      </c>
      <c r="B10" s="117">
        <v>1</v>
      </c>
      <c r="C10" s="68">
        <v>0</v>
      </c>
      <c r="D10" s="361">
        <v>0</v>
      </c>
      <c r="E10" s="6">
        <f t="shared" si="0"/>
        <v>1</v>
      </c>
      <c r="F10" s="99" t="s">
        <v>426</v>
      </c>
      <c r="G10" s="118">
        <v>5</v>
      </c>
      <c r="H10" s="69">
        <v>0</v>
      </c>
      <c r="I10" s="375">
        <v>0</v>
      </c>
      <c r="J10" s="98">
        <f t="shared" si="1"/>
        <v>5</v>
      </c>
      <c r="K10" s="18" t="s">
        <v>1279</v>
      </c>
      <c r="L10" s="53">
        <v>17</v>
      </c>
      <c r="M10" s="53">
        <v>22</v>
      </c>
      <c r="N10" s="54">
        <f>SUM(L10/M10)*100</f>
        <v>77.272727272727266</v>
      </c>
      <c r="O10" s="53" t="s">
        <v>50</v>
      </c>
      <c r="P10" s="53" t="s">
        <v>50</v>
      </c>
      <c r="Q10" s="53" t="s">
        <v>50</v>
      </c>
      <c r="R10" s="53">
        <v>1</v>
      </c>
      <c r="S10" s="53">
        <v>1</v>
      </c>
      <c r="T10" s="53" t="s">
        <v>50</v>
      </c>
      <c r="U10" s="53" t="s">
        <v>50</v>
      </c>
      <c r="V10" s="53" t="s">
        <v>50</v>
      </c>
      <c r="W10" s="132">
        <v>10</v>
      </c>
      <c r="X10" s="53">
        <v>11</v>
      </c>
      <c r="Y10" s="54">
        <f>SUM(W10/X10)*100</f>
        <v>90.909090909090907</v>
      </c>
      <c r="Z10" s="131"/>
      <c r="AA10" s="131"/>
      <c r="AB10" s="131"/>
      <c r="AC10" s="132" t="s">
        <v>50</v>
      </c>
      <c r="AD10" s="53" t="s">
        <v>50</v>
      </c>
      <c r="AE10" s="53" t="s">
        <v>50</v>
      </c>
      <c r="AF10" s="53" t="s">
        <v>50</v>
      </c>
      <c r="AG10" s="53" t="s">
        <v>50</v>
      </c>
      <c r="AH10" s="53" t="s">
        <v>50</v>
      </c>
      <c r="AI10" s="53" t="s">
        <v>50</v>
      </c>
      <c r="AJ10" s="53" t="s">
        <v>50</v>
      </c>
      <c r="AK10" s="53" t="s">
        <v>50</v>
      </c>
      <c r="AL10" s="53" t="s">
        <v>50</v>
      </c>
      <c r="AM10" s="53" t="s">
        <v>50</v>
      </c>
      <c r="AN10" s="53" t="s">
        <v>50</v>
      </c>
      <c r="AP10" t="s">
        <v>308</v>
      </c>
      <c r="AQ10" t="s">
        <v>272</v>
      </c>
      <c r="AR10" t="s">
        <v>468</v>
      </c>
      <c r="AS10">
        <v>255</v>
      </c>
      <c r="AU10" t="s">
        <v>859</v>
      </c>
      <c r="AV10" t="s">
        <v>278</v>
      </c>
      <c r="AW10" t="s">
        <v>342</v>
      </c>
      <c r="AX10">
        <v>26</v>
      </c>
    </row>
    <row r="11" spans="1:50" ht="14.95" customHeight="1" thickBot="1" x14ac:dyDescent="0.3">
      <c r="A11" s="71" t="s">
        <v>1275</v>
      </c>
      <c r="B11" s="117">
        <v>0</v>
      </c>
      <c r="C11" s="68">
        <v>0</v>
      </c>
      <c r="D11" s="361">
        <v>0</v>
      </c>
      <c r="E11" s="6">
        <f t="shared" si="0"/>
        <v>0</v>
      </c>
      <c r="F11" s="99" t="s">
        <v>1275</v>
      </c>
      <c r="G11" s="118">
        <v>0</v>
      </c>
      <c r="H11" s="69">
        <v>0</v>
      </c>
      <c r="I11" s="375">
        <v>0</v>
      </c>
      <c r="J11" s="98">
        <f t="shared" si="1"/>
        <v>0</v>
      </c>
      <c r="K11" s="18" t="s">
        <v>1280</v>
      </c>
      <c r="L11" s="53">
        <v>47</v>
      </c>
      <c r="M11" s="53">
        <v>59</v>
      </c>
      <c r="N11" s="54">
        <f>SUM(L11/M11)*100</f>
        <v>79.66101694915254</v>
      </c>
      <c r="O11" s="53" t="s">
        <v>50</v>
      </c>
      <c r="P11" s="53" t="s">
        <v>50</v>
      </c>
      <c r="Q11" s="53" t="s">
        <v>50</v>
      </c>
      <c r="R11" s="53">
        <v>7</v>
      </c>
      <c r="S11" s="53">
        <v>7</v>
      </c>
      <c r="T11" s="53">
        <v>61</v>
      </c>
      <c r="U11" s="53">
        <v>79</v>
      </c>
      <c r="V11" s="54">
        <f>SUM(T11/U11)*100</f>
        <v>77.215189873417728</v>
      </c>
      <c r="W11" s="132">
        <v>20</v>
      </c>
      <c r="X11" s="53">
        <v>24</v>
      </c>
      <c r="Y11" s="54">
        <f>SUM(W11/X11)*100</f>
        <v>83.333333333333343</v>
      </c>
      <c r="Z11" s="131"/>
      <c r="AA11" s="131"/>
      <c r="AB11" s="131"/>
      <c r="AC11" s="132">
        <v>63</v>
      </c>
      <c r="AD11" s="53">
        <v>87</v>
      </c>
      <c r="AE11" s="54">
        <f>SUM(AC11/AD11)*100</f>
        <v>72.41379310344827</v>
      </c>
      <c r="AF11" s="53">
        <v>69</v>
      </c>
      <c r="AG11" s="53">
        <v>101</v>
      </c>
      <c r="AH11" s="54">
        <f>SUM(AF11/AG11)*100</f>
        <v>68.316831683168317</v>
      </c>
      <c r="AI11" s="53">
        <v>65</v>
      </c>
      <c r="AJ11" s="53">
        <v>77</v>
      </c>
      <c r="AK11" s="54">
        <f>SUM(AI11/AJ11)*100</f>
        <v>84.415584415584405</v>
      </c>
      <c r="AL11" s="53" t="s">
        <v>50</v>
      </c>
      <c r="AM11" s="53" t="s">
        <v>50</v>
      </c>
      <c r="AN11" s="53" t="s">
        <v>50</v>
      </c>
      <c r="AP11" t="s">
        <v>642</v>
      </c>
      <c r="AQ11" t="s">
        <v>260</v>
      </c>
      <c r="AR11" t="s">
        <v>557</v>
      </c>
      <c r="AS11">
        <v>251</v>
      </c>
      <c r="AU11" t="s">
        <v>858</v>
      </c>
      <c r="AV11" t="s">
        <v>271</v>
      </c>
      <c r="AW11" t="s">
        <v>316</v>
      </c>
      <c r="AX11">
        <v>26</v>
      </c>
    </row>
    <row r="12" spans="1:50" ht="14.95" customHeight="1" thickBot="1" x14ac:dyDescent="0.3">
      <c r="A12" s="71" t="s">
        <v>100</v>
      </c>
      <c r="B12" s="117">
        <v>2</v>
      </c>
      <c r="C12" s="68">
        <v>0</v>
      </c>
      <c r="D12" s="361">
        <v>0</v>
      </c>
      <c r="E12" s="6">
        <f t="shared" si="0"/>
        <v>2</v>
      </c>
      <c r="F12" s="99" t="s">
        <v>100</v>
      </c>
      <c r="G12" s="118">
        <v>24</v>
      </c>
      <c r="H12" s="69">
        <v>6</v>
      </c>
      <c r="I12" s="375">
        <v>0</v>
      </c>
      <c r="J12" s="98">
        <f t="shared" si="1"/>
        <v>30</v>
      </c>
      <c r="K12" s="18" t="s">
        <v>931</v>
      </c>
      <c r="L12" s="53" t="s">
        <v>50</v>
      </c>
      <c r="M12" s="53" t="s">
        <v>50</v>
      </c>
      <c r="N12" s="53" t="s">
        <v>50</v>
      </c>
      <c r="O12" s="53" t="s">
        <v>50</v>
      </c>
      <c r="P12" s="53" t="s">
        <v>50</v>
      </c>
      <c r="Q12" s="53" t="s">
        <v>50</v>
      </c>
      <c r="R12" s="53" t="s">
        <v>50</v>
      </c>
      <c r="S12" s="53">
        <v>-1</v>
      </c>
      <c r="T12" s="53" t="s">
        <v>50</v>
      </c>
      <c r="U12" s="53" t="s">
        <v>50</v>
      </c>
      <c r="V12" s="53" t="s">
        <v>50</v>
      </c>
      <c r="W12" s="132" t="s">
        <v>50</v>
      </c>
      <c r="X12" s="53" t="s">
        <v>50</v>
      </c>
      <c r="Y12" s="53" t="s">
        <v>50</v>
      </c>
      <c r="Z12" s="130"/>
      <c r="AA12" s="130"/>
      <c r="AB12" s="130"/>
      <c r="AC12" s="132" t="s">
        <v>50</v>
      </c>
      <c r="AD12" s="53" t="s">
        <v>50</v>
      </c>
      <c r="AE12" s="53" t="s">
        <v>50</v>
      </c>
      <c r="AF12" s="53" t="s">
        <v>50</v>
      </c>
      <c r="AG12" s="53" t="s">
        <v>50</v>
      </c>
      <c r="AH12" s="53" t="s">
        <v>50</v>
      </c>
      <c r="AI12" s="53" t="s">
        <v>50</v>
      </c>
      <c r="AJ12" s="53" t="s">
        <v>50</v>
      </c>
      <c r="AK12" s="53" t="s">
        <v>50</v>
      </c>
      <c r="AL12" s="53" t="s">
        <v>50</v>
      </c>
      <c r="AM12" s="53" t="s">
        <v>50</v>
      </c>
      <c r="AN12" s="53" t="s">
        <v>50</v>
      </c>
      <c r="AP12" t="s">
        <v>273</v>
      </c>
      <c r="AQ12" t="s">
        <v>264</v>
      </c>
      <c r="AR12" t="s">
        <v>584</v>
      </c>
      <c r="AS12">
        <v>215</v>
      </c>
      <c r="AU12" t="s">
        <v>536</v>
      </c>
      <c r="AV12" t="s">
        <v>276</v>
      </c>
      <c r="AW12" t="s">
        <v>464</v>
      </c>
      <c r="AX12">
        <v>23</v>
      </c>
    </row>
    <row r="13" spans="1:50" ht="14.95" customHeight="1" thickBot="1" x14ac:dyDescent="0.3">
      <c r="A13" s="71" t="s">
        <v>997</v>
      </c>
      <c r="B13" s="117">
        <v>7</v>
      </c>
      <c r="C13" s="68">
        <v>0</v>
      </c>
      <c r="D13" s="361">
        <v>0</v>
      </c>
      <c r="E13" s="6">
        <f t="shared" si="0"/>
        <v>7</v>
      </c>
      <c r="F13" s="99" t="s">
        <v>997</v>
      </c>
      <c r="G13" s="118">
        <v>35</v>
      </c>
      <c r="H13" s="69">
        <v>0</v>
      </c>
      <c r="I13" s="375">
        <v>0</v>
      </c>
      <c r="J13" s="98">
        <f t="shared" si="1"/>
        <v>35</v>
      </c>
      <c r="K13" s="18" t="s">
        <v>66</v>
      </c>
      <c r="L13" s="53">
        <v>14</v>
      </c>
      <c r="M13" s="53">
        <v>15</v>
      </c>
      <c r="N13" s="54">
        <f>SUM(L13/M13)*100</f>
        <v>93.333333333333329</v>
      </c>
      <c r="O13" s="53">
        <v>3</v>
      </c>
      <c r="P13" s="53">
        <v>3</v>
      </c>
      <c r="Q13" s="54">
        <f>SUM(O13/P13)*100</f>
        <v>100</v>
      </c>
      <c r="R13" s="53">
        <v>5</v>
      </c>
      <c r="S13" s="53">
        <v>5</v>
      </c>
      <c r="T13" s="53">
        <v>2</v>
      </c>
      <c r="U13" s="53">
        <v>3</v>
      </c>
      <c r="V13" s="54">
        <f>SUM(T13/U13)*100</f>
        <v>66.666666666666657</v>
      </c>
      <c r="W13" s="132">
        <v>6</v>
      </c>
      <c r="X13" s="53">
        <v>6</v>
      </c>
      <c r="Y13" s="54">
        <f>SUM(W13/X13)*100</f>
        <v>100</v>
      </c>
      <c r="Z13" s="131"/>
      <c r="AA13" s="131"/>
      <c r="AB13" s="131"/>
      <c r="AC13" s="132">
        <v>0</v>
      </c>
      <c r="AD13" s="53">
        <v>0</v>
      </c>
      <c r="AE13" s="53" t="s">
        <v>50</v>
      </c>
      <c r="AF13" s="53">
        <v>3</v>
      </c>
      <c r="AG13" s="53">
        <v>4</v>
      </c>
      <c r="AH13" s="54">
        <f>SUM(AF13/AG13)*100</f>
        <v>75</v>
      </c>
      <c r="AI13" s="53">
        <v>1</v>
      </c>
      <c r="AJ13" s="53">
        <v>2</v>
      </c>
      <c r="AK13" s="53">
        <v>50</v>
      </c>
      <c r="AL13" s="53">
        <v>5</v>
      </c>
      <c r="AM13" s="53">
        <v>7</v>
      </c>
      <c r="AN13" s="53">
        <v>71</v>
      </c>
      <c r="AP13" t="s">
        <v>571</v>
      </c>
      <c r="AQ13" t="s">
        <v>264</v>
      </c>
      <c r="AR13" t="s">
        <v>477</v>
      </c>
      <c r="AS13">
        <v>200</v>
      </c>
      <c r="AU13" t="s">
        <v>861</v>
      </c>
      <c r="AV13" t="s">
        <v>262</v>
      </c>
      <c r="AW13" t="s">
        <v>436</v>
      </c>
      <c r="AX13">
        <v>22</v>
      </c>
    </row>
    <row r="14" spans="1:50" ht="14.95" customHeight="1" thickBot="1" x14ac:dyDescent="0.3">
      <c r="A14" s="71" t="s">
        <v>932</v>
      </c>
      <c r="B14" s="117">
        <v>0</v>
      </c>
      <c r="C14" s="68">
        <v>0</v>
      </c>
      <c r="D14" s="361">
        <v>0</v>
      </c>
      <c r="E14" s="6">
        <f t="shared" si="0"/>
        <v>0</v>
      </c>
      <c r="F14" s="99" t="s">
        <v>932</v>
      </c>
      <c r="G14" s="118">
        <v>0</v>
      </c>
      <c r="H14" s="69">
        <v>0</v>
      </c>
      <c r="I14" s="375">
        <v>0</v>
      </c>
      <c r="J14" s="98">
        <f t="shared" si="1"/>
        <v>0</v>
      </c>
      <c r="K14" s="18" t="s">
        <v>100</v>
      </c>
      <c r="L14" s="53">
        <v>5</v>
      </c>
      <c r="M14" s="53">
        <v>10</v>
      </c>
      <c r="N14" s="54">
        <f>SUM(L14/M14)*100</f>
        <v>50</v>
      </c>
      <c r="O14" s="53" t="s">
        <v>50</v>
      </c>
      <c r="P14" s="53" t="s">
        <v>50</v>
      </c>
      <c r="Q14" s="53" t="s">
        <v>50</v>
      </c>
      <c r="R14" s="53">
        <v>1</v>
      </c>
      <c r="S14" s="53">
        <v>1</v>
      </c>
      <c r="T14" s="53">
        <v>4</v>
      </c>
      <c r="U14" s="53">
        <v>5</v>
      </c>
      <c r="V14" s="54">
        <f>SUM(T14/U14)*100</f>
        <v>80</v>
      </c>
      <c r="W14" s="132">
        <v>1</v>
      </c>
      <c r="X14" s="53">
        <v>3</v>
      </c>
      <c r="Y14" s="54">
        <f>SUM(W14/X14)*100</f>
        <v>33.333333333333329</v>
      </c>
      <c r="Z14" s="131"/>
      <c r="AA14" s="131"/>
      <c r="AB14" s="131"/>
      <c r="AC14" s="132">
        <v>13</v>
      </c>
      <c r="AD14" s="53">
        <v>20</v>
      </c>
      <c r="AE14" s="54">
        <f>SUM(AC14/AD14)*100</f>
        <v>65</v>
      </c>
      <c r="AF14" s="53">
        <v>3</v>
      </c>
      <c r="AG14" s="53">
        <v>3</v>
      </c>
      <c r="AH14" s="54">
        <f>SUM(AF14/AG14)*100</f>
        <v>100</v>
      </c>
      <c r="AI14" s="53">
        <v>2</v>
      </c>
      <c r="AJ14" s="53">
        <v>6</v>
      </c>
      <c r="AK14" s="54">
        <f>SUM(AI14/AJ14)*100</f>
        <v>33.333333333333329</v>
      </c>
      <c r="AL14" s="53" t="s">
        <v>50</v>
      </c>
      <c r="AM14" s="53" t="s">
        <v>50</v>
      </c>
      <c r="AN14" s="53" t="s">
        <v>50</v>
      </c>
      <c r="AP14" t="s">
        <v>743</v>
      </c>
      <c r="AQ14" t="s">
        <v>260</v>
      </c>
      <c r="AR14" t="s">
        <v>562</v>
      </c>
      <c r="AS14">
        <v>185</v>
      </c>
      <c r="AU14" t="s">
        <v>627</v>
      </c>
      <c r="AV14" t="s">
        <v>263</v>
      </c>
      <c r="AW14" t="s">
        <v>356</v>
      </c>
      <c r="AX14">
        <v>22</v>
      </c>
    </row>
    <row r="15" spans="1:50" ht="14.95" customHeight="1" thickBot="1" x14ac:dyDescent="0.3">
      <c r="A15" s="71" t="s">
        <v>1047</v>
      </c>
      <c r="B15" s="117">
        <v>0</v>
      </c>
      <c r="C15" s="68">
        <v>0</v>
      </c>
      <c r="D15" s="361">
        <v>0</v>
      </c>
      <c r="E15" s="6">
        <f t="shared" si="0"/>
        <v>0</v>
      </c>
      <c r="F15" s="99" t="s">
        <v>1047</v>
      </c>
      <c r="G15" s="118">
        <v>0</v>
      </c>
      <c r="H15" s="69">
        <v>0</v>
      </c>
      <c r="I15" s="375">
        <v>0</v>
      </c>
      <c r="J15" s="98">
        <f t="shared" si="1"/>
        <v>0</v>
      </c>
      <c r="AP15" t="s">
        <v>496</v>
      </c>
      <c r="AQ15" t="s">
        <v>268</v>
      </c>
      <c r="AR15" t="s">
        <v>360</v>
      </c>
      <c r="AS15">
        <v>171</v>
      </c>
      <c r="AU15" t="s">
        <v>862</v>
      </c>
      <c r="AV15" t="s">
        <v>264</v>
      </c>
      <c r="AW15" t="s">
        <v>444</v>
      </c>
      <c r="AX15">
        <v>21</v>
      </c>
    </row>
    <row r="16" spans="1:50" ht="14.95" customHeight="1" thickBot="1" x14ac:dyDescent="0.3">
      <c r="A16" s="71" t="s">
        <v>427</v>
      </c>
      <c r="B16" s="117">
        <v>0</v>
      </c>
      <c r="C16" s="68">
        <v>0</v>
      </c>
      <c r="D16" s="361">
        <v>0</v>
      </c>
      <c r="E16" s="6">
        <f t="shared" si="0"/>
        <v>0</v>
      </c>
      <c r="F16" s="99" t="s">
        <v>427</v>
      </c>
      <c r="G16" s="118">
        <v>0</v>
      </c>
      <c r="H16" s="69">
        <v>0</v>
      </c>
      <c r="I16" s="375">
        <v>0</v>
      </c>
      <c r="J16" s="98">
        <f t="shared" si="1"/>
        <v>0</v>
      </c>
      <c r="K16" s="476" t="s">
        <v>1325</v>
      </c>
      <c r="L16" s="486" t="s">
        <v>49</v>
      </c>
      <c r="M16" s="487"/>
      <c r="N16" s="488"/>
      <c r="O16" s="457" t="s">
        <v>124</v>
      </c>
      <c r="P16" s="458"/>
      <c r="Q16" s="459"/>
      <c r="R16" s="457" t="s">
        <v>1070</v>
      </c>
      <c r="S16" s="458"/>
      <c r="T16" s="459"/>
      <c r="U16" s="457" t="s">
        <v>598</v>
      </c>
      <c r="V16" s="458"/>
      <c r="W16" s="459"/>
      <c r="X16" s="127"/>
      <c r="Y16" s="127"/>
      <c r="Z16" s="127"/>
      <c r="AA16" s="127"/>
      <c r="AB16" s="127"/>
      <c r="AC16" s="457" t="s">
        <v>254</v>
      </c>
      <c r="AD16" s="458"/>
      <c r="AE16" s="459"/>
      <c r="AF16" s="457" t="s">
        <v>226</v>
      </c>
      <c r="AG16" s="458"/>
      <c r="AH16" s="459"/>
      <c r="AP16" t="s">
        <v>856</v>
      </c>
      <c r="AQ16" t="s">
        <v>268</v>
      </c>
      <c r="AR16" t="s">
        <v>857</v>
      </c>
      <c r="AS16">
        <v>154</v>
      </c>
      <c r="AU16" t="s">
        <v>863</v>
      </c>
      <c r="AV16" t="s">
        <v>268</v>
      </c>
      <c r="AW16" t="s">
        <v>586</v>
      </c>
      <c r="AX16">
        <v>20</v>
      </c>
    </row>
    <row r="17" spans="1:50" ht="14.95" customHeight="1" thickBot="1" x14ac:dyDescent="0.3">
      <c r="A17" s="71" t="s">
        <v>79</v>
      </c>
      <c r="B17" s="117">
        <v>1</v>
      </c>
      <c r="C17" s="68">
        <v>0</v>
      </c>
      <c r="D17" s="361">
        <v>0</v>
      </c>
      <c r="E17" s="6">
        <f t="shared" si="0"/>
        <v>1</v>
      </c>
      <c r="F17" s="99" t="s">
        <v>79</v>
      </c>
      <c r="G17" s="118">
        <v>5</v>
      </c>
      <c r="H17" s="69">
        <v>0</v>
      </c>
      <c r="I17" s="375">
        <v>0</v>
      </c>
      <c r="J17" s="98">
        <f t="shared" si="1"/>
        <v>5</v>
      </c>
      <c r="K17" s="477"/>
      <c r="L17" s="489"/>
      <c r="M17" s="490"/>
      <c r="N17" s="491"/>
      <c r="O17" s="460"/>
      <c r="P17" s="461"/>
      <c r="Q17" s="462"/>
      <c r="R17" s="460"/>
      <c r="S17" s="461"/>
      <c r="T17" s="462"/>
      <c r="U17" s="460"/>
      <c r="V17" s="461"/>
      <c r="W17" s="462"/>
      <c r="X17" s="127"/>
      <c r="Y17" s="127"/>
      <c r="Z17" s="127"/>
      <c r="AA17" s="127"/>
      <c r="AB17" s="127"/>
      <c r="AC17" s="460"/>
      <c r="AD17" s="461"/>
      <c r="AE17" s="462"/>
      <c r="AF17" s="460"/>
      <c r="AG17" s="461"/>
      <c r="AH17" s="462"/>
      <c r="AP17" t="s">
        <v>454</v>
      </c>
      <c r="AQ17" t="s">
        <v>264</v>
      </c>
      <c r="AR17" t="s">
        <v>371</v>
      </c>
      <c r="AS17">
        <v>150</v>
      </c>
      <c r="AU17" t="s">
        <v>537</v>
      </c>
      <c r="AV17" t="s">
        <v>274</v>
      </c>
      <c r="AW17" t="s">
        <v>437</v>
      </c>
      <c r="AX17">
        <v>19</v>
      </c>
    </row>
    <row r="18" spans="1:50" ht="14.95" customHeight="1" thickBot="1" x14ac:dyDescent="0.3">
      <c r="A18" s="71" t="s">
        <v>211</v>
      </c>
      <c r="B18" s="117">
        <v>0</v>
      </c>
      <c r="C18" s="68">
        <v>0</v>
      </c>
      <c r="D18" s="361">
        <v>0</v>
      </c>
      <c r="E18" s="6">
        <f t="shared" si="0"/>
        <v>0</v>
      </c>
      <c r="F18" s="99" t="s">
        <v>211</v>
      </c>
      <c r="G18" s="118">
        <v>0</v>
      </c>
      <c r="H18" s="69">
        <v>0</v>
      </c>
      <c r="I18" s="375">
        <v>0</v>
      </c>
      <c r="J18" s="98">
        <f t="shared" si="1"/>
        <v>0</v>
      </c>
      <c r="K18" s="37" t="s">
        <v>87</v>
      </c>
      <c r="L18" s="1" t="s">
        <v>243</v>
      </c>
      <c r="M18" s="1" t="s">
        <v>42</v>
      </c>
      <c r="N18" s="1" t="s">
        <v>43</v>
      </c>
      <c r="O18" s="119" t="s">
        <v>243</v>
      </c>
      <c r="P18" s="119" t="s">
        <v>42</v>
      </c>
      <c r="Q18" s="119" t="s">
        <v>43</v>
      </c>
      <c r="R18" s="119" t="s">
        <v>243</v>
      </c>
      <c r="S18" s="119" t="s">
        <v>42</v>
      </c>
      <c r="T18" s="119" t="s">
        <v>43</v>
      </c>
      <c r="U18" s="124" t="s">
        <v>243</v>
      </c>
      <c r="V18" s="119" t="s">
        <v>42</v>
      </c>
      <c r="W18" s="119" t="s">
        <v>43</v>
      </c>
      <c r="AC18" s="124" t="s">
        <v>243</v>
      </c>
      <c r="AD18" s="119" t="s">
        <v>42</v>
      </c>
      <c r="AE18" s="119" t="s">
        <v>43</v>
      </c>
      <c r="AF18" s="124" t="s">
        <v>243</v>
      </c>
      <c r="AG18" s="119" t="s">
        <v>42</v>
      </c>
      <c r="AH18" s="119" t="s">
        <v>43</v>
      </c>
      <c r="AP18" t="s">
        <v>512</v>
      </c>
      <c r="AQ18" t="s">
        <v>277</v>
      </c>
      <c r="AR18" t="s">
        <v>456</v>
      </c>
      <c r="AS18">
        <v>140</v>
      </c>
      <c r="AU18" t="s">
        <v>526</v>
      </c>
      <c r="AV18" t="s">
        <v>284</v>
      </c>
      <c r="AW18" t="s">
        <v>456</v>
      </c>
      <c r="AX18">
        <v>19</v>
      </c>
    </row>
    <row r="19" spans="1:50" ht="14.95" customHeight="1" thickBot="1" x14ac:dyDescent="0.3">
      <c r="A19" s="71" t="s">
        <v>428</v>
      </c>
      <c r="B19" s="117">
        <v>0</v>
      </c>
      <c r="C19" s="68">
        <v>0</v>
      </c>
      <c r="D19" s="361">
        <v>0</v>
      </c>
      <c r="E19" s="6">
        <f t="shared" si="0"/>
        <v>0</v>
      </c>
      <c r="F19" s="99" t="s">
        <v>428</v>
      </c>
      <c r="G19" s="118">
        <v>0</v>
      </c>
      <c r="H19" s="69">
        <v>0</v>
      </c>
      <c r="I19" s="375">
        <v>0</v>
      </c>
      <c r="J19" s="98">
        <f t="shared" si="1"/>
        <v>0</v>
      </c>
      <c r="K19" s="55" t="s">
        <v>211</v>
      </c>
      <c r="L19" s="53" t="s">
        <v>50</v>
      </c>
      <c r="M19" s="53" t="s">
        <v>50</v>
      </c>
      <c r="N19" s="53" t="s">
        <v>50</v>
      </c>
      <c r="O19" s="53">
        <v>10</v>
      </c>
      <c r="P19" s="53">
        <v>13</v>
      </c>
      <c r="Q19" s="54">
        <f>SUM(O19/P19)*100</f>
        <v>76.923076923076934</v>
      </c>
      <c r="R19" s="53">
        <v>23</v>
      </c>
      <c r="S19" s="53">
        <v>27</v>
      </c>
      <c r="T19" s="54">
        <f>SUM(R19/S19)*100</f>
        <v>85.18518518518519</v>
      </c>
      <c r="U19" s="132">
        <v>23</v>
      </c>
      <c r="V19" s="53">
        <v>27</v>
      </c>
      <c r="W19" s="54">
        <f>SUM(U19/V19)*100</f>
        <v>85.18518518518519</v>
      </c>
      <c r="AC19" s="132" t="s">
        <v>50</v>
      </c>
      <c r="AD19" s="53" t="s">
        <v>50</v>
      </c>
      <c r="AE19" s="53" t="s">
        <v>50</v>
      </c>
      <c r="AF19" s="132">
        <v>19</v>
      </c>
      <c r="AG19" s="53">
        <v>27</v>
      </c>
      <c r="AH19" s="54">
        <f>SUM(AF19/AG19)*100</f>
        <v>70.370370370370367</v>
      </c>
      <c r="AP19" t="s">
        <v>858</v>
      </c>
      <c r="AQ19" t="s">
        <v>271</v>
      </c>
      <c r="AR19" t="s">
        <v>316</v>
      </c>
      <c r="AS19">
        <v>136</v>
      </c>
      <c r="AU19" t="s">
        <v>864</v>
      </c>
      <c r="AV19" t="s">
        <v>268</v>
      </c>
      <c r="AW19" t="s">
        <v>350</v>
      </c>
      <c r="AX19">
        <v>18</v>
      </c>
    </row>
    <row r="20" spans="1:50" ht="14.95" customHeight="1" thickBot="1" x14ac:dyDescent="0.3">
      <c r="A20" s="71" t="s">
        <v>998</v>
      </c>
      <c r="B20" s="117">
        <v>0</v>
      </c>
      <c r="C20" s="68">
        <v>0</v>
      </c>
      <c r="D20" s="361">
        <v>0</v>
      </c>
      <c r="E20" s="6">
        <f t="shared" si="0"/>
        <v>0</v>
      </c>
      <c r="F20" s="99" t="s">
        <v>998</v>
      </c>
      <c r="G20" s="118">
        <v>0</v>
      </c>
      <c r="H20" s="69">
        <v>0</v>
      </c>
      <c r="I20" s="375">
        <v>0</v>
      </c>
      <c r="J20" s="98">
        <f t="shared" si="1"/>
        <v>0</v>
      </c>
      <c r="K20" s="18" t="s">
        <v>66</v>
      </c>
      <c r="L20" s="53">
        <v>1</v>
      </c>
      <c r="M20" s="53">
        <v>1</v>
      </c>
      <c r="N20" s="54">
        <f>SUM(L20/M20)*100</f>
        <v>100</v>
      </c>
      <c r="O20" s="53">
        <v>1</v>
      </c>
      <c r="P20" s="53">
        <v>1</v>
      </c>
      <c r="Q20" s="54">
        <f>SUM(O20/P20)*100</f>
        <v>100</v>
      </c>
      <c r="R20" s="53" t="s">
        <v>50</v>
      </c>
      <c r="S20" s="53" t="s">
        <v>50</v>
      </c>
      <c r="T20" s="53" t="s">
        <v>50</v>
      </c>
      <c r="U20" s="132" t="s">
        <v>50</v>
      </c>
      <c r="V20" s="53" t="s">
        <v>50</v>
      </c>
      <c r="W20" s="53" t="s">
        <v>50</v>
      </c>
      <c r="AC20" s="132" t="s">
        <v>50</v>
      </c>
      <c r="AD20" s="53" t="s">
        <v>50</v>
      </c>
      <c r="AE20" s="53" t="s">
        <v>50</v>
      </c>
      <c r="AF20" s="132">
        <v>3</v>
      </c>
      <c r="AG20" s="53">
        <v>5</v>
      </c>
      <c r="AH20" s="54">
        <v>60</v>
      </c>
      <c r="AI20" t="s">
        <v>170</v>
      </c>
      <c r="AP20" t="s">
        <v>859</v>
      </c>
      <c r="AQ20" t="s">
        <v>278</v>
      </c>
      <c r="AR20" t="s">
        <v>342</v>
      </c>
      <c r="AS20">
        <v>130</v>
      </c>
      <c r="AU20" t="s">
        <v>865</v>
      </c>
      <c r="AV20" t="s">
        <v>274</v>
      </c>
      <c r="AW20" t="s">
        <v>327</v>
      </c>
      <c r="AX20">
        <v>16</v>
      </c>
    </row>
    <row r="21" spans="1:50" ht="14.95" customHeight="1" thickBot="1" x14ac:dyDescent="0.3">
      <c r="A21" s="71" t="s">
        <v>999</v>
      </c>
      <c r="B21" s="117">
        <v>1</v>
      </c>
      <c r="C21" s="68">
        <v>0</v>
      </c>
      <c r="D21" s="361">
        <v>0</v>
      </c>
      <c r="E21" s="6">
        <f t="shared" si="0"/>
        <v>1</v>
      </c>
      <c r="F21" s="99" t="s">
        <v>999</v>
      </c>
      <c r="G21" s="118">
        <v>5</v>
      </c>
      <c r="H21" s="69">
        <v>0</v>
      </c>
      <c r="I21" s="375">
        <v>0</v>
      </c>
      <c r="J21" s="98">
        <f t="shared" si="1"/>
        <v>5</v>
      </c>
      <c r="K21" s="18" t="s">
        <v>1279</v>
      </c>
      <c r="L21" s="53">
        <v>7</v>
      </c>
      <c r="M21" s="53">
        <v>10</v>
      </c>
      <c r="N21" s="54">
        <f>SUM(L21/M21)*100</f>
        <v>70</v>
      </c>
      <c r="O21" s="53" t="s">
        <v>50</v>
      </c>
      <c r="P21" s="53" t="s">
        <v>50</v>
      </c>
      <c r="Q21" s="53" t="s">
        <v>50</v>
      </c>
      <c r="R21" s="53">
        <v>8</v>
      </c>
      <c r="S21" s="53">
        <v>13</v>
      </c>
      <c r="T21" s="54">
        <f>SUM(R21/S21)*100</f>
        <v>61.53846153846154</v>
      </c>
      <c r="U21" s="132" t="s">
        <v>50</v>
      </c>
      <c r="V21" s="53" t="s">
        <v>50</v>
      </c>
      <c r="W21" s="53" t="s">
        <v>50</v>
      </c>
      <c r="AC21" s="132" t="s">
        <v>50</v>
      </c>
      <c r="AD21" s="53" t="s">
        <v>50</v>
      </c>
      <c r="AE21" s="53" t="s">
        <v>50</v>
      </c>
      <c r="AF21" s="53" t="s">
        <v>50</v>
      </c>
      <c r="AG21" s="53" t="s">
        <v>50</v>
      </c>
      <c r="AH21" s="53" t="s">
        <v>50</v>
      </c>
      <c r="AP21" t="s">
        <v>676</v>
      </c>
      <c r="AQ21" t="s">
        <v>260</v>
      </c>
      <c r="AR21" t="s">
        <v>291</v>
      </c>
      <c r="AS21">
        <v>128</v>
      </c>
      <c r="AU21" t="s">
        <v>496</v>
      </c>
      <c r="AV21" t="s">
        <v>268</v>
      </c>
      <c r="AW21" t="s">
        <v>360</v>
      </c>
      <c r="AX21">
        <v>15</v>
      </c>
    </row>
    <row r="22" spans="1:50" ht="14.95" customHeight="1" thickBot="1" x14ac:dyDescent="0.3">
      <c r="A22" s="71" t="s">
        <v>74</v>
      </c>
      <c r="B22" s="117">
        <v>7</v>
      </c>
      <c r="C22" s="68">
        <v>2</v>
      </c>
      <c r="D22" s="361">
        <v>0</v>
      </c>
      <c r="E22" s="6">
        <f t="shared" si="0"/>
        <v>9</v>
      </c>
      <c r="F22" s="99" t="s">
        <v>74</v>
      </c>
      <c r="G22" s="118">
        <v>35</v>
      </c>
      <c r="H22" s="69">
        <v>10</v>
      </c>
      <c r="I22" s="375">
        <v>0</v>
      </c>
      <c r="J22" s="98">
        <f t="shared" si="1"/>
        <v>45</v>
      </c>
      <c r="K22" s="18" t="s">
        <v>1271</v>
      </c>
      <c r="L22" s="53">
        <v>14</v>
      </c>
      <c r="M22" s="53">
        <v>17</v>
      </c>
      <c r="N22" s="54">
        <f>SUM(L22/M22)*100</f>
        <v>82.35294117647058</v>
      </c>
      <c r="O22" s="53" t="s">
        <v>50</v>
      </c>
      <c r="P22" s="53" t="s">
        <v>50</v>
      </c>
      <c r="Q22" s="53" t="s">
        <v>50</v>
      </c>
      <c r="R22" s="53" t="s">
        <v>50</v>
      </c>
      <c r="S22" s="53" t="s">
        <v>50</v>
      </c>
      <c r="T22" s="53" t="s">
        <v>50</v>
      </c>
      <c r="U22" s="53" t="s">
        <v>50</v>
      </c>
      <c r="V22" s="53" t="s">
        <v>50</v>
      </c>
      <c r="W22" s="53" t="s">
        <v>50</v>
      </c>
      <c r="AC22" s="402" t="s">
        <v>50</v>
      </c>
      <c r="AD22" s="53" t="s">
        <v>50</v>
      </c>
      <c r="AE22" s="53" t="s">
        <v>50</v>
      </c>
      <c r="AF22" s="53" t="s">
        <v>50</v>
      </c>
      <c r="AG22" s="53" t="s">
        <v>50</v>
      </c>
      <c r="AH22" s="53" t="s">
        <v>50</v>
      </c>
      <c r="AP22" t="s">
        <v>550</v>
      </c>
      <c r="AQ22" t="s">
        <v>260</v>
      </c>
      <c r="AR22" t="s">
        <v>860</v>
      </c>
      <c r="AS22">
        <v>116</v>
      </c>
      <c r="AU22" t="s">
        <v>866</v>
      </c>
      <c r="AW22" t="s">
        <v>351</v>
      </c>
      <c r="AX22">
        <v>15</v>
      </c>
    </row>
    <row r="23" spans="1:50" ht="14.95" customHeight="1" thickBot="1" x14ac:dyDescent="0.3">
      <c r="A23" s="71" t="s">
        <v>28</v>
      </c>
      <c r="B23" s="117">
        <v>0</v>
      </c>
      <c r="C23" s="68">
        <v>0</v>
      </c>
      <c r="D23" s="361">
        <v>0</v>
      </c>
      <c r="E23" s="6">
        <f t="shared" si="0"/>
        <v>0</v>
      </c>
      <c r="F23" s="99" t="s">
        <v>28</v>
      </c>
      <c r="G23" s="118">
        <v>0</v>
      </c>
      <c r="H23" s="69">
        <v>0</v>
      </c>
      <c r="I23" s="375">
        <v>0</v>
      </c>
      <c r="J23" s="98">
        <f t="shared" si="1"/>
        <v>0</v>
      </c>
      <c r="K23" s="18" t="s">
        <v>100</v>
      </c>
      <c r="L23" s="53">
        <v>2</v>
      </c>
      <c r="M23" s="53">
        <v>2</v>
      </c>
      <c r="N23" s="54">
        <f>SUM(L23/M23)*100</f>
        <v>100</v>
      </c>
      <c r="O23" s="53">
        <v>3</v>
      </c>
      <c r="P23" s="53">
        <v>4</v>
      </c>
      <c r="Q23" s="54">
        <f>SUM(O23/P23)*100</f>
        <v>75</v>
      </c>
      <c r="R23" s="53" t="s">
        <v>50</v>
      </c>
      <c r="S23" s="53" t="s">
        <v>50</v>
      </c>
      <c r="T23" s="53" t="s">
        <v>50</v>
      </c>
      <c r="U23" s="132">
        <v>3</v>
      </c>
      <c r="V23" s="53">
        <v>10</v>
      </c>
      <c r="W23" s="54">
        <f>SUM(U23/V23)*100</f>
        <v>30</v>
      </c>
      <c r="AC23" s="132">
        <v>1</v>
      </c>
      <c r="AD23" s="53">
        <v>1</v>
      </c>
      <c r="AE23" s="54">
        <f>SUM(AC23/AD23)*100</f>
        <v>100</v>
      </c>
      <c r="AF23" s="132">
        <v>1</v>
      </c>
      <c r="AG23" s="53">
        <v>1</v>
      </c>
      <c r="AH23" s="54">
        <f>SUM(AF23/AG23)*100</f>
        <v>100</v>
      </c>
      <c r="AP23" t="s">
        <v>536</v>
      </c>
      <c r="AQ23" t="s">
        <v>276</v>
      </c>
      <c r="AR23" t="s">
        <v>464</v>
      </c>
      <c r="AS23">
        <v>115</v>
      </c>
      <c r="AU23" t="s">
        <v>508</v>
      </c>
      <c r="AV23" t="s">
        <v>260</v>
      </c>
      <c r="AW23" t="s">
        <v>442</v>
      </c>
      <c r="AX23">
        <v>15</v>
      </c>
    </row>
    <row r="24" spans="1:50" ht="14.95" customHeight="1" thickBot="1" x14ac:dyDescent="0.3">
      <c r="A24" s="71" t="s">
        <v>1775</v>
      </c>
      <c r="B24" s="117">
        <v>0</v>
      </c>
      <c r="C24" s="68">
        <v>0</v>
      </c>
      <c r="D24" s="361">
        <v>0</v>
      </c>
      <c r="E24" s="6">
        <f t="shared" si="0"/>
        <v>0</v>
      </c>
      <c r="F24" s="99" t="s">
        <v>1775</v>
      </c>
      <c r="G24" s="118">
        <v>0</v>
      </c>
      <c r="H24" s="69">
        <v>0</v>
      </c>
      <c r="I24" s="375">
        <v>2</v>
      </c>
      <c r="J24" s="98">
        <f t="shared" si="1"/>
        <v>2</v>
      </c>
      <c r="AP24" t="s">
        <v>861</v>
      </c>
      <c r="AQ24" t="s">
        <v>262</v>
      </c>
      <c r="AR24" t="s">
        <v>436</v>
      </c>
      <c r="AS24">
        <v>112</v>
      </c>
      <c r="AU24" t="s">
        <v>867</v>
      </c>
      <c r="AV24" t="s">
        <v>268</v>
      </c>
      <c r="AW24" t="s">
        <v>464</v>
      </c>
      <c r="AX24">
        <v>14</v>
      </c>
    </row>
    <row r="25" spans="1:50" ht="14.95" customHeight="1" thickBot="1" x14ac:dyDescent="0.3">
      <c r="A25" s="71" t="s">
        <v>23</v>
      </c>
      <c r="B25" s="117">
        <v>1</v>
      </c>
      <c r="C25" s="68">
        <v>1</v>
      </c>
      <c r="D25" s="361">
        <v>0</v>
      </c>
      <c r="E25" s="6">
        <f t="shared" si="0"/>
        <v>2</v>
      </c>
      <c r="F25" s="99" t="s">
        <v>23</v>
      </c>
      <c r="G25" s="118">
        <v>5</v>
      </c>
      <c r="H25" s="69">
        <v>5</v>
      </c>
      <c r="I25" s="375">
        <v>0</v>
      </c>
      <c r="J25" s="98">
        <f t="shared" si="1"/>
        <v>10</v>
      </c>
      <c r="K25" s="474" t="s">
        <v>1071</v>
      </c>
      <c r="L25" s="486" t="s">
        <v>49</v>
      </c>
      <c r="M25" s="487"/>
      <c r="N25" s="488"/>
      <c r="O25" s="457" t="s">
        <v>124</v>
      </c>
      <c r="P25" s="458"/>
      <c r="Q25" s="459"/>
      <c r="R25" s="457" t="s">
        <v>1070</v>
      </c>
      <c r="S25" s="458"/>
      <c r="T25" s="459"/>
      <c r="U25" s="457" t="s">
        <v>254</v>
      </c>
      <c r="V25" s="458"/>
      <c r="W25" s="459"/>
      <c r="AC25" s="457" t="s">
        <v>186</v>
      </c>
      <c r="AD25" s="458"/>
      <c r="AE25" s="459"/>
      <c r="AP25" t="s">
        <v>862</v>
      </c>
      <c r="AQ25" t="s">
        <v>264</v>
      </c>
      <c r="AR25" t="s">
        <v>444</v>
      </c>
      <c r="AS25">
        <v>105</v>
      </c>
      <c r="AU25" t="s">
        <v>519</v>
      </c>
      <c r="AV25" t="s">
        <v>277</v>
      </c>
      <c r="AW25" t="s">
        <v>440</v>
      </c>
      <c r="AX25">
        <v>14</v>
      </c>
    </row>
    <row r="26" spans="1:50" ht="14.95" customHeight="1" thickBot="1" x14ac:dyDescent="0.3">
      <c r="A26" s="71" t="s">
        <v>1000</v>
      </c>
      <c r="B26" s="117">
        <v>0</v>
      </c>
      <c r="C26" s="68">
        <v>0</v>
      </c>
      <c r="D26" s="361">
        <v>0</v>
      </c>
      <c r="E26" s="6">
        <f t="shared" si="0"/>
        <v>0</v>
      </c>
      <c r="F26" s="99" t="s">
        <v>1000</v>
      </c>
      <c r="G26" s="118">
        <v>0</v>
      </c>
      <c r="H26" s="69">
        <v>0</v>
      </c>
      <c r="I26" s="375">
        <v>0</v>
      </c>
      <c r="J26" s="98">
        <f t="shared" si="1"/>
        <v>0</v>
      </c>
      <c r="K26" s="475"/>
      <c r="L26" s="489"/>
      <c r="M26" s="490"/>
      <c r="N26" s="491"/>
      <c r="O26" s="460"/>
      <c r="P26" s="461"/>
      <c r="Q26" s="462"/>
      <c r="R26" s="460"/>
      <c r="S26" s="461"/>
      <c r="T26" s="462"/>
      <c r="U26" s="460"/>
      <c r="V26" s="461"/>
      <c r="W26" s="462"/>
      <c r="AC26" s="460"/>
      <c r="AD26" s="461"/>
      <c r="AE26" s="462"/>
      <c r="AP26" t="s">
        <v>863</v>
      </c>
      <c r="AQ26" t="s">
        <v>268</v>
      </c>
      <c r="AR26" t="s">
        <v>586</v>
      </c>
      <c r="AS26">
        <v>100</v>
      </c>
      <c r="AU26" t="s">
        <v>326</v>
      </c>
      <c r="AV26" t="s">
        <v>260</v>
      </c>
      <c r="AW26" t="s">
        <v>340</v>
      </c>
      <c r="AX26">
        <v>13</v>
      </c>
    </row>
    <row r="27" spans="1:50" ht="14.95" customHeight="1" thickBot="1" x14ac:dyDescent="0.3">
      <c r="A27" s="71" t="s">
        <v>25</v>
      </c>
      <c r="B27" s="117">
        <v>1</v>
      </c>
      <c r="C27" s="68">
        <v>0</v>
      </c>
      <c r="D27" s="361">
        <v>0</v>
      </c>
      <c r="E27" s="6">
        <f t="shared" si="0"/>
        <v>1</v>
      </c>
      <c r="F27" s="99" t="s">
        <v>25</v>
      </c>
      <c r="G27" s="118">
        <v>5</v>
      </c>
      <c r="H27" s="69">
        <v>0</v>
      </c>
      <c r="I27" s="375">
        <v>0</v>
      </c>
      <c r="J27" s="98">
        <f t="shared" si="1"/>
        <v>5</v>
      </c>
      <c r="K27" s="37" t="s">
        <v>87</v>
      </c>
      <c r="L27" s="1" t="s">
        <v>243</v>
      </c>
      <c r="M27" s="1" t="s">
        <v>42</v>
      </c>
      <c r="N27" s="1" t="s">
        <v>43</v>
      </c>
      <c r="O27" s="119" t="s">
        <v>243</v>
      </c>
      <c r="P27" s="119" t="s">
        <v>42</v>
      </c>
      <c r="Q27" s="119" t="s">
        <v>43</v>
      </c>
      <c r="R27" s="119" t="s">
        <v>243</v>
      </c>
      <c r="S27" s="119" t="s">
        <v>42</v>
      </c>
      <c r="T27" s="119" t="s">
        <v>43</v>
      </c>
      <c r="U27" s="124" t="s">
        <v>243</v>
      </c>
      <c r="V27" s="119" t="s">
        <v>42</v>
      </c>
      <c r="W27" s="119" t="s">
        <v>43</v>
      </c>
      <c r="AC27" s="124" t="s">
        <v>243</v>
      </c>
      <c r="AD27" s="119" t="s">
        <v>42</v>
      </c>
      <c r="AE27" s="119" t="s">
        <v>43</v>
      </c>
      <c r="AP27" t="s">
        <v>537</v>
      </c>
      <c r="AQ27" t="s">
        <v>274</v>
      </c>
      <c r="AR27" t="s">
        <v>437</v>
      </c>
      <c r="AS27">
        <v>98</v>
      </c>
      <c r="AU27" t="s">
        <v>869</v>
      </c>
      <c r="AV27" t="s">
        <v>283</v>
      </c>
      <c r="AW27" t="s">
        <v>485</v>
      </c>
      <c r="AX27">
        <v>13</v>
      </c>
    </row>
    <row r="28" spans="1:50" ht="14.95" customHeight="1" thickBot="1" x14ac:dyDescent="0.3">
      <c r="A28" s="71" t="s">
        <v>1273</v>
      </c>
      <c r="B28" s="117">
        <v>0</v>
      </c>
      <c r="C28" s="68">
        <v>0</v>
      </c>
      <c r="D28" s="361">
        <v>0</v>
      </c>
      <c r="E28" s="6">
        <f t="shared" si="0"/>
        <v>0</v>
      </c>
      <c r="F28" s="99" t="s">
        <v>1273</v>
      </c>
      <c r="G28" s="118">
        <v>0</v>
      </c>
      <c r="H28" s="69">
        <v>0</v>
      </c>
      <c r="I28" s="375">
        <v>0</v>
      </c>
      <c r="J28" s="98">
        <f t="shared" si="1"/>
        <v>0</v>
      </c>
      <c r="K28" s="18" t="s">
        <v>28</v>
      </c>
      <c r="L28" s="53" t="s">
        <v>50</v>
      </c>
      <c r="M28" s="53" t="s">
        <v>50</v>
      </c>
      <c r="N28" s="53" t="s">
        <v>50</v>
      </c>
      <c r="O28" s="53" t="s">
        <v>50</v>
      </c>
      <c r="P28" s="53" t="s">
        <v>50</v>
      </c>
      <c r="Q28" s="53" t="s">
        <v>50</v>
      </c>
      <c r="R28" s="53">
        <v>2</v>
      </c>
      <c r="S28" s="53">
        <v>4</v>
      </c>
      <c r="T28" s="54">
        <f>SUM(R28/S28)*100</f>
        <v>50</v>
      </c>
      <c r="U28" s="132" t="s">
        <v>50</v>
      </c>
      <c r="V28" s="53" t="s">
        <v>50</v>
      </c>
      <c r="W28" s="53" t="s">
        <v>50</v>
      </c>
      <c r="AC28" s="132" t="s">
        <v>50</v>
      </c>
      <c r="AD28" s="53" t="s">
        <v>50</v>
      </c>
      <c r="AE28" s="53" t="s">
        <v>50</v>
      </c>
      <c r="AP28" t="s">
        <v>526</v>
      </c>
      <c r="AQ28" t="s">
        <v>284</v>
      </c>
      <c r="AR28" t="s">
        <v>456</v>
      </c>
      <c r="AS28">
        <v>98</v>
      </c>
      <c r="AU28" t="s">
        <v>573</v>
      </c>
      <c r="AV28" t="s">
        <v>259</v>
      </c>
      <c r="AW28" t="s">
        <v>491</v>
      </c>
      <c r="AX28">
        <v>11</v>
      </c>
    </row>
    <row r="29" spans="1:50" ht="14.95" customHeight="1" thickBot="1" x14ac:dyDescent="0.3">
      <c r="A29" s="71" t="s">
        <v>952</v>
      </c>
      <c r="B29" s="117">
        <v>2</v>
      </c>
      <c r="C29" s="68">
        <v>1</v>
      </c>
      <c r="D29" s="361">
        <v>0</v>
      </c>
      <c r="E29" s="6">
        <f t="shared" si="0"/>
        <v>3</v>
      </c>
      <c r="F29" s="99" t="s">
        <v>952</v>
      </c>
      <c r="G29" s="118">
        <v>10</v>
      </c>
      <c r="H29" s="69">
        <v>5</v>
      </c>
      <c r="I29" s="375">
        <v>0</v>
      </c>
      <c r="J29" s="98">
        <f t="shared" si="1"/>
        <v>15</v>
      </c>
      <c r="K29" s="18" t="s">
        <v>1775</v>
      </c>
      <c r="L29" s="53">
        <v>1</v>
      </c>
      <c r="M29" s="53">
        <v>1</v>
      </c>
      <c r="N29" s="54">
        <f>SUM(L29/M29)*100</f>
        <v>100</v>
      </c>
      <c r="O29" s="53" t="s">
        <v>50</v>
      </c>
      <c r="P29" s="53" t="s">
        <v>50</v>
      </c>
      <c r="Q29" s="53" t="s">
        <v>50</v>
      </c>
      <c r="R29" s="53" t="s">
        <v>50</v>
      </c>
      <c r="S29" s="53" t="s">
        <v>50</v>
      </c>
      <c r="T29" s="53" t="s">
        <v>50</v>
      </c>
      <c r="U29" s="53" t="s">
        <v>50</v>
      </c>
      <c r="V29" s="53" t="s">
        <v>50</v>
      </c>
      <c r="W29" s="53" t="s">
        <v>50</v>
      </c>
      <c r="AC29" s="402" t="s">
        <v>50</v>
      </c>
      <c r="AD29" s="53" t="s">
        <v>50</v>
      </c>
      <c r="AE29" s="53" t="s">
        <v>50</v>
      </c>
      <c r="AP29" t="s">
        <v>864</v>
      </c>
      <c r="AQ29" t="s">
        <v>268</v>
      </c>
      <c r="AR29" t="s">
        <v>350</v>
      </c>
      <c r="AS29">
        <v>90</v>
      </c>
      <c r="AU29" t="s">
        <v>499</v>
      </c>
      <c r="AV29" t="s">
        <v>276</v>
      </c>
      <c r="AW29" t="s">
        <v>469</v>
      </c>
      <c r="AX29">
        <v>11</v>
      </c>
    </row>
    <row r="30" spans="1:50" ht="14.95" customHeight="1" thickBot="1" x14ac:dyDescent="0.3">
      <c r="A30" s="71" t="s">
        <v>1001</v>
      </c>
      <c r="B30" s="117">
        <v>0</v>
      </c>
      <c r="C30" s="68">
        <v>0</v>
      </c>
      <c r="D30" s="361">
        <v>0</v>
      </c>
      <c r="E30" s="6">
        <f t="shared" si="0"/>
        <v>0</v>
      </c>
      <c r="F30" s="99" t="s">
        <v>1001</v>
      </c>
      <c r="G30" s="118">
        <v>0</v>
      </c>
      <c r="H30" s="69">
        <v>0</v>
      </c>
      <c r="I30" s="375">
        <v>0</v>
      </c>
      <c r="J30" s="98">
        <f t="shared" si="1"/>
        <v>0</v>
      </c>
      <c r="K30" s="18" t="s">
        <v>225</v>
      </c>
      <c r="L30" s="53" t="s">
        <v>50</v>
      </c>
      <c r="M30" s="53" t="s">
        <v>50</v>
      </c>
      <c r="N30" s="53" t="s">
        <v>50</v>
      </c>
      <c r="O30" s="53" t="s">
        <v>50</v>
      </c>
      <c r="P30" s="53" t="s">
        <v>50</v>
      </c>
      <c r="Q30" s="53" t="s">
        <v>50</v>
      </c>
      <c r="R30" s="53">
        <v>0</v>
      </c>
      <c r="S30" s="53">
        <v>1</v>
      </c>
      <c r="T30" s="54">
        <f>SUM(R30/S30)*100</f>
        <v>0</v>
      </c>
      <c r="U30" s="132" t="s">
        <v>50</v>
      </c>
      <c r="V30" s="53" t="s">
        <v>50</v>
      </c>
      <c r="W30" s="53" t="s">
        <v>50</v>
      </c>
      <c r="AC30" s="132" t="s">
        <v>50</v>
      </c>
      <c r="AD30" s="53" t="s">
        <v>50</v>
      </c>
      <c r="AE30" s="53" t="s">
        <v>50</v>
      </c>
      <c r="AP30" t="s">
        <v>865</v>
      </c>
      <c r="AQ30" t="s">
        <v>274</v>
      </c>
      <c r="AR30" t="s">
        <v>327</v>
      </c>
      <c r="AS30">
        <v>80</v>
      </c>
      <c r="AU30" t="s">
        <v>871</v>
      </c>
      <c r="AV30" t="s">
        <v>274</v>
      </c>
      <c r="AW30" t="s">
        <v>462</v>
      </c>
      <c r="AX30">
        <v>11</v>
      </c>
    </row>
    <row r="31" spans="1:50" ht="14.95" customHeight="1" thickBot="1" x14ac:dyDescent="0.3">
      <c r="A31" s="71" t="s">
        <v>148</v>
      </c>
      <c r="B31" s="117">
        <v>0</v>
      </c>
      <c r="C31" s="68">
        <v>0</v>
      </c>
      <c r="D31" s="361">
        <v>0</v>
      </c>
      <c r="E31" s="6">
        <f t="shared" si="0"/>
        <v>0</v>
      </c>
      <c r="F31" s="99" t="s">
        <v>148</v>
      </c>
      <c r="G31" s="118">
        <v>0</v>
      </c>
      <c r="H31" s="69">
        <v>0</v>
      </c>
      <c r="I31" s="375">
        <v>0</v>
      </c>
      <c r="J31" s="98">
        <f t="shared" si="1"/>
        <v>0</v>
      </c>
      <c r="K31" s="18" t="s">
        <v>66</v>
      </c>
      <c r="L31" s="53" t="s">
        <v>50</v>
      </c>
      <c r="M31" s="53" t="s">
        <v>50</v>
      </c>
      <c r="N31" s="53" t="s">
        <v>50</v>
      </c>
      <c r="O31" s="53">
        <v>5</v>
      </c>
      <c r="P31" s="53">
        <v>8</v>
      </c>
      <c r="Q31" s="54">
        <f>SUM(O31/P31)*100</f>
        <v>62.5</v>
      </c>
      <c r="R31" s="53" t="s">
        <v>50</v>
      </c>
      <c r="S31" s="53" t="s">
        <v>50</v>
      </c>
      <c r="T31" s="53" t="s">
        <v>50</v>
      </c>
      <c r="U31" s="132" t="s">
        <v>50</v>
      </c>
      <c r="V31" s="53" t="s">
        <v>50</v>
      </c>
      <c r="W31" s="53" t="s">
        <v>50</v>
      </c>
      <c r="AC31" s="132" t="s">
        <v>50</v>
      </c>
      <c r="AD31" s="53" t="s">
        <v>50</v>
      </c>
      <c r="AE31" s="53" t="s">
        <v>50</v>
      </c>
      <c r="AP31" t="s">
        <v>866</v>
      </c>
      <c r="AR31" t="s">
        <v>351</v>
      </c>
      <c r="AS31">
        <v>75</v>
      </c>
      <c r="AU31" t="s">
        <v>625</v>
      </c>
      <c r="AV31" t="s">
        <v>268</v>
      </c>
      <c r="AW31" t="s">
        <v>552</v>
      </c>
      <c r="AX31">
        <v>11</v>
      </c>
    </row>
    <row r="32" spans="1:50" ht="14.95" customHeight="1" thickBot="1" x14ac:dyDescent="0.3">
      <c r="A32" s="71" t="s">
        <v>59</v>
      </c>
      <c r="B32" s="117">
        <v>0</v>
      </c>
      <c r="C32" s="68">
        <v>0</v>
      </c>
      <c r="D32" s="361">
        <v>0</v>
      </c>
      <c r="E32" s="6">
        <f t="shared" si="0"/>
        <v>0</v>
      </c>
      <c r="F32" s="99" t="s">
        <v>59</v>
      </c>
      <c r="G32" s="118">
        <v>0</v>
      </c>
      <c r="H32" s="69">
        <v>0</v>
      </c>
      <c r="I32" s="375">
        <v>0</v>
      </c>
      <c r="J32" s="98">
        <f t="shared" si="1"/>
        <v>0</v>
      </c>
      <c r="K32" s="18" t="s">
        <v>951</v>
      </c>
      <c r="L32" s="53" t="s">
        <v>50</v>
      </c>
      <c r="M32" s="53" t="s">
        <v>50</v>
      </c>
      <c r="N32" s="53" t="s">
        <v>50</v>
      </c>
      <c r="O32" s="53" t="s">
        <v>50</v>
      </c>
      <c r="P32" s="53" t="s">
        <v>50</v>
      </c>
      <c r="Q32" s="53" t="s">
        <v>50</v>
      </c>
      <c r="R32" s="53">
        <v>3</v>
      </c>
      <c r="S32" s="53">
        <v>4</v>
      </c>
      <c r="T32" s="54">
        <f>SUM(R32/S32)*100</f>
        <v>75</v>
      </c>
      <c r="U32" s="132" t="s">
        <v>50</v>
      </c>
      <c r="V32" s="53" t="s">
        <v>50</v>
      </c>
      <c r="W32" s="53" t="s">
        <v>50</v>
      </c>
      <c r="AC32" s="132" t="s">
        <v>50</v>
      </c>
      <c r="AD32" s="53" t="s">
        <v>50</v>
      </c>
      <c r="AE32" s="53" t="s">
        <v>50</v>
      </c>
      <c r="AP32" t="s">
        <v>591</v>
      </c>
      <c r="AQ32" t="s">
        <v>296</v>
      </c>
      <c r="AR32" t="s">
        <v>481</v>
      </c>
      <c r="AS32">
        <v>72</v>
      </c>
      <c r="AU32" t="s">
        <v>620</v>
      </c>
      <c r="AV32" t="s">
        <v>268</v>
      </c>
      <c r="AW32" t="s">
        <v>479</v>
      </c>
      <c r="AX32">
        <v>10</v>
      </c>
    </row>
    <row r="33" spans="1:50" ht="14.95" customHeight="1" thickBot="1" x14ac:dyDescent="0.3">
      <c r="A33" s="71" t="s">
        <v>66</v>
      </c>
      <c r="B33" s="117">
        <v>0</v>
      </c>
      <c r="C33" s="68">
        <v>0</v>
      </c>
      <c r="D33" s="361">
        <v>1</v>
      </c>
      <c r="E33" s="6">
        <f t="shared" si="0"/>
        <v>1</v>
      </c>
      <c r="F33" s="99" t="s">
        <v>66</v>
      </c>
      <c r="G33" s="118">
        <v>37</v>
      </c>
      <c r="H33" s="69">
        <v>3</v>
      </c>
      <c r="I33" s="375">
        <v>5</v>
      </c>
      <c r="J33" s="98">
        <f t="shared" si="1"/>
        <v>45</v>
      </c>
      <c r="K33" s="18" t="s">
        <v>1279</v>
      </c>
      <c r="L33" s="53">
        <v>2</v>
      </c>
      <c r="M33" s="53">
        <v>3</v>
      </c>
      <c r="N33" s="54">
        <f>SUM(L33/M33)*100</f>
        <v>66.666666666666657</v>
      </c>
      <c r="O33" s="53" t="s">
        <v>50</v>
      </c>
      <c r="P33" s="53" t="s">
        <v>50</v>
      </c>
      <c r="Q33" s="53" t="s">
        <v>50</v>
      </c>
      <c r="R33" s="53">
        <v>9</v>
      </c>
      <c r="S33" s="53">
        <v>12</v>
      </c>
      <c r="T33" s="54">
        <f>SUM(R33/S33)*100</f>
        <v>75</v>
      </c>
      <c r="U33" s="132" t="s">
        <v>50</v>
      </c>
      <c r="V33" s="53" t="s">
        <v>50</v>
      </c>
      <c r="W33" s="53" t="s">
        <v>50</v>
      </c>
      <c r="AC33" s="132" t="s">
        <v>50</v>
      </c>
      <c r="AD33" s="53" t="s">
        <v>50</v>
      </c>
      <c r="AE33" s="53" t="s">
        <v>50</v>
      </c>
      <c r="AP33" t="s">
        <v>867</v>
      </c>
      <c r="AQ33" t="s">
        <v>268</v>
      </c>
      <c r="AR33" t="s">
        <v>464</v>
      </c>
      <c r="AS33">
        <v>70</v>
      </c>
      <c r="AU33" t="s">
        <v>575</v>
      </c>
      <c r="AV33" t="s">
        <v>262</v>
      </c>
      <c r="AW33" t="s">
        <v>462</v>
      </c>
      <c r="AX33">
        <v>10</v>
      </c>
    </row>
    <row r="34" spans="1:50" ht="14.95" customHeight="1" thickBot="1" x14ac:dyDescent="0.3">
      <c r="A34" s="71" t="s">
        <v>106</v>
      </c>
      <c r="B34" s="117">
        <v>0</v>
      </c>
      <c r="C34" s="68">
        <v>0</v>
      </c>
      <c r="D34" s="361">
        <v>0</v>
      </c>
      <c r="E34" s="6">
        <f t="shared" si="0"/>
        <v>0</v>
      </c>
      <c r="F34" s="99" t="s">
        <v>106</v>
      </c>
      <c r="G34" s="118">
        <v>0</v>
      </c>
      <c r="H34" s="69">
        <v>0</v>
      </c>
      <c r="I34" s="375">
        <v>0</v>
      </c>
      <c r="J34" s="98">
        <f t="shared" si="1"/>
        <v>0</v>
      </c>
      <c r="K34" s="18" t="s">
        <v>1271</v>
      </c>
      <c r="L34" s="53">
        <v>5</v>
      </c>
      <c r="M34" s="53">
        <v>5</v>
      </c>
      <c r="N34" s="54">
        <f>SUM(L34/M34)*100</f>
        <v>100</v>
      </c>
      <c r="O34" s="53" t="s">
        <v>50</v>
      </c>
      <c r="P34" s="53" t="s">
        <v>50</v>
      </c>
      <c r="Q34" s="53" t="s">
        <v>50</v>
      </c>
      <c r="R34" s="53" t="s">
        <v>50</v>
      </c>
      <c r="S34" s="53" t="s">
        <v>50</v>
      </c>
      <c r="T34" s="53" t="s">
        <v>50</v>
      </c>
      <c r="U34" s="53" t="s">
        <v>50</v>
      </c>
      <c r="V34" s="53" t="s">
        <v>50</v>
      </c>
      <c r="W34" s="53" t="s">
        <v>50</v>
      </c>
      <c r="AC34" s="402" t="s">
        <v>50</v>
      </c>
      <c r="AD34" s="53" t="s">
        <v>50</v>
      </c>
      <c r="AE34" s="53" t="s">
        <v>50</v>
      </c>
      <c r="AP34" t="s">
        <v>519</v>
      </c>
      <c r="AQ34" t="s">
        <v>277</v>
      </c>
      <c r="AR34" t="s">
        <v>440</v>
      </c>
      <c r="AS34">
        <v>70</v>
      </c>
      <c r="AU34" t="s">
        <v>873</v>
      </c>
      <c r="AV34" t="s">
        <v>283</v>
      </c>
      <c r="AW34" t="s">
        <v>342</v>
      </c>
      <c r="AX34">
        <v>9</v>
      </c>
    </row>
    <row r="35" spans="1:50" ht="14.95" customHeight="1" thickBot="1" x14ac:dyDescent="0.3">
      <c r="A35" s="71" t="s">
        <v>33</v>
      </c>
      <c r="B35" s="117">
        <v>0</v>
      </c>
      <c r="C35" s="68">
        <v>0</v>
      </c>
      <c r="D35" s="361">
        <v>0</v>
      </c>
      <c r="E35" s="6">
        <f t="shared" si="0"/>
        <v>0</v>
      </c>
      <c r="F35" s="99" t="s">
        <v>33</v>
      </c>
      <c r="G35" s="118">
        <v>0</v>
      </c>
      <c r="H35" s="69">
        <v>0</v>
      </c>
      <c r="I35" s="375">
        <v>0</v>
      </c>
      <c r="J35" s="98">
        <f t="shared" si="1"/>
        <v>0</v>
      </c>
      <c r="K35" s="258" t="s">
        <v>932</v>
      </c>
      <c r="L35" s="53" t="s">
        <v>50</v>
      </c>
      <c r="M35" s="53" t="s">
        <v>50</v>
      </c>
      <c r="N35" s="53" t="s">
        <v>50</v>
      </c>
      <c r="O35" s="53">
        <v>5</v>
      </c>
      <c r="P35" s="53">
        <v>6</v>
      </c>
      <c r="Q35" s="54">
        <f>SUM(O35/P35)*100</f>
        <v>83.333333333333343</v>
      </c>
      <c r="R35" s="53">
        <v>5</v>
      </c>
      <c r="S35" s="53">
        <v>7</v>
      </c>
      <c r="T35" s="54">
        <f>SUM(R35/S35)*100</f>
        <v>71.428571428571431</v>
      </c>
      <c r="U35" s="132" t="s">
        <v>50</v>
      </c>
      <c r="V35" s="53" t="s">
        <v>50</v>
      </c>
      <c r="W35" s="53" t="s">
        <v>50</v>
      </c>
      <c r="AC35" s="132" t="s">
        <v>50</v>
      </c>
      <c r="AD35" s="53" t="s">
        <v>50</v>
      </c>
      <c r="AE35" s="53" t="s">
        <v>50</v>
      </c>
      <c r="AP35" t="s">
        <v>868</v>
      </c>
      <c r="AQ35" t="s">
        <v>263</v>
      </c>
      <c r="AR35" t="s">
        <v>305</v>
      </c>
      <c r="AS35">
        <v>66</v>
      </c>
      <c r="AU35" t="s">
        <v>874</v>
      </c>
      <c r="AW35" t="s">
        <v>562</v>
      </c>
      <c r="AX35">
        <v>9</v>
      </c>
    </row>
    <row r="36" spans="1:50" ht="14.95" customHeight="1" thickBot="1" x14ac:dyDescent="0.3">
      <c r="A36" s="71" t="s">
        <v>60</v>
      </c>
      <c r="B36" s="117">
        <v>0</v>
      </c>
      <c r="C36" s="68">
        <v>0</v>
      </c>
      <c r="D36" s="361">
        <v>0</v>
      </c>
      <c r="E36" s="6">
        <f t="shared" si="0"/>
        <v>0</v>
      </c>
      <c r="F36" s="99" t="s">
        <v>60</v>
      </c>
      <c r="G36" s="118">
        <v>0</v>
      </c>
      <c r="H36" s="69">
        <v>0</v>
      </c>
      <c r="I36" s="375">
        <v>0</v>
      </c>
      <c r="J36" s="98">
        <f t="shared" si="1"/>
        <v>0</v>
      </c>
      <c r="K36" s="18" t="s">
        <v>931</v>
      </c>
      <c r="L36" s="53" t="s">
        <v>50</v>
      </c>
      <c r="M36" s="53" t="s">
        <v>50</v>
      </c>
      <c r="N36" s="53" t="s">
        <v>50</v>
      </c>
      <c r="O36" s="53">
        <v>6</v>
      </c>
      <c r="P36" s="53">
        <v>8</v>
      </c>
      <c r="Q36" s="54">
        <f>SUM(O36/P36)*100</f>
        <v>75</v>
      </c>
      <c r="R36" s="53">
        <v>0</v>
      </c>
      <c r="S36" s="53">
        <v>2</v>
      </c>
      <c r="T36" s="54">
        <f>SUM(R36/S36)*100</f>
        <v>0</v>
      </c>
      <c r="U36" s="132" t="s">
        <v>50</v>
      </c>
      <c r="V36" s="53" t="s">
        <v>50</v>
      </c>
      <c r="W36" s="53" t="s">
        <v>50</v>
      </c>
      <c r="AC36" s="132" t="s">
        <v>50</v>
      </c>
      <c r="AD36" s="53" t="s">
        <v>50</v>
      </c>
      <c r="AE36" s="53" t="s">
        <v>50</v>
      </c>
      <c r="AP36" t="s">
        <v>869</v>
      </c>
      <c r="AQ36" t="s">
        <v>283</v>
      </c>
      <c r="AR36" t="s">
        <v>485</v>
      </c>
      <c r="AS36">
        <v>65</v>
      </c>
      <c r="AU36" t="s">
        <v>538</v>
      </c>
      <c r="AV36" t="s">
        <v>278</v>
      </c>
      <c r="AW36" t="s">
        <v>286</v>
      </c>
      <c r="AX36">
        <v>9</v>
      </c>
    </row>
    <row r="37" spans="1:50" ht="14.95" customHeight="1" thickBot="1" x14ac:dyDescent="0.3">
      <c r="A37" s="71" t="s">
        <v>1272</v>
      </c>
      <c r="B37" s="117">
        <v>2</v>
      </c>
      <c r="C37" s="68">
        <v>1</v>
      </c>
      <c r="D37" s="361">
        <v>0</v>
      </c>
      <c r="E37" s="6">
        <f t="shared" si="0"/>
        <v>3</v>
      </c>
      <c r="F37" s="99" t="s">
        <v>1272</v>
      </c>
      <c r="G37" s="118">
        <v>10</v>
      </c>
      <c r="H37" s="69">
        <v>5</v>
      </c>
      <c r="I37" s="375">
        <v>0</v>
      </c>
      <c r="J37" s="98">
        <f t="shared" si="1"/>
        <v>15</v>
      </c>
      <c r="K37" s="512" t="s">
        <v>1281</v>
      </c>
      <c r="L37" s="551"/>
      <c r="M37" s="551"/>
      <c r="N37" s="551"/>
      <c r="O37" s="551"/>
      <c r="P37" s="551"/>
      <c r="Q37" s="551"/>
      <c r="R37" s="551"/>
      <c r="S37" s="551"/>
      <c r="T37" s="551"/>
      <c r="U37" s="551"/>
      <c r="V37" s="551"/>
      <c r="W37" s="551"/>
      <c r="X37" s="551"/>
      <c r="Y37" s="551"/>
      <c r="Z37" s="551"/>
      <c r="AA37" s="551"/>
      <c r="AB37" s="551"/>
      <c r="AC37" s="551"/>
      <c r="AD37" s="551"/>
      <c r="AE37" s="551"/>
      <c r="AF37" s="551"/>
      <c r="AG37" s="551"/>
      <c r="AH37" s="551"/>
      <c r="AI37" s="551"/>
      <c r="AJ37" s="97"/>
      <c r="AK37" s="97"/>
      <c r="AL37" s="97"/>
      <c r="AM37" s="97"/>
      <c r="AP37" t="s">
        <v>870</v>
      </c>
      <c r="AQ37" t="s">
        <v>260</v>
      </c>
      <c r="AR37" t="s">
        <v>561</v>
      </c>
      <c r="AS37">
        <v>58</v>
      </c>
      <c r="AU37" t="s">
        <v>352</v>
      </c>
      <c r="AV37" t="s">
        <v>260</v>
      </c>
      <c r="AW37" t="s">
        <v>556</v>
      </c>
      <c r="AX37">
        <v>9</v>
      </c>
    </row>
    <row r="38" spans="1:50" ht="14.95" customHeight="1" thickBot="1" x14ac:dyDescent="0.3">
      <c r="A38" s="71" t="s">
        <v>1025</v>
      </c>
      <c r="B38" s="117">
        <v>0</v>
      </c>
      <c r="C38" s="68">
        <v>0</v>
      </c>
      <c r="D38" s="361">
        <v>0</v>
      </c>
      <c r="E38" s="6">
        <f t="shared" si="0"/>
        <v>0</v>
      </c>
      <c r="F38" s="99" t="s">
        <v>1025</v>
      </c>
      <c r="G38" s="118">
        <v>0</v>
      </c>
      <c r="H38" s="69">
        <v>0</v>
      </c>
      <c r="I38" s="375">
        <v>0</v>
      </c>
      <c r="J38" s="98">
        <f t="shared" si="1"/>
        <v>0</v>
      </c>
      <c r="AP38" t="s">
        <v>573</v>
      </c>
      <c r="AQ38" t="s">
        <v>259</v>
      </c>
      <c r="AR38" t="s">
        <v>491</v>
      </c>
      <c r="AS38">
        <v>58</v>
      </c>
      <c r="AU38" t="s">
        <v>876</v>
      </c>
      <c r="AW38" t="s">
        <v>556</v>
      </c>
      <c r="AX38">
        <v>9</v>
      </c>
    </row>
    <row r="39" spans="1:50" ht="14.95" customHeight="1" thickBot="1" x14ac:dyDescent="0.3">
      <c r="A39" s="71" t="s">
        <v>7</v>
      </c>
      <c r="B39" s="117">
        <v>0</v>
      </c>
      <c r="C39" s="68">
        <v>0</v>
      </c>
      <c r="D39" s="361">
        <v>0</v>
      </c>
      <c r="E39" s="6">
        <f t="shared" si="0"/>
        <v>0</v>
      </c>
      <c r="F39" s="99" t="s">
        <v>7</v>
      </c>
      <c r="G39" s="118">
        <v>0</v>
      </c>
      <c r="H39" s="69">
        <v>0</v>
      </c>
      <c r="I39" s="375">
        <v>0</v>
      </c>
      <c r="J39" s="98">
        <f t="shared" si="1"/>
        <v>0</v>
      </c>
      <c r="AP39" t="s">
        <v>499</v>
      </c>
      <c r="AQ39" t="s">
        <v>276</v>
      </c>
      <c r="AR39" t="s">
        <v>469</v>
      </c>
      <c r="AS39">
        <v>55</v>
      </c>
      <c r="AU39" t="s">
        <v>879</v>
      </c>
      <c r="AV39" t="s">
        <v>268</v>
      </c>
      <c r="AW39" t="s">
        <v>375</v>
      </c>
      <c r="AX39">
        <v>8</v>
      </c>
    </row>
    <row r="40" spans="1:50" ht="14.95" customHeight="1" thickBot="1" x14ac:dyDescent="0.3">
      <c r="A40" s="71" t="s">
        <v>224</v>
      </c>
      <c r="B40" s="117">
        <v>0</v>
      </c>
      <c r="C40" s="68">
        <v>0</v>
      </c>
      <c r="D40" s="361">
        <v>0</v>
      </c>
      <c r="E40" s="6">
        <f t="shared" si="0"/>
        <v>0</v>
      </c>
      <c r="F40" s="99" t="s">
        <v>224</v>
      </c>
      <c r="G40" s="118">
        <v>0</v>
      </c>
      <c r="H40" s="69">
        <v>0</v>
      </c>
      <c r="I40" s="375">
        <v>0</v>
      </c>
      <c r="J40" s="98">
        <f t="shared" si="1"/>
        <v>0</v>
      </c>
      <c r="AP40" t="s">
        <v>871</v>
      </c>
      <c r="AQ40" t="s">
        <v>274</v>
      </c>
      <c r="AR40" t="s">
        <v>462</v>
      </c>
      <c r="AS40">
        <v>55</v>
      </c>
      <c r="AU40" t="s">
        <v>880</v>
      </c>
      <c r="AV40" t="s">
        <v>262</v>
      </c>
      <c r="AW40" t="s">
        <v>291</v>
      </c>
      <c r="AX40">
        <v>8</v>
      </c>
    </row>
    <row r="41" spans="1:50" ht="14.95" customHeight="1" thickBot="1" x14ac:dyDescent="0.3">
      <c r="A41" s="71" t="s">
        <v>225</v>
      </c>
      <c r="B41" s="117">
        <v>2</v>
      </c>
      <c r="C41" s="68">
        <v>1</v>
      </c>
      <c r="D41" s="361">
        <v>0</v>
      </c>
      <c r="E41" s="6">
        <f t="shared" si="0"/>
        <v>3</v>
      </c>
      <c r="F41" s="99" t="s">
        <v>225</v>
      </c>
      <c r="G41" s="118">
        <v>10</v>
      </c>
      <c r="H41" s="69">
        <v>5</v>
      </c>
      <c r="I41" s="375">
        <v>0</v>
      </c>
      <c r="J41" s="98">
        <f t="shared" si="1"/>
        <v>15</v>
      </c>
      <c r="AP41" t="s">
        <v>625</v>
      </c>
      <c r="AQ41" t="s">
        <v>268</v>
      </c>
      <c r="AR41" t="s">
        <v>552</v>
      </c>
      <c r="AS41">
        <v>55</v>
      </c>
      <c r="AU41" t="s">
        <v>881</v>
      </c>
      <c r="AW41" t="s">
        <v>351</v>
      </c>
      <c r="AX41">
        <v>8</v>
      </c>
    </row>
    <row r="42" spans="1:50" ht="14.95" customHeight="1" thickBot="1" x14ac:dyDescent="0.3">
      <c r="A42" s="71" t="s">
        <v>159</v>
      </c>
      <c r="B42" s="117">
        <v>1</v>
      </c>
      <c r="C42" s="68">
        <v>1</v>
      </c>
      <c r="D42" s="361">
        <v>0</v>
      </c>
      <c r="E42" s="6">
        <f t="shared" si="0"/>
        <v>2</v>
      </c>
      <c r="F42" s="99" t="s">
        <v>159</v>
      </c>
      <c r="G42" s="118">
        <v>5</v>
      </c>
      <c r="H42" s="69">
        <v>5</v>
      </c>
      <c r="I42" s="375">
        <v>0</v>
      </c>
      <c r="J42" s="98">
        <f t="shared" si="1"/>
        <v>10</v>
      </c>
      <c r="AP42" t="s">
        <v>352</v>
      </c>
      <c r="AQ42" t="s">
        <v>260</v>
      </c>
      <c r="AR42" t="s">
        <v>556</v>
      </c>
      <c r="AS42">
        <v>52</v>
      </c>
      <c r="AU42" t="s">
        <v>882</v>
      </c>
      <c r="AV42" t="s">
        <v>262</v>
      </c>
      <c r="AW42" t="s">
        <v>316</v>
      </c>
      <c r="AX42">
        <v>7</v>
      </c>
    </row>
    <row r="43" spans="1:50" ht="14.95" customHeight="1" thickBot="1" x14ac:dyDescent="0.3">
      <c r="A43" s="71" t="s">
        <v>951</v>
      </c>
      <c r="B43" s="117">
        <v>0</v>
      </c>
      <c r="C43" s="68">
        <v>0</v>
      </c>
      <c r="D43" s="361">
        <v>0</v>
      </c>
      <c r="E43" s="6">
        <f t="shared" si="0"/>
        <v>0</v>
      </c>
      <c r="F43" s="99" t="s">
        <v>951</v>
      </c>
      <c r="G43" s="118">
        <v>0</v>
      </c>
      <c r="H43" s="69">
        <v>0</v>
      </c>
      <c r="I43" s="375">
        <v>0</v>
      </c>
      <c r="J43" s="98">
        <f t="shared" si="1"/>
        <v>0</v>
      </c>
      <c r="AP43" t="s">
        <v>872</v>
      </c>
      <c r="AR43" t="s">
        <v>556</v>
      </c>
      <c r="AS43">
        <v>51</v>
      </c>
      <c r="AU43" t="s">
        <v>883</v>
      </c>
      <c r="AV43" t="s">
        <v>262</v>
      </c>
      <c r="AW43" t="s">
        <v>379</v>
      </c>
      <c r="AX43">
        <v>7</v>
      </c>
    </row>
    <row r="44" spans="1:50" ht="14.95" customHeight="1" thickBot="1" x14ac:dyDescent="0.3">
      <c r="A44" s="71" t="s">
        <v>1274</v>
      </c>
      <c r="B44" s="117">
        <v>0</v>
      </c>
      <c r="C44" s="68">
        <v>0</v>
      </c>
      <c r="D44" s="361">
        <v>0</v>
      </c>
      <c r="E44" s="6">
        <f t="shared" si="0"/>
        <v>0</v>
      </c>
      <c r="F44" s="99" t="s">
        <v>1274</v>
      </c>
      <c r="G44" s="118">
        <v>41</v>
      </c>
      <c r="H44" s="69">
        <v>12</v>
      </c>
      <c r="I44" s="375">
        <v>9</v>
      </c>
      <c r="J44" s="98">
        <f t="shared" si="1"/>
        <v>62</v>
      </c>
      <c r="AP44" t="s">
        <v>620</v>
      </c>
      <c r="AQ44" t="s">
        <v>268</v>
      </c>
      <c r="AR44" t="s">
        <v>479</v>
      </c>
      <c r="AS44">
        <v>50</v>
      </c>
      <c r="AU44" t="s">
        <v>884</v>
      </c>
      <c r="AV44" t="s">
        <v>262</v>
      </c>
      <c r="AW44" t="s">
        <v>562</v>
      </c>
      <c r="AX44">
        <v>7</v>
      </c>
    </row>
    <row r="45" spans="1:50" ht="14.95" customHeight="1" thickBot="1" x14ac:dyDescent="0.3">
      <c r="A45" s="71" t="s">
        <v>1270</v>
      </c>
      <c r="B45" s="117">
        <v>0</v>
      </c>
      <c r="C45" s="68">
        <v>0</v>
      </c>
      <c r="D45" s="361">
        <v>0</v>
      </c>
      <c r="E45" s="6">
        <f t="shared" si="0"/>
        <v>0</v>
      </c>
      <c r="F45" s="99" t="s">
        <v>1270</v>
      </c>
      <c r="G45" s="118">
        <v>0</v>
      </c>
      <c r="H45" s="69">
        <v>0</v>
      </c>
      <c r="I45" s="375">
        <v>0</v>
      </c>
      <c r="J45" s="98">
        <f t="shared" si="1"/>
        <v>0</v>
      </c>
      <c r="AP45" t="s">
        <v>575</v>
      </c>
      <c r="AQ45" t="s">
        <v>262</v>
      </c>
      <c r="AR45" t="s">
        <v>462</v>
      </c>
      <c r="AS45">
        <v>50</v>
      </c>
      <c r="AU45" t="s">
        <v>885</v>
      </c>
      <c r="AV45" t="s">
        <v>284</v>
      </c>
      <c r="AW45" t="s">
        <v>305</v>
      </c>
      <c r="AX45">
        <v>7</v>
      </c>
    </row>
    <row r="46" spans="1:50" ht="14.95" customHeight="1" thickBot="1" x14ac:dyDescent="0.3">
      <c r="A46" s="71" t="s">
        <v>58</v>
      </c>
      <c r="B46" s="117">
        <v>3</v>
      </c>
      <c r="C46" s="68">
        <v>1</v>
      </c>
      <c r="D46" s="361">
        <v>0</v>
      </c>
      <c r="E46" s="6">
        <f t="shared" si="0"/>
        <v>4</v>
      </c>
      <c r="F46" s="99" t="s">
        <v>58</v>
      </c>
      <c r="G46" s="118">
        <v>15</v>
      </c>
      <c r="H46" s="69">
        <v>5</v>
      </c>
      <c r="I46" s="375">
        <v>0</v>
      </c>
      <c r="J46" s="98">
        <f t="shared" si="1"/>
        <v>20</v>
      </c>
      <c r="AP46" t="s">
        <v>873</v>
      </c>
      <c r="AQ46" t="s">
        <v>283</v>
      </c>
      <c r="AR46" t="s">
        <v>342</v>
      </c>
      <c r="AS46">
        <v>45</v>
      </c>
      <c r="AU46" t="s">
        <v>523</v>
      </c>
      <c r="AV46" t="s">
        <v>262</v>
      </c>
      <c r="AW46" t="s">
        <v>564</v>
      </c>
      <c r="AX46">
        <v>6</v>
      </c>
    </row>
    <row r="47" spans="1:50" ht="14.95" customHeight="1" thickBot="1" x14ac:dyDescent="0.3">
      <c r="A47" s="71" t="s">
        <v>1271</v>
      </c>
      <c r="B47" s="117">
        <v>1</v>
      </c>
      <c r="C47" s="68">
        <v>0</v>
      </c>
      <c r="D47" s="361">
        <v>0</v>
      </c>
      <c r="E47" s="6">
        <f t="shared" si="0"/>
        <v>1</v>
      </c>
      <c r="F47" s="99" t="s">
        <v>1271</v>
      </c>
      <c r="G47" s="118">
        <v>116</v>
      </c>
      <c r="H47" s="69">
        <v>30</v>
      </c>
      <c r="I47" s="375">
        <v>17</v>
      </c>
      <c r="J47" s="98">
        <f t="shared" si="1"/>
        <v>163</v>
      </c>
      <c r="AP47" t="s">
        <v>874</v>
      </c>
      <c r="AR47" t="s">
        <v>562</v>
      </c>
      <c r="AS47">
        <v>45</v>
      </c>
      <c r="AU47" t="s">
        <v>886</v>
      </c>
      <c r="AV47" t="s">
        <v>264</v>
      </c>
      <c r="AW47" t="s">
        <v>562</v>
      </c>
      <c r="AX47">
        <v>6</v>
      </c>
    </row>
    <row r="48" spans="1:50" ht="14.95" customHeight="1" thickBot="1" x14ac:dyDescent="0.3">
      <c r="A48" s="71" t="s">
        <v>1008</v>
      </c>
      <c r="B48" s="117">
        <v>2</v>
      </c>
      <c r="C48" s="68">
        <v>0</v>
      </c>
      <c r="D48" s="361">
        <v>0</v>
      </c>
      <c r="E48" s="6">
        <f t="shared" si="0"/>
        <v>2</v>
      </c>
      <c r="F48" s="99" t="s">
        <v>1008</v>
      </c>
      <c r="G48" s="118">
        <v>10</v>
      </c>
      <c r="H48" s="69">
        <v>0</v>
      </c>
      <c r="I48" s="375">
        <v>0</v>
      </c>
      <c r="J48" s="98">
        <f t="shared" si="1"/>
        <v>10</v>
      </c>
      <c r="AP48" t="s">
        <v>538</v>
      </c>
      <c r="AQ48" t="s">
        <v>278</v>
      </c>
      <c r="AR48" t="s">
        <v>286</v>
      </c>
      <c r="AS48">
        <v>45</v>
      </c>
      <c r="AU48" t="s">
        <v>666</v>
      </c>
      <c r="AV48" t="s">
        <v>262</v>
      </c>
      <c r="AW48" t="s">
        <v>658</v>
      </c>
      <c r="AX48">
        <v>6</v>
      </c>
    </row>
    <row r="49" spans="1:50" ht="14.95" thickBot="1" x14ac:dyDescent="0.3">
      <c r="A49" s="71" t="s">
        <v>429</v>
      </c>
      <c r="B49" s="117">
        <v>1</v>
      </c>
      <c r="C49" s="68">
        <v>0</v>
      </c>
      <c r="D49" s="361">
        <v>0</v>
      </c>
      <c r="E49" s="6">
        <f t="shared" si="0"/>
        <v>1</v>
      </c>
      <c r="F49" s="99" t="s">
        <v>429</v>
      </c>
      <c r="G49" s="118">
        <v>5</v>
      </c>
      <c r="H49" s="69">
        <v>0</v>
      </c>
      <c r="I49" s="375">
        <v>0</v>
      </c>
      <c r="J49" s="98">
        <f t="shared" si="1"/>
        <v>5</v>
      </c>
      <c r="AP49" t="s">
        <v>875</v>
      </c>
      <c r="AQ49" t="s">
        <v>259</v>
      </c>
      <c r="AR49" t="s">
        <v>409</v>
      </c>
      <c r="AS49">
        <v>45</v>
      </c>
      <c r="AU49" t="s">
        <v>887</v>
      </c>
      <c r="AV49" t="s">
        <v>264</v>
      </c>
      <c r="AW49" t="s">
        <v>556</v>
      </c>
      <c r="AX49">
        <v>6</v>
      </c>
    </row>
    <row r="50" spans="1:50" ht="14.95" thickBot="1" x14ac:dyDescent="0.3">
      <c r="A50" s="71" t="s">
        <v>931</v>
      </c>
      <c r="B50" s="117">
        <v>0</v>
      </c>
      <c r="C50" s="68">
        <v>0</v>
      </c>
      <c r="D50" s="361">
        <v>0</v>
      </c>
      <c r="E50" s="6">
        <f t="shared" si="0"/>
        <v>0</v>
      </c>
      <c r="F50" s="99" t="s">
        <v>931</v>
      </c>
      <c r="G50" s="118">
        <v>0</v>
      </c>
      <c r="H50" s="69">
        <v>0</v>
      </c>
      <c r="I50" s="375">
        <v>0</v>
      </c>
      <c r="J50" s="98">
        <f t="shared" si="1"/>
        <v>0</v>
      </c>
      <c r="AP50" t="s">
        <v>876</v>
      </c>
      <c r="AR50" t="s">
        <v>556</v>
      </c>
      <c r="AS50">
        <v>45</v>
      </c>
      <c r="AU50" t="s">
        <v>591</v>
      </c>
      <c r="AV50" t="s">
        <v>296</v>
      </c>
      <c r="AW50" t="s">
        <v>481</v>
      </c>
      <c r="AX50">
        <v>6</v>
      </c>
    </row>
    <row r="51" spans="1:50" ht="14.95" thickBot="1" x14ac:dyDescent="0.3">
      <c r="A51" s="71" t="s">
        <v>102</v>
      </c>
      <c r="B51" s="117">
        <v>6</v>
      </c>
      <c r="C51" s="68">
        <v>1</v>
      </c>
      <c r="D51" s="361">
        <v>1</v>
      </c>
      <c r="E51" s="6">
        <f t="shared" si="0"/>
        <v>8</v>
      </c>
      <c r="F51" s="99" t="s">
        <v>102</v>
      </c>
      <c r="G51" s="118">
        <v>30</v>
      </c>
      <c r="H51" s="69">
        <v>5</v>
      </c>
      <c r="I51" s="375">
        <v>5</v>
      </c>
      <c r="J51" s="98">
        <f t="shared" si="1"/>
        <v>40</v>
      </c>
    </row>
    <row r="52" spans="1:50" ht="14.95" thickBot="1" x14ac:dyDescent="0.3">
      <c r="A52" s="71" t="s">
        <v>1276</v>
      </c>
      <c r="B52" s="117">
        <v>0</v>
      </c>
      <c r="C52" s="68">
        <v>0</v>
      </c>
      <c r="D52" s="361">
        <v>0</v>
      </c>
      <c r="E52" s="6">
        <f t="shared" si="0"/>
        <v>0</v>
      </c>
      <c r="F52" s="99" t="s">
        <v>1276</v>
      </c>
      <c r="G52" s="118">
        <v>0</v>
      </c>
      <c r="H52" s="69">
        <v>0</v>
      </c>
      <c r="I52" s="375">
        <v>0</v>
      </c>
      <c r="J52" s="98">
        <f t="shared" si="1"/>
        <v>0</v>
      </c>
    </row>
    <row r="53" spans="1:50" ht="14.95" customHeight="1" thickBot="1" x14ac:dyDescent="0.3">
      <c r="A53" s="71" t="s">
        <v>1016</v>
      </c>
      <c r="B53" s="117">
        <v>0</v>
      </c>
      <c r="C53" s="68">
        <v>0</v>
      </c>
      <c r="D53" s="361">
        <v>0</v>
      </c>
      <c r="E53" s="6">
        <f t="shared" si="0"/>
        <v>0</v>
      </c>
      <c r="F53" s="99" t="s">
        <v>1016</v>
      </c>
      <c r="G53" s="118">
        <v>0</v>
      </c>
      <c r="H53" s="69">
        <v>0</v>
      </c>
      <c r="I53" s="375">
        <v>0</v>
      </c>
      <c r="J53" s="98">
        <f t="shared" si="1"/>
        <v>0</v>
      </c>
    </row>
    <row r="54" spans="1:50" ht="14.95" thickBot="1" x14ac:dyDescent="0.3">
      <c r="A54" s="71" t="s">
        <v>1278</v>
      </c>
      <c r="B54" s="117">
        <v>0</v>
      </c>
      <c r="C54" s="68">
        <v>0</v>
      </c>
      <c r="D54" s="361">
        <v>1</v>
      </c>
      <c r="E54" s="6">
        <f t="shared" si="0"/>
        <v>1</v>
      </c>
      <c r="F54" s="99" t="s">
        <v>1278</v>
      </c>
      <c r="G54" s="118">
        <v>0</v>
      </c>
      <c r="H54" s="69">
        <v>0</v>
      </c>
      <c r="I54" s="375">
        <v>5</v>
      </c>
      <c r="J54" s="98">
        <f t="shared" si="1"/>
        <v>5</v>
      </c>
    </row>
    <row r="55" spans="1:50" ht="14.95" thickBot="1" x14ac:dyDescent="0.3">
      <c r="A55" s="71" t="s">
        <v>105</v>
      </c>
      <c r="B55" s="117">
        <v>3</v>
      </c>
      <c r="C55" s="68">
        <v>1</v>
      </c>
      <c r="D55" s="361">
        <v>0</v>
      </c>
      <c r="E55" s="6">
        <f t="shared" si="0"/>
        <v>4</v>
      </c>
      <c r="F55" s="99" t="s">
        <v>105</v>
      </c>
      <c r="G55" s="118">
        <v>15</v>
      </c>
      <c r="H55" s="69">
        <v>5</v>
      </c>
      <c r="I55" s="375">
        <v>0</v>
      </c>
      <c r="J55" s="98">
        <f t="shared" si="1"/>
        <v>20</v>
      </c>
    </row>
    <row r="56" spans="1:50" ht="14.95" thickBot="1" x14ac:dyDescent="0.3">
      <c r="A56" s="71" t="s">
        <v>1320</v>
      </c>
      <c r="B56" s="117">
        <v>2</v>
      </c>
      <c r="C56" s="68">
        <v>1</v>
      </c>
      <c r="D56" s="361">
        <v>0</v>
      </c>
      <c r="E56" s="6">
        <f t="shared" si="0"/>
        <v>3</v>
      </c>
      <c r="F56" s="99" t="s">
        <v>1320</v>
      </c>
      <c r="G56" s="118">
        <v>10</v>
      </c>
      <c r="H56" s="69">
        <v>5</v>
      </c>
      <c r="I56" s="375">
        <v>0</v>
      </c>
      <c r="J56" s="98">
        <f t="shared" si="1"/>
        <v>15</v>
      </c>
    </row>
    <row r="57" spans="1:50" ht="14.95" thickBot="1" x14ac:dyDescent="0.3">
      <c r="A57" s="71" t="s">
        <v>3</v>
      </c>
      <c r="B57" s="117">
        <f>SUM(B3:B56)</f>
        <v>56</v>
      </c>
      <c r="C57" s="68">
        <f>SUM(C3:C56)</f>
        <v>13</v>
      </c>
      <c r="D57" s="361">
        <f>SUM(D3:D56)</f>
        <v>7</v>
      </c>
      <c r="E57" s="6">
        <f t="shared" ref="E57" si="2">SUM(B57:D57)</f>
        <v>76</v>
      </c>
      <c r="F57" s="99" t="s">
        <v>3</v>
      </c>
      <c r="G57" s="118">
        <f>SUM(G3:G56)</f>
        <v>483</v>
      </c>
      <c r="H57" s="69">
        <f>SUM(H3:H56)</f>
        <v>116</v>
      </c>
      <c r="I57" s="375">
        <f>SUM(I3:I56)</f>
        <v>63</v>
      </c>
      <c r="J57" s="98">
        <f t="shared" ref="J57" si="3">SUM(G57:I57)</f>
        <v>662</v>
      </c>
    </row>
    <row r="58" spans="1:50" x14ac:dyDescent="0.25">
      <c r="D58" s="343"/>
      <c r="F58" s="96"/>
      <c r="G58" s="44"/>
      <c r="H58" s="44"/>
      <c r="I58" s="344"/>
      <c r="J58" s="44"/>
    </row>
    <row r="59" spans="1:50" ht="14.95" thickBot="1" x14ac:dyDescent="0.3">
      <c r="A59" t="s">
        <v>45</v>
      </c>
      <c r="D59" s="343"/>
      <c r="F59" s="97"/>
      <c r="G59" s="46"/>
      <c r="H59" s="46"/>
      <c r="I59" s="345"/>
      <c r="J59" s="46"/>
    </row>
    <row r="60" spans="1:50" ht="14.95" thickBot="1" x14ac:dyDescent="0.3">
      <c r="A60" s="208" t="s">
        <v>0</v>
      </c>
      <c r="B60" s="217" t="s">
        <v>1072</v>
      </c>
      <c r="C60" s="207" t="s">
        <v>123</v>
      </c>
      <c r="D60" s="360" t="s">
        <v>1073</v>
      </c>
      <c r="E60" s="197" t="s">
        <v>1</v>
      </c>
      <c r="F60" s="209" t="s">
        <v>2</v>
      </c>
      <c r="G60" s="205" t="s">
        <v>1072</v>
      </c>
      <c r="H60" s="210" t="s">
        <v>123</v>
      </c>
      <c r="I60" s="379" t="s">
        <v>1073</v>
      </c>
      <c r="J60" s="206" t="s">
        <v>1</v>
      </c>
    </row>
    <row r="61" spans="1:50" ht="14.95" thickBot="1" x14ac:dyDescent="0.3">
      <c r="A61" s="71" t="s">
        <v>22</v>
      </c>
      <c r="B61" s="117">
        <v>7</v>
      </c>
      <c r="C61" s="68">
        <v>2</v>
      </c>
      <c r="D61" s="361">
        <v>2</v>
      </c>
      <c r="E61" s="6">
        <f t="shared" ref="E61:E92" si="4">SUM(B61:D61)</f>
        <v>11</v>
      </c>
      <c r="F61" s="99" t="s">
        <v>1271</v>
      </c>
      <c r="G61" s="118">
        <v>116</v>
      </c>
      <c r="H61" s="69">
        <v>30</v>
      </c>
      <c r="I61" s="375">
        <v>17</v>
      </c>
      <c r="J61" s="98">
        <f t="shared" ref="J61:J92" si="5">SUM(G61:I61)</f>
        <v>163</v>
      </c>
    </row>
    <row r="62" spans="1:50" ht="14.95" thickBot="1" x14ac:dyDescent="0.3">
      <c r="A62" s="71" t="s">
        <v>74</v>
      </c>
      <c r="B62" s="117">
        <v>7</v>
      </c>
      <c r="C62" s="68">
        <v>2</v>
      </c>
      <c r="D62" s="361">
        <v>0</v>
      </c>
      <c r="E62" s="6">
        <f t="shared" si="4"/>
        <v>9</v>
      </c>
      <c r="F62" s="99" t="s">
        <v>1274</v>
      </c>
      <c r="G62" s="118">
        <v>41</v>
      </c>
      <c r="H62" s="69">
        <v>12</v>
      </c>
      <c r="I62" s="375">
        <v>9</v>
      </c>
      <c r="J62" s="98">
        <f t="shared" si="5"/>
        <v>62</v>
      </c>
    </row>
    <row r="63" spans="1:50" ht="14.95" thickBot="1" x14ac:dyDescent="0.3">
      <c r="A63" s="71" t="s">
        <v>102</v>
      </c>
      <c r="B63" s="117">
        <v>6</v>
      </c>
      <c r="C63" s="68">
        <v>1</v>
      </c>
      <c r="D63" s="361">
        <v>1</v>
      </c>
      <c r="E63" s="6">
        <f t="shared" si="4"/>
        <v>8</v>
      </c>
      <c r="F63" s="99" t="s">
        <v>22</v>
      </c>
      <c r="G63" s="118">
        <v>35</v>
      </c>
      <c r="H63" s="69">
        <v>10</v>
      </c>
      <c r="I63" s="375">
        <v>10</v>
      </c>
      <c r="J63" s="98">
        <f t="shared" si="5"/>
        <v>55</v>
      </c>
    </row>
    <row r="64" spans="1:50" ht="14.95" thickBot="1" x14ac:dyDescent="0.3">
      <c r="A64" s="71" t="s">
        <v>997</v>
      </c>
      <c r="B64" s="117">
        <v>7</v>
      </c>
      <c r="C64" s="68">
        <v>0</v>
      </c>
      <c r="D64" s="361">
        <v>0</v>
      </c>
      <c r="E64" s="6">
        <f t="shared" si="4"/>
        <v>7</v>
      </c>
      <c r="F64" s="99" t="s">
        <v>74</v>
      </c>
      <c r="G64" s="118">
        <v>35</v>
      </c>
      <c r="H64" s="69">
        <v>10</v>
      </c>
      <c r="I64" s="375">
        <v>0</v>
      </c>
      <c r="J64" s="98">
        <f t="shared" si="5"/>
        <v>45</v>
      </c>
    </row>
    <row r="65" spans="1:10" ht="14.95" thickBot="1" x14ac:dyDescent="0.3">
      <c r="A65" s="71" t="s">
        <v>1030</v>
      </c>
      <c r="B65" s="117">
        <v>3</v>
      </c>
      <c r="C65" s="68">
        <v>0</v>
      </c>
      <c r="D65" s="361">
        <v>1</v>
      </c>
      <c r="E65" s="6">
        <f t="shared" si="4"/>
        <v>4</v>
      </c>
      <c r="F65" s="99" t="s">
        <v>66</v>
      </c>
      <c r="G65" s="118">
        <v>37</v>
      </c>
      <c r="H65" s="69">
        <v>3</v>
      </c>
      <c r="I65" s="375">
        <v>5</v>
      </c>
      <c r="J65" s="98">
        <f t="shared" si="5"/>
        <v>45</v>
      </c>
    </row>
    <row r="66" spans="1:10" ht="14.95" thickBot="1" x14ac:dyDescent="0.3">
      <c r="A66" s="71" t="s">
        <v>58</v>
      </c>
      <c r="B66" s="117">
        <v>3</v>
      </c>
      <c r="C66" s="68">
        <v>1</v>
      </c>
      <c r="D66" s="361">
        <v>0</v>
      </c>
      <c r="E66" s="6">
        <f t="shared" si="4"/>
        <v>4</v>
      </c>
      <c r="F66" s="99" t="s">
        <v>102</v>
      </c>
      <c r="G66" s="118">
        <v>30</v>
      </c>
      <c r="H66" s="69">
        <v>5</v>
      </c>
      <c r="I66" s="375">
        <v>5</v>
      </c>
      <c r="J66" s="98">
        <f t="shared" si="5"/>
        <v>40</v>
      </c>
    </row>
    <row r="67" spans="1:10" ht="14.95" thickBot="1" x14ac:dyDescent="0.3">
      <c r="A67" s="71" t="s">
        <v>105</v>
      </c>
      <c r="B67" s="117">
        <v>3</v>
      </c>
      <c r="C67" s="68">
        <v>1</v>
      </c>
      <c r="D67" s="361">
        <v>0</v>
      </c>
      <c r="E67" s="6">
        <f t="shared" si="4"/>
        <v>4</v>
      </c>
      <c r="F67" s="99" t="s">
        <v>997</v>
      </c>
      <c r="G67" s="118">
        <v>35</v>
      </c>
      <c r="H67" s="69">
        <v>0</v>
      </c>
      <c r="I67" s="375">
        <v>0</v>
      </c>
      <c r="J67" s="98">
        <f t="shared" si="5"/>
        <v>35</v>
      </c>
    </row>
    <row r="68" spans="1:10" ht="14.95" thickBot="1" x14ac:dyDescent="0.3">
      <c r="A68" s="71" t="s">
        <v>952</v>
      </c>
      <c r="B68" s="117">
        <v>2</v>
      </c>
      <c r="C68" s="68">
        <v>1</v>
      </c>
      <c r="D68" s="361">
        <v>0</v>
      </c>
      <c r="E68" s="6">
        <f t="shared" si="4"/>
        <v>3</v>
      </c>
      <c r="F68" s="99" t="s">
        <v>100</v>
      </c>
      <c r="G68" s="118">
        <v>24</v>
      </c>
      <c r="H68" s="69">
        <v>6</v>
      </c>
      <c r="I68" s="375">
        <v>0</v>
      </c>
      <c r="J68" s="98">
        <f t="shared" si="5"/>
        <v>30</v>
      </c>
    </row>
    <row r="69" spans="1:10" ht="14.95" thickBot="1" x14ac:dyDescent="0.3">
      <c r="A69" s="71" t="s">
        <v>1272</v>
      </c>
      <c r="B69" s="117">
        <v>2</v>
      </c>
      <c r="C69" s="68">
        <v>1</v>
      </c>
      <c r="D69" s="361">
        <v>0</v>
      </c>
      <c r="E69" s="6">
        <f t="shared" si="4"/>
        <v>3</v>
      </c>
      <c r="F69" s="99" t="s">
        <v>1030</v>
      </c>
      <c r="G69" s="118">
        <v>15</v>
      </c>
      <c r="H69" s="69">
        <v>0</v>
      </c>
      <c r="I69" s="375">
        <v>5</v>
      </c>
      <c r="J69" s="98">
        <f t="shared" si="5"/>
        <v>20</v>
      </c>
    </row>
    <row r="70" spans="1:10" ht="14.95" thickBot="1" x14ac:dyDescent="0.3">
      <c r="A70" s="71" t="s">
        <v>225</v>
      </c>
      <c r="B70" s="117">
        <v>2</v>
      </c>
      <c r="C70" s="68">
        <v>1</v>
      </c>
      <c r="D70" s="361">
        <v>0</v>
      </c>
      <c r="E70" s="6">
        <f t="shared" si="4"/>
        <v>3</v>
      </c>
      <c r="F70" s="99" t="s">
        <v>58</v>
      </c>
      <c r="G70" s="118">
        <v>15</v>
      </c>
      <c r="H70" s="69">
        <v>5</v>
      </c>
      <c r="I70" s="375">
        <v>0</v>
      </c>
      <c r="J70" s="98">
        <f t="shared" si="5"/>
        <v>20</v>
      </c>
    </row>
    <row r="71" spans="1:10" ht="14.95" thickBot="1" x14ac:dyDescent="0.3">
      <c r="A71" s="71" t="s">
        <v>1320</v>
      </c>
      <c r="B71" s="117">
        <v>2</v>
      </c>
      <c r="C71" s="68">
        <v>1</v>
      </c>
      <c r="D71" s="361">
        <v>0</v>
      </c>
      <c r="E71" s="6">
        <f t="shared" si="4"/>
        <v>3</v>
      </c>
      <c r="F71" s="99" t="s">
        <v>105</v>
      </c>
      <c r="G71" s="118">
        <v>15</v>
      </c>
      <c r="H71" s="69">
        <v>5</v>
      </c>
      <c r="I71" s="375">
        <v>0</v>
      </c>
      <c r="J71" s="98">
        <f t="shared" si="5"/>
        <v>20</v>
      </c>
    </row>
    <row r="72" spans="1:10" ht="14.95" thickBot="1" x14ac:dyDescent="0.3">
      <c r="A72" s="71" t="s">
        <v>100</v>
      </c>
      <c r="B72" s="117">
        <v>2</v>
      </c>
      <c r="C72" s="68">
        <v>0</v>
      </c>
      <c r="D72" s="361">
        <v>0</v>
      </c>
      <c r="E72" s="6">
        <f t="shared" si="4"/>
        <v>2</v>
      </c>
      <c r="F72" s="99" t="s">
        <v>952</v>
      </c>
      <c r="G72" s="118">
        <v>10</v>
      </c>
      <c r="H72" s="69">
        <v>5</v>
      </c>
      <c r="I72" s="375">
        <v>0</v>
      </c>
      <c r="J72" s="98">
        <f t="shared" si="5"/>
        <v>15</v>
      </c>
    </row>
    <row r="73" spans="1:10" ht="14.95" thickBot="1" x14ac:dyDescent="0.3">
      <c r="A73" s="71" t="s">
        <v>23</v>
      </c>
      <c r="B73" s="117">
        <v>1</v>
      </c>
      <c r="C73" s="68">
        <v>1</v>
      </c>
      <c r="D73" s="361">
        <v>0</v>
      </c>
      <c r="E73" s="6">
        <f t="shared" si="4"/>
        <v>2</v>
      </c>
      <c r="F73" s="99" t="s">
        <v>1272</v>
      </c>
      <c r="G73" s="118">
        <v>10</v>
      </c>
      <c r="H73" s="69">
        <v>5</v>
      </c>
      <c r="I73" s="375">
        <v>0</v>
      </c>
      <c r="J73" s="98">
        <f t="shared" si="5"/>
        <v>15</v>
      </c>
    </row>
    <row r="74" spans="1:10" ht="14.95" thickBot="1" x14ac:dyDescent="0.3">
      <c r="A74" s="71" t="s">
        <v>159</v>
      </c>
      <c r="B74" s="117">
        <v>1</v>
      </c>
      <c r="C74" s="68">
        <v>1</v>
      </c>
      <c r="D74" s="361">
        <v>0</v>
      </c>
      <c r="E74" s="6">
        <f t="shared" si="4"/>
        <v>2</v>
      </c>
      <c r="F74" s="99" t="s">
        <v>225</v>
      </c>
      <c r="G74" s="118">
        <v>10</v>
      </c>
      <c r="H74" s="69">
        <v>5</v>
      </c>
      <c r="I74" s="375">
        <v>0</v>
      </c>
      <c r="J74" s="98">
        <f t="shared" si="5"/>
        <v>15</v>
      </c>
    </row>
    <row r="75" spans="1:10" ht="14.95" thickBot="1" x14ac:dyDescent="0.3">
      <c r="A75" s="71" t="s">
        <v>1008</v>
      </c>
      <c r="B75" s="117">
        <v>2</v>
      </c>
      <c r="C75" s="68">
        <v>0</v>
      </c>
      <c r="D75" s="361">
        <v>0</v>
      </c>
      <c r="E75" s="6">
        <f t="shared" si="4"/>
        <v>2</v>
      </c>
      <c r="F75" s="99" t="s">
        <v>1320</v>
      </c>
      <c r="G75" s="118">
        <v>10</v>
      </c>
      <c r="H75" s="69">
        <v>5</v>
      </c>
      <c r="I75" s="375">
        <v>0</v>
      </c>
      <c r="J75" s="98">
        <f t="shared" si="5"/>
        <v>15</v>
      </c>
    </row>
    <row r="76" spans="1:10" ht="14.95" thickBot="1" x14ac:dyDescent="0.3">
      <c r="A76" s="71" t="s">
        <v>1773</v>
      </c>
      <c r="B76" s="117">
        <v>0</v>
      </c>
      <c r="C76" s="68">
        <v>0</v>
      </c>
      <c r="D76" s="361">
        <v>1</v>
      </c>
      <c r="E76" s="6">
        <f t="shared" si="4"/>
        <v>1</v>
      </c>
      <c r="F76" s="99" t="s">
        <v>23</v>
      </c>
      <c r="G76" s="118">
        <v>5</v>
      </c>
      <c r="H76" s="69">
        <v>5</v>
      </c>
      <c r="I76" s="375">
        <v>0</v>
      </c>
      <c r="J76" s="98">
        <f t="shared" si="5"/>
        <v>10</v>
      </c>
    </row>
    <row r="77" spans="1:10" ht="14.95" thickBot="1" x14ac:dyDescent="0.3">
      <c r="A77" s="71" t="s">
        <v>426</v>
      </c>
      <c r="B77" s="117">
        <v>1</v>
      </c>
      <c r="C77" s="68">
        <v>0</v>
      </c>
      <c r="D77" s="361">
        <v>0</v>
      </c>
      <c r="E77" s="6">
        <f t="shared" si="4"/>
        <v>1</v>
      </c>
      <c r="F77" s="99" t="s">
        <v>159</v>
      </c>
      <c r="G77" s="118">
        <v>5</v>
      </c>
      <c r="H77" s="69">
        <v>5</v>
      </c>
      <c r="I77" s="375">
        <v>0</v>
      </c>
      <c r="J77" s="98">
        <f t="shared" si="5"/>
        <v>10</v>
      </c>
    </row>
    <row r="78" spans="1:10" ht="14.95" thickBot="1" x14ac:dyDescent="0.3">
      <c r="A78" s="71" t="s">
        <v>79</v>
      </c>
      <c r="B78" s="117">
        <v>1</v>
      </c>
      <c r="C78" s="68">
        <v>0</v>
      </c>
      <c r="D78" s="361">
        <v>0</v>
      </c>
      <c r="E78" s="6">
        <f t="shared" si="4"/>
        <v>1</v>
      </c>
      <c r="F78" s="99" t="s">
        <v>1008</v>
      </c>
      <c r="G78" s="118">
        <v>10</v>
      </c>
      <c r="H78" s="69">
        <v>0</v>
      </c>
      <c r="I78" s="375">
        <v>0</v>
      </c>
      <c r="J78" s="98">
        <f t="shared" si="5"/>
        <v>10</v>
      </c>
    </row>
    <row r="79" spans="1:10" ht="14.95" thickBot="1" x14ac:dyDescent="0.3">
      <c r="A79" s="71" t="s">
        <v>999</v>
      </c>
      <c r="B79" s="117">
        <v>1</v>
      </c>
      <c r="C79" s="68">
        <v>0</v>
      </c>
      <c r="D79" s="361">
        <v>0</v>
      </c>
      <c r="E79" s="6">
        <f t="shared" si="4"/>
        <v>1</v>
      </c>
      <c r="F79" s="99" t="s">
        <v>1773</v>
      </c>
      <c r="G79" s="118">
        <v>0</v>
      </c>
      <c r="H79" s="69">
        <v>0</v>
      </c>
      <c r="I79" s="375">
        <v>5</v>
      </c>
      <c r="J79" s="98">
        <f t="shared" si="5"/>
        <v>5</v>
      </c>
    </row>
    <row r="80" spans="1:10" ht="14.95" thickBot="1" x14ac:dyDescent="0.3">
      <c r="A80" s="71" t="s">
        <v>25</v>
      </c>
      <c r="B80" s="117">
        <v>1</v>
      </c>
      <c r="C80" s="68">
        <v>0</v>
      </c>
      <c r="D80" s="361">
        <v>0</v>
      </c>
      <c r="E80" s="6">
        <f t="shared" si="4"/>
        <v>1</v>
      </c>
      <c r="F80" s="99" t="s">
        <v>426</v>
      </c>
      <c r="G80" s="118">
        <v>5</v>
      </c>
      <c r="H80" s="69">
        <v>0</v>
      </c>
      <c r="I80" s="375">
        <v>0</v>
      </c>
      <c r="J80" s="98">
        <f t="shared" si="5"/>
        <v>5</v>
      </c>
    </row>
    <row r="81" spans="1:10" ht="14.95" thickBot="1" x14ac:dyDescent="0.3">
      <c r="A81" s="71" t="s">
        <v>66</v>
      </c>
      <c r="B81" s="117">
        <v>0</v>
      </c>
      <c r="C81" s="68">
        <v>0</v>
      </c>
      <c r="D81" s="361">
        <v>1</v>
      </c>
      <c r="E81" s="6">
        <f t="shared" si="4"/>
        <v>1</v>
      </c>
      <c r="F81" s="99" t="s">
        <v>79</v>
      </c>
      <c r="G81" s="118">
        <v>5</v>
      </c>
      <c r="H81" s="69">
        <v>0</v>
      </c>
      <c r="I81" s="375">
        <v>0</v>
      </c>
      <c r="J81" s="98">
        <f t="shared" si="5"/>
        <v>5</v>
      </c>
    </row>
    <row r="82" spans="1:10" ht="14.95" thickBot="1" x14ac:dyDescent="0.3">
      <c r="A82" s="71" t="s">
        <v>1271</v>
      </c>
      <c r="B82" s="117">
        <v>1</v>
      </c>
      <c r="C82" s="68">
        <v>0</v>
      </c>
      <c r="D82" s="361">
        <v>0</v>
      </c>
      <c r="E82" s="6">
        <f t="shared" si="4"/>
        <v>1</v>
      </c>
      <c r="F82" s="99" t="s">
        <v>999</v>
      </c>
      <c r="G82" s="118">
        <v>5</v>
      </c>
      <c r="H82" s="69">
        <v>0</v>
      </c>
      <c r="I82" s="375">
        <v>0</v>
      </c>
      <c r="J82" s="98">
        <f t="shared" si="5"/>
        <v>5</v>
      </c>
    </row>
    <row r="83" spans="1:10" ht="14.95" thickBot="1" x14ac:dyDescent="0.3">
      <c r="A83" s="71" t="s">
        <v>429</v>
      </c>
      <c r="B83" s="117">
        <v>1</v>
      </c>
      <c r="C83" s="68">
        <v>0</v>
      </c>
      <c r="D83" s="361">
        <v>0</v>
      </c>
      <c r="E83" s="6">
        <f t="shared" si="4"/>
        <v>1</v>
      </c>
      <c r="F83" s="99" t="s">
        <v>25</v>
      </c>
      <c r="G83" s="118">
        <v>5</v>
      </c>
      <c r="H83" s="69">
        <v>0</v>
      </c>
      <c r="I83" s="375">
        <v>0</v>
      </c>
      <c r="J83" s="98">
        <f t="shared" si="5"/>
        <v>5</v>
      </c>
    </row>
    <row r="84" spans="1:10" ht="14.95" thickBot="1" x14ac:dyDescent="0.3">
      <c r="A84" s="71" t="s">
        <v>1278</v>
      </c>
      <c r="B84" s="117">
        <v>0</v>
      </c>
      <c r="C84" s="68">
        <v>0</v>
      </c>
      <c r="D84" s="361">
        <v>1</v>
      </c>
      <c r="E84" s="6">
        <f t="shared" si="4"/>
        <v>1</v>
      </c>
      <c r="F84" s="99" t="s">
        <v>429</v>
      </c>
      <c r="G84" s="118">
        <v>5</v>
      </c>
      <c r="H84" s="69">
        <v>0</v>
      </c>
      <c r="I84" s="375">
        <v>0</v>
      </c>
      <c r="J84" s="98">
        <f t="shared" si="5"/>
        <v>5</v>
      </c>
    </row>
    <row r="85" spans="1:10" ht="14.95" thickBot="1" x14ac:dyDescent="0.3">
      <c r="A85" s="71" t="s">
        <v>138</v>
      </c>
      <c r="B85" s="117">
        <v>0</v>
      </c>
      <c r="C85" s="68">
        <v>0</v>
      </c>
      <c r="D85" s="361">
        <v>0</v>
      </c>
      <c r="E85" s="6">
        <f t="shared" si="4"/>
        <v>0</v>
      </c>
      <c r="F85" s="99" t="s">
        <v>1278</v>
      </c>
      <c r="G85" s="118">
        <v>0</v>
      </c>
      <c r="H85" s="69">
        <v>0</v>
      </c>
      <c r="I85" s="375">
        <v>5</v>
      </c>
      <c r="J85" s="98">
        <f t="shared" si="5"/>
        <v>5</v>
      </c>
    </row>
    <row r="86" spans="1:10" ht="14.95" thickBot="1" x14ac:dyDescent="0.3">
      <c r="A86" s="71" t="s">
        <v>161</v>
      </c>
      <c r="B86" s="117">
        <v>0</v>
      </c>
      <c r="C86" s="68">
        <v>0</v>
      </c>
      <c r="D86" s="361">
        <v>0</v>
      </c>
      <c r="E86" s="6">
        <f t="shared" si="4"/>
        <v>0</v>
      </c>
      <c r="F86" s="99" t="s">
        <v>1775</v>
      </c>
      <c r="G86" s="118">
        <v>0</v>
      </c>
      <c r="H86" s="69">
        <v>0</v>
      </c>
      <c r="I86" s="375">
        <v>2</v>
      </c>
      <c r="J86" s="98">
        <f t="shared" si="5"/>
        <v>2</v>
      </c>
    </row>
    <row r="87" spans="1:10" ht="14.95" thickBot="1" x14ac:dyDescent="0.3">
      <c r="A87" s="71" t="s">
        <v>189</v>
      </c>
      <c r="B87" s="117">
        <v>0</v>
      </c>
      <c r="C87" s="68">
        <v>0</v>
      </c>
      <c r="D87" s="361">
        <v>0</v>
      </c>
      <c r="E87" s="6">
        <f t="shared" si="4"/>
        <v>0</v>
      </c>
      <c r="F87" s="99" t="s">
        <v>138</v>
      </c>
      <c r="G87" s="118">
        <v>0</v>
      </c>
      <c r="H87" s="69">
        <v>0</v>
      </c>
      <c r="I87" s="375">
        <v>0</v>
      </c>
      <c r="J87" s="98">
        <f t="shared" si="5"/>
        <v>0</v>
      </c>
    </row>
    <row r="88" spans="1:10" ht="14.95" thickBot="1" x14ac:dyDescent="0.3">
      <c r="A88" s="71" t="s">
        <v>34</v>
      </c>
      <c r="B88" s="117">
        <v>0</v>
      </c>
      <c r="C88" s="68">
        <v>0</v>
      </c>
      <c r="D88" s="361">
        <v>0</v>
      </c>
      <c r="E88" s="6">
        <f t="shared" si="4"/>
        <v>0</v>
      </c>
      <c r="F88" s="99" t="s">
        <v>161</v>
      </c>
      <c r="G88" s="118">
        <v>0</v>
      </c>
      <c r="H88" s="69">
        <v>0</v>
      </c>
      <c r="I88" s="375">
        <v>0</v>
      </c>
      <c r="J88" s="98">
        <f t="shared" si="5"/>
        <v>0</v>
      </c>
    </row>
    <row r="89" spans="1:10" ht="14.95" thickBot="1" x14ac:dyDescent="0.3">
      <c r="A89" s="71" t="s">
        <v>1275</v>
      </c>
      <c r="B89" s="117">
        <v>0</v>
      </c>
      <c r="C89" s="68">
        <v>0</v>
      </c>
      <c r="D89" s="361">
        <v>0</v>
      </c>
      <c r="E89" s="6">
        <f t="shared" si="4"/>
        <v>0</v>
      </c>
      <c r="F89" s="99" t="s">
        <v>189</v>
      </c>
      <c r="G89" s="118">
        <v>0</v>
      </c>
      <c r="H89" s="69">
        <v>0</v>
      </c>
      <c r="I89" s="375">
        <v>0</v>
      </c>
      <c r="J89" s="98">
        <f t="shared" si="5"/>
        <v>0</v>
      </c>
    </row>
    <row r="90" spans="1:10" ht="14.95" thickBot="1" x14ac:dyDescent="0.3">
      <c r="A90" s="71" t="s">
        <v>932</v>
      </c>
      <c r="B90" s="117">
        <v>0</v>
      </c>
      <c r="C90" s="68">
        <v>0</v>
      </c>
      <c r="D90" s="361">
        <v>0</v>
      </c>
      <c r="E90" s="6">
        <f t="shared" si="4"/>
        <v>0</v>
      </c>
      <c r="F90" s="99" t="s">
        <v>34</v>
      </c>
      <c r="G90" s="118">
        <v>0</v>
      </c>
      <c r="H90" s="69">
        <v>0</v>
      </c>
      <c r="I90" s="375">
        <v>0</v>
      </c>
      <c r="J90" s="98">
        <f t="shared" si="5"/>
        <v>0</v>
      </c>
    </row>
    <row r="91" spans="1:10" ht="14.95" thickBot="1" x14ac:dyDescent="0.3">
      <c r="A91" s="71" t="s">
        <v>1047</v>
      </c>
      <c r="B91" s="117">
        <v>0</v>
      </c>
      <c r="C91" s="68">
        <v>0</v>
      </c>
      <c r="D91" s="361">
        <v>0</v>
      </c>
      <c r="E91" s="6">
        <f t="shared" si="4"/>
        <v>0</v>
      </c>
      <c r="F91" s="99" t="s">
        <v>1275</v>
      </c>
      <c r="G91" s="118">
        <v>0</v>
      </c>
      <c r="H91" s="69">
        <v>0</v>
      </c>
      <c r="I91" s="375">
        <v>0</v>
      </c>
      <c r="J91" s="98">
        <f t="shared" si="5"/>
        <v>0</v>
      </c>
    </row>
    <row r="92" spans="1:10" ht="14.95" thickBot="1" x14ac:dyDescent="0.3">
      <c r="A92" s="71" t="s">
        <v>427</v>
      </c>
      <c r="B92" s="117">
        <v>0</v>
      </c>
      <c r="C92" s="68">
        <v>0</v>
      </c>
      <c r="D92" s="361">
        <v>0</v>
      </c>
      <c r="E92" s="6">
        <f t="shared" si="4"/>
        <v>0</v>
      </c>
      <c r="F92" s="99" t="s">
        <v>932</v>
      </c>
      <c r="G92" s="118">
        <v>0</v>
      </c>
      <c r="H92" s="69">
        <v>0</v>
      </c>
      <c r="I92" s="375">
        <v>0</v>
      </c>
      <c r="J92" s="98">
        <f t="shared" si="5"/>
        <v>0</v>
      </c>
    </row>
    <row r="93" spans="1:10" ht="14.95" thickBot="1" x14ac:dyDescent="0.3">
      <c r="A93" s="71" t="s">
        <v>211</v>
      </c>
      <c r="B93" s="117">
        <v>0</v>
      </c>
      <c r="C93" s="68">
        <v>0</v>
      </c>
      <c r="D93" s="361">
        <v>0</v>
      </c>
      <c r="E93" s="6">
        <f t="shared" ref="E93:E114" si="6">SUM(B93:D93)</f>
        <v>0</v>
      </c>
      <c r="F93" s="99" t="s">
        <v>1047</v>
      </c>
      <c r="G93" s="118">
        <v>0</v>
      </c>
      <c r="H93" s="69">
        <v>0</v>
      </c>
      <c r="I93" s="375">
        <v>0</v>
      </c>
      <c r="J93" s="98">
        <f t="shared" ref="J93:J114" si="7">SUM(G93:I93)</f>
        <v>0</v>
      </c>
    </row>
    <row r="94" spans="1:10" ht="14.95" thickBot="1" x14ac:dyDescent="0.3">
      <c r="A94" s="71" t="s">
        <v>428</v>
      </c>
      <c r="B94" s="117">
        <v>0</v>
      </c>
      <c r="C94" s="68">
        <v>0</v>
      </c>
      <c r="D94" s="361">
        <v>0</v>
      </c>
      <c r="E94" s="6">
        <f t="shared" si="6"/>
        <v>0</v>
      </c>
      <c r="F94" s="99" t="s">
        <v>427</v>
      </c>
      <c r="G94" s="118">
        <v>0</v>
      </c>
      <c r="H94" s="69">
        <v>0</v>
      </c>
      <c r="I94" s="375">
        <v>0</v>
      </c>
      <c r="J94" s="98">
        <f t="shared" si="7"/>
        <v>0</v>
      </c>
    </row>
    <row r="95" spans="1:10" ht="14.95" thickBot="1" x14ac:dyDescent="0.3">
      <c r="A95" s="71" t="s">
        <v>998</v>
      </c>
      <c r="B95" s="117">
        <v>0</v>
      </c>
      <c r="C95" s="68">
        <v>0</v>
      </c>
      <c r="D95" s="361">
        <v>0</v>
      </c>
      <c r="E95" s="6">
        <f t="shared" si="6"/>
        <v>0</v>
      </c>
      <c r="F95" s="99" t="s">
        <v>211</v>
      </c>
      <c r="G95" s="118">
        <v>0</v>
      </c>
      <c r="H95" s="69">
        <v>0</v>
      </c>
      <c r="I95" s="375">
        <v>0</v>
      </c>
      <c r="J95" s="98">
        <f t="shared" si="7"/>
        <v>0</v>
      </c>
    </row>
    <row r="96" spans="1:10" ht="14.95" thickBot="1" x14ac:dyDescent="0.3">
      <c r="A96" s="71" t="s">
        <v>28</v>
      </c>
      <c r="B96" s="117">
        <v>0</v>
      </c>
      <c r="C96" s="68">
        <v>0</v>
      </c>
      <c r="D96" s="361">
        <v>0</v>
      </c>
      <c r="E96" s="6">
        <f t="shared" si="6"/>
        <v>0</v>
      </c>
      <c r="F96" s="99" t="s">
        <v>428</v>
      </c>
      <c r="G96" s="118">
        <v>0</v>
      </c>
      <c r="H96" s="69">
        <v>0</v>
      </c>
      <c r="I96" s="375">
        <v>0</v>
      </c>
      <c r="J96" s="98">
        <f t="shared" si="7"/>
        <v>0</v>
      </c>
    </row>
    <row r="97" spans="1:10" ht="14.95" thickBot="1" x14ac:dyDescent="0.3">
      <c r="A97" s="71" t="s">
        <v>1775</v>
      </c>
      <c r="B97" s="117">
        <v>0</v>
      </c>
      <c r="C97" s="68">
        <v>0</v>
      </c>
      <c r="D97" s="361">
        <v>0</v>
      </c>
      <c r="E97" s="6">
        <f t="shared" si="6"/>
        <v>0</v>
      </c>
      <c r="F97" s="99" t="s">
        <v>998</v>
      </c>
      <c r="G97" s="118">
        <v>0</v>
      </c>
      <c r="H97" s="69">
        <v>0</v>
      </c>
      <c r="I97" s="375">
        <v>0</v>
      </c>
      <c r="J97" s="98">
        <f t="shared" si="7"/>
        <v>0</v>
      </c>
    </row>
    <row r="98" spans="1:10" ht="14.95" thickBot="1" x14ac:dyDescent="0.3">
      <c r="A98" s="71" t="s">
        <v>1000</v>
      </c>
      <c r="B98" s="117">
        <v>0</v>
      </c>
      <c r="C98" s="68">
        <v>0</v>
      </c>
      <c r="D98" s="361">
        <v>0</v>
      </c>
      <c r="E98" s="6">
        <f t="shared" si="6"/>
        <v>0</v>
      </c>
      <c r="F98" s="99" t="s">
        <v>28</v>
      </c>
      <c r="G98" s="118">
        <v>0</v>
      </c>
      <c r="H98" s="69">
        <v>0</v>
      </c>
      <c r="I98" s="375">
        <v>0</v>
      </c>
      <c r="J98" s="98">
        <f t="shared" si="7"/>
        <v>0</v>
      </c>
    </row>
    <row r="99" spans="1:10" ht="14.95" thickBot="1" x14ac:dyDescent="0.3">
      <c r="A99" s="71" t="s">
        <v>1273</v>
      </c>
      <c r="B99" s="117">
        <v>0</v>
      </c>
      <c r="C99" s="68">
        <v>0</v>
      </c>
      <c r="D99" s="361">
        <v>0</v>
      </c>
      <c r="E99" s="6">
        <f t="shared" si="6"/>
        <v>0</v>
      </c>
      <c r="F99" s="99" t="s">
        <v>1000</v>
      </c>
      <c r="G99" s="118">
        <v>0</v>
      </c>
      <c r="H99" s="69">
        <v>0</v>
      </c>
      <c r="I99" s="375">
        <v>0</v>
      </c>
      <c r="J99" s="98">
        <f t="shared" si="7"/>
        <v>0</v>
      </c>
    </row>
    <row r="100" spans="1:10" ht="14.95" thickBot="1" x14ac:dyDescent="0.3">
      <c r="A100" s="71" t="s">
        <v>1001</v>
      </c>
      <c r="B100" s="117">
        <v>0</v>
      </c>
      <c r="C100" s="68">
        <v>0</v>
      </c>
      <c r="D100" s="361">
        <v>0</v>
      </c>
      <c r="E100" s="6">
        <f t="shared" si="6"/>
        <v>0</v>
      </c>
      <c r="F100" s="99" t="s">
        <v>1273</v>
      </c>
      <c r="G100" s="118">
        <v>0</v>
      </c>
      <c r="H100" s="69">
        <v>0</v>
      </c>
      <c r="I100" s="375">
        <v>0</v>
      </c>
      <c r="J100" s="98">
        <f t="shared" si="7"/>
        <v>0</v>
      </c>
    </row>
    <row r="101" spans="1:10" ht="14.95" thickBot="1" x14ac:dyDescent="0.3">
      <c r="A101" s="71" t="s">
        <v>148</v>
      </c>
      <c r="B101" s="117">
        <v>0</v>
      </c>
      <c r="C101" s="68">
        <v>0</v>
      </c>
      <c r="D101" s="361">
        <v>0</v>
      </c>
      <c r="E101" s="6">
        <f t="shared" si="6"/>
        <v>0</v>
      </c>
      <c r="F101" s="99" t="s">
        <v>1001</v>
      </c>
      <c r="G101" s="118">
        <v>0</v>
      </c>
      <c r="H101" s="69">
        <v>0</v>
      </c>
      <c r="I101" s="375">
        <v>0</v>
      </c>
      <c r="J101" s="98">
        <f t="shared" si="7"/>
        <v>0</v>
      </c>
    </row>
    <row r="102" spans="1:10" ht="14.95" thickBot="1" x14ac:dyDescent="0.3">
      <c r="A102" s="71" t="s">
        <v>59</v>
      </c>
      <c r="B102" s="117">
        <v>0</v>
      </c>
      <c r="C102" s="68">
        <v>0</v>
      </c>
      <c r="D102" s="361">
        <v>0</v>
      </c>
      <c r="E102" s="6">
        <f t="shared" si="6"/>
        <v>0</v>
      </c>
      <c r="F102" s="99" t="s">
        <v>148</v>
      </c>
      <c r="G102" s="118">
        <v>0</v>
      </c>
      <c r="H102" s="69">
        <v>0</v>
      </c>
      <c r="I102" s="375">
        <v>0</v>
      </c>
      <c r="J102" s="98">
        <f t="shared" si="7"/>
        <v>0</v>
      </c>
    </row>
    <row r="103" spans="1:10" ht="14.95" thickBot="1" x14ac:dyDescent="0.3">
      <c r="A103" s="71" t="s">
        <v>106</v>
      </c>
      <c r="B103" s="117">
        <v>0</v>
      </c>
      <c r="C103" s="68">
        <v>0</v>
      </c>
      <c r="D103" s="361">
        <v>0</v>
      </c>
      <c r="E103" s="6">
        <f t="shared" si="6"/>
        <v>0</v>
      </c>
      <c r="F103" s="99" t="s">
        <v>59</v>
      </c>
      <c r="G103" s="118">
        <v>0</v>
      </c>
      <c r="H103" s="69">
        <v>0</v>
      </c>
      <c r="I103" s="375">
        <v>0</v>
      </c>
      <c r="J103" s="98">
        <f t="shared" si="7"/>
        <v>0</v>
      </c>
    </row>
    <row r="104" spans="1:10" ht="14.95" thickBot="1" x14ac:dyDescent="0.3">
      <c r="A104" s="71" t="s">
        <v>33</v>
      </c>
      <c r="B104" s="117">
        <v>0</v>
      </c>
      <c r="C104" s="68">
        <v>0</v>
      </c>
      <c r="D104" s="361">
        <v>0</v>
      </c>
      <c r="E104" s="6">
        <f t="shared" si="6"/>
        <v>0</v>
      </c>
      <c r="F104" s="99" t="s">
        <v>106</v>
      </c>
      <c r="G104" s="118">
        <v>0</v>
      </c>
      <c r="H104" s="69">
        <v>0</v>
      </c>
      <c r="I104" s="375">
        <v>0</v>
      </c>
      <c r="J104" s="98">
        <f t="shared" si="7"/>
        <v>0</v>
      </c>
    </row>
    <row r="105" spans="1:10" ht="14.95" thickBot="1" x14ac:dyDescent="0.3">
      <c r="A105" s="71" t="s">
        <v>60</v>
      </c>
      <c r="B105" s="117">
        <v>0</v>
      </c>
      <c r="C105" s="68">
        <v>0</v>
      </c>
      <c r="D105" s="361">
        <v>0</v>
      </c>
      <c r="E105" s="6">
        <f t="shared" si="6"/>
        <v>0</v>
      </c>
      <c r="F105" s="99" t="s">
        <v>33</v>
      </c>
      <c r="G105" s="118">
        <v>0</v>
      </c>
      <c r="H105" s="69">
        <v>0</v>
      </c>
      <c r="I105" s="375">
        <v>0</v>
      </c>
      <c r="J105" s="98">
        <f t="shared" si="7"/>
        <v>0</v>
      </c>
    </row>
    <row r="106" spans="1:10" ht="14.95" thickBot="1" x14ac:dyDescent="0.3">
      <c r="A106" s="71" t="s">
        <v>1025</v>
      </c>
      <c r="B106" s="117">
        <v>0</v>
      </c>
      <c r="C106" s="68">
        <v>0</v>
      </c>
      <c r="D106" s="361">
        <v>0</v>
      </c>
      <c r="E106" s="6">
        <f t="shared" si="6"/>
        <v>0</v>
      </c>
      <c r="F106" s="99" t="s">
        <v>60</v>
      </c>
      <c r="G106" s="118">
        <v>0</v>
      </c>
      <c r="H106" s="69">
        <v>0</v>
      </c>
      <c r="I106" s="375">
        <v>0</v>
      </c>
      <c r="J106" s="98">
        <f t="shared" si="7"/>
        <v>0</v>
      </c>
    </row>
    <row r="107" spans="1:10" ht="14.95" thickBot="1" x14ac:dyDescent="0.3">
      <c r="A107" s="71" t="s">
        <v>7</v>
      </c>
      <c r="B107" s="117">
        <v>0</v>
      </c>
      <c r="C107" s="68">
        <v>0</v>
      </c>
      <c r="D107" s="361">
        <v>0</v>
      </c>
      <c r="E107" s="6">
        <f t="shared" si="6"/>
        <v>0</v>
      </c>
      <c r="F107" s="99" t="s">
        <v>1025</v>
      </c>
      <c r="G107" s="118">
        <v>0</v>
      </c>
      <c r="H107" s="69">
        <v>0</v>
      </c>
      <c r="I107" s="375">
        <v>0</v>
      </c>
      <c r="J107" s="98">
        <f t="shared" si="7"/>
        <v>0</v>
      </c>
    </row>
    <row r="108" spans="1:10" ht="14.95" thickBot="1" x14ac:dyDescent="0.3">
      <c r="A108" s="71" t="s">
        <v>224</v>
      </c>
      <c r="B108" s="117">
        <v>0</v>
      </c>
      <c r="C108" s="68">
        <v>0</v>
      </c>
      <c r="D108" s="361">
        <v>0</v>
      </c>
      <c r="E108" s="6">
        <f t="shared" si="6"/>
        <v>0</v>
      </c>
      <c r="F108" s="99" t="s">
        <v>7</v>
      </c>
      <c r="G108" s="118">
        <v>0</v>
      </c>
      <c r="H108" s="69">
        <v>0</v>
      </c>
      <c r="I108" s="375">
        <v>0</v>
      </c>
      <c r="J108" s="98">
        <f t="shared" si="7"/>
        <v>0</v>
      </c>
    </row>
    <row r="109" spans="1:10" ht="14.95" thickBot="1" x14ac:dyDescent="0.3">
      <c r="A109" s="71" t="s">
        <v>951</v>
      </c>
      <c r="B109" s="117">
        <v>0</v>
      </c>
      <c r="C109" s="68">
        <v>0</v>
      </c>
      <c r="D109" s="361">
        <v>0</v>
      </c>
      <c r="E109" s="6">
        <f t="shared" si="6"/>
        <v>0</v>
      </c>
      <c r="F109" s="99" t="s">
        <v>224</v>
      </c>
      <c r="G109" s="118">
        <v>0</v>
      </c>
      <c r="H109" s="69">
        <v>0</v>
      </c>
      <c r="I109" s="375">
        <v>0</v>
      </c>
      <c r="J109" s="98">
        <f t="shared" si="7"/>
        <v>0</v>
      </c>
    </row>
    <row r="110" spans="1:10" ht="14.95" thickBot="1" x14ac:dyDescent="0.3">
      <c r="A110" s="71" t="s">
        <v>1274</v>
      </c>
      <c r="B110" s="117">
        <v>0</v>
      </c>
      <c r="C110" s="68">
        <v>0</v>
      </c>
      <c r="D110" s="361">
        <v>0</v>
      </c>
      <c r="E110" s="6">
        <f t="shared" si="6"/>
        <v>0</v>
      </c>
      <c r="F110" s="99" t="s">
        <v>951</v>
      </c>
      <c r="G110" s="118">
        <v>0</v>
      </c>
      <c r="H110" s="69">
        <v>0</v>
      </c>
      <c r="I110" s="375">
        <v>0</v>
      </c>
      <c r="J110" s="98">
        <f t="shared" si="7"/>
        <v>0</v>
      </c>
    </row>
    <row r="111" spans="1:10" ht="14.95" thickBot="1" x14ac:dyDescent="0.3">
      <c r="A111" s="71" t="s">
        <v>1270</v>
      </c>
      <c r="B111" s="117">
        <v>0</v>
      </c>
      <c r="C111" s="68">
        <v>0</v>
      </c>
      <c r="D111" s="361">
        <v>0</v>
      </c>
      <c r="E111" s="6">
        <f t="shared" si="6"/>
        <v>0</v>
      </c>
      <c r="F111" s="99" t="s">
        <v>1270</v>
      </c>
      <c r="G111" s="118">
        <v>0</v>
      </c>
      <c r="H111" s="69">
        <v>0</v>
      </c>
      <c r="I111" s="375">
        <v>0</v>
      </c>
      <c r="J111" s="98">
        <f t="shared" si="7"/>
        <v>0</v>
      </c>
    </row>
    <row r="112" spans="1:10" ht="14.95" thickBot="1" x14ac:dyDescent="0.3">
      <c r="A112" s="71" t="s">
        <v>931</v>
      </c>
      <c r="B112" s="117">
        <v>0</v>
      </c>
      <c r="C112" s="68">
        <v>0</v>
      </c>
      <c r="D112" s="361">
        <v>0</v>
      </c>
      <c r="E112" s="6">
        <f t="shared" si="6"/>
        <v>0</v>
      </c>
      <c r="F112" s="99" t="s">
        <v>931</v>
      </c>
      <c r="G112" s="118">
        <v>0</v>
      </c>
      <c r="H112" s="69">
        <v>0</v>
      </c>
      <c r="I112" s="375">
        <v>0</v>
      </c>
      <c r="J112" s="98">
        <f t="shared" si="7"/>
        <v>0</v>
      </c>
    </row>
    <row r="113" spans="1:10" ht="14.95" thickBot="1" x14ac:dyDescent="0.3">
      <c r="A113" s="71" t="s">
        <v>1276</v>
      </c>
      <c r="B113" s="117">
        <v>0</v>
      </c>
      <c r="C113" s="68">
        <v>0</v>
      </c>
      <c r="D113" s="361">
        <v>0</v>
      </c>
      <c r="E113" s="6">
        <f t="shared" si="6"/>
        <v>0</v>
      </c>
      <c r="F113" s="99" t="s">
        <v>1276</v>
      </c>
      <c r="G113" s="118">
        <v>0</v>
      </c>
      <c r="H113" s="69">
        <v>0</v>
      </c>
      <c r="I113" s="375">
        <v>0</v>
      </c>
      <c r="J113" s="98">
        <f t="shared" si="7"/>
        <v>0</v>
      </c>
    </row>
    <row r="114" spans="1:10" ht="14.95" thickBot="1" x14ac:dyDescent="0.3">
      <c r="A114" s="71" t="s">
        <v>1016</v>
      </c>
      <c r="B114" s="117">
        <v>0</v>
      </c>
      <c r="C114" s="68">
        <v>0</v>
      </c>
      <c r="D114" s="361">
        <v>0</v>
      </c>
      <c r="E114" s="6">
        <f t="shared" si="6"/>
        <v>0</v>
      </c>
      <c r="F114" s="99" t="s">
        <v>1016</v>
      </c>
      <c r="G114" s="118">
        <v>0</v>
      </c>
      <c r="H114" s="69">
        <v>0</v>
      </c>
      <c r="I114" s="375">
        <v>0</v>
      </c>
      <c r="J114" s="98">
        <f t="shared" si="7"/>
        <v>0</v>
      </c>
    </row>
    <row r="115" spans="1:10" ht="14.95" thickBot="1" x14ac:dyDescent="0.3">
      <c r="A115" s="71" t="s">
        <v>3</v>
      </c>
      <c r="B115" s="117">
        <f>SUM(B61:B114)</f>
        <v>56</v>
      </c>
      <c r="C115" s="68">
        <f>SUM(C61:C114)</f>
        <v>13</v>
      </c>
      <c r="D115" s="361">
        <f>SUM(D61:D114)</f>
        <v>7</v>
      </c>
      <c r="E115" s="6">
        <f t="shared" ref="E115" si="8">SUM(B115:D115)</f>
        <v>76</v>
      </c>
      <c r="F115" s="99" t="s">
        <v>3</v>
      </c>
      <c r="G115" s="118">
        <f>SUM(G61:G114)</f>
        <v>483</v>
      </c>
      <c r="H115" s="69">
        <f>SUM(H61:H114)</f>
        <v>116</v>
      </c>
      <c r="I115" s="375">
        <f>SUM(I61:I114)</f>
        <v>63</v>
      </c>
      <c r="J115" s="98">
        <f t="shared" ref="J115" si="9">SUM(G115:I115)</f>
        <v>662</v>
      </c>
    </row>
    <row r="116" spans="1:10" x14ac:dyDescent="0.25">
      <c r="A116" s="65" t="s">
        <v>171</v>
      </c>
    </row>
  </sheetData>
  <sortState xmlns:xlrd2="http://schemas.microsoft.com/office/spreadsheetml/2017/richdata2" ref="F61:J114">
    <sortCondition descending="1" ref="J61:J114"/>
  </sortState>
  <mergeCells count="25">
    <mergeCell ref="K37:AI37"/>
    <mergeCell ref="T1:V2"/>
    <mergeCell ref="O16:Q17"/>
    <mergeCell ref="AC16:AE17"/>
    <mergeCell ref="O25:Q26"/>
    <mergeCell ref="AC25:AE26"/>
    <mergeCell ref="K25:K26"/>
    <mergeCell ref="L25:N26"/>
    <mergeCell ref="U25:W26"/>
    <mergeCell ref="R25:T26"/>
    <mergeCell ref="A1:J1"/>
    <mergeCell ref="AL1:AN2"/>
    <mergeCell ref="AI1:AK2"/>
    <mergeCell ref="R1:S2"/>
    <mergeCell ref="K16:K17"/>
    <mergeCell ref="K1:K2"/>
    <mergeCell ref="AF1:AH2"/>
    <mergeCell ref="L16:N17"/>
    <mergeCell ref="AC1:AE2"/>
    <mergeCell ref="AF16:AH17"/>
    <mergeCell ref="L1:N2"/>
    <mergeCell ref="O1:Q2"/>
    <mergeCell ref="U16:W17"/>
    <mergeCell ref="W1:Y2"/>
    <mergeCell ref="R16:T17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P106"/>
  <sheetViews>
    <sheetView topLeftCell="A37" zoomScaleNormal="100" workbookViewId="0">
      <selection activeCell="O46" sqref="O46:O47"/>
    </sheetView>
  </sheetViews>
  <sheetFormatPr defaultRowHeight="14.3" x14ac:dyDescent="0.25"/>
  <cols>
    <col min="1" max="1" width="16.625" customWidth="1"/>
    <col min="2" max="3" width="3.75" customWidth="1"/>
    <col min="4" max="5" width="4.75" customWidth="1"/>
    <col min="6" max="6" width="16.625" customWidth="1"/>
    <col min="7" max="10" width="5.25" customWidth="1"/>
    <col min="11" max="11" width="15.375" customWidth="1"/>
    <col min="12" max="13" width="5.625" customWidth="1"/>
    <col min="14" max="33" width="5.75" customWidth="1"/>
    <col min="36" max="36" width="16" bestFit="1" customWidth="1"/>
    <col min="38" max="38" width="9.25" bestFit="1" customWidth="1"/>
  </cols>
  <sheetData>
    <row r="1" spans="1:42" ht="14.95" customHeight="1" thickBot="1" x14ac:dyDescent="0.3">
      <c r="A1" s="553" t="s">
        <v>1282</v>
      </c>
      <c r="B1" s="554"/>
      <c r="C1" s="554"/>
      <c r="D1" s="554"/>
      <c r="E1" s="554"/>
      <c r="F1" s="554"/>
      <c r="G1" s="554"/>
      <c r="H1" s="554"/>
      <c r="I1" s="554"/>
      <c r="J1" s="555"/>
      <c r="K1" s="478" t="s">
        <v>1324</v>
      </c>
      <c r="L1" s="480" t="s">
        <v>49</v>
      </c>
      <c r="M1" s="481"/>
      <c r="N1" s="482"/>
      <c r="O1" s="486" t="s">
        <v>202</v>
      </c>
      <c r="P1" s="487"/>
      <c r="Q1" s="488"/>
      <c r="R1" s="492" t="s">
        <v>62</v>
      </c>
      <c r="S1" s="493"/>
      <c r="T1" s="457" t="s">
        <v>124</v>
      </c>
      <c r="U1" s="458"/>
      <c r="V1" s="459"/>
      <c r="W1" s="457" t="s">
        <v>1070</v>
      </c>
      <c r="X1" s="458"/>
      <c r="Y1" s="459"/>
      <c r="Z1" s="237"/>
      <c r="AA1" s="237"/>
      <c r="AB1" s="237"/>
      <c r="AC1" s="457" t="s">
        <v>598</v>
      </c>
      <c r="AD1" s="458"/>
      <c r="AE1" s="459"/>
      <c r="AH1" s="5" t="s">
        <v>888</v>
      </c>
      <c r="AI1" s="5"/>
      <c r="AJ1" s="5"/>
      <c r="AM1" s="5" t="s">
        <v>889</v>
      </c>
    </row>
    <row r="2" spans="1:42" ht="14.95" customHeight="1" thickBot="1" x14ac:dyDescent="0.3">
      <c r="A2" s="352" t="s">
        <v>0</v>
      </c>
      <c r="B2" s="353" t="s">
        <v>1072</v>
      </c>
      <c r="C2" s="268" t="s">
        <v>127</v>
      </c>
      <c r="D2" s="368" t="s">
        <v>1073</v>
      </c>
      <c r="E2" s="354" t="s">
        <v>1</v>
      </c>
      <c r="F2" s="396" t="s">
        <v>2</v>
      </c>
      <c r="G2" s="205" t="s">
        <v>1072</v>
      </c>
      <c r="H2" s="397" t="s">
        <v>127</v>
      </c>
      <c r="I2" s="379" t="s">
        <v>1073</v>
      </c>
      <c r="J2" s="398" t="s">
        <v>1</v>
      </c>
      <c r="K2" s="479"/>
      <c r="L2" s="483"/>
      <c r="M2" s="484"/>
      <c r="N2" s="485"/>
      <c r="O2" s="489"/>
      <c r="P2" s="490"/>
      <c r="Q2" s="491"/>
      <c r="R2" s="494"/>
      <c r="S2" s="495"/>
      <c r="T2" s="460"/>
      <c r="U2" s="461"/>
      <c r="V2" s="462"/>
      <c r="W2" s="460"/>
      <c r="X2" s="461"/>
      <c r="Y2" s="462"/>
      <c r="Z2" s="149"/>
      <c r="AA2" s="127"/>
      <c r="AB2" s="127"/>
      <c r="AC2" s="460"/>
      <c r="AD2" s="461"/>
      <c r="AE2" s="462"/>
      <c r="AH2" t="s">
        <v>287</v>
      </c>
      <c r="AI2" t="s">
        <v>270</v>
      </c>
      <c r="AJ2" t="s">
        <v>286</v>
      </c>
      <c r="AK2">
        <v>507</v>
      </c>
      <c r="AM2" t="s">
        <v>891</v>
      </c>
      <c r="AN2" t="s">
        <v>264</v>
      </c>
      <c r="AO2" t="s">
        <v>491</v>
      </c>
      <c r="AP2">
        <v>20</v>
      </c>
    </row>
    <row r="3" spans="1:42" ht="14.95" customHeight="1" thickBot="1" x14ac:dyDescent="0.3">
      <c r="A3" s="355" t="s">
        <v>927</v>
      </c>
      <c r="B3" s="306">
        <v>7</v>
      </c>
      <c r="C3" s="271">
        <v>1</v>
      </c>
      <c r="D3" s="369">
        <v>1</v>
      </c>
      <c r="E3" s="356">
        <f>SUM(B3:D3)</f>
        <v>9</v>
      </c>
      <c r="F3" s="399" t="s">
        <v>927</v>
      </c>
      <c r="G3" s="118">
        <v>35</v>
      </c>
      <c r="H3" s="400">
        <v>5</v>
      </c>
      <c r="I3" s="375">
        <v>5</v>
      </c>
      <c r="J3" s="401">
        <f>SUM(G3:I3)</f>
        <v>45</v>
      </c>
      <c r="K3" s="37"/>
      <c r="L3" s="66" t="s">
        <v>243</v>
      </c>
      <c r="M3" s="66" t="s">
        <v>42</v>
      </c>
      <c r="N3" s="66" t="s">
        <v>43</v>
      </c>
      <c r="O3" s="1" t="s">
        <v>243</v>
      </c>
      <c r="P3" s="1" t="s">
        <v>42</v>
      </c>
      <c r="Q3" s="1" t="s">
        <v>43</v>
      </c>
      <c r="R3" s="4" t="s">
        <v>63</v>
      </c>
      <c r="S3" s="4" t="s">
        <v>957</v>
      </c>
      <c r="T3" s="119" t="s">
        <v>243</v>
      </c>
      <c r="U3" s="119" t="s">
        <v>42</v>
      </c>
      <c r="V3" s="119" t="s">
        <v>43</v>
      </c>
      <c r="W3" s="119" t="s">
        <v>243</v>
      </c>
      <c r="X3" s="119" t="s">
        <v>42</v>
      </c>
      <c r="Y3" s="119" t="s">
        <v>43</v>
      </c>
      <c r="Z3" s="60"/>
      <c r="AA3" s="60"/>
      <c r="AB3" s="243"/>
      <c r="AC3" s="119" t="s">
        <v>243</v>
      </c>
      <c r="AD3" s="119" t="s">
        <v>42</v>
      </c>
      <c r="AE3" s="119" t="s">
        <v>43</v>
      </c>
      <c r="AH3" t="s">
        <v>435</v>
      </c>
      <c r="AI3" t="s">
        <v>270</v>
      </c>
      <c r="AJ3" t="s">
        <v>557</v>
      </c>
      <c r="AK3">
        <v>357</v>
      </c>
      <c r="AM3" t="s">
        <v>504</v>
      </c>
      <c r="AN3" t="s">
        <v>264</v>
      </c>
      <c r="AO3" t="s">
        <v>552</v>
      </c>
      <c r="AP3">
        <v>14</v>
      </c>
    </row>
    <row r="4" spans="1:42" ht="14.95" customHeight="1" thickBot="1" x14ac:dyDescent="0.3">
      <c r="A4" s="355" t="s">
        <v>227</v>
      </c>
      <c r="B4" s="306">
        <v>1</v>
      </c>
      <c r="C4" s="271">
        <v>0</v>
      </c>
      <c r="D4" s="369">
        <v>0</v>
      </c>
      <c r="E4" s="356">
        <f t="shared" ref="E4:E51" si="0">SUM(B4:D4)</f>
        <v>1</v>
      </c>
      <c r="F4" s="399" t="s">
        <v>227</v>
      </c>
      <c r="G4" s="118">
        <v>5</v>
      </c>
      <c r="H4" s="400">
        <v>0</v>
      </c>
      <c r="I4" s="375">
        <v>0</v>
      </c>
      <c r="J4" s="401">
        <f t="shared" ref="J4:J51" si="1">SUM(G4:I4)</f>
        <v>5</v>
      </c>
      <c r="K4" s="355" t="s">
        <v>1292</v>
      </c>
      <c r="L4" s="356">
        <v>73</v>
      </c>
      <c r="M4" s="356">
        <v>87</v>
      </c>
      <c r="N4" s="357">
        <f>SUM(L4/M4)*100</f>
        <v>83.908045977011497</v>
      </c>
      <c r="O4" s="356">
        <v>5</v>
      </c>
      <c r="P4" s="356">
        <v>5</v>
      </c>
      <c r="Q4" s="357">
        <f>SUM(O4/P4)*100</f>
        <v>100</v>
      </c>
      <c r="R4" s="356">
        <v>7</v>
      </c>
      <c r="S4" s="356">
        <v>7</v>
      </c>
      <c r="T4" s="356">
        <v>26</v>
      </c>
      <c r="U4" s="356">
        <v>33</v>
      </c>
      <c r="V4" s="357">
        <f>SUM(T4/U4)*100</f>
        <v>78.787878787878782</v>
      </c>
      <c r="W4" s="356">
        <v>42</v>
      </c>
      <c r="X4" s="356">
        <v>53</v>
      </c>
      <c r="Y4" s="357">
        <f>SUM(W4/X4)*100</f>
        <v>79.245283018867923</v>
      </c>
      <c r="Z4" s="265"/>
      <c r="AA4" s="262"/>
      <c r="AB4" s="263"/>
      <c r="AC4" s="356">
        <v>41</v>
      </c>
      <c r="AD4" s="356">
        <v>57</v>
      </c>
      <c r="AE4" s="357">
        <f>SUM(AC4/AD4)*100</f>
        <v>71.929824561403507</v>
      </c>
      <c r="AH4" t="s">
        <v>643</v>
      </c>
      <c r="AI4" t="s">
        <v>296</v>
      </c>
      <c r="AJ4" t="s">
        <v>818</v>
      </c>
      <c r="AK4">
        <v>261</v>
      </c>
      <c r="AM4" t="s">
        <v>628</v>
      </c>
      <c r="AN4" t="s">
        <v>268</v>
      </c>
      <c r="AO4" t="s">
        <v>436</v>
      </c>
      <c r="AP4">
        <v>14</v>
      </c>
    </row>
    <row r="5" spans="1:42" ht="14.95" customHeight="1" thickBot="1" x14ac:dyDescent="0.3">
      <c r="A5" s="355" t="s">
        <v>228</v>
      </c>
      <c r="B5" s="306">
        <v>0</v>
      </c>
      <c r="C5" s="271">
        <v>1</v>
      </c>
      <c r="D5" s="369">
        <v>0</v>
      </c>
      <c r="E5" s="356">
        <f t="shared" si="0"/>
        <v>1</v>
      </c>
      <c r="F5" s="399" t="s">
        <v>228</v>
      </c>
      <c r="G5" s="118">
        <v>0</v>
      </c>
      <c r="H5" s="400">
        <v>5</v>
      </c>
      <c r="I5" s="375">
        <v>0</v>
      </c>
      <c r="J5" s="401">
        <f t="shared" si="1"/>
        <v>5</v>
      </c>
      <c r="K5" s="355" t="s">
        <v>924</v>
      </c>
      <c r="L5" s="356">
        <v>0</v>
      </c>
      <c r="M5" s="356">
        <v>1</v>
      </c>
      <c r="N5" s="356">
        <v>0</v>
      </c>
      <c r="O5" s="356" t="s">
        <v>50</v>
      </c>
      <c r="P5" s="356" t="s">
        <v>50</v>
      </c>
      <c r="Q5" s="356" t="s">
        <v>50</v>
      </c>
      <c r="R5" s="356">
        <v>-1</v>
      </c>
      <c r="S5" s="356">
        <v>-1</v>
      </c>
      <c r="T5" s="356">
        <v>8</v>
      </c>
      <c r="U5" s="356">
        <v>14</v>
      </c>
      <c r="V5" s="357">
        <f t="shared" ref="V5:V7" si="2">SUM(T5/U5)*100</f>
        <v>57.142857142857139</v>
      </c>
      <c r="W5" s="356">
        <v>13</v>
      </c>
      <c r="X5" s="356">
        <v>18</v>
      </c>
      <c r="Y5" s="357">
        <f>SUM(W5/X5)*100</f>
        <v>72.222222222222214</v>
      </c>
      <c r="Z5" s="265"/>
      <c r="AA5" s="262"/>
      <c r="AB5" s="263"/>
      <c r="AC5" s="356" t="s">
        <v>50</v>
      </c>
      <c r="AD5" s="356" t="s">
        <v>50</v>
      </c>
      <c r="AE5" s="356" t="s">
        <v>50</v>
      </c>
      <c r="AH5" t="s">
        <v>890</v>
      </c>
      <c r="AI5" t="s">
        <v>260</v>
      </c>
      <c r="AJ5" t="s">
        <v>565</v>
      </c>
      <c r="AK5">
        <v>193</v>
      </c>
      <c r="AM5" t="s">
        <v>290</v>
      </c>
      <c r="AN5" t="s">
        <v>264</v>
      </c>
      <c r="AO5" t="s">
        <v>764</v>
      </c>
      <c r="AP5">
        <v>12</v>
      </c>
    </row>
    <row r="6" spans="1:42" ht="14.95" customHeight="1" thickBot="1" x14ac:dyDescent="0.3">
      <c r="A6" s="355" t="s">
        <v>229</v>
      </c>
      <c r="B6" s="306">
        <v>0</v>
      </c>
      <c r="C6" s="271">
        <v>0</v>
      </c>
      <c r="D6" s="369">
        <v>0</v>
      </c>
      <c r="E6" s="356">
        <f t="shared" si="0"/>
        <v>0</v>
      </c>
      <c r="F6" s="399" t="s">
        <v>229</v>
      </c>
      <c r="G6" s="118">
        <v>0</v>
      </c>
      <c r="H6" s="400">
        <v>0</v>
      </c>
      <c r="I6" s="375">
        <v>0</v>
      </c>
      <c r="J6" s="401">
        <f t="shared" si="1"/>
        <v>0</v>
      </c>
      <c r="K6" s="355" t="s">
        <v>1020</v>
      </c>
      <c r="L6" s="356" t="s">
        <v>50</v>
      </c>
      <c r="M6" s="356" t="s">
        <v>50</v>
      </c>
      <c r="N6" s="356" t="s">
        <v>50</v>
      </c>
      <c r="O6" s="356" t="s">
        <v>50</v>
      </c>
      <c r="P6" s="356" t="s">
        <v>50</v>
      </c>
      <c r="Q6" s="356" t="s">
        <v>50</v>
      </c>
      <c r="R6" s="356" t="s">
        <v>50</v>
      </c>
      <c r="S6" s="356">
        <v>-1</v>
      </c>
      <c r="T6" s="356">
        <v>5</v>
      </c>
      <c r="U6" s="356">
        <v>12</v>
      </c>
      <c r="V6" s="357">
        <f t="shared" si="2"/>
        <v>41.666666666666671</v>
      </c>
      <c r="W6" s="356" t="s">
        <v>50</v>
      </c>
      <c r="X6" s="356" t="s">
        <v>50</v>
      </c>
      <c r="Y6" s="356" t="s">
        <v>50</v>
      </c>
      <c r="Z6" s="58"/>
      <c r="AA6" s="58"/>
      <c r="AB6" s="264"/>
      <c r="AC6" s="356" t="s">
        <v>50</v>
      </c>
      <c r="AD6" s="356" t="s">
        <v>50</v>
      </c>
      <c r="AE6" s="356" t="s">
        <v>50</v>
      </c>
      <c r="AH6" t="s">
        <v>266</v>
      </c>
      <c r="AJ6" t="s">
        <v>562</v>
      </c>
      <c r="AK6">
        <v>143</v>
      </c>
      <c r="AM6" t="s">
        <v>892</v>
      </c>
      <c r="AN6" t="s">
        <v>263</v>
      </c>
      <c r="AO6" t="s">
        <v>565</v>
      </c>
      <c r="AP6">
        <v>11</v>
      </c>
    </row>
    <row r="7" spans="1:42" ht="14.95" customHeight="1" thickBot="1" x14ac:dyDescent="0.3">
      <c r="A7" s="355" t="s">
        <v>230</v>
      </c>
      <c r="B7" s="306">
        <v>1</v>
      </c>
      <c r="C7" s="271">
        <v>0</v>
      </c>
      <c r="D7" s="369">
        <v>0</v>
      </c>
      <c r="E7" s="356">
        <f t="shared" si="0"/>
        <v>1</v>
      </c>
      <c r="F7" s="399" t="s">
        <v>230</v>
      </c>
      <c r="G7" s="118">
        <v>5</v>
      </c>
      <c r="H7" s="400">
        <v>0</v>
      </c>
      <c r="I7" s="375">
        <v>0</v>
      </c>
      <c r="J7" s="401">
        <f t="shared" si="1"/>
        <v>5</v>
      </c>
      <c r="K7" s="355" t="s">
        <v>237</v>
      </c>
      <c r="L7" s="356">
        <v>12</v>
      </c>
      <c r="M7" s="356">
        <v>16</v>
      </c>
      <c r="N7" s="357">
        <f>SUM(L7/M7)*100</f>
        <v>75</v>
      </c>
      <c r="O7" s="356" t="s">
        <v>50</v>
      </c>
      <c r="P7" s="356" t="s">
        <v>50</v>
      </c>
      <c r="Q7" s="356" t="s">
        <v>50</v>
      </c>
      <c r="R7" s="356">
        <v>2</v>
      </c>
      <c r="S7" s="356">
        <v>2</v>
      </c>
      <c r="T7" s="356">
        <v>31</v>
      </c>
      <c r="U7" s="356">
        <v>44</v>
      </c>
      <c r="V7" s="357">
        <f t="shared" si="2"/>
        <v>70.454545454545453</v>
      </c>
      <c r="W7" s="356">
        <v>3</v>
      </c>
      <c r="X7" s="356">
        <v>4</v>
      </c>
      <c r="Y7" s="357">
        <f>SUM(W7/X7)*100</f>
        <v>75</v>
      </c>
      <c r="Z7" s="265"/>
      <c r="AA7" s="262"/>
      <c r="AB7" s="263"/>
      <c r="AC7" s="356" t="s">
        <v>50</v>
      </c>
      <c r="AD7" s="356" t="s">
        <v>50</v>
      </c>
      <c r="AE7" s="356" t="s">
        <v>50</v>
      </c>
      <c r="AH7" t="s">
        <v>520</v>
      </c>
      <c r="AI7" t="s">
        <v>271</v>
      </c>
      <c r="AJ7" t="s">
        <v>461</v>
      </c>
      <c r="AK7">
        <v>126</v>
      </c>
      <c r="AM7" t="s">
        <v>631</v>
      </c>
      <c r="AN7" t="s">
        <v>264</v>
      </c>
      <c r="AO7" t="s">
        <v>764</v>
      </c>
      <c r="AP7">
        <v>11</v>
      </c>
    </row>
    <row r="8" spans="1:42" ht="14.95" customHeight="1" thickBot="1" x14ac:dyDescent="0.3">
      <c r="A8" s="355" t="s">
        <v>1284</v>
      </c>
      <c r="B8" s="306">
        <v>0</v>
      </c>
      <c r="C8" s="271">
        <v>0</v>
      </c>
      <c r="D8" s="369">
        <v>0</v>
      </c>
      <c r="E8" s="356">
        <f t="shared" si="0"/>
        <v>0</v>
      </c>
      <c r="F8" s="399" t="s">
        <v>1284</v>
      </c>
      <c r="G8" s="118">
        <v>0</v>
      </c>
      <c r="H8" s="400">
        <v>0</v>
      </c>
      <c r="I8" s="375">
        <v>0</v>
      </c>
      <c r="J8" s="401">
        <f t="shared" si="1"/>
        <v>0</v>
      </c>
      <c r="K8" s="355" t="s">
        <v>1287</v>
      </c>
      <c r="L8" s="356" t="s">
        <v>50</v>
      </c>
      <c r="M8" s="356" t="s">
        <v>50</v>
      </c>
      <c r="N8" s="356" t="s">
        <v>50</v>
      </c>
      <c r="O8" s="356" t="s">
        <v>50</v>
      </c>
      <c r="P8" s="356" t="s">
        <v>50</v>
      </c>
      <c r="Q8" s="356" t="s">
        <v>50</v>
      </c>
      <c r="R8" s="356" t="s">
        <v>64</v>
      </c>
      <c r="S8" s="356">
        <v>-1</v>
      </c>
      <c r="T8" s="356" t="s">
        <v>50</v>
      </c>
      <c r="U8" s="356" t="s">
        <v>50</v>
      </c>
      <c r="V8" s="356" t="s">
        <v>50</v>
      </c>
      <c r="W8" s="356" t="s">
        <v>50</v>
      </c>
      <c r="X8" s="356" t="s">
        <v>50</v>
      </c>
      <c r="Y8" s="356" t="s">
        <v>50</v>
      </c>
      <c r="Z8" s="265"/>
      <c r="AA8" s="262"/>
      <c r="AB8" s="263"/>
      <c r="AC8" s="356" t="s">
        <v>50</v>
      </c>
      <c r="AD8" s="356" t="s">
        <v>50</v>
      </c>
      <c r="AE8" s="356" t="s">
        <v>50</v>
      </c>
      <c r="AH8" t="s">
        <v>891</v>
      </c>
      <c r="AI8" t="s">
        <v>264</v>
      </c>
      <c r="AJ8" t="s">
        <v>491</v>
      </c>
      <c r="AK8">
        <v>100</v>
      </c>
      <c r="AM8" t="s">
        <v>520</v>
      </c>
      <c r="AN8" t="s">
        <v>271</v>
      </c>
      <c r="AO8" t="s">
        <v>461</v>
      </c>
      <c r="AP8">
        <v>11</v>
      </c>
    </row>
    <row r="9" spans="1:42" ht="14.95" customHeight="1" thickBot="1" x14ac:dyDescent="0.3">
      <c r="A9" s="355" t="s">
        <v>1283</v>
      </c>
      <c r="B9" s="306">
        <v>0</v>
      </c>
      <c r="C9" s="271">
        <v>0</v>
      </c>
      <c r="D9" s="369">
        <v>0</v>
      </c>
      <c r="E9" s="356">
        <f t="shared" si="0"/>
        <v>0</v>
      </c>
      <c r="F9" s="399" t="s">
        <v>1283</v>
      </c>
      <c r="G9" s="118">
        <v>0</v>
      </c>
      <c r="H9" s="400">
        <v>0</v>
      </c>
      <c r="I9" s="375">
        <v>0</v>
      </c>
      <c r="J9" s="401">
        <f t="shared" si="1"/>
        <v>0</v>
      </c>
      <c r="K9" s="355" t="s">
        <v>89</v>
      </c>
      <c r="L9" s="356" t="s">
        <v>50</v>
      </c>
      <c r="M9" s="356" t="s">
        <v>50</v>
      </c>
      <c r="N9" s="356" t="s">
        <v>50</v>
      </c>
      <c r="O9" s="356" t="s">
        <v>50</v>
      </c>
      <c r="P9" s="356" t="s">
        <v>50</v>
      </c>
      <c r="Q9" s="356" t="s">
        <v>50</v>
      </c>
      <c r="R9" s="356">
        <v>1</v>
      </c>
      <c r="S9" s="356">
        <v>1</v>
      </c>
      <c r="T9" s="356">
        <v>3</v>
      </c>
      <c r="U9" s="356">
        <v>5</v>
      </c>
      <c r="V9" s="357">
        <f>SUM(T9/U9)*100</f>
        <v>60</v>
      </c>
      <c r="W9" s="356">
        <v>40</v>
      </c>
      <c r="X9" s="356">
        <v>58</v>
      </c>
      <c r="Y9" s="357">
        <f>SUM(W9/X9)*100</f>
        <v>68.965517241379317</v>
      </c>
      <c r="Z9" s="265"/>
      <c r="AA9" s="262"/>
      <c r="AB9" s="263"/>
      <c r="AC9" s="356">
        <v>8</v>
      </c>
      <c r="AD9" s="356">
        <v>14</v>
      </c>
      <c r="AE9" s="357">
        <f>SUM(AC9/AD9)*100</f>
        <v>57.142857142857139</v>
      </c>
      <c r="AH9" t="s">
        <v>870</v>
      </c>
      <c r="AI9" t="s">
        <v>260</v>
      </c>
      <c r="AJ9" t="s">
        <v>851</v>
      </c>
      <c r="AK9">
        <v>96</v>
      </c>
      <c r="AM9" t="s">
        <v>412</v>
      </c>
      <c r="AN9" t="s">
        <v>276</v>
      </c>
      <c r="AO9" t="s">
        <v>440</v>
      </c>
      <c r="AP9">
        <v>11</v>
      </c>
    </row>
    <row r="10" spans="1:42" ht="14.95" customHeight="1" thickBot="1" x14ac:dyDescent="0.3">
      <c r="A10" s="355" t="s">
        <v>231</v>
      </c>
      <c r="B10" s="306">
        <v>0</v>
      </c>
      <c r="C10" s="271">
        <v>0</v>
      </c>
      <c r="D10" s="369">
        <v>0</v>
      </c>
      <c r="E10" s="356">
        <f t="shared" si="0"/>
        <v>0</v>
      </c>
      <c r="F10" s="399" t="s">
        <v>231</v>
      </c>
      <c r="G10" s="118">
        <v>0</v>
      </c>
      <c r="H10" s="400">
        <v>0</v>
      </c>
      <c r="I10" s="375">
        <v>0</v>
      </c>
      <c r="J10" s="401">
        <f t="shared" si="1"/>
        <v>0</v>
      </c>
      <c r="K10" s="95"/>
      <c r="AH10" t="s">
        <v>314</v>
      </c>
      <c r="AI10" t="s">
        <v>260</v>
      </c>
      <c r="AJ10" t="s">
        <v>362</v>
      </c>
      <c r="AK10">
        <v>75</v>
      </c>
      <c r="AM10" t="s">
        <v>548</v>
      </c>
      <c r="AN10" t="s">
        <v>268</v>
      </c>
      <c r="AO10" t="s">
        <v>448</v>
      </c>
      <c r="AP10">
        <v>10</v>
      </c>
    </row>
    <row r="11" spans="1:42" ht="14.95" customHeight="1" thickBot="1" x14ac:dyDescent="0.3">
      <c r="A11" s="355" t="s">
        <v>1731</v>
      </c>
      <c r="B11" s="306">
        <v>0</v>
      </c>
      <c r="C11" s="271">
        <v>0</v>
      </c>
      <c r="D11" s="369">
        <v>0</v>
      </c>
      <c r="E11" s="356">
        <f t="shared" si="0"/>
        <v>0</v>
      </c>
      <c r="F11" s="399" t="s">
        <v>1731</v>
      </c>
      <c r="G11" s="118">
        <v>0</v>
      </c>
      <c r="H11" s="400">
        <v>0</v>
      </c>
      <c r="I11" s="375">
        <v>0</v>
      </c>
      <c r="J11" s="401">
        <f t="shared" si="1"/>
        <v>0</v>
      </c>
      <c r="K11" s="507" t="s">
        <v>1323</v>
      </c>
      <c r="L11" s="480" t="s">
        <v>49</v>
      </c>
      <c r="M11" s="481"/>
      <c r="N11" s="482"/>
      <c r="O11" s="457" t="s">
        <v>124</v>
      </c>
      <c r="P11" s="458"/>
      <c r="Q11" s="459"/>
      <c r="R11" s="457" t="s">
        <v>1070</v>
      </c>
      <c r="S11" s="458"/>
      <c r="T11" s="459"/>
      <c r="U11" s="457" t="s">
        <v>598</v>
      </c>
      <c r="V11" s="458"/>
      <c r="W11" s="459"/>
      <c r="AH11" t="s">
        <v>772</v>
      </c>
      <c r="AI11" t="s">
        <v>296</v>
      </c>
      <c r="AJ11" t="s">
        <v>294</v>
      </c>
      <c r="AK11">
        <v>73</v>
      </c>
      <c r="AM11" t="s">
        <v>894</v>
      </c>
      <c r="AN11" t="s">
        <v>264</v>
      </c>
      <c r="AO11" t="s">
        <v>303</v>
      </c>
      <c r="AP11">
        <v>9</v>
      </c>
    </row>
    <row r="12" spans="1:42" ht="14.95" customHeight="1" thickBot="1" x14ac:dyDescent="0.3">
      <c r="A12" s="355" t="s">
        <v>1067</v>
      </c>
      <c r="B12" s="306">
        <v>0</v>
      </c>
      <c r="C12" s="271">
        <v>0</v>
      </c>
      <c r="D12" s="369">
        <v>0</v>
      </c>
      <c r="E12" s="356">
        <f t="shared" si="0"/>
        <v>0</v>
      </c>
      <c r="F12" s="399" t="s">
        <v>1067</v>
      </c>
      <c r="G12" s="118">
        <v>0</v>
      </c>
      <c r="H12" s="400">
        <v>0</v>
      </c>
      <c r="I12" s="375">
        <v>0</v>
      </c>
      <c r="J12" s="401">
        <f t="shared" si="1"/>
        <v>0</v>
      </c>
      <c r="K12" s="508"/>
      <c r="L12" s="483"/>
      <c r="M12" s="484"/>
      <c r="N12" s="485"/>
      <c r="O12" s="460"/>
      <c r="P12" s="461"/>
      <c r="Q12" s="462"/>
      <c r="R12" s="460"/>
      <c r="S12" s="461"/>
      <c r="T12" s="462"/>
      <c r="U12" s="460"/>
      <c r="V12" s="461"/>
      <c r="W12" s="462"/>
      <c r="AH12" t="s">
        <v>504</v>
      </c>
      <c r="AI12" t="s">
        <v>264</v>
      </c>
      <c r="AJ12" t="s">
        <v>552</v>
      </c>
      <c r="AK12">
        <v>70</v>
      </c>
      <c r="AM12" t="s">
        <v>639</v>
      </c>
      <c r="AN12" t="s">
        <v>274</v>
      </c>
      <c r="AO12" t="s">
        <v>487</v>
      </c>
      <c r="AP12">
        <v>9</v>
      </c>
    </row>
    <row r="13" spans="1:42" ht="14.95" customHeight="1" thickBot="1" x14ac:dyDescent="0.3">
      <c r="A13" s="355" t="s">
        <v>1733</v>
      </c>
      <c r="B13" s="306">
        <v>0</v>
      </c>
      <c r="C13" s="271">
        <v>0</v>
      </c>
      <c r="D13" s="369">
        <v>0</v>
      </c>
      <c r="E13" s="356">
        <f t="shared" si="0"/>
        <v>0</v>
      </c>
      <c r="F13" s="399" t="s">
        <v>1733</v>
      </c>
      <c r="G13" s="118">
        <v>0</v>
      </c>
      <c r="H13" s="400">
        <v>0</v>
      </c>
      <c r="I13" s="375">
        <v>0</v>
      </c>
      <c r="J13" s="401">
        <f t="shared" si="1"/>
        <v>0</v>
      </c>
      <c r="K13" s="160" t="s">
        <v>87</v>
      </c>
      <c r="L13" s="66" t="s">
        <v>243</v>
      </c>
      <c r="M13" s="66" t="s">
        <v>42</v>
      </c>
      <c r="N13" s="66" t="s">
        <v>43</v>
      </c>
      <c r="O13" s="119" t="s">
        <v>243</v>
      </c>
      <c r="P13" s="119" t="s">
        <v>42</v>
      </c>
      <c r="Q13" s="119" t="s">
        <v>43</v>
      </c>
      <c r="R13" s="119" t="s">
        <v>243</v>
      </c>
      <c r="S13" s="119" t="s">
        <v>42</v>
      </c>
      <c r="T13" s="119" t="s">
        <v>43</v>
      </c>
      <c r="U13" s="119" t="s">
        <v>243</v>
      </c>
      <c r="V13" s="119" t="s">
        <v>42</v>
      </c>
      <c r="W13" s="119" t="s">
        <v>43</v>
      </c>
      <c r="AH13" t="s">
        <v>628</v>
      </c>
      <c r="AI13" t="s">
        <v>268</v>
      </c>
      <c r="AJ13" t="s">
        <v>436</v>
      </c>
      <c r="AK13">
        <v>70</v>
      </c>
      <c r="AM13" t="s">
        <v>529</v>
      </c>
      <c r="AN13" t="s">
        <v>278</v>
      </c>
      <c r="AO13" t="s">
        <v>583</v>
      </c>
      <c r="AP13">
        <v>9</v>
      </c>
    </row>
    <row r="14" spans="1:42" ht="14.95" customHeight="1" thickBot="1" x14ac:dyDescent="0.3">
      <c r="A14" s="355" t="s">
        <v>1734</v>
      </c>
      <c r="B14" s="306">
        <v>0</v>
      </c>
      <c r="C14" s="271">
        <v>1</v>
      </c>
      <c r="D14" s="369">
        <v>0</v>
      </c>
      <c r="E14" s="356">
        <f t="shared" si="0"/>
        <v>1</v>
      </c>
      <c r="F14" s="399" t="s">
        <v>1734</v>
      </c>
      <c r="G14" s="118">
        <v>0</v>
      </c>
      <c r="H14" s="400">
        <v>5</v>
      </c>
      <c r="I14" s="375">
        <v>0</v>
      </c>
      <c r="J14" s="401">
        <f t="shared" si="1"/>
        <v>5</v>
      </c>
      <c r="K14" s="358" t="s">
        <v>924</v>
      </c>
      <c r="L14" s="356">
        <v>7</v>
      </c>
      <c r="M14" s="356">
        <v>8</v>
      </c>
      <c r="N14" s="357">
        <f t="shared" ref="N14:N16" si="3">SUM(L14/M14)*100</f>
        <v>87.5</v>
      </c>
      <c r="O14" s="356">
        <v>0</v>
      </c>
      <c r="P14" s="356">
        <v>3</v>
      </c>
      <c r="Q14" s="357">
        <f>SUM(O14/P14)*100</f>
        <v>0</v>
      </c>
      <c r="R14" s="356">
        <v>3</v>
      </c>
      <c r="S14" s="356">
        <v>4</v>
      </c>
      <c r="T14" s="357">
        <f>SUM(R14/S14)*100</f>
        <v>75</v>
      </c>
      <c r="U14" s="356" t="s">
        <v>50</v>
      </c>
      <c r="V14" s="356" t="s">
        <v>50</v>
      </c>
      <c r="W14" s="356" t="s">
        <v>50</v>
      </c>
      <c r="AH14" t="s">
        <v>635</v>
      </c>
      <c r="AI14" t="s">
        <v>270</v>
      </c>
      <c r="AJ14" t="s">
        <v>561</v>
      </c>
      <c r="AK14">
        <v>66</v>
      </c>
      <c r="AM14" t="s">
        <v>895</v>
      </c>
      <c r="AN14" t="s">
        <v>737</v>
      </c>
      <c r="AO14" t="s">
        <v>562</v>
      </c>
      <c r="AP14">
        <v>9</v>
      </c>
    </row>
    <row r="15" spans="1:42" ht="14.95" customHeight="1" thickBot="1" x14ac:dyDescent="0.3">
      <c r="A15" s="355" t="s">
        <v>1831</v>
      </c>
      <c r="B15" s="306">
        <v>0</v>
      </c>
      <c r="C15" s="271">
        <v>0</v>
      </c>
      <c r="D15" s="369">
        <v>1</v>
      </c>
      <c r="E15" s="356">
        <f t="shared" si="0"/>
        <v>1</v>
      </c>
      <c r="F15" s="399" t="s">
        <v>1831</v>
      </c>
      <c r="G15" s="118">
        <v>0</v>
      </c>
      <c r="H15" s="400">
        <v>0</v>
      </c>
      <c r="I15" s="375">
        <v>5</v>
      </c>
      <c r="J15" s="401">
        <f t="shared" si="1"/>
        <v>5</v>
      </c>
      <c r="K15" s="358" t="s">
        <v>1020</v>
      </c>
      <c r="L15" s="356">
        <v>6</v>
      </c>
      <c r="M15" s="356">
        <v>8</v>
      </c>
      <c r="N15" s="357">
        <f t="shared" si="3"/>
        <v>75</v>
      </c>
      <c r="O15" s="356">
        <v>5</v>
      </c>
      <c r="P15" s="356">
        <v>7</v>
      </c>
      <c r="Q15" s="357">
        <f>SUM(O15/P15)*100</f>
        <v>71.428571428571431</v>
      </c>
      <c r="R15" s="356" t="s">
        <v>50</v>
      </c>
      <c r="S15" s="356" t="s">
        <v>50</v>
      </c>
      <c r="T15" s="356" t="s">
        <v>50</v>
      </c>
      <c r="U15" s="356" t="s">
        <v>50</v>
      </c>
      <c r="V15" s="356" t="s">
        <v>50</v>
      </c>
      <c r="W15" s="356" t="s">
        <v>50</v>
      </c>
      <c r="AH15" t="s">
        <v>290</v>
      </c>
      <c r="AI15" t="s">
        <v>264</v>
      </c>
      <c r="AJ15" t="s">
        <v>764</v>
      </c>
      <c r="AK15">
        <v>60</v>
      </c>
      <c r="AM15" t="s">
        <v>897</v>
      </c>
      <c r="AN15" t="s">
        <v>264</v>
      </c>
      <c r="AO15" t="s">
        <v>562</v>
      </c>
      <c r="AP15">
        <v>7</v>
      </c>
    </row>
    <row r="16" spans="1:42" ht="14.95" customHeight="1" thickBot="1" x14ac:dyDescent="0.3">
      <c r="A16" s="355" t="s">
        <v>1285</v>
      </c>
      <c r="B16" s="306">
        <v>0</v>
      </c>
      <c r="C16" s="271">
        <v>0</v>
      </c>
      <c r="D16" s="369">
        <v>0</v>
      </c>
      <c r="E16" s="356">
        <f t="shared" si="0"/>
        <v>0</v>
      </c>
      <c r="F16" s="399" t="s">
        <v>1285</v>
      </c>
      <c r="G16" s="118">
        <v>0</v>
      </c>
      <c r="H16" s="400">
        <v>0</v>
      </c>
      <c r="I16" s="375">
        <v>0</v>
      </c>
      <c r="J16" s="401">
        <f t="shared" si="1"/>
        <v>0</v>
      </c>
      <c r="K16" s="358" t="s">
        <v>237</v>
      </c>
      <c r="L16" s="356">
        <v>3</v>
      </c>
      <c r="M16" s="356">
        <v>6</v>
      </c>
      <c r="N16" s="357">
        <f t="shared" si="3"/>
        <v>50</v>
      </c>
      <c r="O16" s="356">
        <v>3</v>
      </c>
      <c r="P16" s="356">
        <v>5</v>
      </c>
      <c r="Q16" s="357">
        <f>SUM(O16/P16)*100</f>
        <v>60</v>
      </c>
      <c r="R16" s="356" t="s">
        <v>50</v>
      </c>
      <c r="S16" s="356" t="s">
        <v>50</v>
      </c>
      <c r="T16" s="356" t="s">
        <v>50</v>
      </c>
      <c r="U16" s="356" t="s">
        <v>50</v>
      </c>
      <c r="V16" s="356" t="s">
        <v>50</v>
      </c>
      <c r="W16" s="356" t="s">
        <v>50</v>
      </c>
      <c r="AH16" t="s">
        <v>892</v>
      </c>
      <c r="AI16" t="s">
        <v>263</v>
      </c>
      <c r="AJ16" t="s">
        <v>565</v>
      </c>
      <c r="AK16">
        <v>55</v>
      </c>
      <c r="AM16" t="s">
        <v>898</v>
      </c>
      <c r="AN16" t="s">
        <v>272</v>
      </c>
      <c r="AO16" t="s">
        <v>481</v>
      </c>
      <c r="AP16">
        <v>7</v>
      </c>
    </row>
    <row r="17" spans="1:42" ht="14.95" customHeight="1" thickBot="1" x14ac:dyDescent="0.3">
      <c r="A17" s="355" t="s">
        <v>917</v>
      </c>
      <c r="B17" s="306">
        <v>0</v>
      </c>
      <c r="C17" s="271">
        <v>1</v>
      </c>
      <c r="D17" s="369">
        <v>0</v>
      </c>
      <c r="E17" s="356">
        <f t="shared" si="0"/>
        <v>1</v>
      </c>
      <c r="F17" s="399" t="s">
        <v>917</v>
      </c>
      <c r="G17" s="118">
        <v>0</v>
      </c>
      <c r="H17" s="400">
        <v>5</v>
      </c>
      <c r="I17" s="375">
        <v>0</v>
      </c>
      <c r="J17" s="401">
        <f t="shared" si="1"/>
        <v>5</v>
      </c>
      <c r="K17" s="358" t="s">
        <v>89</v>
      </c>
      <c r="L17" s="356" t="s">
        <v>50</v>
      </c>
      <c r="M17" s="356" t="s">
        <v>50</v>
      </c>
      <c r="N17" s="356" t="s">
        <v>50</v>
      </c>
      <c r="O17" s="356" t="s">
        <v>50</v>
      </c>
      <c r="P17" s="356" t="s">
        <v>50</v>
      </c>
      <c r="Q17" s="356" t="s">
        <v>50</v>
      </c>
      <c r="R17" s="356">
        <v>1</v>
      </c>
      <c r="S17" s="356">
        <v>1</v>
      </c>
      <c r="T17" s="357">
        <f>SUM(R17/S17)*100</f>
        <v>100</v>
      </c>
      <c r="U17" s="356" t="s">
        <v>50</v>
      </c>
      <c r="V17" s="356" t="s">
        <v>50</v>
      </c>
      <c r="W17" s="356" t="s">
        <v>50</v>
      </c>
      <c r="AH17" t="s">
        <v>631</v>
      </c>
      <c r="AI17" t="s">
        <v>264</v>
      </c>
      <c r="AJ17" t="s">
        <v>764</v>
      </c>
      <c r="AK17">
        <v>55</v>
      </c>
      <c r="AM17" t="s">
        <v>287</v>
      </c>
      <c r="AN17" t="s">
        <v>270</v>
      </c>
      <c r="AO17" t="s">
        <v>286</v>
      </c>
      <c r="AP17">
        <v>6</v>
      </c>
    </row>
    <row r="18" spans="1:42" ht="14.95" customHeight="1" thickBot="1" x14ac:dyDescent="0.3">
      <c r="A18" s="355" t="s">
        <v>1289</v>
      </c>
      <c r="B18" s="306">
        <v>1</v>
      </c>
      <c r="C18" s="271">
        <v>0</v>
      </c>
      <c r="D18" s="369">
        <v>0</v>
      </c>
      <c r="E18" s="356">
        <f t="shared" si="0"/>
        <v>1</v>
      </c>
      <c r="F18" s="399" t="s">
        <v>1289</v>
      </c>
      <c r="G18" s="118">
        <v>5</v>
      </c>
      <c r="H18" s="400">
        <v>0</v>
      </c>
      <c r="I18" s="375">
        <v>0</v>
      </c>
      <c r="J18" s="401">
        <f t="shared" si="1"/>
        <v>5</v>
      </c>
      <c r="K18" s="358" t="s">
        <v>1287</v>
      </c>
      <c r="L18" s="356">
        <v>1</v>
      </c>
      <c r="M18" s="356">
        <v>3</v>
      </c>
      <c r="N18" s="357">
        <f t="shared" ref="N18" si="4">SUM(L18/M18)*100</f>
        <v>33.333333333333329</v>
      </c>
      <c r="O18" s="356" t="s">
        <v>50</v>
      </c>
      <c r="P18" s="356" t="s">
        <v>50</v>
      </c>
      <c r="Q18" s="356" t="s">
        <v>50</v>
      </c>
      <c r="R18" s="356" t="s">
        <v>50</v>
      </c>
      <c r="S18" s="356" t="s">
        <v>50</v>
      </c>
      <c r="T18" s="356" t="s">
        <v>50</v>
      </c>
      <c r="U18" s="356" t="s">
        <v>50</v>
      </c>
      <c r="V18" s="356" t="s">
        <v>50</v>
      </c>
      <c r="W18" s="356" t="s">
        <v>50</v>
      </c>
      <c r="AH18" t="s">
        <v>893</v>
      </c>
      <c r="AI18" t="s">
        <v>260</v>
      </c>
      <c r="AJ18" t="s">
        <v>483</v>
      </c>
      <c r="AK18">
        <v>55</v>
      </c>
      <c r="AM18" t="s">
        <v>900</v>
      </c>
      <c r="AN18" t="s">
        <v>268</v>
      </c>
      <c r="AO18" t="s">
        <v>554</v>
      </c>
      <c r="AP18">
        <v>6</v>
      </c>
    </row>
    <row r="19" spans="1:42" ht="14.95" customHeight="1" thickBot="1" x14ac:dyDescent="0.3">
      <c r="A19" s="355" t="s">
        <v>233</v>
      </c>
      <c r="B19" s="306">
        <v>0</v>
      </c>
      <c r="C19" s="271">
        <v>2</v>
      </c>
      <c r="D19" s="369">
        <v>0</v>
      </c>
      <c r="E19" s="356">
        <f t="shared" si="0"/>
        <v>2</v>
      </c>
      <c r="F19" s="399" t="s">
        <v>233</v>
      </c>
      <c r="G19" s="118">
        <v>0</v>
      </c>
      <c r="H19" s="400">
        <v>10</v>
      </c>
      <c r="I19" s="375">
        <v>0</v>
      </c>
      <c r="J19" s="401">
        <f t="shared" si="1"/>
        <v>10</v>
      </c>
      <c r="K19" s="358" t="s">
        <v>1290</v>
      </c>
      <c r="L19" s="356">
        <v>7</v>
      </c>
      <c r="M19" s="356">
        <v>10</v>
      </c>
      <c r="N19" s="357">
        <f>SUM(L19/M19)*100</f>
        <v>70</v>
      </c>
      <c r="O19" s="356" t="s">
        <v>50</v>
      </c>
      <c r="P19" s="356" t="s">
        <v>50</v>
      </c>
      <c r="Q19" s="356" t="s">
        <v>50</v>
      </c>
      <c r="R19" s="356">
        <v>16</v>
      </c>
      <c r="S19" s="356">
        <v>18</v>
      </c>
      <c r="T19" s="357">
        <f>SUM(R19/S19)*100</f>
        <v>88.888888888888886</v>
      </c>
      <c r="U19" s="356">
        <v>5</v>
      </c>
      <c r="V19" s="356">
        <v>5</v>
      </c>
      <c r="W19" s="357">
        <f>SUM(U19/V19)*100</f>
        <v>100</v>
      </c>
      <c r="AH19" t="s">
        <v>412</v>
      </c>
      <c r="AI19" t="s">
        <v>276</v>
      </c>
      <c r="AJ19" t="s">
        <v>440</v>
      </c>
      <c r="AK19">
        <v>55</v>
      </c>
      <c r="AM19" t="s">
        <v>899</v>
      </c>
      <c r="AN19" t="s">
        <v>276</v>
      </c>
      <c r="AO19" t="s">
        <v>565</v>
      </c>
      <c r="AP19">
        <v>6</v>
      </c>
    </row>
    <row r="20" spans="1:42" ht="14.95" customHeight="1" thickBot="1" x14ac:dyDescent="0.3">
      <c r="A20" s="355" t="s">
        <v>1286</v>
      </c>
      <c r="B20" s="306">
        <v>1</v>
      </c>
      <c r="C20" s="271">
        <v>0</v>
      </c>
      <c r="D20" s="369">
        <v>0</v>
      </c>
      <c r="E20" s="356">
        <f t="shared" si="0"/>
        <v>1</v>
      </c>
      <c r="F20" s="399" t="s">
        <v>1286</v>
      </c>
      <c r="G20" s="118">
        <v>5</v>
      </c>
      <c r="H20" s="400">
        <v>0</v>
      </c>
      <c r="I20" s="375">
        <v>0</v>
      </c>
      <c r="J20" s="401">
        <f t="shared" si="1"/>
        <v>5</v>
      </c>
      <c r="AF20" s="127"/>
      <c r="AH20" t="s">
        <v>443</v>
      </c>
      <c r="AI20" t="s">
        <v>260</v>
      </c>
      <c r="AJ20" t="s">
        <v>556</v>
      </c>
      <c r="AK20">
        <v>54</v>
      </c>
      <c r="AM20" t="s">
        <v>901</v>
      </c>
      <c r="AN20" t="s">
        <v>268</v>
      </c>
      <c r="AO20" t="s">
        <v>362</v>
      </c>
      <c r="AP20">
        <v>5</v>
      </c>
    </row>
    <row r="21" spans="1:42" ht="14.95" customHeight="1" thickBot="1" x14ac:dyDescent="0.3">
      <c r="A21" s="355" t="s">
        <v>234</v>
      </c>
      <c r="B21" s="306">
        <v>7</v>
      </c>
      <c r="C21" s="271">
        <v>1</v>
      </c>
      <c r="D21" s="369">
        <v>4</v>
      </c>
      <c r="E21" s="356">
        <f t="shared" si="0"/>
        <v>12</v>
      </c>
      <c r="F21" s="399" t="s">
        <v>234</v>
      </c>
      <c r="G21" s="118">
        <v>35</v>
      </c>
      <c r="H21" s="400">
        <v>5</v>
      </c>
      <c r="I21" s="375">
        <v>20</v>
      </c>
      <c r="J21" s="401">
        <f t="shared" si="1"/>
        <v>60</v>
      </c>
      <c r="K21" s="474" t="s">
        <v>1071</v>
      </c>
      <c r="L21" s="480" t="s">
        <v>49</v>
      </c>
      <c r="M21" s="481"/>
      <c r="N21" s="482"/>
      <c r="O21" s="457" t="s">
        <v>124</v>
      </c>
      <c r="P21" s="458"/>
      <c r="Q21" s="459"/>
      <c r="R21" s="457" t="s">
        <v>1070</v>
      </c>
      <c r="S21" s="458"/>
      <c r="T21" s="459"/>
      <c r="U21" s="457" t="s">
        <v>254</v>
      </c>
      <c r="V21" s="458"/>
      <c r="W21" s="459"/>
      <c r="X21" s="149"/>
      <c r="Y21" s="127"/>
      <c r="Z21" s="127"/>
      <c r="AA21" s="127"/>
      <c r="AB21" s="127"/>
      <c r="AC21" s="457" t="s">
        <v>186</v>
      </c>
      <c r="AD21" s="458"/>
      <c r="AE21" s="459"/>
      <c r="AF21" s="127"/>
      <c r="AH21" t="s">
        <v>548</v>
      </c>
      <c r="AI21" t="s">
        <v>268</v>
      </c>
      <c r="AJ21" t="s">
        <v>448</v>
      </c>
      <c r="AK21">
        <v>50</v>
      </c>
      <c r="AM21" t="s">
        <v>902</v>
      </c>
      <c r="AN21" t="s">
        <v>262</v>
      </c>
      <c r="AO21" t="s">
        <v>394</v>
      </c>
      <c r="AP21">
        <v>5</v>
      </c>
    </row>
    <row r="22" spans="1:42" ht="14.95" customHeight="1" thickBot="1" x14ac:dyDescent="0.3">
      <c r="A22" s="355" t="s">
        <v>119</v>
      </c>
      <c r="B22" s="306">
        <v>6</v>
      </c>
      <c r="C22" s="271">
        <v>1</v>
      </c>
      <c r="D22" s="369">
        <v>1</v>
      </c>
      <c r="E22" s="356">
        <f t="shared" si="0"/>
        <v>8</v>
      </c>
      <c r="F22" s="399" t="s">
        <v>119</v>
      </c>
      <c r="G22" s="118">
        <v>30</v>
      </c>
      <c r="H22" s="400">
        <v>5</v>
      </c>
      <c r="I22" s="375">
        <v>5</v>
      </c>
      <c r="J22" s="401">
        <f t="shared" si="1"/>
        <v>40</v>
      </c>
      <c r="K22" s="475"/>
      <c r="L22" s="483"/>
      <c r="M22" s="484"/>
      <c r="N22" s="485"/>
      <c r="O22" s="460"/>
      <c r="P22" s="461"/>
      <c r="Q22" s="462"/>
      <c r="R22" s="460"/>
      <c r="S22" s="461"/>
      <c r="T22" s="462"/>
      <c r="U22" s="460"/>
      <c r="V22" s="461"/>
      <c r="W22" s="462"/>
      <c r="X22" s="149"/>
      <c r="Y22" s="127"/>
      <c r="Z22" s="127"/>
      <c r="AA22" s="127"/>
      <c r="AB22" s="127"/>
      <c r="AC22" s="460"/>
      <c r="AD22" s="461"/>
      <c r="AE22" s="462"/>
      <c r="AF22" s="60"/>
      <c r="AH22" t="s">
        <v>302</v>
      </c>
      <c r="AI22" t="s">
        <v>260</v>
      </c>
      <c r="AJ22" t="s">
        <v>557</v>
      </c>
      <c r="AK22">
        <v>48</v>
      </c>
      <c r="AM22" t="s">
        <v>896</v>
      </c>
      <c r="AO22" t="s">
        <v>351</v>
      </c>
      <c r="AP22">
        <v>5</v>
      </c>
    </row>
    <row r="23" spans="1:42" ht="14.95" customHeight="1" thickBot="1" x14ac:dyDescent="0.3">
      <c r="A23" s="355" t="s">
        <v>247</v>
      </c>
      <c r="B23" s="306">
        <v>1</v>
      </c>
      <c r="C23" s="271">
        <v>0</v>
      </c>
      <c r="D23" s="369">
        <v>2</v>
      </c>
      <c r="E23" s="356">
        <f t="shared" si="0"/>
        <v>3</v>
      </c>
      <c r="F23" s="399" t="s">
        <v>247</v>
      </c>
      <c r="G23" s="118">
        <v>5</v>
      </c>
      <c r="H23" s="400">
        <v>0</v>
      </c>
      <c r="I23" s="375">
        <v>10</v>
      </c>
      <c r="J23" s="401">
        <f t="shared" si="1"/>
        <v>15</v>
      </c>
      <c r="K23" s="37" t="s">
        <v>87</v>
      </c>
      <c r="L23" s="66" t="s">
        <v>243</v>
      </c>
      <c r="M23" s="66" t="s">
        <v>42</v>
      </c>
      <c r="N23" s="66" t="s">
        <v>43</v>
      </c>
      <c r="O23" s="119" t="s">
        <v>243</v>
      </c>
      <c r="P23" s="119" t="s">
        <v>42</v>
      </c>
      <c r="Q23" s="119" t="s">
        <v>43</v>
      </c>
      <c r="R23" s="119" t="s">
        <v>243</v>
      </c>
      <c r="S23" s="119" t="s">
        <v>42</v>
      </c>
      <c r="T23" s="119" t="s">
        <v>43</v>
      </c>
      <c r="U23" s="124" t="s">
        <v>243</v>
      </c>
      <c r="V23" s="119" t="s">
        <v>42</v>
      </c>
      <c r="W23" s="119" t="s">
        <v>43</v>
      </c>
      <c r="X23" s="152"/>
      <c r="Y23" s="153"/>
      <c r="Z23" s="153"/>
      <c r="AA23" s="153"/>
      <c r="AB23" s="153"/>
      <c r="AC23" s="124" t="s">
        <v>243</v>
      </c>
      <c r="AD23" s="119" t="s">
        <v>42</v>
      </c>
      <c r="AE23" s="119" t="s">
        <v>43</v>
      </c>
      <c r="AF23" s="58"/>
      <c r="AH23" t="s">
        <v>894</v>
      </c>
      <c r="AI23" t="s">
        <v>264</v>
      </c>
      <c r="AJ23" t="s">
        <v>303</v>
      </c>
      <c r="AK23">
        <v>45</v>
      </c>
      <c r="AM23" t="s">
        <v>391</v>
      </c>
      <c r="AN23" t="s">
        <v>268</v>
      </c>
      <c r="AO23" t="s">
        <v>554</v>
      </c>
      <c r="AP23">
        <v>5</v>
      </c>
    </row>
    <row r="24" spans="1:42" ht="14.95" customHeight="1" thickBot="1" x14ac:dyDescent="0.3">
      <c r="A24" s="355" t="s">
        <v>939</v>
      </c>
      <c r="B24" s="306">
        <v>3</v>
      </c>
      <c r="C24" s="271">
        <v>5</v>
      </c>
      <c r="D24" s="369">
        <v>3</v>
      </c>
      <c r="E24" s="356">
        <f t="shared" si="0"/>
        <v>11</v>
      </c>
      <c r="F24" s="399" t="s">
        <v>939</v>
      </c>
      <c r="G24" s="118">
        <v>15</v>
      </c>
      <c r="H24" s="400">
        <v>25</v>
      </c>
      <c r="I24" s="375">
        <v>15</v>
      </c>
      <c r="J24" s="401">
        <f t="shared" si="1"/>
        <v>55</v>
      </c>
      <c r="K24" s="358" t="s">
        <v>89</v>
      </c>
      <c r="L24" s="356" t="s">
        <v>50</v>
      </c>
      <c r="M24" s="356" t="s">
        <v>50</v>
      </c>
      <c r="N24" s="356" t="s">
        <v>50</v>
      </c>
      <c r="O24" s="356" t="s">
        <v>50</v>
      </c>
      <c r="P24" s="356" t="s">
        <v>50</v>
      </c>
      <c r="Q24" s="356" t="s">
        <v>50</v>
      </c>
      <c r="R24" s="356">
        <v>9</v>
      </c>
      <c r="S24" s="356">
        <v>14</v>
      </c>
      <c r="T24" s="357">
        <f>SUM(R24/S24)*100</f>
        <v>64.285714285714292</v>
      </c>
      <c r="U24" s="359" t="s">
        <v>50</v>
      </c>
      <c r="V24" s="356" t="s">
        <v>50</v>
      </c>
      <c r="W24" s="356" t="s">
        <v>50</v>
      </c>
      <c r="X24" s="152"/>
      <c r="Y24" s="153"/>
      <c r="Z24" s="153"/>
      <c r="AA24" s="153"/>
      <c r="AB24" s="153"/>
      <c r="AC24" s="359" t="s">
        <v>50</v>
      </c>
      <c r="AD24" s="356" t="s">
        <v>50</v>
      </c>
      <c r="AE24" s="356" t="s">
        <v>50</v>
      </c>
      <c r="AF24" s="58"/>
      <c r="AH24" t="s">
        <v>639</v>
      </c>
      <c r="AI24" t="s">
        <v>274</v>
      </c>
      <c r="AJ24" t="s">
        <v>487</v>
      </c>
      <c r="AK24">
        <v>45</v>
      </c>
      <c r="AM24" t="s">
        <v>524</v>
      </c>
      <c r="AN24" t="s">
        <v>283</v>
      </c>
      <c r="AO24" t="s">
        <v>565</v>
      </c>
      <c r="AP24">
        <v>5</v>
      </c>
    </row>
    <row r="25" spans="1:42" ht="14.95" customHeight="1" thickBot="1" x14ac:dyDescent="0.3">
      <c r="A25" s="355" t="s">
        <v>431</v>
      </c>
      <c r="B25" s="306">
        <v>0</v>
      </c>
      <c r="C25" s="271">
        <v>0</v>
      </c>
      <c r="D25" s="369">
        <v>0</v>
      </c>
      <c r="E25" s="356">
        <f t="shared" si="0"/>
        <v>0</v>
      </c>
      <c r="F25" s="399" t="s">
        <v>432</v>
      </c>
      <c r="G25" s="118">
        <v>0</v>
      </c>
      <c r="H25" s="400">
        <v>0</v>
      </c>
      <c r="I25" s="375">
        <v>0</v>
      </c>
      <c r="J25" s="401">
        <f t="shared" si="1"/>
        <v>0</v>
      </c>
      <c r="K25" s="358" t="s">
        <v>1287</v>
      </c>
      <c r="L25" s="356">
        <v>2</v>
      </c>
      <c r="M25" s="356">
        <v>7</v>
      </c>
      <c r="N25" s="357">
        <f t="shared" ref="N25:N27" si="5">SUM(L25/M25)*100</f>
        <v>28.571428571428569</v>
      </c>
      <c r="O25" s="356"/>
      <c r="P25" s="356"/>
      <c r="Q25" s="356"/>
      <c r="R25" s="356"/>
      <c r="S25" s="356"/>
      <c r="T25" s="357"/>
      <c r="U25" s="356"/>
      <c r="V25" s="356"/>
      <c r="W25" s="356"/>
      <c r="X25" s="152"/>
      <c r="Y25" s="153"/>
      <c r="Z25" s="153"/>
      <c r="AA25" s="153"/>
      <c r="AB25" s="153"/>
      <c r="AC25" s="359"/>
      <c r="AD25" s="356"/>
      <c r="AE25" s="356"/>
      <c r="AH25" t="s">
        <v>529</v>
      </c>
      <c r="AI25" t="s">
        <v>278</v>
      </c>
      <c r="AJ25" t="s">
        <v>583</v>
      </c>
      <c r="AK25">
        <v>45</v>
      </c>
      <c r="AM25" t="s">
        <v>906</v>
      </c>
      <c r="AN25" t="s">
        <v>262</v>
      </c>
      <c r="AO25" t="s">
        <v>461</v>
      </c>
      <c r="AP25">
        <v>4</v>
      </c>
    </row>
    <row r="26" spans="1:42" ht="14.95" customHeight="1" thickBot="1" x14ac:dyDescent="0.3">
      <c r="A26" s="355" t="s">
        <v>1002</v>
      </c>
      <c r="B26" s="306">
        <v>0</v>
      </c>
      <c r="C26" s="271">
        <v>1</v>
      </c>
      <c r="D26" s="369">
        <v>0</v>
      </c>
      <c r="E26" s="356">
        <f t="shared" si="0"/>
        <v>1</v>
      </c>
      <c r="F26" s="399" t="s">
        <v>1002</v>
      </c>
      <c r="G26" s="118">
        <v>0</v>
      </c>
      <c r="H26" s="400">
        <v>5</v>
      </c>
      <c r="I26" s="375">
        <v>0</v>
      </c>
      <c r="J26" s="401">
        <f t="shared" si="1"/>
        <v>5</v>
      </c>
      <c r="K26" s="358" t="s">
        <v>1290</v>
      </c>
      <c r="L26" s="356">
        <v>15</v>
      </c>
      <c r="M26" s="356">
        <v>18</v>
      </c>
      <c r="N26" s="357">
        <f t="shared" si="5"/>
        <v>83.333333333333343</v>
      </c>
      <c r="O26" s="356" t="s">
        <v>50</v>
      </c>
      <c r="P26" s="356" t="s">
        <v>50</v>
      </c>
      <c r="Q26" s="356" t="s">
        <v>50</v>
      </c>
      <c r="R26" s="356" t="s">
        <v>50</v>
      </c>
      <c r="S26" s="356" t="s">
        <v>50</v>
      </c>
      <c r="T26" s="356" t="s">
        <v>50</v>
      </c>
      <c r="U26" s="356" t="s">
        <v>50</v>
      </c>
      <c r="V26" s="356" t="s">
        <v>50</v>
      </c>
      <c r="W26" s="356" t="s">
        <v>50</v>
      </c>
      <c r="X26" s="152"/>
      <c r="Y26" s="153"/>
      <c r="Z26" s="153"/>
      <c r="AA26" s="153"/>
      <c r="AB26" s="153"/>
      <c r="AC26" s="359" t="s">
        <v>50</v>
      </c>
      <c r="AD26" s="356" t="s">
        <v>50</v>
      </c>
      <c r="AE26" s="356" t="s">
        <v>50</v>
      </c>
      <c r="AH26" t="s">
        <v>895</v>
      </c>
      <c r="AI26" t="s">
        <v>737</v>
      </c>
      <c r="AJ26" t="s">
        <v>562</v>
      </c>
      <c r="AK26">
        <v>45</v>
      </c>
      <c r="AM26" t="s">
        <v>545</v>
      </c>
      <c r="AN26" t="s">
        <v>263</v>
      </c>
      <c r="AO26" t="s">
        <v>483</v>
      </c>
      <c r="AP26">
        <v>4</v>
      </c>
    </row>
    <row r="27" spans="1:42" ht="15.8" thickBot="1" x14ac:dyDescent="0.3">
      <c r="A27" s="355" t="s">
        <v>125</v>
      </c>
      <c r="B27" s="306">
        <v>0</v>
      </c>
      <c r="C27" s="271">
        <v>0</v>
      </c>
      <c r="D27" s="369">
        <v>0</v>
      </c>
      <c r="E27" s="356">
        <f t="shared" si="0"/>
        <v>0</v>
      </c>
      <c r="F27" s="399" t="s">
        <v>125</v>
      </c>
      <c r="G27" s="118">
        <v>0</v>
      </c>
      <c r="H27" s="400">
        <v>0</v>
      </c>
      <c r="I27" s="375">
        <v>0</v>
      </c>
      <c r="J27" s="401">
        <f t="shared" si="1"/>
        <v>0</v>
      </c>
      <c r="K27" s="358" t="s">
        <v>924</v>
      </c>
      <c r="L27" s="356">
        <v>1</v>
      </c>
      <c r="M27" s="356">
        <v>1</v>
      </c>
      <c r="N27" s="357">
        <f t="shared" si="5"/>
        <v>100</v>
      </c>
      <c r="O27" s="356">
        <v>3</v>
      </c>
      <c r="P27" s="356">
        <v>5</v>
      </c>
      <c r="Q27" s="357">
        <f>SUM(O27/P27)*100</f>
        <v>60</v>
      </c>
      <c r="R27" s="356" t="s">
        <v>50</v>
      </c>
      <c r="S27" s="356" t="s">
        <v>50</v>
      </c>
      <c r="T27" s="356" t="s">
        <v>50</v>
      </c>
      <c r="U27" s="359" t="s">
        <v>50</v>
      </c>
      <c r="V27" s="356" t="s">
        <v>50</v>
      </c>
      <c r="W27" s="356" t="s">
        <v>50</v>
      </c>
      <c r="X27" s="152"/>
      <c r="Y27" s="153"/>
      <c r="Z27" s="153"/>
      <c r="AA27" s="153"/>
      <c r="AB27" s="153"/>
      <c r="AC27" s="359" t="s">
        <v>50</v>
      </c>
      <c r="AD27" s="356" t="s">
        <v>50</v>
      </c>
      <c r="AE27" s="356" t="s">
        <v>50</v>
      </c>
      <c r="AH27" t="s">
        <v>896</v>
      </c>
      <c r="AJ27" t="s">
        <v>351</v>
      </c>
      <c r="AK27">
        <v>42</v>
      </c>
      <c r="AM27" t="s">
        <v>907</v>
      </c>
      <c r="AN27" t="s">
        <v>272</v>
      </c>
      <c r="AO27" t="s">
        <v>362</v>
      </c>
      <c r="AP27">
        <v>4</v>
      </c>
    </row>
    <row r="28" spans="1:42" ht="15.8" thickBot="1" x14ac:dyDescent="0.3">
      <c r="A28" s="355" t="s">
        <v>1020</v>
      </c>
      <c r="B28" s="306">
        <v>0</v>
      </c>
      <c r="C28" s="271">
        <v>0</v>
      </c>
      <c r="D28" s="369">
        <v>0</v>
      </c>
      <c r="E28" s="356">
        <f t="shared" si="0"/>
        <v>0</v>
      </c>
      <c r="F28" s="399" t="s">
        <v>1020</v>
      </c>
      <c r="G28" s="118">
        <v>0</v>
      </c>
      <c r="H28" s="400">
        <v>13</v>
      </c>
      <c r="I28" s="375">
        <v>0</v>
      </c>
      <c r="J28" s="401">
        <f t="shared" si="1"/>
        <v>13</v>
      </c>
      <c r="K28" s="512" t="s">
        <v>1293</v>
      </c>
      <c r="L28" s="534"/>
      <c r="M28" s="534"/>
      <c r="N28" s="534"/>
      <c r="O28" s="552"/>
      <c r="P28" s="552"/>
      <c r="Q28" s="552"/>
      <c r="R28" s="503"/>
      <c r="S28" s="503"/>
      <c r="T28" s="503"/>
      <c r="U28" s="503"/>
      <c r="V28" s="503"/>
      <c r="W28" s="503"/>
      <c r="X28" s="503"/>
      <c r="Y28" s="503"/>
      <c r="Z28" s="503"/>
      <c r="AA28" s="503"/>
      <c r="AB28" s="503"/>
      <c r="AC28" s="503"/>
      <c r="AD28" s="503"/>
      <c r="AE28" s="503"/>
      <c r="AH28" t="s">
        <v>897</v>
      </c>
      <c r="AI28" t="s">
        <v>264</v>
      </c>
      <c r="AJ28" t="s">
        <v>562</v>
      </c>
      <c r="AK28">
        <v>35</v>
      </c>
      <c r="AM28" t="s">
        <v>908</v>
      </c>
      <c r="AN28" t="s">
        <v>315</v>
      </c>
      <c r="AO28" t="s">
        <v>295</v>
      </c>
      <c r="AP28">
        <v>4</v>
      </c>
    </row>
    <row r="29" spans="1:42" ht="15.8" thickBot="1" x14ac:dyDescent="0.3">
      <c r="A29" s="355" t="s">
        <v>1029</v>
      </c>
      <c r="B29" s="306">
        <v>0</v>
      </c>
      <c r="C29" s="271">
        <v>2</v>
      </c>
      <c r="D29" s="369">
        <v>0</v>
      </c>
      <c r="E29" s="356">
        <f t="shared" si="0"/>
        <v>2</v>
      </c>
      <c r="F29" s="399" t="s">
        <v>1029</v>
      </c>
      <c r="G29" s="118">
        <v>0</v>
      </c>
      <c r="H29" s="400">
        <v>10</v>
      </c>
      <c r="I29" s="375">
        <v>0</v>
      </c>
      <c r="J29" s="401">
        <f t="shared" si="1"/>
        <v>10</v>
      </c>
      <c r="K29" s="94"/>
      <c r="L29" s="77"/>
      <c r="M29" s="77"/>
      <c r="N29" s="79"/>
      <c r="AH29" t="s">
        <v>898</v>
      </c>
      <c r="AI29" t="s">
        <v>272</v>
      </c>
      <c r="AJ29" t="s">
        <v>481</v>
      </c>
      <c r="AK29">
        <v>35</v>
      </c>
      <c r="AM29" t="s">
        <v>909</v>
      </c>
      <c r="AO29" t="s">
        <v>764</v>
      </c>
      <c r="AP29">
        <v>4</v>
      </c>
    </row>
    <row r="30" spans="1:42" ht="15.8" thickBot="1" x14ac:dyDescent="0.3">
      <c r="A30" s="355" t="s">
        <v>104</v>
      </c>
      <c r="B30" s="306">
        <v>3</v>
      </c>
      <c r="C30" s="271">
        <v>1</v>
      </c>
      <c r="D30" s="369">
        <v>0</v>
      </c>
      <c r="E30" s="356">
        <f t="shared" si="0"/>
        <v>4</v>
      </c>
      <c r="F30" s="399" t="s">
        <v>104</v>
      </c>
      <c r="G30" s="118">
        <v>15</v>
      </c>
      <c r="H30" s="400">
        <v>5</v>
      </c>
      <c r="I30" s="375">
        <v>0</v>
      </c>
      <c r="J30" s="401">
        <f t="shared" si="1"/>
        <v>20</v>
      </c>
      <c r="AH30" t="s">
        <v>899</v>
      </c>
      <c r="AI30" t="s">
        <v>276</v>
      </c>
      <c r="AJ30" t="s">
        <v>565</v>
      </c>
      <c r="AK30">
        <v>32</v>
      </c>
      <c r="AM30" t="s">
        <v>910</v>
      </c>
      <c r="AN30" t="s">
        <v>276</v>
      </c>
      <c r="AO30" t="s">
        <v>564</v>
      </c>
      <c r="AP30">
        <v>4</v>
      </c>
    </row>
    <row r="31" spans="1:42" ht="15.8" thickBot="1" x14ac:dyDescent="0.3">
      <c r="A31" s="355" t="s">
        <v>235</v>
      </c>
      <c r="B31" s="306">
        <v>1</v>
      </c>
      <c r="C31" s="271">
        <v>0</v>
      </c>
      <c r="D31" s="369">
        <v>0</v>
      </c>
      <c r="E31" s="356">
        <f t="shared" si="0"/>
        <v>1</v>
      </c>
      <c r="F31" s="399" t="s">
        <v>235</v>
      </c>
      <c r="G31" s="118">
        <v>5</v>
      </c>
      <c r="H31" s="400">
        <v>0</v>
      </c>
      <c r="I31" s="375">
        <v>0</v>
      </c>
      <c r="J31" s="401">
        <f t="shared" si="1"/>
        <v>5</v>
      </c>
      <c r="AH31" t="s">
        <v>900</v>
      </c>
      <c r="AI31" t="s">
        <v>268</v>
      </c>
      <c r="AJ31" t="s">
        <v>554</v>
      </c>
      <c r="AK31">
        <v>30</v>
      </c>
      <c r="AM31" t="s">
        <v>911</v>
      </c>
      <c r="AN31" t="s">
        <v>599</v>
      </c>
      <c r="AO31" t="s">
        <v>562</v>
      </c>
      <c r="AP31">
        <v>4</v>
      </c>
    </row>
    <row r="32" spans="1:42" ht="15.8" thickBot="1" x14ac:dyDescent="0.3">
      <c r="A32" s="355" t="s">
        <v>1737</v>
      </c>
      <c r="B32" s="306">
        <v>0</v>
      </c>
      <c r="C32" s="271">
        <v>0</v>
      </c>
      <c r="D32" s="369">
        <v>0</v>
      </c>
      <c r="E32" s="356">
        <f t="shared" si="0"/>
        <v>0</v>
      </c>
      <c r="F32" s="399" t="s">
        <v>1737</v>
      </c>
      <c r="G32" s="118">
        <v>0</v>
      </c>
      <c r="H32" s="400">
        <v>0</v>
      </c>
      <c r="I32" s="375">
        <v>0</v>
      </c>
      <c r="J32" s="401">
        <f t="shared" si="1"/>
        <v>0</v>
      </c>
      <c r="AH32" t="s">
        <v>901</v>
      </c>
      <c r="AI32" t="s">
        <v>268</v>
      </c>
      <c r="AJ32" t="s">
        <v>362</v>
      </c>
      <c r="AK32">
        <v>25</v>
      </c>
      <c r="AM32" t="s">
        <v>772</v>
      </c>
      <c r="AN32" t="s">
        <v>296</v>
      </c>
      <c r="AO32" t="s">
        <v>294</v>
      </c>
      <c r="AP32">
        <v>3</v>
      </c>
    </row>
    <row r="33" spans="1:42" ht="15.8" thickBot="1" x14ac:dyDescent="0.3">
      <c r="A33" s="355" t="s">
        <v>66</v>
      </c>
      <c r="B33" s="306">
        <v>0</v>
      </c>
      <c r="C33" s="271">
        <v>0</v>
      </c>
      <c r="D33" s="369">
        <v>0</v>
      </c>
      <c r="E33" s="356">
        <f t="shared" si="0"/>
        <v>0</v>
      </c>
      <c r="F33" s="399" t="s">
        <v>66</v>
      </c>
      <c r="G33" s="118">
        <v>0</v>
      </c>
      <c r="H33" s="400">
        <v>0</v>
      </c>
      <c r="I33" s="375">
        <v>0</v>
      </c>
      <c r="J33" s="401">
        <f t="shared" si="1"/>
        <v>0</v>
      </c>
      <c r="AH33" t="s">
        <v>902</v>
      </c>
      <c r="AI33" t="s">
        <v>262</v>
      </c>
      <c r="AJ33" t="s">
        <v>394</v>
      </c>
      <c r="AK33">
        <v>25</v>
      </c>
      <c r="AM33" t="s">
        <v>912</v>
      </c>
      <c r="AN33" t="s">
        <v>284</v>
      </c>
      <c r="AO33" t="s">
        <v>561</v>
      </c>
      <c r="AP33">
        <v>3</v>
      </c>
    </row>
    <row r="34" spans="1:42" ht="15.8" thickBot="1" x14ac:dyDescent="0.3">
      <c r="A34" s="355" t="s">
        <v>89</v>
      </c>
      <c r="B34" s="306">
        <v>4</v>
      </c>
      <c r="C34" s="271">
        <v>0</v>
      </c>
      <c r="D34" s="369">
        <v>0</v>
      </c>
      <c r="E34" s="356">
        <f t="shared" si="0"/>
        <v>4</v>
      </c>
      <c r="F34" s="399" t="s">
        <v>89</v>
      </c>
      <c r="G34" s="118">
        <v>20</v>
      </c>
      <c r="H34" s="400">
        <v>3</v>
      </c>
      <c r="I34" s="375">
        <v>0</v>
      </c>
      <c r="J34" s="401">
        <f t="shared" si="1"/>
        <v>23</v>
      </c>
      <c r="AH34" t="s">
        <v>391</v>
      </c>
      <c r="AI34" t="s">
        <v>268</v>
      </c>
      <c r="AJ34" t="s">
        <v>554</v>
      </c>
      <c r="AK34">
        <v>25</v>
      </c>
      <c r="AM34" t="s">
        <v>913</v>
      </c>
      <c r="AN34" t="s">
        <v>277</v>
      </c>
      <c r="AO34" t="s">
        <v>303</v>
      </c>
      <c r="AP34">
        <v>3</v>
      </c>
    </row>
    <row r="35" spans="1:42" ht="15.8" thickBot="1" x14ac:dyDescent="0.3">
      <c r="A35" s="355" t="s">
        <v>1739</v>
      </c>
      <c r="B35" s="306">
        <v>0</v>
      </c>
      <c r="C35" s="271">
        <v>0</v>
      </c>
      <c r="D35" s="369">
        <v>0</v>
      </c>
      <c r="E35" s="356">
        <f t="shared" si="0"/>
        <v>0</v>
      </c>
      <c r="F35" s="399" t="s">
        <v>1739</v>
      </c>
      <c r="G35" s="118">
        <v>0</v>
      </c>
      <c r="H35" s="400">
        <v>0</v>
      </c>
      <c r="I35" s="375">
        <v>0</v>
      </c>
      <c r="J35" s="401">
        <f t="shared" si="1"/>
        <v>0</v>
      </c>
      <c r="AH35" t="s">
        <v>524</v>
      </c>
      <c r="AI35" t="s">
        <v>283</v>
      </c>
      <c r="AJ35" t="s">
        <v>565</v>
      </c>
      <c r="AK35">
        <v>25</v>
      </c>
      <c r="AM35" t="s">
        <v>507</v>
      </c>
      <c r="AO35" t="s">
        <v>557</v>
      </c>
      <c r="AP35">
        <v>3</v>
      </c>
    </row>
    <row r="36" spans="1:42" ht="15.8" thickBot="1" x14ac:dyDescent="0.3">
      <c r="A36" s="355" t="s">
        <v>7</v>
      </c>
      <c r="B36" s="306">
        <v>1</v>
      </c>
      <c r="C36" s="271">
        <v>0</v>
      </c>
      <c r="D36" s="369">
        <v>0</v>
      </c>
      <c r="E36" s="356">
        <f t="shared" si="0"/>
        <v>1</v>
      </c>
      <c r="F36" s="399" t="s">
        <v>7</v>
      </c>
      <c r="G36" s="118">
        <v>7</v>
      </c>
      <c r="H36" s="400">
        <v>0</v>
      </c>
      <c r="I36" s="375">
        <v>0</v>
      </c>
      <c r="J36" s="401">
        <f t="shared" si="1"/>
        <v>7</v>
      </c>
      <c r="AH36" t="s">
        <v>903</v>
      </c>
      <c r="AJ36" t="s">
        <v>562</v>
      </c>
      <c r="AK36">
        <v>23</v>
      </c>
      <c r="AM36" t="s">
        <v>630</v>
      </c>
      <c r="AN36" t="s">
        <v>270</v>
      </c>
      <c r="AO36" t="s">
        <v>764</v>
      </c>
      <c r="AP36">
        <v>3</v>
      </c>
    </row>
    <row r="37" spans="1:42" ht="15.8" thickBot="1" x14ac:dyDescent="0.3">
      <c r="A37" s="355" t="s">
        <v>236</v>
      </c>
      <c r="B37" s="306">
        <v>0</v>
      </c>
      <c r="C37" s="271">
        <v>1</v>
      </c>
      <c r="D37" s="369">
        <v>1</v>
      </c>
      <c r="E37" s="356">
        <f t="shared" si="0"/>
        <v>2</v>
      </c>
      <c r="F37" s="399" t="s">
        <v>236</v>
      </c>
      <c r="G37" s="118">
        <v>0</v>
      </c>
      <c r="H37" s="400">
        <v>5</v>
      </c>
      <c r="I37" s="375">
        <v>5</v>
      </c>
      <c r="J37" s="401">
        <f t="shared" si="1"/>
        <v>10</v>
      </c>
      <c r="AH37" t="s">
        <v>904</v>
      </c>
      <c r="AI37" t="s">
        <v>270</v>
      </c>
      <c r="AJ37" t="s">
        <v>905</v>
      </c>
      <c r="AK37">
        <v>21</v>
      </c>
      <c r="AM37" t="s">
        <v>914</v>
      </c>
      <c r="AN37" t="s">
        <v>268</v>
      </c>
      <c r="AO37" t="s">
        <v>562</v>
      </c>
      <c r="AP37">
        <v>3</v>
      </c>
    </row>
    <row r="38" spans="1:42" ht="15.8" thickBot="1" x14ac:dyDescent="0.3">
      <c r="A38" s="355" t="s">
        <v>237</v>
      </c>
      <c r="B38" s="306">
        <v>6</v>
      </c>
      <c r="C38" s="271">
        <v>0</v>
      </c>
      <c r="D38" s="369">
        <v>0</v>
      </c>
      <c r="E38" s="356">
        <f t="shared" si="0"/>
        <v>6</v>
      </c>
      <c r="F38" s="399" t="s">
        <v>237</v>
      </c>
      <c r="G38" s="118">
        <v>60</v>
      </c>
      <c r="H38" s="400">
        <v>6</v>
      </c>
      <c r="I38" s="375">
        <v>0</v>
      </c>
      <c r="J38" s="401">
        <f t="shared" si="1"/>
        <v>66</v>
      </c>
      <c r="AH38" t="s">
        <v>906</v>
      </c>
      <c r="AI38" t="s">
        <v>262</v>
      </c>
      <c r="AJ38" t="s">
        <v>461</v>
      </c>
      <c r="AK38">
        <v>20</v>
      </c>
      <c r="AM38" t="s">
        <v>915</v>
      </c>
      <c r="AN38" t="s">
        <v>284</v>
      </c>
      <c r="AO38" t="s">
        <v>554</v>
      </c>
      <c r="AP38">
        <v>3</v>
      </c>
    </row>
    <row r="39" spans="1:42" ht="15.8" thickBot="1" x14ac:dyDescent="0.3">
      <c r="A39" s="355" t="s">
        <v>322</v>
      </c>
      <c r="B39" s="306">
        <v>0</v>
      </c>
      <c r="C39" s="271">
        <v>0</v>
      </c>
      <c r="D39" s="369">
        <v>1</v>
      </c>
      <c r="E39" s="356">
        <f t="shared" si="0"/>
        <v>1</v>
      </c>
      <c r="F39" s="399" t="s">
        <v>322</v>
      </c>
      <c r="G39" s="118">
        <v>0</v>
      </c>
      <c r="H39" s="400">
        <v>0</v>
      </c>
      <c r="I39" s="375">
        <v>5</v>
      </c>
      <c r="J39" s="401">
        <f t="shared" si="1"/>
        <v>5</v>
      </c>
      <c r="AH39" t="s">
        <v>545</v>
      </c>
      <c r="AI39" t="s">
        <v>263</v>
      </c>
      <c r="AJ39" t="s">
        <v>483</v>
      </c>
      <c r="AK39">
        <v>20</v>
      </c>
      <c r="AM39" t="s">
        <v>916</v>
      </c>
      <c r="AN39" t="s">
        <v>276</v>
      </c>
      <c r="AO39" t="s">
        <v>554</v>
      </c>
      <c r="AP39">
        <v>3</v>
      </c>
    </row>
    <row r="40" spans="1:42" ht="14.95" customHeight="1" thickBot="1" x14ac:dyDescent="0.3">
      <c r="A40" s="355" t="s">
        <v>248</v>
      </c>
      <c r="B40" s="306">
        <v>0</v>
      </c>
      <c r="C40" s="271">
        <v>0</v>
      </c>
      <c r="D40" s="369">
        <v>0</v>
      </c>
      <c r="E40" s="356">
        <f t="shared" si="0"/>
        <v>0</v>
      </c>
      <c r="F40" s="399" t="s">
        <v>248</v>
      </c>
      <c r="G40" s="118">
        <v>0</v>
      </c>
      <c r="H40" s="400">
        <v>0</v>
      </c>
      <c r="I40" s="375">
        <v>0</v>
      </c>
      <c r="J40" s="401">
        <f t="shared" si="1"/>
        <v>0</v>
      </c>
      <c r="AH40" t="s">
        <v>907</v>
      </c>
      <c r="AI40" t="s">
        <v>272</v>
      </c>
      <c r="AJ40" t="s">
        <v>362</v>
      </c>
      <c r="AK40">
        <v>20</v>
      </c>
    </row>
    <row r="41" spans="1:42" ht="15.8" thickBot="1" x14ac:dyDescent="0.3">
      <c r="A41" s="355" t="s">
        <v>238</v>
      </c>
      <c r="B41" s="306">
        <v>1</v>
      </c>
      <c r="C41" s="271">
        <v>0</v>
      </c>
      <c r="D41" s="369">
        <v>0</v>
      </c>
      <c r="E41" s="356">
        <f t="shared" si="0"/>
        <v>1</v>
      </c>
      <c r="F41" s="399" t="s">
        <v>238</v>
      </c>
      <c r="G41" s="118">
        <v>5</v>
      </c>
      <c r="H41" s="400">
        <v>0</v>
      </c>
      <c r="I41" s="375">
        <v>0</v>
      </c>
      <c r="J41" s="401">
        <f t="shared" si="1"/>
        <v>5</v>
      </c>
      <c r="AH41" t="s">
        <v>908</v>
      </c>
      <c r="AI41" t="s">
        <v>315</v>
      </c>
      <c r="AJ41" t="s">
        <v>295</v>
      </c>
      <c r="AK41">
        <v>20</v>
      </c>
    </row>
    <row r="42" spans="1:42" ht="15.8" thickBot="1" x14ac:dyDescent="0.3">
      <c r="A42" s="355" t="s">
        <v>924</v>
      </c>
      <c r="B42" s="306">
        <v>0</v>
      </c>
      <c r="C42" s="271">
        <v>2</v>
      </c>
      <c r="D42" s="369">
        <v>0</v>
      </c>
      <c r="E42" s="356">
        <f t="shared" si="0"/>
        <v>2</v>
      </c>
      <c r="F42" s="399" t="s">
        <v>924</v>
      </c>
      <c r="G42" s="118">
        <v>0</v>
      </c>
      <c r="H42" s="400">
        <v>28</v>
      </c>
      <c r="I42" s="375">
        <v>2</v>
      </c>
      <c r="J42" s="401">
        <f t="shared" si="1"/>
        <v>30</v>
      </c>
      <c r="AH42" t="s">
        <v>909</v>
      </c>
      <c r="AJ42" t="s">
        <v>764</v>
      </c>
      <c r="AK42">
        <v>20</v>
      </c>
    </row>
    <row r="43" spans="1:42" ht="15.8" thickBot="1" x14ac:dyDescent="0.3">
      <c r="A43" s="355" t="s">
        <v>950</v>
      </c>
      <c r="B43" s="306">
        <v>2</v>
      </c>
      <c r="C43" s="271">
        <v>1</v>
      </c>
      <c r="D43" s="369">
        <v>0</v>
      </c>
      <c r="E43" s="356">
        <f t="shared" si="0"/>
        <v>3</v>
      </c>
      <c r="F43" s="399" t="s">
        <v>950</v>
      </c>
      <c r="G43" s="118">
        <v>10</v>
      </c>
      <c r="H43" s="400">
        <v>5</v>
      </c>
      <c r="I43" s="375">
        <v>0</v>
      </c>
      <c r="J43" s="401">
        <f t="shared" si="1"/>
        <v>15</v>
      </c>
      <c r="AH43" t="s">
        <v>910</v>
      </c>
      <c r="AI43" t="s">
        <v>276</v>
      </c>
      <c r="AJ43" t="s">
        <v>564</v>
      </c>
      <c r="AK43">
        <v>20</v>
      </c>
    </row>
    <row r="44" spans="1:42" ht="15.8" thickBot="1" x14ac:dyDescent="0.3">
      <c r="A44" s="355" t="s">
        <v>943</v>
      </c>
      <c r="B44" s="306">
        <v>0</v>
      </c>
      <c r="C44" s="271">
        <v>0</v>
      </c>
      <c r="D44" s="369">
        <v>0</v>
      </c>
      <c r="E44" s="356">
        <f t="shared" si="0"/>
        <v>0</v>
      </c>
      <c r="F44" s="399" t="s">
        <v>943</v>
      </c>
      <c r="G44" s="118">
        <v>0</v>
      </c>
      <c r="H44" s="400">
        <v>0</v>
      </c>
      <c r="I44" s="375">
        <v>0</v>
      </c>
      <c r="J44" s="401">
        <f t="shared" si="1"/>
        <v>0</v>
      </c>
      <c r="AH44" t="s">
        <v>911</v>
      </c>
      <c r="AI44" t="s">
        <v>599</v>
      </c>
      <c r="AJ44" t="s">
        <v>562</v>
      </c>
      <c r="AK44">
        <v>20</v>
      </c>
    </row>
    <row r="45" spans="1:42" ht="15.8" thickBot="1" x14ac:dyDescent="0.3">
      <c r="A45" s="355" t="s">
        <v>433</v>
      </c>
      <c r="B45" s="306">
        <v>3</v>
      </c>
      <c r="C45" s="271">
        <v>0</v>
      </c>
      <c r="D45" s="369">
        <v>0</v>
      </c>
      <c r="E45" s="356">
        <f t="shared" si="0"/>
        <v>3</v>
      </c>
      <c r="F45" s="399" t="s">
        <v>433</v>
      </c>
      <c r="G45" s="118">
        <v>15</v>
      </c>
      <c r="H45" s="400">
        <v>0</v>
      </c>
      <c r="I45" s="375">
        <v>0</v>
      </c>
      <c r="J45" s="401">
        <f t="shared" si="1"/>
        <v>15</v>
      </c>
      <c r="AH45" t="s">
        <v>912</v>
      </c>
      <c r="AI45" t="s">
        <v>284</v>
      </c>
      <c r="AJ45" t="s">
        <v>561</v>
      </c>
      <c r="AK45">
        <v>15</v>
      </c>
    </row>
    <row r="46" spans="1:42" ht="15.8" thickBot="1" x14ac:dyDescent="0.3">
      <c r="A46" s="355" t="s">
        <v>1287</v>
      </c>
      <c r="B46" s="306">
        <v>0</v>
      </c>
      <c r="C46" s="271">
        <v>0</v>
      </c>
      <c r="D46" s="369">
        <v>1</v>
      </c>
      <c r="E46" s="356">
        <f t="shared" si="0"/>
        <v>1</v>
      </c>
      <c r="F46" s="399" t="s">
        <v>1287</v>
      </c>
      <c r="G46" s="118">
        <v>0</v>
      </c>
      <c r="H46" s="400">
        <v>2</v>
      </c>
      <c r="I46" s="375">
        <v>10</v>
      </c>
      <c r="J46" s="401">
        <f t="shared" si="1"/>
        <v>12</v>
      </c>
      <c r="AH46" t="s">
        <v>913</v>
      </c>
      <c r="AI46" t="s">
        <v>277</v>
      </c>
      <c r="AJ46" t="s">
        <v>303</v>
      </c>
      <c r="AK46">
        <v>15</v>
      </c>
    </row>
    <row r="47" spans="1:42" ht="15.8" thickBot="1" x14ac:dyDescent="0.3">
      <c r="A47" s="355" t="s">
        <v>212</v>
      </c>
      <c r="B47" s="306">
        <v>1</v>
      </c>
      <c r="C47" s="271">
        <v>0</v>
      </c>
      <c r="D47" s="369">
        <v>0</v>
      </c>
      <c r="E47" s="356">
        <f t="shared" si="0"/>
        <v>1</v>
      </c>
      <c r="F47" s="399" t="s">
        <v>212</v>
      </c>
      <c r="G47" s="118">
        <v>5</v>
      </c>
      <c r="H47" s="400">
        <v>0</v>
      </c>
      <c r="I47" s="375">
        <v>0</v>
      </c>
      <c r="J47" s="401">
        <f t="shared" si="1"/>
        <v>5</v>
      </c>
      <c r="AH47" t="s">
        <v>507</v>
      </c>
      <c r="AJ47" t="s">
        <v>557</v>
      </c>
      <c r="AK47">
        <v>15</v>
      </c>
    </row>
    <row r="48" spans="1:42" ht="15.8" thickBot="1" x14ac:dyDescent="0.3">
      <c r="A48" s="355" t="s">
        <v>1288</v>
      </c>
      <c r="B48" s="306">
        <v>1</v>
      </c>
      <c r="C48" s="271">
        <v>0</v>
      </c>
      <c r="D48" s="369">
        <v>2</v>
      </c>
      <c r="E48" s="356">
        <f t="shared" si="0"/>
        <v>3</v>
      </c>
      <c r="F48" s="399" t="s">
        <v>1288</v>
      </c>
      <c r="G48" s="118">
        <v>5</v>
      </c>
      <c r="H48" s="400">
        <v>0</v>
      </c>
      <c r="I48" s="375">
        <v>10</v>
      </c>
      <c r="J48" s="401">
        <f t="shared" si="1"/>
        <v>15</v>
      </c>
      <c r="AH48" t="s">
        <v>630</v>
      </c>
      <c r="AI48" t="s">
        <v>270</v>
      </c>
      <c r="AJ48" t="s">
        <v>764</v>
      </c>
      <c r="AK48">
        <v>15</v>
      </c>
    </row>
    <row r="49" spans="1:37" ht="15.8" thickBot="1" x14ac:dyDescent="0.3">
      <c r="A49" s="355" t="s">
        <v>984</v>
      </c>
      <c r="B49" s="306">
        <v>0</v>
      </c>
      <c r="C49" s="271">
        <v>0</v>
      </c>
      <c r="D49" s="369">
        <v>1</v>
      </c>
      <c r="E49" s="356">
        <f t="shared" si="0"/>
        <v>1</v>
      </c>
      <c r="F49" s="399" t="s">
        <v>984</v>
      </c>
      <c r="G49" s="118">
        <v>0</v>
      </c>
      <c r="H49" s="400">
        <v>0</v>
      </c>
      <c r="I49" s="375">
        <v>5</v>
      </c>
      <c r="J49" s="401">
        <f t="shared" si="1"/>
        <v>5</v>
      </c>
      <c r="AH49" t="s">
        <v>914</v>
      </c>
      <c r="AI49" t="s">
        <v>268</v>
      </c>
      <c r="AJ49" t="s">
        <v>562</v>
      </c>
      <c r="AK49">
        <v>15</v>
      </c>
    </row>
    <row r="50" spans="1:37" ht="14.95" customHeight="1" thickBot="1" x14ac:dyDescent="0.3">
      <c r="A50" s="355" t="s">
        <v>1290</v>
      </c>
      <c r="B50" s="306">
        <v>5</v>
      </c>
      <c r="C50" s="271">
        <v>0</v>
      </c>
      <c r="D50" s="369">
        <v>1</v>
      </c>
      <c r="E50" s="356">
        <f t="shared" si="0"/>
        <v>6</v>
      </c>
      <c r="F50" s="399" t="s">
        <v>1290</v>
      </c>
      <c r="G50" s="118">
        <v>204</v>
      </c>
      <c r="H50" s="400">
        <v>19</v>
      </c>
      <c r="I50" s="375">
        <v>38</v>
      </c>
      <c r="J50" s="401">
        <f t="shared" si="1"/>
        <v>261</v>
      </c>
      <c r="AH50" t="s">
        <v>915</v>
      </c>
      <c r="AI50" t="s">
        <v>284</v>
      </c>
      <c r="AJ50" t="s">
        <v>554</v>
      </c>
      <c r="AK50">
        <v>15</v>
      </c>
    </row>
    <row r="51" spans="1:37" ht="15.8" thickBot="1" x14ac:dyDescent="0.3">
      <c r="A51" s="355" t="s">
        <v>9</v>
      </c>
      <c r="B51" s="306">
        <v>0</v>
      </c>
      <c r="C51" s="271">
        <v>0</v>
      </c>
      <c r="D51" s="369">
        <v>2</v>
      </c>
      <c r="E51" s="356">
        <f t="shared" si="0"/>
        <v>2</v>
      </c>
      <c r="F51" s="399" t="s">
        <v>9</v>
      </c>
      <c r="G51" s="118">
        <v>0</v>
      </c>
      <c r="H51" s="400">
        <v>0</v>
      </c>
      <c r="I51" s="375">
        <v>10</v>
      </c>
      <c r="J51" s="401">
        <f t="shared" si="1"/>
        <v>10</v>
      </c>
      <c r="AH51" t="s">
        <v>916</v>
      </c>
      <c r="AI51" t="s">
        <v>276</v>
      </c>
      <c r="AJ51" t="s">
        <v>554</v>
      </c>
      <c r="AK51">
        <v>15</v>
      </c>
    </row>
    <row r="52" spans="1:37" ht="15.8" thickBot="1" x14ac:dyDescent="0.3">
      <c r="A52" s="355" t="s">
        <v>3</v>
      </c>
      <c r="B52" s="306">
        <f>SUM(B3:B51)</f>
        <v>56</v>
      </c>
      <c r="C52" s="271">
        <f>SUM(C3:C51)</f>
        <v>21</v>
      </c>
      <c r="D52" s="369">
        <f>SUM(D3:D51)</f>
        <v>21</v>
      </c>
      <c r="E52" s="356">
        <f t="shared" ref="E52" si="6">SUM(B52:D52)</f>
        <v>98</v>
      </c>
      <c r="F52" s="399" t="s">
        <v>3</v>
      </c>
      <c r="G52" s="118">
        <f>SUM(G3:G51)</f>
        <v>491</v>
      </c>
      <c r="H52" s="400">
        <f>SUM(H3:H51)</f>
        <v>166</v>
      </c>
      <c r="I52" s="375">
        <f>SUM(I3:I51)</f>
        <v>145</v>
      </c>
      <c r="J52" s="401">
        <f t="shared" ref="J52" si="7">SUM(G52:I52)</f>
        <v>802</v>
      </c>
    </row>
    <row r="53" spans="1:37" ht="14.95" x14ac:dyDescent="0.25">
      <c r="B53" s="299"/>
      <c r="C53" s="104"/>
      <c r="D53" s="104"/>
      <c r="E53" s="333"/>
      <c r="F53" s="62"/>
      <c r="G53" s="329"/>
      <c r="H53" s="61"/>
      <c r="I53" s="61"/>
      <c r="J53" s="334"/>
    </row>
    <row r="54" spans="1:37" ht="15.8" thickBot="1" x14ac:dyDescent="0.3">
      <c r="A54" s="70" t="s">
        <v>45</v>
      </c>
      <c r="B54" s="299"/>
      <c r="C54" s="104"/>
      <c r="D54" s="104"/>
      <c r="E54" s="333"/>
      <c r="F54" s="57"/>
      <c r="G54" s="330"/>
      <c r="H54" s="59"/>
      <c r="I54" s="59"/>
      <c r="J54" s="58"/>
    </row>
    <row r="55" spans="1:37" ht="15.8" thickBot="1" x14ac:dyDescent="0.3">
      <c r="A55" s="352" t="s">
        <v>0</v>
      </c>
      <c r="B55" s="353" t="s">
        <v>1072</v>
      </c>
      <c r="C55" s="268" t="s">
        <v>127</v>
      </c>
      <c r="D55" s="368" t="s">
        <v>1073</v>
      </c>
      <c r="E55" s="354" t="s">
        <v>1</v>
      </c>
      <c r="F55" s="396" t="s">
        <v>2</v>
      </c>
      <c r="G55" s="205" t="s">
        <v>1072</v>
      </c>
      <c r="H55" s="397" t="s">
        <v>127</v>
      </c>
      <c r="I55" s="379" t="s">
        <v>1073</v>
      </c>
      <c r="J55" s="398" t="s">
        <v>1</v>
      </c>
    </row>
    <row r="56" spans="1:37" ht="15.8" thickBot="1" x14ac:dyDescent="0.3">
      <c r="A56" s="355" t="s">
        <v>234</v>
      </c>
      <c r="B56" s="306">
        <v>7</v>
      </c>
      <c r="C56" s="271">
        <v>1</v>
      </c>
      <c r="D56" s="369">
        <v>4</v>
      </c>
      <c r="E56" s="356">
        <f t="shared" ref="E56:E87" si="8">SUM(B56:D56)</f>
        <v>12</v>
      </c>
      <c r="F56" s="399" t="s">
        <v>1290</v>
      </c>
      <c r="G56" s="118">
        <v>204</v>
      </c>
      <c r="H56" s="400">
        <v>19</v>
      </c>
      <c r="I56" s="375">
        <v>38</v>
      </c>
      <c r="J56" s="401">
        <f t="shared" ref="J56:J87" si="9">SUM(G56:I56)</f>
        <v>261</v>
      </c>
    </row>
    <row r="57" spans="1:37" ht="15.8" thickBot="1" x14ac:dyDescent="0.3">
      <c r="A57" s="355" t="s">
        <v>939</v>
      </c>
      <c r="B57" s="306">
        <v>3</v>
      </c>
      <c r="C57" s="271">
        <v>5</v>
      </c>
      <c r="D57" s="369">
        <v>3</v>
      </c>
      <c r="E57" s="356">
        <f t="shared" si="8"/>
        <v>11</v>
      </c>
      <c r="F57" s="399" t="s">
        <v>237</v>
      </c>
      <c r="G57" s="118">
        <v>60</v>
      </c>
      <c r="H57" s="400">
        <v>6</v>
      </c>
      <c r="I57" s="375">
        <v>0</v>
      </c>
      <c r="J57" s="401">
        <f t="shared" si="9"/>
        <v>66</v>
      </c>
    </row>
    <row r="58" spans="1:37" ht="15.8" thickBot="1" x14ac:dyDescent="0.3">
      <c r="A58" s="355" t="s">
        <v>927</v>
      </c>
      <c r="B58" s="306">
        <v>7</v>
      </c>
      <c r="C58" s="271">
        <v>1</v>
      </c>
      <c r="D58" s="369">
        <v>1</v>
      </c>
      <c r="E58" s="356">
        <f t="shared" si="8"/>
        <v>9</v>
      </c>
      <c r="F58" s="399" t="s">
        <v>234</v>
      </c>
      <c r="G58" s="118">
        <v>35</v>
      </c>
      <c r="H58" s="400">
        <v>5</v>
      </c>
      <c r="I58" s="375">
        <v>20</v>
      </c>
      <c r="J58" s="401">
        <f t="shared" si="9"/>
        <v>60</v>
      </c>
    </row>
    <row r="59" spans="1:37" ht="15.8" thickBot="1" x14ac:dyDescent="0.3">
      <c r="A59" s="355" t="s">
        <v>119</v>
      </c>
      <c r="B59" s="306">
        <v>6</v>
      </c>
      <c r="C59" s="271">
        <v>1</v>
      </c>
      <c r="D59" s="369">
        <v>1</v>
      </c>
      <c r="E59" s="356">
        <f t="shared" si="8"/>
        <v>8</v>
      </c>
      <c r="F59" s="399" t="s">
        <v>939</v>
      </c>
      <c r="G59" s="118">
        <v>15</v>
      </c>
      <c r="H59" s="400">
        <v>25</v>
      </c>
      <c r="I59" s="375">
        <v>15</v>
      </c>
      <c r="J59" s="401">
        <f t="shared" si="9"/>
        <v>55</v>
      </c>
    </row>
    <row r="60" spans="1:37" ht="15.8" thickBot="1" x14ac:dyDescent="0.3">
      <c r="A60" s="355" t="s">
        <v>237</v>
      </c>
      <c r="B60" s="306">
        <v>6</v>
      </c>
      <c r="C60" s="271">
        <v>0</v>
      </c>
      <c r="D60" s="369">
        <v>0</v>
      </c>
      <c r="E60" s="356">
        <f t="shared" si="8"/>
        <v>6</v>
      </c>
      <c r="F60" s="399" t="s">
        <v>927</v>
      </c>
      <c r="G60" s="118">
        <v>35</v>
      </c>
      <c r="H60" s="400">
        <v>5</v>
      </c>
      <c r="I60" s="375">
        <v>5</v>
      </c>
      <c r="J60" s="401">
        <f t="shared" si="9"/>
        <v>45</v>
      </c>
    </row>
    <row r="61" spans="1:37" ht="15.8" thickBot="1" x14ac:dyDescent="0.3">
      <c r="A61" s="355" t="s">
        <v>1290</v>
      </c>
      <c r="B61" s="306">
        <v>5</v>
      </c>
      <c r="C61" s="271">
        <v>0</v>
      </c>
      <c r="D61" s="369">
        <v>1</v>
      </c>
      <c r="E61" s="356">
        <f t="shared" si="8"/>
        <v>6</v>
      </c>
      <c r="F61" s="399" t="s">
        <v>119</v>
      </c>
      <c r="G61" s="118">
        <v>30</v>
      </c>
      <c r="H61" s="400">
        <v>5</v>
      </c>
      <c r="I61" s="375">
        <v>5</v>
      </c>
      <c r="J61" s="401">
        <f t="shared" si="9"/>
        <v>40</v>
      </c>
    </row>
    <row r="62" spans="1:37" ht="15.8" thickBot="1" x14ac:dyDescent="0.3">
      <c r="A62" s="355" t="s">
        <v>104</v>
      </c>
      <c r="B62" s="306">
        <v>3</v>
      </c>
      <c r="C62" s="271">
        <v>1</v>
      </c>
      <c r="D62" s="369">
        <v>0</v>
      </c>
      <c r="E62" s="356">
        <f t="shared" si="8"/>
        <v>4</v>
      </c>
      <c r="F62" s="399" t="s">
        <v>924</v>
      </c>
      <c r="G62" s="118">
        <v>0</v>
      </c>
      <c r="H62" s="400">
        <v>28</v>
      </c>
      <c r="I62" s="375">
        <v>2</v>
      </c>
      <c r="J62" s="401">
        <f t="shared" si="9"/>
        <v>30</v>
      </c>
    </row>
    <row r="63" spans="1:37" ht="15.8" thickBot="1" x14ac:dyDescent="0.3">
      <c r="A63" s="355" t="s">
        <v>89</v>
      </c>
      <c r="B63" s="306">
        <v>4</v>
      </c>
      <c r="C63" s="271">
        <v>0</v>
      </c>
      <c r="D63" s="369">
        <v>0</v>
      </c>
      <c r="E63" s="356">
        <f t="shared" si="8"/>
        <v>4</v>
      </c>
      <c r="F63" s="399" t="s">
        <v>89</v>
      </c>
      <c r="G63" s="118">
        <v>20</v>
      </c>
      <c r="H63" s="400">
        <v>3</v>
      </c>
      <c r="I63" s="375">
        <v>0</v>
      </c>
      <c r="J63" s="401">
        <f t="shared" si="9"/>
        <v>23</v>
      </c>
    </row>
    <row r="64" spans="1:37" ht="15.8" thickBot="1" x14ac:dyDescent="0.3">
      <c r="A64" s="355" t="s">
        <v>247</v>
      </c>
      <c r="B64" s="306">
        <v>1</v>
      </c>
      <c r="C64" s="271">
        <v>0</v>
      </c>
      <c r="D64" s="369">
        <v>2</v>
      </c>
      <c r="E64" s="356">
        <f t="shared" si="8"/>
        <v>3</v>
      </c>
      <c r="F64" s="399" t="s">
        <v>104</v>
      </c>
      <c r="G64" s="118">
        <v>15</v>
      </c>
      <c r="H64" s="400">
        <v>5</v>
      </c>
      <c r="I64" s="375">
        <v>0</v>
      </c>
      <c r="J64" s="401">
        <f t="shared" si="9"/>
        <v>20</v>
      </c>
    </row>
    <row r="65" spans="1:10" ht="15.8" thickBot="1" x14ac:dyDescent="0.3">
      <c r="A65" s="355" t="s">
        <v>950</v>
      </c>
      <c r="B65" s="306">
        <v>2</v>
      </c>
      <c r="C65" s="271">
        <v>1</v>
      </c>
      <c r="D65" s="369">
        <v>0</v>
      </c>
      <c r="E65" s="356">
        <f t="shared" si="8"/>
        <v>3</v>
      </c>
      <c r="F65" s="399" t="s">
        <v>247</v>
      </c>
      <c r="G65" s="118">
        <v>5</v>
      </c>
      <c r="H65" s="400">
        <v>0</v>
      </c>
      <c r="I65" s="375">
        <v>10</v>
      </c>
      <c r="J65" s="401">
        <f t="shared" si="9"/>
        <v>15</v>
      </c>
    </row>
    <row r="66" spans="1:10" ht="15.8" thickBot="1" x14ac:dyDescent="0.3">
      <c r="A66" s="355" t="s">
        <v>433</v>
      </c>
      <c r="B66" s="306">
        <v>3</v>
      </c>
      <c r="C66" s="271">
        <v>0</v>
      </c>
      <c r="D66" s="369">
        <v>0</v>
      </c>
      <c r="E66" s="356">
        <f t="shared" si="8"/>
        <v>3</v>
      </c>
      <c r="F66" s="399" t="s">
        <v>950</v>
      </c>
      <c r="G66" s="118">
        <v>10</v>
      </c>
      <c r="H66" s="400">
        <v>5</v>
      </c>
      <c r="I66" s="375">
        <v>0</v>
      </c>
      <c r="J66" s="401">
        <f t="shared" si="9"/>
        <v>15</v>
      </c>
    </row>
    <row r="67" spans="1:10" ht="14.95" thickBot="1" x14ac:dyDescent="0.3">
      <c r="A67" s="355" t="s">
        <v>1288</v>
      </c>
      <c r="B67" s="306">
        <v>1</v>
      </c>
      <c r="C67" s="271">
        <v>0</v>
      </c>
      <c r="D67" s="369">
        <v>2</v>
      </c>
      <c r="E67" s="356">
        <f t="shared" si="8"/>
        <v>3</v>
      </c>
      <c r="F67" s="399" t="s">
        <v>433</v>
      </c>
      <c r="G67" s="118">
        <v>15</v>
      </c>
      <c r="H67" s="400">
        <v>0</v>
      </c>
      <c r="I67" s="375">
        <v>0</v>
      </c>
      <c r="J67" s="401">
        <f t="shared" si="9"/>
        <v>15</v>
      </c>
    </row>
    <row r="68" spans="1:10" ht="14.95" thickBot="1" x14ac:dyDescent="0.3">
      <c r="A68" s="355" t="s">
        <v>233</v>
      </c>
      <c r="B68" s="306">
        <v>0</v>
      </c>
      <c r="C68" s="271">
        <v>2</v>
      </c>
      <c r="D68" s="369">
        <v>0</v>
      </c>
      <c r="E68" s="356">
        <f t="shared" si="8"/>
        <v>2</v>
      </c>
      <c r="F68" s="399" t="s">
        <v>1288</v>
      </c>
      <c r="G68" s="118">
        <v>5</v>
      </c>
      <c r="H68" s="400">
        <v>0</v>
      </c>
      <c r="I68" s="375">
        <v>10</v>
      </c>
      <c r="J68" s="401">
        <f t="shared" si="9"/>
        <v>15</v>
      </c>
    </row>
    <row r="69" spans="1:10" ht="14.95" thickBot="1" x14ac:dyDescent="0.3">
      <c r="A69" s="355" t="s">
        <v>1029</v>
      </c>
      <c r="B69" s="306">
        <v>0</v>
      </c>
      <c r="C69" s="271">
        <v>2</v>
      </c>
      <c r="D69" s="369">
        <v>0</v>
      </c>
      <c r="E69" s="356">
        <f t="shared" si="8"/>
        <v>2</v>
      </c>
      <c r="F69" s="399" t="s">
        <v>1020</v>
      </c>
      <c r="G69" s="118">
        <v>0</v>
      </c>
      <c r="H69" s="400">
        <v>13</v>
      </c>
      <c r="I69" s="375">
        <v>0</v>
      </c>
      <c r="J69" s="401">
        <f t="shared" si="9"/>
        <v>13</v>
      </c>
    </row>
    <row r="70" spans="1:10" ht="14.95" thickBot="1" x14ac:dyDescent="0.3">
      <c r="A70" s="355" t="s">
        <v>236</v>
      </c>
      <c r="B70" s="306">
        <v>0</v>
      </c>
      <c r="C70" s="271">
        <v>1</v>
      </c>
      <c r="D70" s="369">
        <v>1</v>
      </c>
      <c r="E70" s="356">
        <f t="shared" si="8"/>
        <v>2</v>
      </c>
      <c r="F70" s="399" t="s">
        <v>1287</v>
      </c>
      <c r="G70" s="118">
        <v>0</v>
      </c>
      <c r="H70" s="400">
        <v>2</v>
      </c>
      <c r="I70" s="375">
        <v>10</v>
      </c>
      <c r="J70" s="401">
        <f t="shared" si="9"/>
        <v>12</v>
      </c>
    </row>
    <row r="71" spans="1:10" ht="14.95" thickBot="1" x14ac:dyDescent="0.3">
      <c r="A71" s="355" t="s">
        <v>924</v>
      </c>
      <c r="B71" s="306">
        <v>0</v>
      </c>
      <c r="C71" s="271">
        <v>2</v>
      </c>
      <c r="D71" s="369">
        <v>0</v>
      </c>
      <c r="E71" s="356">
        <f t="shared" si="8"/>
        <v>2</v>
      </c>
      <c r="F71" s="399" t="s">
        <v>233</v>
      </c>
      <c r="G71" s="118">
        <v>0</v>
      </c>
      <c r="H71" s="400">
        <v>10</v>
      </c>
      <c r="I71" s="375">
        <v>0</v>
      </c>
      <c r="J71" s="401">
        <f t="shared" si="9"/>
        <v>10</v>
      </c>
    </row>
    <row r="72" spans="1:10" ht="14.95" thickBot="1" x14ac:dyDescent="0.3">
      <c r="A72" s="355" t="s">
        <v>9</v>
      </c>
      <c r="B72" s="306">
        <v>0</v>
      </c>
      <c r="C72" s="271">
        <v>0</v>
      </c>
      <c r="D72" s="369">
        <v>2</v>
      </c>
      <c r="E72" s="356">
        <f t="shared" si="8"/>
        <v>2</v>
      </c>
      <c r="F72" s="399" t="s">
        <v>1029</v>
      </c>
      <c r="G72" s="118">
        <v>0</v>
      </c>
      <c r="H72" s="400">
        <v>10</v>
      </c>
      <c r="I72" s="375">
        <v>0</v>
      </c>
      <c r="J72" s="401">
        <f t="shared" si="9"/>
        <v>10</v>
      </c>
    </row>
    <row r="73" spans="1:10" ht="14.95" thickBot="1" x14ac:dyDescent="0.3">
      <c r="A73" s="355" t="s">
        <v>227</v>
      </c>
      <c r="B73" s="306">
        <v>1</v>
      </c>
      <c r="C73" s="271">
        <v>0</v>
      </c>
      <c r="D73" s="369">
        <v>0</v>
      </c>
      <c r="E73" s="356">
        <f t="shared" si="8"/>
        <v>1</v>
      </c>
      <c r="F73" s="399" t="s">
        <v>236</v>
      </c>
      <c r="G73" s="118">
        <v>0</v>
      </c>
      <c r="H73" s="400">
        <v>5</v>
      </c>
      <c r="I73" s="375">
        <v>5</v>
      </c>
      <c r="J73" s="401">
        <f t="shared" si="9"/>
        <v>10</v>
      </c>
    </row>
    <row r="74" spans="1:10" ht="14.95" thickBot="1" x14ac:dyDescent="0.3">
      <c r="A74" s="355" t="s">
        <v>228</v>
      </c>
      <c r="B74" s="306">
        <v>0</v>
      </c>
      <c r="C74" s="271">
        <v>1</v>
      </c>
      <c r="D74" s="369">
        <v>0</v>
      </c>
      <c r="E74" s="356">
        <f t="shared" si="8"/>
        <v>1</v>
      </c>
      <c r="F74" s="399" t="s">
        <v>9</v>
      </c>
      <c r="G74" s="118">
        <v>0</v>
      </c>
      <c r="H74" s="400">
        <v>0</v>
      </c>
      <c r="I74" s="375">
        <v>10</v>
      </c>
      <c r="J74" s="401">
        <f t="shared" si="9"/>
        <v>10</v>
      </c>
    </row>
    <row r="75" spans="1:10" ht="14.95" thickBot="1" x14ac:dyDescent="0.3">
      <c r="A75" s="355" t="s">
        <v>230</v>
      </c>
      <c r="B75" s="306">
        <v>1</v>
      </c>
      <c r="C75" s="271">
        <v>0</v>
      </c>
      <c r="D75" s="369">
        <v>0</v>
      </c>
      <c r="E75" s="356">
        <f t="shared" si="8"/>
        <v>1</v>
      </c>
      <c r="F75" s="399" t="s">
        <v>7</v>
      </c>
      <c r="G75" s="118">
        <v>7</v>
      </c>
      <c r="H75" s="400">
        <v>0</v>
      </c>
      <c r="I75" s="375">
        <v>0</v>
      </c>
      <c r="J75" s="401">
        <f t="shared" si="9"/>
        <v>7</v>
      </c>
    </row>
    <row r="76" spans="1:10" ht="14.95" thickBot="1" x14ac:dyDescent="0.3">
      <c r="A76" s="355" t="s">
        <v>1734</v>
      </c>
      <c r="B76" s="306">
        <v>0</v>
      </c>
      <c r="C76" s="271">
        <v>1</v>
      </c>
      <c r="D76" s="369">
        <v>0</v>
      </c>
      <c r="E76" s="356">
        <f t="shared" si="8"/>
        <v>1</v>
      </c>
      <c r="F76" s="399" t="s">
        <v>227</v>
      </c>
      <c r="G76" s="118">
        <v>5</v>
      </c>
      <c r="H76" s="400">
        <v>0</v>
      </c>
      <c r="I76" s="375">
        <v>0</v>
      </c>
      <c r="J76" s="401">
        <f t="shared" si="9"/>
        <v>5</v>
      </c>
    </row>
    <row r="77" spans="1:10" ht="14.95" thickBot="1" x14ac:dyDescent="0.3">
      <c r="A77" s="355" t="s">
        <v>1831</v>
      </c>
      <c r="B77" s="306">
        <v>0</v>
      </c>
      <c r="C77" s="271">
        <v>0</v>
      </c>
      <c r="D77" s="369">
        <v>1</v>
      </c>
      <c r="E77" s="356">
        <f t="shared" si="8"/>
        <v>1</v>
      </c>
      <c r="F77" s="399" t="s">
        <v>228</v>
      </c>
      <c r="G77" s="118">
        <v>0</v>
      </c>
      <c r="H77" s="400">
        <v>5</v>
      </c>
      <c r="I77" s="375">
        <v>0</v>
      </c>
      <c r="J77" s="401">
        <f t="shared" si="9"/>
        <v>5</v>
      </c>
    </row>
    <row r="78" spans="1:10" ht="14.95" thickBot="1" x14ac:dyDescent="0.3">
      <c r="A78" s="355" t="s">
        <v>917</v>
      </c>
      <c r="B78" s="306">
        <v>0</v>
      </c>
      <c r="C78" s="271">
        <v>1</v>
      </c>
      <c r="D78" s="369">
        <v>0</v>
      </c>
      <c r="E78" s="356">
        <f t="shared" si="8"/>
        <v>1</v>
      </c>
      <c r="F78" s="399" t="s">
        <v>230</v>
      </c>
      <c r="G78" s="118">
        <v>5</v>
      </c>
      <c r="H78" s="400">
        <v>0</v>
      </c>
      <c r="I78" s="375">
        <v>0</v>
      </c>
      <c r="J78" s="401">
        <f t="shared" si="9"/>
        <v>5</v>
      </c>
    </row>
    <row r="79" spans="1:10" ht="14.95" thickBot="1" x14ac:dyDescent="0.3">
      <c r="A79" s="355" t="s">
        <v>1289</v>
      </c>
      <c r="B79" s="306">
        <v>1</v>
      </c>
      <c r="C79" s="271">
        <v>0</v>
      </c>
      <c r="D79" s="369">
        <v>0</v>
      </c>
      <c r="E79" s="356">
        <f t="shared" si="8"/>
        <v>1</v>
      </c>
      <c r="F79" s="399" t="s">
        <v>1734</v>
      </c>
      <c r="G79" s="118">
        <v>0</v>
      </c>
      <c r="H79" s="400">
        <v>5</v>
      </c>
      <c r="I79" s="375">
        <v>0</v>
      </c>
      <c r="J79" s="401">
        <f t="shared" si="9"/>
        <v>5</v>
      </c>
    </row>
    <row r="80" spans="1:10" ht="14.95" thickBot="1" x14ac:dyDescent="0.3">
      <c r="A80" s="355" t="s">
        <v>1286</v>
      </c>
      <c r="B80" s="306">
        <v>1</v>
      </c>
      <c r="C80" s="271">
        <v>0</v>
      </c>
      <c r="D80" s="369">
        <v>0</v>
      </c>
      <c r="E80" s="356">
        <f t="shared" si="8"/>
        <v>1</v>
      </c>
      <c r="F80" s="399" t="s">
        <v>1831</v>
      </c>
      <c r="G80" s="118">
        <v>0</v>
      </c>
      <c r="H80" s="400">
        <v>0</v>
      </c>
      <c r="I80" s="375">
        <v>5</v>
      </c>
      <c r="J80" s="401">
        <f t="shared" si="9"/>
        <v>5</v>
      </c>
    </row>
    <row r="81" spans="1:10" ht="14.95" thickBot="1" x14ac:dyDescent="0.3">
      <c r="A81" s="355" t="s">
        <v>1002</v>
      </c>
      <c r="B81" s="306">
        <v>0</v>
      </c>
      <c r="C81" s="271">
        <v>1</v>
      </c>
      <c r="D81" s="369">
        <v>0</v>
      </c>
      <c r="E81" s="356">
        <f t="shared" si="8"/>
        <v>1</v>
      </c>
      <c r="F81" s="399" t="s">
        <v>917</v>
      </c>
      <c r="G81" s="118">
        <v>0</v>
      </c>
      <c r="H81" s="400">
        <v>5</v>
      </c>
      <c r="I81" s="375">
        <v>0</v>
      </c>
      <c r="J81" s="401">
        <f t="shared" si="9"/>
        <v>5</v>
      </c>
    </row>
    <row r="82" spans="1:10" ht="14.95" thickBot="1" x14ac:dyDescent="0.3">
      <c r="A82" s="355" t="s">
        <v>235</v>
      </c>
      <c r="B82" s="306">
        <v>1</v>
      </c>
      <c r="C82" s="271">
        <v>0</v>
      </c>
      <c r="D82" s="369">
        <v>0</v>
      </c>
      <c r="E82" s="356">
        <f t="shared" si="8"/>
        <v>1</v>
      </c>
      <c r="F82" s="399" t="s">
        <v>1289</v>
      </c>
      <c r="G82" s="118">
        <v>5</v>
      </c>
      <c r="H82" s="400">
        <v>0</v>
      </c>
      <c r="I82" s="375">
        <v>0</v>
      </c>
      <c r="J82" s="401">
        <f t="shared" si="9"/>
        <v>5</v>
      </c>
    </row>
    <row r="83" spans="1:10" ht="14.95" thickBot="1" x14ac:dyDescent="0.3">
      <c r="A83" s="355" t="s">
        <v>7</v>
      </c>
      <c r="B83" s="306">
        <v>1</v>
      </c>
      <c r="C83" s="271">
        <v>0</v>
      </c>
      <c r="D83" s="369">
        <v>0</v>
      </c>
      <c r="E83" s="356">
        <f t="shared" si="8"/>
        <v>1</v>
      </c>
      <c r="F83" s="399" t="s">
        <v>1286</v>
      </c>
      <c r="G83" s="118">
        <v>5</v>
      </c>
      <c r="H83" s="400">
        <v>0</v>
      </c>
      <c r="I83" s="375">
        <v>0</v>
      </c>
      <c r="J83" s="401">
        <f t="shared" si="9"/>
        <v>5</v>
      </c>
    </row>
    <row r="84" spans="1:10" ht="14.95" thickBot="1" x14ac:dyDescent="0.3">
      <c r="A84" s="355" t="s">
        <v>322</v>
      </c>
      <c r="B84" s="306">
        <v>0</v>
      </c>
      <c r="C84" s="271">
        <v>0</v>
      </c>
      <c r="D84" s="369">
        <v>1</v>
      </c>
      <c r="E84" s="356">
        <f t="shared" si="8"/>
        <v>1</v>
      </c>
      <c r="F84" s="399" t="s">
        <v>1002</v>
      </c>
      <c r="G84" s="118">
        <v>0</v>
      </c>
      <c r="H84" s="400">
        <v>5</v>
      </c>
      <c r="I84" s="375">
        <v>0</v>
      </c>
      <c r="J84" s="401">
        <f t="shared" si="9"/>
        <v>5</v>
      </c>
    </row>
    <row r="85" spans="1:10" ht="14.95" thickBot="1" x14ac:dyDescent="0.3">
      <c r="A85" s="355" t="s">
        <v>238</v>
      </c>
      <c r="B85" s="306">
        <v>1</v>
      </c>
      <c r="C85" s="271">
        <v>0</v>
      </c>
      <c r="D85" s="369">
        <v>0</v>
      </c>
      <c r="E85" s="356">
        <f t="shared" si="8"/>
        <v>1</v>
      </c>
      <c r="F85" s="399" t="s">
        <v>235</v>
      </c>
      <c r="G85" s="118">
        <v>5</v>
      </c>
      <c r="H85" s="400">
        <v>0</v>
      </c>
      <c r="I85" s="375">
        <v>0</v>
      </c>
      <c r="J85" s="401">
        <f t="shared" si="9"/>
        <v>5</v>
      </c>
    </row>
    <row r="86" spans="1:10" ht="14.95" thickBot="1" x14ac:dyDescent="0.3">
      <c r="A86" s="355" t="s">
        <v>1287</v>
      </c>
      <c r="B86" s="306">
        <v>0</v>
      </c>
      <c r="C86" s="271">
        <v>0</v>
      </c>
      <c r="D86" s="369">
        <v>1</v>
      </c>
      <c r="E86" s="356">
        <f t="shared" si="8"/>
        <v>1</v>
      </c>
      <c r="F86" s="399" t="s">
        <v>322</v>
      </c>
      <c r="G86" s="118">
        <v>0</v>
      </c>
      <c r="H86" s="400">
        <v>0</v>
      </c>
      <c r="I86" s="375">
        <v>5</v>
      </c>
      <c r="J86" s="401">
        <f t="shared" si="9"/>
        <v>5</v>
      </c>
    </row>
    <row r="87" spans="1:10" ht="14.95" thickBot="1" x14ac:dyDescent="0.3">
      <c r="A87" s="355" t="s">
        <v>212</v>
      </c>
      <c r="B87" s="306">
        <v>1</v>
      </c>
      <c r="C87" s="271">
        <v>0</v>
      </c>
      <c r="D87" s="369">
        <v>0</v>
      </c>
      <c r="E87" s="356">
        <f t="shared" si="8"/>
        <v>1</v>
      </c>
      <c r="F87" s="399" t="s">
        <v>238</v>
      </c>
      <c r="G87" s="118">
        <v>5</v>
      </c>
      <c r="H87" s="400">
        <v>0</v>
      </c>
      <c r="I87" s="375">
        <v>0</v>
      </c>
      <c r="J87" s="401">
        <f t="shared" si="9"/>
        <v>5</v>
      </c>
    </row>
    <row r="88" spans="1:10" ht="14.95" thickBot="1" x14ac:dyDescent="0.3">
      <c r="A88" s="355" t="s">
        <v>984</v>
      </c>
      <c r="B88" s="306">
        <v>0</v>
      </c>
      <c r="C88" s="271">
        <v>0</v>
      </c>
      <c r="D88" s="369">
        <v>1</v>
      </c>
      <c r="E88" s="356">
        <f t="shared" ref="E88:E104" si="10">SUM(B88:D88)</f>
        <v>1</v>
      </c>
      <c r="F88" s="399" t="s">
        <v>212</v>
      </c>
      <c r="G88" s="118">
        <v>5</v>
      </c>
      <c r="H88" s="400">
        <v>0</v>
      </c>
      <c r="I88" s="375">
        <v>0</v>
      </c>
      <c r="J88" s="401">
        <f t="shared" ref="J88:J104" si="11">SUM(G88:I88)</f>
        <v>5</v>
      </c>
    </row>
    <row r="89" spans="1:10" ht="14.95" thickBot="1" x14ac:dyDescent="0.3">
      <c r="A89" s="355" t="s">
        <v>229</v>
      </c>
      <c r="B89" s="306">
        <v>0</v>
      </c>
      <c r="C89" s="271">
        <v>0</v>
      </c>
      <c r="D89" s="369">
        <v>0</v>
      </c>
      <c r="E89" s="356">
        <f t="shared" si="10"/>
        <v>0</v>
      </c>
      <c r="F89" s="399" t="s">
        <v>984</v>
      </c>
      <c r="G89" s="118">
        <v>0</v>
      </c>
      <c r="H89" s="400">
        <v>0</v>
      </c>
      <c r="I89" s="375">
        <v>5</v>
      </c>
      <c r="J89" s="401">
        <f t="shared" si="11"/>
        <v>5</v>
      </c>
    </row>
    <row r="90" spans="1:10" ht="14.95" thickBot="1" x14ac:dyDescent="0.3">
      <c r="A90" s="355" t="s">
        <v>1284</v>
      </c>
      <c r="B90" s="306">
        <v>0</v>
      </c>
      <c r="C90" s="271">
        <v>0</v>
      </c>
      <c r="D90" s="369">
        <v>0</v>
      </c>
      <c r="E90" s="356">
        <f t="shared" si="10"/>
        <v>0</v>
      </c>
      <c r="F90" s="399" t="s">
        <v>229</v>
      </c>
      <c r="G90" s="118">
        <v>0</v>
      </c>
      <c r="H90" s="400">
        <v>0</v>
      </c>
      <c r="I90" s="375">
        <v>0</v>
      </c>
      <c r="J90" s="401">
        <f t="shared" si="11"/>
        <v>0</v>
      </c>
    </row>
    <row r="91" spans="1:10" ht="14.95" thickBot="1" x14ac:dyDescent="0.3">
      <c r="A91" s="355" t="s">
        <v>1283</v>
      </c>
      <c r="B91" s="306">
        <v>0</v>
      </c>
      <c r="C91" s="271">
        <v>0</v>
      </c>
      <c r="D91" s="369">
        <v>0</v>
      </c>
      <c r="E91" s="356">
        <f t="shared" si="10"/>
        <v>0</v>
      </c>
      <c r="F91" s="399" t="s">
        <v>1284</v>
      </c>
      <c r="G91" s="118">
        <v>0</v>
      </c>
      <c r="H91" s="400">
        <v>0</v>
      </c>
      <c r="I91" s="375">
        <v>0</v>
      </c>
      <c r="J91" s="401">
        <f t="shared" si="11"/>
        <v>0</v>
      </c>
    </row>
    <row r="92" spans="1:10" ht="14.95" thickBot="1" x14ac:dyDescent="0.3">
      <c r="A92" s="355" t="s">
        <v>231</v>
      </c>
      <c r="B92" s="306">
        <v>0</v>
      </c>
      <c r="C92" s="271">
        <v>0</v>
      </c>
      <c r="D92" s="369">
        <v>0</v>
      </c>
      <c r="E92" s="356">
        <f t="shared" si="10"/>
        <v>0</v>
      </c>
      <c r="F92" s="399" t="s">
        <v>1283</v>
      </c>
      <c r="G92" s="118">
        <v>0</v>
      </c>
      <c r="H92" s="400">
        <v>0</v>
      </c>
      <c r="I92" s="375">
        <v>0</v>
      </c>
      <c r="J92" s="401">
        <f t="shared" si="11"/>
        <v>0</v>
      </c>
    </row>
    <row r="93" spans="1:10" ht="14.95" thickBot="1" x14ac:dyDescent="0.3">
      <c r="A93" s="355" t="s">
        <v>1731</v>
      </c>
      <c r="B93" s="306">
        <v>0</v>
      </c>
      <c r="C93" s="271">
        <v>0</v>
      </c>
      <c r="D93" s="369">
        <v>0</v>
      </c>
      <c r="E93" s="356">
        <f t="shared" si="10"/>
        <v>0</v>
      </c>
      <c r="F93" s="399" t="s">
        <v>231</v>
      </c>
      <c r="G93" s="118">
        <v>0</v>
      </c>
      <c r="H93" s="400">
        <v>0</v>
      </c>
      <c r="I93" s="375">
        <v>0</v>
      </c>
      <c r="J93" s="401">
        <f t="shared" si="11"/>
        <v>0</v>
      </c>
    </row>
    <row r="94" spans="1:10" ht="14.95" thickBot="1" x14ac:dyDescent="0.3">
      <c r="A94" s="355" t="s">
        <v>1067</v>
      </c>
      <c r="B94" s="306">
        <v>0</v>
      </c>
      <c r="C94" s="271">
        <v>0</v>
      </c>
      <c r="D94" s="369">
        <v>0</v>
      </c>
      <c r="E94" s="356">
        <f t="shared" si="10"/>
        <v>0</v>
      </c>
      <c r="F94" s="399" t="s">
        <v>1731</v>
      </c>
      <c r="G94" s="118">
        <v>0</v>
      </c>
      <c r="H94" s="400">
        <v>0</v>
      </c>
      <c r="I94" s="375">
        <v>0</v>
      </c>
      <c r="J94" s="401">
        <f t="shared" si="11"/>
        <v>0</v>
      </c>
    </row>
    <row r="95" spans="1:10" ht="14.95" thickBot="1" x14ac:dyDescent="0.3">
      <c r="A95" s="355" t="s">
        <v>1733</v>
      </c>
      <c r="B95" s="306">
        <v>0</v>
      </c>
      <c r="C95" s="271">
        <v>0</v>
      </c>
      <c r="D95" s="369">
        <v>0</v>
      </c>
      <c r="E95" s="356">
        <f t="shared" si="10"/>
        <v>0</v>
      </c>
      <c r="F95" s="399" t="s">
        <v>1067</v>
      </c>
      <c r="G95" s="118">
        <v>0</v>
      </c>
      <c r="H95" s="400">
        <v>0</v>
      </c>
      <c r="I95" s="375">
        <v>0</v>
      </c>
      <c r="J95" s="401">
        <f t="shared" si="11"/>
        <v>0</v>
      </c>
    </row>
    <row r="96" spans="1:10" ht="14.95" thickBot="1" x14ac:dyDescent="0.3">
      <c r="A96" s="355" t="s">
        <v>1285</v>
      </c>
      <c r="B96" s="306">
        <v>0</v>
      </c>
      <c r="C96" s="271">
        <v>0</v>
      </c>
      <c r="D96" s="369">
        <v>0</v>
      </c>
      <c r="E96" s="356">
        <f t="shared" si="10"/>
        <v>0</v>
      </c>
      <c r="F96" s="399" t="s">
        <v>1733</v>
      </c>
      <c r="G96" s="118">
        <v>0</v>
      </c>
      <c r="H96" s="400">
        <v>0</v>
      </c>
      <c r="I96" s="375">
        <v>0</v>
      </c>
      <c r="J96" s="401">
        <f t="shared" si="11"/>
        <v>0</v>
      </c>
    </row>
    <row r="97" spans="1:10" ht="14.95" thickBot="1" x14ac:dyDescent="0.3">
      <c r="A97" s="355" t="s">
        <v>431</v>
      </c>
      <c r="B97" s="306">
        <v>0</v>
      </c>
      <c r="C97" s="271">
        <v>0</v>
      </c>
      <c r="D97" s="369">
        <v>0</v>
      </c>
      <c r="E97" s="356">
        <f t="shared" si="10"/>
        <v>0</v>
      </c>
      <c r="F97" s="399" t="s">
        <v>1285</v>
      </c>
      <c r="G97" s="118">
        <v>0</v>
      </c>
      <c r="H97" s="400">
        <v>0</v>
      </c>
      <c r="I97" s="375">
        <v>0</v>
      </c>
      <c r="J97" s="401">
        <f t="shared" si="11"/>
        <v>0</v>
      </c>
    </row>
    <row r="98" spans="1:10" ht="14.95" thickBot="1" x14ac:dyDescent="0.3">
      <c r="A98" s="355" t="s">
        <v>125</v>
      </c>
      <c r="B98" s="306">
        <v>0</v>
      </c>
      <c r="C98" s="271">
        <v>0</v>
      </c>
      <c r="D98" s="369">
        <v>0</v>
      </c>
      <c r="E98" s="356">
        <f t="shared" si="10"/>
        <v>0</v>
      </c>
      <c r="F98" s="399" t="s">
        <v>432</v>
      </c>
      <c r="G98" s="118">
        <v>0</v>
      </c>
      <c r="H98" s="400">
        <v>0</v>
      </c>
      <c r="I98" s="375">
        <v>0</v>
      </c>
      <c r="J98" s="401">
        <f t="shared" si="11"/>
        <v>0</v>
      </c>
    </row>
    <row r="99" spans="1:10" ht="14.95" thickBot="1" x14ac:dyDescent="0.3">
      <c r="A99" s="355" t="s">
        <v>1020</v>
      </c>
      <c r="B99" s="306">
        <v>0</v>
      </c>
      <c r="C99" s="271">
        <v>0</v>
      </c>
      <c r="D99" s="369">
        <v>0</v>
      </c>
      <c r="E99" s="356">
        <f t="shared" si="10"/>
        <v>0</v>
      </c>
      <c r="F99" s="399" t="s">
        <v>125</v>
      </c>
      <c r="G99" s="118">
        <v>0</v>
      </c>
      <c r="H99" s="400">
        <v>0</v>
      </c>
      <c r="I99" s="375">
        <v>0</v>
      </c>
      <c r="J99" s="401">
        <f t="shared" si="11"/>
        <v>0</v>
      </c>
    </row>
    <row r="100" spans="1:10" ht="14.95" thickBot="1" x14ac:dyDescent="0.3">
      <c r="A100" s="355" t="s">
        <v>1737</v>
      </c>
      <c r="B100" s="306">
        <v>0</v>
      </c>
      <c r="C100" s="271">
        <v>0</v>
      </c>
      <c r="D100" s="369">
        <v>0</v>
      </c>
      <c r="E100" s="356">
        <f t="shared" si="10"/>
        <v>0</v>
      </c>
      <c r="F100" s="399" t="s">
        <v>1737</v>
      </c>
      <c r="G100" s="118">
        <v>0</v>
      </c>
      <c r="H100" s="400">
        <v>0</v>
      </c>
      <c r="I100" s="375">
        <v>0</v>
      </c>
      <c r="J100" s="401">
        <f t="shared" si="11"/>
        <v>0</v>
      </c>
    </row>
    <row r="101" spans="1:10" ht="14.95" thickBot="1" x14ac:dyDescent="0.3">
      <c r="A101" s="355" t="s">
        <v>66</v>
      </c>
      <c r="B101" s="306">
        <v>0</v>
      </c>
      <c r="C101" s="271">
        <v>0</v>
      </c>
      <c r="D101" s="369">
        <v>0</v>
      </c>
      <c r="E101" s="356">
        <f t="shared" si="10"/>
        <v>0</v>
      </c>
      <c r="F101" s="399" t="s">
        <v>66</v>
      </c>
      <c r="G101" s="118">
        <v>0</v>
      </c>
      <c r="H101" s="400">
        <v>0</v>
      </c>
      <c r="I101" s="375">
        <v>0</v>
      </c>
      <c r="J101" s="401">
        <f t="shared" si="11"/>
        <v>0</v>
      </c>
    </row>
    <row r="102" spans="1:10" ht="14.95" thickBot="1" x14ac:dyDescent="0.3">
      <c r="A102" s="355" t="s">
        <v>1739</v>
      </c>
      <c r="B102" s="306">
        <v>0</v>
      </c>
      <c r="C102" s="271">
        <v>0</v>
      </c>
      <c r="D102" s="369">
        <v>0</v>
      </c>
      <c r="E102" s="356">
        <f t="shared" si="10"/>
        <v>0</v>
      </c>
      <c r="F102" s="399" t="s">
        <v>1739</v>
      </c>
      <c r="G102" s="118">
        <v>0</v>
      </c>
      <c r="H102" s="400">
        <v>0</v>
      </c>
      <c r="I102" s="375">
        <v>0</v>
      </c>
      <c r="J102" s="401">
        <f t="shared" si="11"/>
        <v>0</v>
      </c>
    </row>
    <row r="103" spans="1:10" ht="14.95" thickBot="1" x14ac:dyDescent="0.3">
      <c r="A103" s="355" t="s">
        <v>248</v>
      </c>
      <c r="B103" s="306">
        <v>0</v>
      </c>
      <c r="C103" s="271">
        <v>0</v>
      </c>
      <c r="D103" s="369">
        <v>0</v>
      </c>
      <c r="E103" s="356">
        <f t="shared" si="10"/>
        <v>0</v>
      </c>
      <c r="F103" s="399" t="s">
        <v>248</v>
      </c>
      <c r="G103" s="118">
        <v>0</v>
      </c>
      <c r="H103" s="400">
        <v>0</v>
      </c>
      <c r="I103" s="375">
        <v>0</v>
      </c>
      <c r="J103" s="401">
        <f t="shared" si="11"/>
        <v>0</v>
      </c>
    </row>
    <row r="104" spans="1:10" ht="14.95" thickBot="1" x14ac:dyDescent="0.3">
      <c r="A104" s="355" t="s">
        <v>943</v>
      </c>
      <c r="B104" s="306">
        <v>0</v>
      </c>
      <c r="C104" s="271">
        <v>0</v>
      </c>
      <c r="D104" s="369">
        <v>0</v>
      </c>
      <c r="E104" s="356">
        <f t="shared" si="10"/>
        <v>0</v>
      </c>
      <c r="F104" s="399" t="s">
        <v>943</v>
      </c>
      <c r="G104" s="118">
        <v>0</v>
      </c>
      <c r="H104" s="400">
        <v>0</v>
      </c>
      <c r="I104" s="375">
        <v>0</v>
      </c>
      <c r="J104" s="401">
        <f t="shared" si="11"/>
        <v>0</v>
      </c>
    </row>
    <row r="105" spans="1:10" ht="14.95" thickBot="1" x14ac:dyDescent="0.3">
      <c r="A105" s="355" t="s">
        <v>3</v>
      </c>
      <c r="B105" s="306">
        <f>SUM(B56:B104)</f>
        <v>56</v>
      </c>
      <c r="C105" s="271">
        <f>SUM(C56:C104)</f>
        <v>21</v>
      </c>
      <c r="D105" s="369">
        <f>SUM(D56:D104)</f>
        <v>21</v>
      </c>
      <c r="E105" s="356">
        <f t="shared" ref="E105" si="12">SUM(B105:D105)</f>
        <v>98</v>
      </c>
      <c r="F105" s="399" t="s">
        <v>3</v>
      </c>
      <c r="G105" s="118">
        <f>SUM(G56:G104)</f>
        <v>491</v>
      </c>
      <c r="H105" s="400">
        <f>SUM(H56:H104)</f>
        <v>166</v>
      </c>
      <c r="I105" s="375">
        <f>SUM(I56:I104)</f>
        <v>145</v>
      </c>
      <c r="J105" s="401">
        <f t="shared" ref="J105" si="13">SUM(G105:I105)</f>
        <v>802</v>
      </c>
    </row>
    <row r="106" spans="1:10" x14ac:dyDescent="0.25">
      <c r="A106" s="65" t="s">
        <v>171</v>
      </c>
    </row>
  </sheetData>
  <sortState xmlns:xlrd2="http://schemas.microsoft.com/office/spreadsheetml/2017/richdata2" ref="F56:J104">
    <sortCondition descending="1" ref="J56:J104"/>
    <sortCondition ref="F56:F104"/>
  </sortState>
  <mergeCells count="20">
    <mergeCell ref="A1:J1"/>
    <mergeCell ref="K21:K22"/>
    <mergeCell ref="L21:N22"/>
    <mergeCell ref="R1:S2"/>
    <mergeCell ref="K11:K12"/>
    <mergeCell ref="L11:N12"/>
    <mergeCell ref="K1:K2"/>
    <mergeCell ref="L1:N2"/>
    <mergeCell ref="O1:Q2"/>
    <mergeCell ref="R11:T12"/>
    <mergeCell ref="R21:T22"/>
    <mergeCell ref="K28:AE28"/>
    <mergeCell ref="AC21:AE22"/>
    <mergeCell ref="U21:W22"/>
    <mergeCell ref="T1:V2"/>
    <mergeCell ref="O11:Q12"/>
    <mergeCell ref="O21:Q22"/>
    <mergeCell ref="AC1:AE2"/>
    <mergeCell ref="U11:W12"/>
    <mergeCell ref="W1:Y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583"/>
  <sheetViews>
    <sheetView zoomScaleNormal="100" workbookViewId="0">
      <selection activeCell="H32" sqref="H32"/>
    </sheetView>
  </sheetViews>
  <sheetFormatPr defaultRowHeight="14.3" x14ac:dyDescent="0.25"/>
  <cols>
    <col min="1" max="1" width="18.25" bestFit="1" customWidth="1"/>
    <col min="2" max="2" width="5.75" customWidth="1"/>
    <col min="3" max="3" width="5.875" bestFit="1" customWidth="1"/>
    <col min="4" max="4" width="18.25" bestFit="1" customWidth="1"/>
    <col min="5" max="5" width="5.75" customWidth="1"/>
    <col min="6" max="6" width="5.875" bestFit="1" customWidth="1"/>
    <col min="7" max="7" width="17.75" customWidth="1"/>
    <col min="8" max="8" width="5.125" bestFit="1" customWidth="1"/>
    <col min="9" max="9" width="5.75" customWidth="1"/>
    <col min="10" max="11" width="5.25" customWidth="1"/>
    <col min="12" max="12" width="16.75" customWidth="1"/>
    <col min="13" max="13" width="5.625" bestFit="1" customWidth="1"/>
    <col min="14" max="14" width="3.75" customWidth="1"/>
    <col min="15" max="15" width="14.625" customWidth="1"/>
    <col min="16" max="16" width="5.625" bestFit="1" customWidth="1"/>
    <col min="17" max="17" width="4.875" customWidth="1"/>
  </cols>
  <sheetData>
    <row r="1" spans="1:17" ht="14.95" customHeight="1" thickBot="1" x14ac:dyDescent="0.3">
      <c r="A1" s="36" t="s">
        <v>115</v>
      </c>
      <c r="B1" s="238"/>
      <c r="C1" s="13"/>
      <c r="D1" s="31" t="s">
        <v>29</v>
      </c>
      <c r="E1" s="31"/>
      <c r="F1" s="28"/>
      <c r="G1" s="154" t="s">
        <v>173</v>
      </c>
      <c r="H1" s="240"/>
      <c r="I1" s="32" t="s">
        <v>243</v>
      </c>
      <c r="J1" s="32" t="s">
        <v>42</v>
      </c>
      <c r="K1" s="33" t="s">
        <v>43</v>
      </c>
      <c r="L1" s="557" t="s">
        <v>1833</v>
      </c>
      <c r="M1" s="557"/>
      <c r="N1" s="558"/>
      <c r="O1" s="556" t="s">
        <v>1842</v>
      </c>
      <c r="P1" s="557"/>
      <c r="Q1" s="558"/>
    </row>
    <row r="2" spans="1:17" ht="14.95" customHeight="1" thickBot="1" x14ac:dyDescent="0.3">
      <c r="A2" s="93" t="s">
        <v>1608</v>
      </c>
      <c r="B2" s="93" t="s">
        <v>1080</v>
      </c>
      <c r="C2" s="12">
        <f>Reinachnortries</f>
        <v>12</v>
      </c>
      <c r="D2" s="3" t="s">
        <v>1092</v>
      </c>
      <c r="E2" s="3" t="s">
        <v>1135</v>
      </c>
      <c r="F2" s="20">
        <f>fordleicpts</f>
        <v>221</v>
      </c>
      <c r="G2" s="34" t="s">
        <v>1705</v>
      </c>
      <c r="H2" s="34" t="s">
        <v>1134</v>
      </c>
      <c r="I2" s="34">
        <f>Whiteleysargls</f>
        <v>10</v>
      </c>
      <c r="J2" s="73">
        <f>whiteleysaratt</f>
        <v>10</v>
      </c>
      <c r="K2" s="35">
        <f t="shared" ref="K2:K48" si="0">SUM(I2/J2)*100</f>
        <v>100</v>
      </c>
      <c r="L2" s="93" t="s">
        <v>1608</v>
      </c>
      <c r="M2" s="93" t="s">
        <v>1080</v>
      </c>
      <c r="N2" s="12">
        <f>Reinachnortries</f>
        <v>12</v>
      </c>
      <c r="O2" s="3" t="s">
        <v>1092</v>
      </c>
      <c r="P2" s="3" t="s">
        <v>1135</v>
      </c>
      <c r="Q2" s="20">
        <v>201</v>
      </c>
    </row>
    <row r="3" spans="1:17" ht="14.95" customHeight="1" thickBot="1" x14ac:dyDescent="0.3">
      <c r="A3" s="93" t="s">
        <v>1643</v>
      </c>
      <c r="B3" s="93" t="s">
        <v>1077</v>
      </c>
      <c r="C3" s="12">
        <f>Solomonasaltries</f>
        <v>12</v>
      </c>
      <c r="D3" s="21" t="s">
        <v>1701</v>
      </c>
      <c r="E3" s="3" t="s">
        <v>1076</v>
      </c>
      <c r="F3" s="20">
        <f>Weirworpts</f>
        <v>204</v>
      </c>
      <c r="G3" s="41" t="s">
        <v>1308</v>
      </c>
      <c r="H3" s="34" t="s">
        <v>1133</v>
      </c>
      <c r="I3" s="73">
        <f>millerwasgoals</f>
        <v>14</v>
      </c>
      <c r="J3" s="73">
        <f>millerwasatt</f>
        <v>15</v>
      </c>
      <c r="K3" s="35">
        <f t="shared" si="0"/>
        <v>93.333333333333329</v>
      </c>
      <c r="L3" s="93" t="s">
        <v>1643</v>
      </c>
      <c r="M3" s="93" t="s">
        <v>1077</v>
      </c>
      <c r="N3" s="12">
        <f>Solomonasaltries</f>
        <v>12</v>
      </c>
      <c r="O3" s="21" t="s">
        <v>1701</v>
      </c>
      <c r="P3" s="3" t="s">
        <v>1076</v>
      </c>
      <c r="Q3" s="20">
        <v>179</v>
      </c>
    </row>
    <row r="4" spans="1:17" ht="14.95" customHeight="1" thickBot="1" x14ac:dyDescent="0.3">
      <c r="A4" s="93" t="s">
        <v>1552</v>
      </c>
      <c r="B4" s="93" t="s">
        <v>1131</v>
      </c>
      <c r="C4" s="8">
        <f>Marchanthartries</f>
        <v>11</v>
      </c>
      <c r="D4" s="3" t="s">
        <v>1744</v>
      </c>
      <c r="E4" s="3" t="s">
        <v>1131</v>
      </c>
      <c r="F4" s="20">
        <f>Smithharpts</f>
        <v>170</v>
      </c>
      <c r="G4" s="34" t="s">
        <v>1657</v>
      </c>
      <c r="H4" s="34" t="s">
        <v>1079</v>
      </c>
      <c r="I4" s="34">
        <f>takuluanewgoals</f>
        <v>23</v>
      </c>
      <c r="J4" s="73">
        <f>takuluanewatt</f>
        <v>25</v>
      </c>
      <c r="K4" s="35">
        <f t="shared" si="0"/>
        <v>92</v>
      </c>
      <c r="L4" s="93" t="s">
        <v>1557</v>
      </c>
      <c r="M4" s="93" t="s">
        <v>1135</v>
      </c>
      <c r="N4" s="12">
        <f>Mayleictries</f>
        <v>11</v>
      </c>
      <c r="O4" s="3" t="s">
        <v>1354</v>
      </c>
      <c r="P4" s="3" t="s">
        <v>1080</v>
      </c>
      <c r="Q4" s="20">
        <v>163</v>
      </c>
    </row>
    <row r="5" spans="1:17" ht="14.95" customHeight="1" thickBot="1" x14ac:dyDescent="0.3">
      <c r="A5" s="93" t="s">
        <v>1557</v>
      </c>
      <c r="B5" s="93" t="s">
        <v>1135</v>
      </c>
      <c r="C5" s="12">
        <f>Mayleictries</f>
        <v>11</v>
      </c>
      <c r="D5" s="3" t="s">
        <v>1354</v>
      </c>
      <c r="E5" s="3" t="s">
        <v>1080</v>
      </c>
      <c r="F5" s="20">
        <f>Biggarnorpts</f>
        <v>168</v>
      </c>
      <c r="G5" s="41" t="s">
        <v>1647</v>
      </c>
      <c r="H5" s="34" t="s">
        <v>1132</v>
      </c>
      <c r="I5" s="34">
        <f>Steensongoals</f>
        <v>53</v>
      </c>
      <c r="J5" s="73">
        <f>steensonatt</f>
        <v>60</v>
      </c>
      <c r="K5" s="35">
        <f t="shared" si="0"/>
        <v>88.333333333333329</v>
      </c>
      <c r="L5" s="93" t="s">
        <v>1552</v>
      </c>
      <c r="M5" s="93" t="s">
        <v>1131</v>
      </c>
      <c r="N5" s="8">
        <f>Marchanthartries</f>
        <v>11</v>
      </c>
      <c r="O5" s="3" t="s">
        <v>1675</v>
      </c>
      <c r="P5" s="3" t="s">
        <v>1075</v>
      </c>
      <c r="Q5" s="20">
        <v>161</v>
      </c>
    </row>
    <row r="6" spans="1:17" ht="14.95" customHeight="1" thickBot="1" x14ac:dyDescent="0.3">
      <c r="A6" s="93" t="s">
        <v>1667</v>
      </c>
      <c r="B6" s="93" t="s">
        <v>1136</v>
      </c>
      <c r="C6" s="12">
        <f>Tompkinssartriescorrect</f>
        <v>11</v>
      </c>
      <c r="D6" s="3" t="s">
        <v>1675</v>
      </c>
      <c r="E6" s="3" t="s">
        <v>1075</v>
      </c>
      <c r="F6" s="20">
        <f>Twelvetreesglopts</f>
        <v>165</v>
      </c>
      <c r="G6" s="34" t="s">
        <v>985</v>
      </c>
      <c r="H6" s="34" t="s">
        <v>1135</v>
      </c>
      <c r="I6" s="34">
        <f>burnsleigoals</f>
        <v>77</v>
      </c>
      <c r="J6" s="73">
        <f>burnsleiatt</f>
        <v>91</v>
      </c>
      <c r="K6" s="35">
        <f t="shared" si="0"/>
        <v>84.615384615384613</v>
      </c>
      <c r="L6" s="93" t="s">
        <v>1628</v>
      </c>
      <c r="M6" s="93" t="s">
        <v>1075</v>
      </c>
      <c r="N6" s="12">
        <f>Sharplesglotries</f>
        <v>10</v>
      </c>
      <c r="O6" s="3" t="s">
        <v>1744</v>
      </c>
      <c r="P6" s="3" t="s">
        <v>1131</v>
      </c>
      <c r="Q6" s="20">
        <v>155</v>
      </c>
    </row>
    <row r="7" spans="1:17" ht="14.95" customHeight="1" thickBot="1" x14ac:dyDescent="0.3">
      <c r="A7" s="93" t="s">
        <v>1628</v>
      </c>
      <c r="B7" s="93" t="s">
        <v>1075</v>
      </c>
      <c r="C7" s="12">
        <f>Sharplesglotries</f>
        <v>10</v>
      </c>
      <c r="D7" s="21" t="s">
        <v>1436</v>
      </c>
      <c r="E7" s="21" t="s">
        <v>1134</v>
      </c>
      <c r="F7" s="20">
        <f>Farrellsarpts</f>
        <v>143</v>
      </c>
      <c r="G7" s="41" t="s">
        <v>1354</v>
      </c>
      <c r="H7" s="34" t="s">
        <v>1080</v>
      </c>
      <c r="I7" s="34">
        <f>mylergoals</f>
        <v>66</v>
      </c>
      <c r="J7" s="336">
        <f>myleratt</f>
        <v>78</v>
      </c>
      <c r="K7" s="35">
        <f t="shared" si="0"/>
        <v>84.615384615384613</v>
      </c>
      <c r="L7" s="93" t="s">
        <v>1397</v>
      </c>
      <c r="M7" s="93" t="s">
        <v>1132</v>
      </c>
      <c r="N7" s="12">
        <f>Carrick_Smithexetries</f>
        <v>9</v>
      </c>
      <c r="O7" s="21" t="s">
        <v>1436</v>
      </c>
      <c r="P7" s="21" t="s">
        <v>1134</v>
      </c>
      <c r="Q7" s="20">
        <v>117</v>
      </c>
    </row>
    <row r="8" spans="1:17" ht="14.95" customHeight="1" thickBot="1" x14ac:dyDescent="0.3">
      <c r="A8" s="93" t="s">
        <v>1397</v>
      </c>
      <c r="B8" s="93" t="s">
        <v>1132</v>
      </c>
      <c r="C8" s="12">
        <f>Carrick_Smithexetries</f>
        <v>9</v>
      </c>
      <c r="D8" s="3" t="s">
        <v>1629</v>
      </c>
      <c r="E8" s="3" t="s">
        <v>1156</v>
      </c>
      <c r="F8" s="20">
        <f>Paulolirpts</f>
        <v>130</v>
      </c>
      <c r="G8" s="41" t="s">
        <v>1701</v>
      </c>
      <c r="H8" s="34" t="s">
        <v>1076</v>
      </c>
      <c r="I8" s="34">
        <f>barkleywelgoals</f>
        <v>73</v>
      </c>
      <c r="J8" s="73">
        <f>barkleywelatt</f>
        <v>87</v>
      </c>
      <c r="K8" s="35">
        <f t="shared" si="0"/>
        <v>83.908045977011497</v>
      </c>
      <c r="L8" s="93" t="s">
        <v>1428</v>
      </c>
      <c r="M8" s="93" t="s">
        <v>1131</v>
      </c>
      <c r="N8" s="12">
        <f>Earlehartries</f>
        <v>9</v>
      </c>
      <c r="O8" s="3" t="s">
        <v>1629</v>
      </c>
      <c r="P8" s="3" t="s">
        <v>1156</v>
      </c>
      <c r="Q8" s="20">
        <v>115</v>
      </c>
    </row>
    <row r="9" spans="1:17" ht="14.95" customHeight="1" thickBot="1" x14ac:dyDescent="0.3">
      <c r="A9" s="93" t="s">
        <v>1428</v>
      </c>
      <c r="B9" s="93" t="s">
        <v>1131</v>
      </c>
      <c r="C9" s="12">
        <f>Earlehartries</f>
        <v>9</v>
      </c>
      <c r="D9" s="3" t="s">
        <v>1145</v>
      </c>
      <c r="E9" s="3" t="s">
        <v>1078</v>
      </c>
      <c r="F9" s="20">
        <f>burnsbthpts</f>
        <v>118</v>
      </c>
      <c r="G9" s="34" t="s">
        <v>1544</v>
      </c>
      <c r="H9" s="34" t="s">
        <v>1077</v>
      </c>
      <c r="I9" s="34">
        <f>ciprianigoals</f>
        <v>40</v>
      </c>
      <c r="J9" s="73">
        <f>ciprianiatt</f>
        <v>48</v>
      </c>
      <c r="K9" s="35">
        <f t="shared" si="0"/>
        <v>83.333333333333343</v>
      </c>
      <c r="L9" s="11" t="s">
        <v>1533</v>
      </c>
      <c r="M9" s="11" t="s">
        <v>1134</v>
      </c>
      <c r="N9" s="12">
        <f>Lewingtonsartries</f>
        <v>9</v>
      </c>
      <c r="O9" s="3" t="s">
        <v>1647</v>
      </c>
      <c r="P9" s="3" t="s">
        <v>1132</v>
      </c>
      <c r="Q9" s="20">
        <v>113</v>
      </c>
    </row>
    <row r="10" spans="1:17" ht="14.95" customHeight="1" thickBot="1" x14ac:dyDescent="0.3">
      <c r="A10" s="11" t="s">
        <v>1533</v>
      </c>
      <c r="B10" s="11" t="s">
        <v>1134</v>
      </c>
      <c r="C10" s="12">
        <f>Lewingtonsartries</f>
        <v>9</v>
      </c>
      <c r="D10" s="3" t="s">
        <v>1644</v>
      </c>
      <c r="E10" s="3" t="s">
        <v>1133</v>
      </c>
      <c r="F10" s="20">
        <f>Sopoagawaspts</f>
        <v>116</v>
      </c>
      <c r="G10" s="34" t="s">
        <v>1127</v>
      </c>
      <c r="H10" s="34" t="s">
        <v>1132</v>
      </c>
      <c r="I10" s="34">
        <f>simmondsexegoals</f>
        <v>40</v>
      </c>
      <c r="J10" s="73">
        <f>simmondsexeatt</f>
        <v>48</v>
      </c>
      <c r="K10" s="35">
        <f t="shared" si="0"/>
        <v>83.333333333333343</v>
      </c>
      <c r="L10" s="93" t="s">
        <v>1392</v>
      </c>
      <c r="M10" s="93" t="s">
        <v>1080</v>
      </c>
      <c r="N10" s="12">
        <f>Collinstomtries</f>
        <v>8</v>
      </c>
      <c r="O10" s="3" t="s">
        <v>1644</v>
      </c>
      <c r="P10" s="3" t="s">
        <v>1133</v>
      </c>
      <c r="Q10" s="20">
        <v>111</v>
      </c>
    </row>
    <row r="11" spans="1:17" ht="14.95" customHeight="1" thickBot="1" x14ac:dyDescent="0.3">
      <c r="A11" s="11" t="s">
        <v>1115</v>
      </c>
      <c r="B11" s="11" t="s">
        <v>1134</v>
      </c>
      <c r="C11" s="12">
        <f>Williamssartries</f>
        <v>9</v>
      </c>
      <c r="D11" s="3" t="s">
        <v>1544</v>
      </c>
      <c r="E11" s="3" t="s">
        <v>1077</v>
      </c>
      <c r="F11" s="20">
        <f>MacKenziephilpts</f>
        <v>114</v>
      </c>
      <c r="G11" s="34" t="s">
        <v>1629</v>
      </c>
      <c r="H11" s="34" t="s">
        <v>1156</v>
      </c>
      <c r="I11" s="34">
        <f>atkinslirgls</f>
        <v>45</v>
      </c>
      <c r="J11" s="73">
        <f>atkinsliratt</f>
        <v>55</v>
      </c>
      <c r="K11" s="35">
        <f t="shared" si="0"/>
        <v>81.818181818181827</v>
      </c>
      <c r="L11" s="93" t="s">
        <v>1375</v>
      </c>
      <c r="M11" s="93" t="s">
        <v>1131</v>
      </c>
      <c r="N11" s="8">
        <f>caretries</f>
        <v>8</v>
      </c>
      <c r="O11" s="3" t="s">
        <v>1145</v>
      </c>
      <c r="P11" s="3" t="s">
        <v>1078</v>
      </c>
      <c r="Q11" s="20">
        <v>108</v>
      </c>
    </row>
    <row r="12" spans="1:17" ht="14.95" customHeight="1" thickBot="1" x14ac:dyDescent="0.3">
      <c r="A12" s="93" t="s">
        <v>1375</v>
      </c>
      <c r="B12" s="93" t="s">
        <v>1131</v>
      </c>
      <c r="C12" s="8">
        <f>caretries</f>
        <v>8</v>
      </c>
      <c r="D12" s="3" t="s">
        <v>1598</v>
      </c>
      <c r="E12" s="3" t="s">
        <v>1078</v>
      </c>
      <c r="F12" s="2">
        <f>Priestlandbthpts</f>
        <v>114</v>
      </c>
      <c r="G12" s="34" t="s">
        <v>1442</v>
      </c>
      <c r="H12" s="34" t="s">
        <v>1079</v>
      </c>
      <c r="I12" s="34">
        <f>clegggoals</f>
        <v>41</v>
      </c>
      <c r="J12" s="73">
        <f>cleggatt</f>
        <v>51</v>
      </c>
      <c r="K12" s="35">
        <f t="shared" si="0"/>
        <v>80.392156862745097</v>
      </c>
      <c r="L12" s="93" t="s">
        <v>1388</v>
      </c>
      <c r="M12" s="93" t="s">
        <v>1078</v>
      </c>
      <c r="N12" s="12">
        <f>Cokanasigabthtries</f>
        <v>8</v>
      </c>
      <c r="O12" s="25" t="s">
        <v>1544</v>
      </c>
      <c r="P12" s="25" t="s">
        <v>1077</v>
      </c>
      <c r="Q12" s="20">
        <v>104</v>
      </c>
    </row>
    <row r="13" spans="1:17" ht="14.95" customHeight="1" thickBot="1" x14ac:dyDescent="0.3">
      <c r="A13" s="93" t="s">
        <v>1388</v>
      </c>
      <c r="B13" s="93" t="s">
        <v>1078</v>
      </c>
      <c r="C13" s="12">
        <f>Cokanasigabthtries</f>
        <v>8</v>
      </c>
      <c r="D13" s="3" t="s">
        <v>1647</v>
      </c>
      <c r="E13" s="3" t="s">
        <v>1132</v>
      </c>
      <c r="F13" s="20">
        <f>steensonexepts</f>
        <v>113</v>
      </c>
      <c r="G13" s="34" t="s">
        <v>1545</v>
      </c>
      <c r="H13" s="34" t="s">
        <v>1156</v>
      </c>
      <c r="I13" s="34">
        <f>Brophy_Clewslirgoals</f>
        <v>40</v>
      </c>
      <c r="J13" s="336">
        <f>brophyclewsliratt</f>
        <v>50</v>
      </c>
      <c r="K13" s="35">
        <f t="shared" si="0"/>
        <v>80</v>
      </c>
      <c r="L13" s="93" t="s">
        <v>1512</v>
      </c>
      <c r="M13" s="93" t="s">
        <v>1132</v>
      </c>
      <c r="N13" s="12">
        <f>Johnsonexetries</f>
        <v>8</v>
      </c>
      <c r="O13" s="25" t="s">
        <v>1545</v>
      </c>
      <c r="P13" s="25" t="s">
        <v>1156</v>
      </c>
      <c r="Q13" s="20">
        <v>104</v>
      </c>
    </row>
    <row r="14" spans="1:17" ht="14.95" customHeight="1" thickBot="1" x14ac:dyDescent="0.3">
      <c r="A14" s="93" t="s">
        <v>1392</v>
      </c>
      <c r="B14" s="93" t="s">
        <v>1080</v>
      </c>
      <c r="C14" s="12">
        <f>Collinstomtries</f>
        <v>8</v>
      </c>
      <c r="D14" s="3" t="s">
        <v>1442</v>
      </c>
      <c r="E14" s="3" t="s">
        <v>1079</v>
      </c>
      <c r="F14" s="20">
        <f>Floodnewpts</f>
        <v>111</v>
      </c>
      <c r="G14" s="34" t="s">
        <v>1598</v>
      </c>
      <c r="H14" s="34" t="s">
        <v>1078</v>
      </c>
      <c r="I14" s="34">
        <f>Priestlandbthgoals</f>
        <v>40</v>
      </c>
      <c r="J14" s="336">
        <f>priestlandbthatt</f>
        <v>50</v>
      </c>
      <c r="K14" s="35">
        <f t="shared" si="0"/>
        <v>80</v>
      </c>
      <c r="L14" s="93" t="s">
        <v>1667</v>
      </c>
      <c r="M14" s="93" t="s">
        <v>1136</v>
      </c>
      <c r="N14" s="12">
        <v>8</v>
      </c>
      <c r="O14" s="3" t="s">
        <v>1598</v>
      </c>
      <c r="P14" s="3" t="s">
        <v>1078</v>
      </c>
      <c r="Q14" s="2">
        <v>104</v>
      </c>
    </row>
    <row r="15" spans="1:17" ht="14.95" customHeight="1" thickBot="1" x14ac:dyDescent="0.3">
      <c r="A15" s="93" t="s">
        <v>1512</v>
      </c>
      <c r="B15" s="93" t="s">
        <v>1132</v>
      </c>
      <c r="C15" s="12">
        <f>Johnsonexetries</f>
        <v>8</v>
      </c>
      <c r="D15" s="3" t="s">
        <v>1545</v>
      </c>
      <c r="E15" s="3" t="s">
        <v>1156</v>
      </c>
      <c r="F15" s="20">
        <f>McKibbinlirpts</f>
        <v>105</v>
      </c>
      <c r="G15" s="34" t="s">
        <v>1644</v>
      </c>
      <c r="H15" s="34" t="s">
        <v>1133</v>
      </c>
      <c r="I15" s="34">
        <f>SopoagaGLSWAS</f>
        <v>47</v>
      </c>
      <c r="J15" s="336">
        <f>SOPOAGAWASATT</f>
        <v>59</v>
      </c>
      <c r="K15" s="35">
        <f t="shared" si="0"/>
        <v>79.66101694915254</v>
      </c>
      <c r="L15" s="93" t="s">
        <v>1413</v>
      </c>
      <c r="M15" s="93" t="s">
        <v>1133</v>
      </c>
      <c r="N15" s="12">
        <f>de_Jonghwastries</f>
        <v>7</v>
      </c>
      <c r="O15" s="3" t="s">
        <v>1442</v>
      </c>
      <c r="P15" s="3" t="s">
        <v>1079</v>
      </c>
      <c r="Q15" s="20">
        <v>101</v>
      </c>
    </row>
    <row r="16" spans="1:17" ht="14.95" customHeight="1" thickBot="1" x14ac:dyDescent="0.3">
      <c r="A16" s="11" t="s">
        <v>1331</v>
      </c>
      <c r="B16" s="11" t="s">
        <v>1076</v>
      </c>
      <c r="C16" s="12">
        <f>Adamswortries</f>
        <v>7</v>
      </c>
      <c r="D16" s="3" t="s">
        <v>1657</v>
      </c>
      <c r="E16" s="3" t="s">
        <v>1079</v>
      </c>
      <c r="F16" s="20">
        <f>Takaluanewpts</f>
        <v>97</v>
      </c>
      <c r="G16" s="34" t="s">
        <v>1675</v>
      </c>
      <c r="H16" s="34" t="s">
        <v>1075</v>
      </c>
      <c r="I16" s="34">
        <f>twelvetreesgoals</f>
        <v>70</v>
      </c>
      <c r="J16" s="336">
        <f>twelvetreesatt</f>
        <v>88</v>
      </c>
      <c r="K16" s="35">
        <f t="shared" si="0"/>
        <v>79.545454545454547</v>
      </c>
      <c r="L16" s="93" t="s">
        <v>1478</v>
      </c>
      <c r="M16" s="93" t="s">
        <v>1076</v>
      </c>
      <c r="N16" s="12">
        <f>Kirwancarltries</f>
        <v>7</v>
      </c>
      <c r="O16" s="347" t="s">
        <v>1794</v>
      </c>
      <c r="P16" s="347" t="s">
        <v>1077</v>
      </c>
      <c r="Q16" s="20">
        <v>71</v>
      </c>
    </row>
    <row r="17" spans="1:17" ht="14.95" customHeight="1" thickBot="1" x14ac:dyDescent="0.3">
      <c r="A17" s="93" t="s">
        <v>1349</v>
      </c>
      <c r="B17" s="93" t="s">
        <v>1133</v>
      </c>
      <c r="C17" s="12">
        <f>Bassettwastries</f>
        <v>7</v>
      </c>
      <c r="D17" s="3" t="s">
        <v>1127</v>
      </c>
      <c r="E17" s="3" t="s">
        <v>1132</v>
      </c>
      <c r="F17" s="20">
        <f>Simmondsexepts</f>
        <v>90</v>
      </c>
      <c r="G17" s="41" t="s">
        <v>1744</v>
      </c>
      <c r="H17" s="34" t="s">
        <v>1131</v>
      </c>
      <c r="I17" s="73">
        <f>boticagoals</f>
        <v>62</v>
      </c>
      <c r="J17" s="336">
        <f>boticaatt</f>
        <v>78</v>
      </c>
      <c r="K17" s="35">
        <f t="shared" si="0"/>
        <v>79.487179487179489</v>
      </c>
      <c r="L17" s="93" t="s">
        <v>1489</v>
      </c>
      <c r="M17" s="93" t="s">
        <v>1133</v>
      </c>
      <c r="N17" s="12">
        <f>Hugheswastries</f>
        <v>7</v>
      </c>
      <c r="O17" s="3" t="s">
        <v>1519</v>
      </c>
      <c r="P17" s="3" t="s">
        <v>1131</v>
      </c>
      <c r="Q17" s="20">
        <v>70</v>
      </c>
    </row>
    <row r="18" spans="1:17" ht="14.95" customHeight="1" thickBot="1" x14ac:dyDescent="0.3">
      <c r="A18" s="93" t="s">
        <v>1413</v>
      </c>
      <c r="B18" s="93" t="s">
        <v>1133</v>
      </c>
      <c r="C18" s="12">
        <f>de_Jonghwastries</f>
        <v>7</v>
      </c>
      <c r="D18" s="21" t="s">
        <v>1519</v>
      </c>
      <c r="E18" s="21" t="s">
        <v>1131</v>
      </c>
      <c r="F18" s="20">
        <f>Langharpts</f>
        <v>80</v>
      </c>
      <c r="G18" s="34" t="s">
        <v>986</v>
      </c>
      <c r="H18" s="34" t="s">
        <v>1135</v>
      </c>
      <c r="I18" s="34">
        <f>williamsowengoals</f>
        <v>11</v>
      </c>
      <c r="J18" s="73">
        <f>williamsowenatt</f>
        <v>14</v>
      </c>
      <c r="K18" s="35">
        <f t="shared" si="0"/>
        <v>78.571428571428569</v>
      </c>
      <c r="L18" s="93" t="s">
        <v>1531</v>
      </c>
      <c r="M18" s="93" t="s">
        <v>1156</v>
      </c>
      <c r="N18" s="12">
        <f>Loaderlirtries</f>
        <v>7</v>
      </c>
      <c r="O18" s="3" t="s">
        <v>1127</v>
      </c>
      <c r="P18" s="3" t="s">
        <v>1132</v>
      </c>
      <c r="Q18" s="20">
        <v>64</v>
      </c>
    </row>
    <row r="19" spans="1:17" ht="14.95" customHeight="1" thickBot="1" x14ac:dyDescent="0.3">
      <c r="A19" s="93" t="s">
        <v>1478</v>
      </c>
      <c r="B19" s="93" t="s">
        <v>1076</v>
      </c>
      <c r="C19" s="12">
        <f>Kirwancarltries</f>
        <v>7</v>
      </c>
      <c r="D19" s="3" t="s">
        <v>1794</v>
      </c>
      <c r="E19" s="3" t="s">
        <v>1077</v>
      </c>
      <c r="F19" s="20">
        <f>du_Preezsalpts</f>
        <v>71</v>
      </c>
      <c r="G19" s="34" t="s">
        <v>1519</v>
      </c>
      <c r="H19" s="34" t="s">
        <v>1131</v>
      </c>
      <c r="I19" s="34">
        <f>Langhargls</f>
        <v>29</v>
      </c>
      <c r="J19" s="73">
        <f>langharatt</f>
        <v>37</v>
      </c>
      <c r="K19" s="35">
        <f t="shared" si="0"/>
        <v>78.378378378378372</v>
      </c>
      <c r="L19" s="93" t="s">
        <v>1576</v>
      </c>
      <c r="M19" s="93" t="s">
        <v>1080</v>
      </c>
      <c r="N19" s="12">
        <f>Naiyaravoronortries</f>
        <v>7</v>
      </c>
      <c r="O19" s="347" t="s">
        <v>1657</v>
      </c>
      <c r="P19" s="347" t="s">
        <v>1079</v>
      </c>
      <c r="Q19" s="20">
        <v>62</v>
      </c>
    </row>
    <row r="20" spans="1:17" ht="14.95" customHeight="1" thickBot="1" x14ac:dyDescent="0.3">
      <c r="A20" s="93" t="s">
        <v>1489</v>
      </c>
      <c r="B20" s="93" t="s">
        <v>1133</v>
      </c>
      <c r="C20" s="12">
        <f>Hugheswastries</f>
        <v>7</v>
      </c>
      <c r="D20" s="21" t="s">
        <v>1539</v>
      </c>
      <c r="E20" s="21" t="s">
        <v>1134</v>
      </c>
      <c r="F20" s="20">
        <f>Longbottomsarpts</f>
        <v>70</v>
      </c>
      <c r="G20" s="41" t="s">
        <v>1539</v>
      </c>
      <c r="H20" s="34" t="s">
        <v>1134</v>
      </c>
      <c r="I20" s="73">
        <f>Hodgsoncharliegoals</f>
        <v>21</v>
      </c>
      <c r="J20" s="73">
        <f>hodgsoncharlieatt</f>
        <v>27</v>
      </c>
      <c r="K20" s="35">
        <f t="shared" si="0"/>
        <v>77.777777777777786</v>
      </c>
      <c r="L20" s="93" t="s">
        <v>1657</v>
      </c>
      <c r="M20" s="93" t="s">
        <v>1079</v>
      </c>
      <c r="N20" s="8">
        <f>takaluanewtries</f>
        <v>7</v>
      </c>
      <c r="O20" s="3" t="s">
        <v>1539</v>
      </c>
      <c r="P20" s="3" t="s">
        <v>1134</v>
      </c>
      <c r="Q20" s="20">
        <v>55</v>
      </c>
    </row>
    <row r="21" spans="1:17" ht="14.95" customHeight="1" thickBot="1" x14ac:dyDescent="0.3">
      <c r="A21" s="93" t="s">
        <v>1531</v>
      </c>
      <c r="B21" s="93" t="s">
        <v>1156</v>
      </c>
      <c r="C21" s="12">
        <f>Loaderlirtries</f>
        <v>7</v>
      </c>
      <c r="D21" s="3" t="s">
        <v>1312</v>
      </c>
      <c r="E21" s="3" t="s">
        <v>1134</v>
      </c>
      <c r="F21" s="20">
        <f>Spencersarpts</f>
        <v>67</v>
      </c>
      <c r="G21" s="34" t="s">
        <v>1626</v>
      </c>
      <c r="H21" s="34" t="s">
        <v>1133</v>
      </c>
      <c r="I21" s="34">
        <f>Searlewasgls</f>
        <v>17</v>
      </c>
      <c r="J21" s="73">
        <f>searlewasatt</f>
        <v>22</v>
      </c>
      <c r="K21" s="35">
        <f t="shared" si="0"/>
        <v>77.272727272727266</v>
      </c>
      <c r="L21" s="93" t="s">
        <v>246</v>
      </c>
      <c r="M21" s="93" t="s">
        <v>1156</v>
      </c>
      <c r="N21" s="12">
        <f>Poreckilirtries</f>
        <v>7</v>
      </c>
      <c r="O21" s="21" t="s">
        <v>1626</v>
      </c>
      <c r="P21" s="3" t="s">
        <v>1133</v>
      </c>
      <c r="Q21" s="82">
        <v>41</v>
      </c>
    </row>
    <row r="22" spans="1:17" ht="14.95" customHeight="1" thickBot="1" x14ac:dyDescent="0.3">
      <c r="A22" s="93" t="s">
        <v>1546</v>
      </c>
      <c r="B22" s="93" t="s">
        <v>1134</v>
      </c>
      <c r="C22" s="92">
        <f>Maitlandsartries</f>
        <v>7</v>
      </c>
      <c r="D22" s="3" t="s">
        <v>1591</v>
      </c>
      <c r="E22" s="3" t="s">
        <v>1076</v>
      </c>
      <c r="F22" s="20">
        <f>Reynoldsnicpts</f>
        <v>60</v>
      </c>
      <c r="G22" s="34" t="s">
        <v>1794</v>
      </c>
      <c r="H22" s="34" t="s">
        <v>1077</v>
      </c>
      <c r="I22" s="34">
        <f>dupreezsalgls</f>
        <v>26</v>
      </c>
      <c r="J22" s="73">
        <f>dupreezsalatt</f>
        <v>34</v>
      </c>
      <c r="K22" s="35">
        <f t="shared" si="0"/>
        <v>76.470588235294116</v>
      </c>
      <c r="L22" s="11" t="s">
        <v>1115</v>
      </c>
      <c r="M22" s="11" t="s">
        <v>1134</v>
      </c>
      <c r="N22" s="12">
        <f>Williamssartries</f>
        <v>9</v>
      </c>
      <c r="O22" s="3" t="s">
        <v>1384</v>
      </c>
      <c r="P22" s="3" t="s">
        <v>1075</v>
      </c>
      <c r="Q22" s="20">
        <v>40</v>
      </c>
    </row>
    <row r="23" spans="1:17" ht="14.95" customHeight="1" thickBot="1" x14ac:dyDescent="0.3">
      <c r="A23" s="93" t="s">
        <v>1576</v>
      </c>
      <c r="B23" s="93" t="s">
        <v>1080</v>
      </c>
      <c r="C23" s="12">
        <f>Naiyaravoronortries</f>
        <v>7</v>
      </c>
      <c r="D23" s="3" t="s">
        <v>1608</v>
      </c>
      <c r="E23" s="3" t="s">
        <v>1080</v>
      </c>
      <c r="F23" s="20">
        <f>Reinachnorpts</f>
        <v>60</v>
      </c>
      <c r="G23" s="34" t="s">
        <v>1722</v>
      </c>
      <c r="H23" s="34" t="s">
        <v>1080</v>
      </c>
      <c r="I23" s="34">
        <f>Hanrahannorgoals</f>
        <v>12</v>
      </c>
      <c r="J23" s="73">
        <f>hanrahannoratt</f>
        <v>16</v>
      </c>
      <c r="K23" s="35">
        <f t="shared" si="0"/>
        <v>75</v>
      </c>
      <c r="L23" s="93" t="s">
        <v>1720</v>
      </c>
      <c r="M23" s="93" t="s">
        <v>1132</v>
      </c>
      <c r="N23" s="12">
        <f>Yeandlejacktries</f>
        <v>7</v>
      </c>
      <c r="O23" s="3" t="s">
        <v>1308</v>
      </c>
      <c r="P23" s="3" t="s">
        <v>1133</v>
      </c>
      <c r="Q23" s="20">
        <v>37</v>
      </c>
    </row>
    <row r="24" spans="1:17" ht="14.95" customHeight="1" thickBot="1" x14ac:dyDescent="0.3">
      <c r="A24" s="93" t="s">
        <v>1312</v>
      </c>
      <c r="B24" s="93" t="s">
        <v>1134</v>
      </c>
      <c r="C24" s="12">
        <f>Spencerbentries</f>
        <v>7</v>
      </c>
      <c r="D24" s="3" t="s">
        <v>1643</v>
      </c>
      <c r="E24" s="3" t="s">
        <v>1077</v>
      </c>
      <c r="F24" s="20">
        <f>Solomonasalpts</f>
        <v>60</v>
      </c>
      <c r="G24" s="34" t="s">
        <v>1591</v>
      </c>
      <c r="H24" s="34" t="s">
        <v>1076</v>
      </c>
      <c r="I24" s="34">
        <f>Pennellworgls</f>
        <v>12</v>
      </c>
      <c r="J24" s="73">
        <f>pennellworatt</f>
        <v>16</v>
      </c>
      <c r="K24" s="35">
        <f t="shared" si="0"/>
        <v>75</v>
      </c>
      <c r="L24" s="11" t="s">
        <v>1331</v>
      </c>
      <c r="M24" s="11" t="s">
        <v>1076</v>
      </c>
      <c r="N24" s="12">
        <f>Adamswortries</f>
        <v>7</v>
      </c>
      <c r="O24" s="3" t="s">
        <v>1312</v>
      </c>
      <c r="P24" s="3" t="s">
        <v>1134</v>
      </c>
      <c r="Q24" s="20">
        <v>32</v>
      </c>
    </row>
    <row r="25" spans="1:17" ht="14.95" customHeight="1" thickBot="1" x14ac:dyDescent="0.3">
      <c r="A25" s="93" t="s">
        <v>1657</v>
      </c>
      <c r="B25" s="93" t="s">
        <v>1079</v>
      </c>
      <c r="C25" s="8">
        <f>takaluanewtries</f>
        <v>7</v>
      </c>
      <c r="D25" s="21" t="s">
        <v>1384</v>
      </c>
      <c r="E25" s="21" t="s">
        <v>1075</v>
      </c>
      <c r="F25" s="2">
        <f>Ciprianiglopts</f>
        <v>55</v>
      </c>
      <c r="G25" s="34" t="s">
        <v>1436</v>
      </c>
      <c r="H25" s="34" t="s">
        <v>1134</v>
      </c>
      <c r="I25" s="34">
        <f>farrellgoals</f>
        <v>59</v>
      </c>
      <c r="J25" s="73">
        <f>farrellatt</f>
        <v>80</v>
      </c>
      <c r="K25" s="35">
        <f t="shared" si="0"/>
        <v>73.75</v>
      </c>
      <c r="L25" s="93" t="s">
        <v>1349</v>
      </c>
      <c r="M25" s="93" t="s">
        <v>1133</v>
      </c>
      <c r="N25" s="12">
        <f>Bassettwastries</f>
        <v>7</v>
      </c>
      <c r="O25" s="347" t="s">
        <v>1591</v>
      </c>
      <c r="P25" s="347" t="s">
        <v>1076</v>
      </c>
      <c r="Q25" s="20">
        <v>30</v>
      </c>
    </row>
    <row r="26" spans="1:17" ht="14.95" customHeight="1" thickBot="1" x14ac:dyDescent="0.3">
      <c r="A26" s="93" t="s">
        <v>246</v>
      </c>
      <c r="B26" s="93" t="s">
        <v>1156</v>
      </c>
      <c r="C26" s="12">
        <f>Poreckilirtries</f>
        <v>7</v>
      </c>
      <c r="D26" s="21" t="s">
        <v>1105</v>
      </c>
      <c r="E26" s="3" t="s">
        <v>1080</v>
      </c>
      <c r="F26" s="20">
        <f>Francisnorpts</f>
        <v>55</v>
      </c>
      <c r="G26" s="34" t="s">
        <v>1145</v>
      </c>
      <c r="H26" s="34" t="s">
        <v>1078</v>
      </c>
      <c r="I26" s="34">
        <f>Fordgeorgegoals</f>
        <v>40</v>
      </c>
      <c r="J26" s="73">
        <f>Fordgeorgeatt</f>
        <v>56</v>
      </c>
      <c r="K26" s="35">
        <f t="shared" si="0"/>
        <v>71.428571428571431</v>
      </c>
      <c r="L26" s="57" t="s">
        <v>1745</v>
      </c>
      <c r="O26" s="3" t="s">
        <v>986</v>
      </c>
      <c r="P26" s="3" t="s">
        <v>1135</v>
      </c>
      <c r="Q26" s="20">
        <v>29</v>
      </c>
    </row>
    <row r="27" spans="1:17" ht="14.95" customHeight="1" thickBot="1" x14ac:dyDescent="0.3">
      <c r="A27" s="93" t="s">
        <v>1720</v>
      </c>
      <c r="B27" s="93" t="s">
        <v>1132</v>
      </c>
      <c r="C27" s="12">
        <f>Yeandlejacktries</f>
        <v>7</v>
      </c>
      <c r="D27" s="3" t="s">
        <v>1552</v>
      </c>
      <c r="E27" s="3" t="s">
        <v>1131</v>
      </c>
      <c r="F27" s="20">
        <f>Marchantharpts</f>
        <v>55</v>
      </c>
      <c r="G27" s="34" t="s">
        <v>1312</v>
      </c>
      <c r="H27" s="34" t="s">
        <v>1134</v>
      </c>
      <c r="I27" s="34">
        <f>spencerbengoals</f>
        <v>14</v>
      </c>
      <c r="J27" s="73">
        <f>spencerbenatt</f>
        <v>20</v>
      </c>
      <c r="K27" s="35">
        <f t="shared" si="0"/>
        <v>70</v>
      </c>
      <c r="O27" s="347" t="s">
        <v>1705</v>
      </c>
      <c r="P27" s="347" t="s">
        <v>1134</v>
      </c>
      <c r="Q27" s="20">
        <v>26</v>
      </c>
    </row>
    <row r="28" spans="1:17" ht="14.95" customHeight="1" thickBot="1" x14ac:dyDescent="0.3">
      <c r="A28" s="93" t="s">
        <v>1330</v>
      </c>
      <c r="B28" s="93" t="s">
        <v>1075</v>
      </c>
      <c r="C28" s="12">
        <f>Ackermannglotries</f>
        <v>6</v>
      </c>
      <c r="D28" s="3" t="s">
        <v>1557</v>
      </c>
      <c r="E28" s="3" t="s">
        <v>1135</v>
      </c>
      <c r="F28" s="20">
        <f>Mayleicpts</f>
        <v>55</v>
      </c>
      <c r="G28" s="34" t="s">
        <v>1461</v>
      </c>
      <c r="H28" s="34" t="s">
        <v>1134</v>
      </c>
      <c r="I28" s="34">
        <f>goodealexgoals</f>
        <v>9</v>
      </c>
      <c r="J28" s="73">
        <f>goodealexatt</f>
        <v>14</v>
      </c>
      <c r="K28" s="35">
        <f t="shared" si="0"/>
        <v>64.285714285714292</v>
      </c>
      <c r="O28" s="3" t="s">
        <v>1722</v>
      </c>
      <c r="P28" s="3" t="s">
        <v>1080</v>
      </c>
      <c r="Q28" s="20">
        <v>25</v>
      </c>
    </row>
    <row r="29" spans="1:17" ht="14.95" customHeight="1" thickBot="1" x14ac:dyDescent="0.3">
      <c r="A29" s="93" t="s">
        <v>1343</v>
      </c>
      <c r="B29" s="93" t="s">
        <v>1075</v>
      </c>
      <c r="C29" s="12">
        <f>Banahanglotries</f>
        <v>6</v>
      </c>
      <c r="D29" s="3" t="s">
        <v>1667</v>
      </c>
      <c r="E29" s="3" t="s">
        <v>1136</v>
      </c>
      <c r="F29" s="20">
        <f>Tompkinssarptscorrect</f>
        <v>55</v>
      </c>
      <c r="G29" s="34" t="s">
        <v>1384</v>
      </c>
      <c r="H29" s="34" t="s">
        <v>1075</v>
      </c>
      <c r="I29" s="34">
        <f>ciprianiglogls</f>
        <v>16</v>
      </c>
      <c r="J29" s="73">
        <f>ciprianigloatt</f>
        <v>25</v>
      </c>
      <c r="K29" s="35">
        <f t="shared" si="0"/>
        <v>64</v>
      </c>
      <c r="O29" s="3" t="s">
        <v>1464</v>
      </c>
      <c r="P29" s="3" t="s">
        <v>1080</v>
      </c>
      <c r="Q29" s="20">
        <v>25</v>
      </c>
    </row>
    <row r="30" spans="1:17" ht="14.95" customHeight="1" thickBot="1" x14ac:dyDescent="0.3">
      <c r="A30" s="11" t="s">
        <v>1105</v>
      </c>
      <c r="B30" s="93" t="s">
        <v>1080</v>
      </c>
      <c r="C30" s="12">
        <f>Francisnortries</f>
        <v>6</v>
      </c>
      <c r="D30" s="3" t="s">
        <v>1628</v>
      </c>
      <c r="E30" s="3" t="s">
        <v>1075</v>
      </c>
      <c r="F30" s="20">
        <f>Sharplesglopts</f>
        <v>50</v>
      </c>
      <c r="G30" s="34" t="s">
        <v>1464</v>
      </c>
      <c r="H30" s="34" t="s">
        <v>1080</v>
      </c>
      <c r="I30" s="34">
        <f>graysonnorgls</f>
        <v>10</v>
      </c>
      <c r="J30" s="73">
        <f>graysonnoratt</f>
        <v>16</v>
      </c>
      <c r="K30" s="35">
        <f t="shared" si="0"/>
        <v>62.5</v>
      </c>
      <c r="O30" s="3" t="s">
        <v>1461</v>
      </c>
      <c r="P30" s="3" t="s">
        <v>1134</v>
      </c>
      <c r="Q30" s="20">
        <v>21</v>
      </c>
    </row>
    <row r="31" spans="1:17" ht="14.95" customHeight="1" thickBot="1" x14ac:dyDescent="0.3">
      <c r="A31" s="11" t="s">
        <v>1752</v>
      </c>
      <c r="B31" s="11" t="s">
        <v>1076</v>
      </c>
      <c r="C31" s="12">
        <f>Hillwortries</f>
        <v>6</v>
      </c>
      <c r="D31" s="3" t="s">
        <v>1397</v>
      </c>
      <c r="E31" s="3" t="s">
        <v>1132</v>
      </c>
      <c r="F31" s="20">
        <f>Carrick_Smithexepts</f>
        <v>45</v>
      </c>
      <c r="G31" s="34" t="s">
        <v>1408</v>
      </c>
      <c r="H31" s="34" t="s">
        <v>1133</v>
      </c>
      <c r="I31" s="34">
        <f>dalywasgoals</f>
        <v>5</v>
      </c>
      <c r="J31" s="73">
        <f>dalywasatt</f>
        <v>10</v>
      </c>
      <c r="K31" s="35">
        <f t="shared" si="0"/>
        <v>50</v>
      </c>
      <c r="O31" s="3" t="s">
        <v>1414</v>
      </c>
      <c r="P31" s="3" t="s">
        <v>1077</v>
      </c>
      <c r="Q31" s="20">
        <v>16</v>
      </c>
    </row>
    <row r="32" spans="1:17" ht="14.95" customHeight="1" thickBot="1" x14ac:dyDescent="0.3">
      <c r="A32" s="11" t="s">
        <v>1082</v>
      </c>
      <c r="B32" s="11" t="s">
        <v>1078</v>
      </c>
      <c r="C32" s="12">
        <f>Mercerbattries</f>
        <v>6</v>
      </c>
      <c r="D32" s="3" t="s">
        <v>1428</v>
      </c>
      <c r="E32" s="3" t="s">
        <v>1131</v>
      </c>
      <c r="F32" s="20">
        <f>Earleharpts</f>
        <v>45</v>
      </c>
      <c r="G32" s="34" t="s">
        <v>1414</v>
      </c>
      <c r="H32" s="34" t="s">
        <v>1077</v>
      </c>
      <c r="I32" s="34">
        <f>de_Klerksalgls</f>
        <v>8</v>
      </c>
      <c r="J32" s="73">
        <f>deklerksalatt</f>
        <v>17</v>
      </c>
      <c r="K32" s="35">
        <f t="shared" si="0"/>
        <v>47.058823529411761</v>
      </c>
      <c r="O32" s="3" t="s">
        <v>1408</v>
      </c>
      <c r="P32" s="3" t="s">
        <v>1133</v>
      </c>
      <c r="Q32" s="20">
        <v>14</v>
      </c>
    </row>
    <row r="33" spans="1:17" ht="14.95" customHeight="1" thickBot="1" x14ac:dyDescent="0.3">
      <c r="A33" s="93" t="s">
        <v>1566</v>
      </c>
      <c r="B33" s="93" t="s">
        <v>1156</v>
      </c>
      <c r="C33" s="12">
        <f>McNallylirtries</f>
        <v>6</v>
      </c>
      <c r="D33" s="21" t="s">
        <v>1533</v>
      </c>
      <c r="E33" s="21" t="s">
        <v>1134</v>
      </c>
      <c r="F33" s="20">
        <f>Lewingtonsarpts</f>
        <v>45</v>
      </c>
      <c r="G33" s="34" t="s">
        <v>1492</v>
      </c>
      <c r="H33" s="34" t="s">
        <v>1080</v>
      </c>
      <c r="I33" s="34">
        <f>hutchinsonnorgls</f>
        <v>3</v>
      </c>
      <c r="J33" s="42">
        <f>hutchinsonnoratt</f>
        <v>3</v>
      </c>
      <c r="K33" s="35">
        <f t="shared" si="0"/>
        <v>100</v>
      </c>
      <c r="O33" s="347" t="s">
        <v>1393</v>
      </c>
      <c r="P33" s="347" t="s">
        <v>1079</v>
      </c>
      <c r="Q33" s="20">
        <v>13</v>
      </c>
    </row>
    <row r="34" spans="1:17" ht="14.95" customHeight="1" thickBot="1" x14ac:dyDescent="0.3">
      <c r="A34" s="93" t="s">
        <v>1591</v>
      </c>
      <c r="B34" s="93" t="s">
        <v>1076</v>
      </c>
      <c r="C34" s="92">
        <f>Reynoldsnictries</f>
        <v>6</v>
      </c>
      <c r="D34" s="21" t="s">
        <v>1115</v>
      </c>
      <c r="E34" s="21" t="s">
        <v>1134</v>
      </c>
      <c r="F34" s="2">
        <f>Williamssarpts</f>
        <v>45</v>
      </c>
      <c r="G34" s="34" t="s">
        <v>1357</v>
      </c>
      <c r="H34" s="34" t="s">
        <v>1134</v>
      </c>
      <c r="I34" s="34">
        <f>Boschgoals</f>
        <v>2</v>
      </c>
      <c r="J34" s="42">
        <f>boschatt</f>
        <v>2</v>
      </c>
      <c r="K34" s="35">
        <f t="shared" si="0"/>
        <v>100</v>
      </c>
      <c r="O34" s="347" t="s">
        <v>253</v>
      </c>
      <c r="P34" s="347" t="s">
        <v>1075</v>
      </c>
      <c r="Q34" s="20">
        <v>11</v>
      </c>
    </row>
    <row r="35" spans="1:17" ht="14.95" customHeight="1" thickBot="1" x14ac:dyDescent="0.3">
      <c r="A35" s="93" t="s">
        <v>1184</v>
      </c>
      <c r="B35" s="93" t="s">
        <v>1156</v>
      </c>
      <c r="C35" s="12">
        <f>Noakeslitries</f>
        <v>6</v>
      </c>
      <c r="D35" s="21" t="s">
        <v>1626</v>
      </c>
      <c r="E35" s="3" t="s">
        <v>1133</v>
      </c>
      <c r="F35" s="82">
        <f>Searlewaspts</f>
        <v>41</v>
      </c>
      <c r="G35" s="34" t="s">
        <v>1377</v>
      </c>
      <c r="H35" s="34" t="s">
        <v>1131</v>
      </c>
      <c r="I35" s="34">
        <f>evansnickgoals</f>
        <v>2</v>
      </c>
      <c r="J35" s="42">
        <f>evansnickatt</f>
        <v>2</v>
      </c>
      <c r="K35" s="35">
        <f t="shared" si="0"/>
        <v>100</v>
      </c>
      <c r="O35" s="347" t="s">
        <v>1548</v>
      </c>
      <c r="P35" s="347" t="s">
        <v>1080</v>
      </c>
      <c r="Q35" s="20">
        <v>5</v>
      </c>
    </row>
    <row r="36" spans="1:17" ht="14.95" customHeight="1" thickBot="1" x14ac:dyDescent="0.3">
      <c r="A36" s="93" t="s">
        <v>1128</v>
      </c>
      <c r="B36" s="93" t="s">
        <v>1132</v>
      </c>
      <c r="C36" s="12">
        <f>Simmonds_Sexetries</f>
        <v>6</v>
      </c>
      <c r="D36" s="3" t="s">
        <v>1375</v>
      </c>
      <c r="E36" s="3" t="s">
        <v>1131</v>
      </c>
      <c r="F36" s="20">
        <f>Carepts</f>
        <v>40</v>
      </c>
      <c r="G36" s="41" t="s">
        <v>1483</v>
      </c>
      <c r="H36" s="34" t="s">
        <v>1079</v>
      </c>
      <c r="I36" s="34">
        <f>Hodgsonnewgoals</f>
        <v>2</v>
      </c>
      <c r="J36" s="42">
        <f>hodgsonnewattcorrect</f>
        <v>2</v>
      </c>
      <c r="K36" s="35">
        <f t="shared" si="0"/>
        <v>100</v>
      </c>
      <c r="O36" s="347" t="s">
        <v>1357</v>
      </c>
      <c r="P36" s="347" t="s">
        <v>1134</v>
      </c>
      <c r="Q36" s="20">
        <v>4</v>
      </c>
    </row>
    <row r="37" spans="1:17" ht="14.95" customHeight="1" thickBot="1" x14ac:dyDescent="0.3">
      <c r="A37" s="93" t="s">
        <v>1640</v>
      </c>
      <c r="B37" s="93" t="s">
        <v>1132</v>
      </c>
      <c r="C37" s="12">
        <f>Sladeexetries</f>
        <v>6</v>
      </c>
      <c r="D37" s="3" t="s">
        <v>1388</v>
      </c>
      <c r="E37" s="3" t="s">
        <v>1078</v>
      </c>
      <c r="F37" s="20">
        <f>Cokanasigabthpts</f>
        <v>40</v>
      </c>
      <c r="G37" s="34" t="s">
        <v>1548</v>
      </c>
      <c r="H37" s="34" t="s">
        <v>1080</v>
      </c>
      <c r="I37" s="34">
        <f>Mallindernorgoals</f>
        <v>2</v>
      </c>
      <c r="J37" s="42">
        <f>mallindernoratt</f>
        <v>2</v>
      </c>
      <c r="K37" s="35">
        <f t="shared" si="0"/>
        <v>100</v>
      </c>
      <c r="O37" s="3" t="s">
        <v>1483</v>
      </c>
      <c r="P37" s="3" t="s">
        <v>1079</v>
      </c>
      <c r="Q37" s="20">
        <v>4</v>
      </c>
    </row>
    <row r="38" spans="1:17" ht="14.95" customHeight="1" thickBot="1" x14ac:dyDescent="0.3">
      <c r="A38" s="11" t="s">
        <v>1652</v>
      </c>
      <c r="B38" s="11" t="s">
        <v>1134</v>
      </c>
      <c r="C38" s="12">
        <f>Strettllesartries</f>
        <v>6</v>
      </c>
      <c r="D38" s="3" t="s">
        <v>1392</v>
      </c>
      <c r="E38" s="3" t="s">
        <v>1080</v>
      </c>
      <c r="F38" s="20">
        <f>Collinstompts</f>
        <v>40</v>
      </c>
      <c r="G38" s="34" t="s">
        <v>1446</v>
      </c>
      <c r="H38" s="34" t="s">
        <v>1078</v>
      </c>
      <c r="I38" s="34">
        <f>Fotuali_ibthgls</f>
        <v>1</v>
      </c>
      <c r="J38" s="42">
        <f>Fotuali_ibthatt</f>
        <v>1</v>
      </c>
      <c r="K38" s="35">
        <f t="shared" si="0"/>
        <v>100</v>
      </c>
      <c r="O38" s="347" t="s">
        <v>1786</v>
      </c>
      <c r="P38" s="347" t="s">
        <v>1078</v>
      </c>
      <c r="Q38" s="20">
        <v>3</v>
      </c>
    </row>
    <row r="39" spans="1:17" ht="14.95" customHeight="1" thickBot="1" x14ac:dyDescent="0.3">
      <c r="A39" s="93" t="s">
        <v>1117</v>
      </c>
      <c r="B39" s="93" t="s">
        <v>1133</v>
      </c>
      <c r="C39" s="12">
        <f>Watsonwastries</f>
        <v>6</v>
      </c>
      <c r="D39" s="3" t="s">
        <v>1512</v>
      </c>
      <c r="E39" s="3" t="s">
        <v>1132</v>
      </c>
      <c r="F39" s="20">
        <f>Johnsonexepts</f>
        <v>40</v>
      </c>
      <c r="G39" s="34" t="s">
        <v>1723</v>
      </c>
      <c r="H39" s="34" t="s">
        <v>1135</v>
      </c>
      <c r="I39" s="34">
        <f>hardwickleicgls</f>
        <v>1</v>
      </c>
      <c r="J39" s="42">
        <f>hardwickleicatt</f>
        <v>1</v>
      </c>
      <c r="K39" s="35">
        <f t="shared" si="0"/>
        <v>100</v>
      </c>
      <c r="O39" s="347" t="s">
        <v>1148</v>
      </c>
      <c r="P39" s="347" t="s">
        <v>1078</v>
      </c>
      <c r="Q39" s="20">
        <v>2</v>
      </c>
    </row>
    <row r="40" spans="1:17" ht="14.95" customHeight="1" thickBot="1" x14ac:dyDescent="0.3">
      <c r="A40" s="93" t="s">
        <v>1129</v>
      </c>
      <c r="B40" s="93" t="s">
        <v>1132</v>
      </c>
      <c r="C40" s="12">
        <f>White_Nicexetries</f>
        <v>6</v>
      </c>
      <c r="D40" s="3" t="s">
        <v>1308</v>
      </c>
      <c r="E40" s="3" t="s">
        <v>1133</v>
      </c>
      <c r="F40" s="20">
        <f>Millerwaspts</f>
        <v>37</v>
      </c>
      <c r="G40" s="34" t="s">
        <v>1110</v>
      </c>
      <c r="H40" s="34" t="s">
        <v>1077</v>
      </c>
      <c r="I40" s="34">
        <f>Jamessalgls</f>
        <v>1</v>
      </c>
      <c r="J40" s="42">
        <f>Jamessalatt</f>
        <v>1</v>
      </c>
      <c r="K40" s="35">
        <f t="shared" si="0"/>
        <v>100</v>
      </c>
      <c r="O40" s="347" t="s">
        <v>1853</v>
      </c>
      <c r="P40" s="347" t="s">
        <v>1078</v>
      </c>
      <c r="Q40" s="20">
        <v>2</v>
      </c>
    </row>
    <row r="41" spans="1:17" ht="14.95" customHeight="1" thickBot="1" x14ac:dyDescent="0.3">
      <c r="A41" s="93" t="s">
        <v>1419</v>
      </c>
      <c r="B41" s="93" t="s">
        <v>1132</v>
      </c>
      <c r="C41" s="12">
        <f>Devotoexetries</f>
        <v>5</v>
      </c>
      <c r="D41" s="21" t="s">
        <v>1331</v>
      </c>
      <c r="E41" s="21" t="s">
        <v>1076</v>
      </c>
      <c r="F41" s="20">
        <f>Adamsworpts</f>
        <v>35</v>
      </c>
      <c r="G41" s="34" t="s">
        <v>1547</v>
      </c>
      <c r="H41" s="34" t="s">
        <v>1134</v>
      </c>
      <c r="I41" s="34">
        <f>malinssargls</f>
        <v>1</v>
      </c>
      <c r="J41" s="42">
        <f>malinssaratt</f>
        <v>1</v>
      </c>
      <c r="K41" s="35">
        <f t="shared" si="0"/>
        <v>100</v>
      </c>
      <c r="O41" s="347" t="s">
        <v>1547</v>
      </c>
      <c r="P41" s="347" t="s">
        <v>1134</v>
      </c>
      <c r="Q41" s="20">
        <v>2</v>
      </c>
    </row>
    <row r="42" spans="1:17" ht="14.95" customHeight="1" thickBot="1" x14ac:dyDescent="0.3">
      <c r="A42" s="93" t="s">
        <v>1421</v>
      </c>
      <c r="B42" s="93" t="s">
        <v>1131</v>
      </c>
      <c r="C42" s="12">
        <f>Dombrandthartries</f>
        <v>5</v>
      </c>
      <c r="D42" s="3" t="s">
        <v>1349</v>
      </c>
      <c r="E42" s="3" t="s">
        <v>1133</v>
      </c>
      <c r="F42" s="20">
        <f>Bassettwaspts</f>
        <v>35</v>
      </c>
      <c r="G42" s="34" t="s">
        <v>1393</v>
      </c>
      <c r="H42" s="34" t="s">
        <v>1079</v>
      </c>
      <c r="I42" s="34">
        <f>connonnewgoals</f>
        <v>5</v>
      </c>
      <c r="J42" s="42">
        <f>connonnewatt</f>
        <v>6</v>
      </c>
      <c r="K42" s="35">
        <f t="shared" si="0"/>
        <v>83.333333333333343</v>
      </c>
      <c r="O42" s="3" t="s">
        <v>1808</v>
      </c>
      <c r="P42" s="3" t="s">
        <v>1078</v>
      </c>
      <c r="Q42" s="20">
        <v>2</v>
      </c>
    </row>
    <row r="43" spans="1:17" ht="14.95" customHeight="1" thickBot="1" x14ac:dyDescent="0.3">
      <c r="A43" s="93" t="s">
        <v>1456</v>
      </c>
      <c r="B43" s="93" t="s">
        <v>1134</v>
      </c>
      <c r="C43" s="12">
        <f>Georgesartries</f>
        <v>5</v>
      </c>
      <c r="D43" s="3" t="s">
        <v>1413</v>
      </c>
      <c r="E43" s="3" t="s">
        <v>1133</v>
      </c>
      <c r="F43" s="20">
        <f>de_Jonghwaspts</f>
        <v>35</v>
      </c>
      <c r="G43" s="34" t="s">
        <v>253</v>
      </c>
      <c r="H43" s="34" t="s">
        <v>1075</v>
      </c>
      <c r="I43" s="34">
        <f>evanslglogoals</f>
        <v>5</v>
      </c>
      <c r="J43" s="42">
        <f>evanslgloatt</f>
        <v>7</v>
      </c>
      <c r="K43" s="35">
        <f t="shared" si="0"/>
        <v>71.428571428571431</v>
      </c>
      <c r="O43" s="57" t="s">
        <v>1745</v>
      </c>
    </row>
    <row r="44" spans="1:17" ht="14.95" customHeight="1" thickBot="1" x14ac:dyDescent="0.3">
      <c r="A44" s="93" t="s">
        <v>1460</v>
      </c>
      <c r="B44" s="93" t="s">
        <v>1079</v>
      </c>
      <c r="C44" s="12">
        <f>Furnonewtries</f>
        <v>5</v>
      </c>
      <c r="D44" s="3" t="s">
        <v>1478</v>
      </c>
      <c r="E44" s="3" t="s">
        <v>1076</v>
      </c>
      <c r="F44" s="20">
        <f>Kirwancarlpts</f>
        <v>35</v>
      </c>
      <c r="G44" s="34" t="s">
        <v>1668</v>
      </c>
      <c r="H44" s="34" t="s">
        <v>1135</v>
      </c>
      <c r="I44" s="34">
        <f>Toomualeicgls</f>
        <v>4</v>
      </c>
      <c r="J44" s="42">
        <f>toomualeicatt</f>
        <v>6</v>
      </c>
      <c r="K44" s="35">
        <f t="shared" si="0"/>
        <v>66.666666666666657</v>
      </c>
      <c r="O44" t="s">
        <v>87</v>
      </c>
    </row>
    <row r="45" spans="1:17" ht="14.95" customHeight="1" thickBot="1" x14ac:dyDescent="0.3">
      <c r="A45" s="93" t="s">
        <v>1094</v>
      </c>
      <c r="B45" s="93" t="s">
        <v>1135</v>
      </c>
      <c r="C45" s="12">
        <f>Holmesleictries</f>
        <v>5</v>
      </c>
      <c r="D45" s="3" t="s">
        <v>1489</v>
      </c>
      <c r="E45" s="3" t="s">
        <v>1133</v>
      </c>
      <c r="F45" s="20">
        <f>Hugheswaspts</f>
        <v>35</v>
      </c>
      <c r="G45" s="34" t="s">
        <v>1786</v>
      </c>
      <c r="H45" s="34" t="s">
        <v>1078</v>
      </c>
      <c r="I45" s="34">
        <f>Atkinsbthgls</f>
        <v>1</v>
      </c>
      <c r="J45" s="42">
        <f>Atkinsbthatt</f>
        <v>2</v>
      </c>
      <c r="K45" s="35">
        <f t="shared" si="0"/>
        <v>50</v>
      </c>
    </row>
    <row r="46" spans="1:17" ht="14.95" customHeight="1" thickBot="1" x14ac:dyDescent="0.3">
      <c r="A46" s="93" t="s">
        <v>1567</v>
      </c>
      <c r="B46" s="93" t="s">
        <v>1075</v>
      </c>
      <c r="C46" s="12">
        <f>Morganbentries</f>
        <v>5</v>
      </c>
      <c r="D46" s="3" t="s">
        <v>1531</v>
      </c>
      <c r="E46" s="3" t="s">
        <v>1156</v>
      </c>
      <c r="F46" s="20">
        <f>Loaderlirpts</f>
        <v>35</v>
      </c>
      <c r="G46" s="34" t="s">
        <v>1148</v>
      </c>
      <c r="H46" s="34" t="s">
        <v>1078</v>
      </c>
      <c r="I46" s="34">
        <f>daviesbthgls</f>
        <v>1</v>
      </c>
      <c r="J46" s="42">
        <f>daviesbthatt</f>
        <v>2</v>
      </c>
      <c r="K46" s="35">
        <f t="shared" si="0"/>
        <v>50</v>
      </c>
    </row>
    <row r="47" spans="1:17" ht="14.95" customHeight="1" thickBot="1" x14ac:dyDescent="0.3">
      <c r="A47" s="93" t="s">
        <v>1665</v>
      </c>
      <c r="B47" s="93" t="s">
        <v>1075</v>
      </c>
      <c r="C47" s="12">
        <f>Thorleyglotriescorrect</f>
        <v>5</v>
      </c>
      <c r="D47" s="3" t="s">
        <v>1546</v>
      </c>
      <c r="E47" s="3" t="s">
        <v>1134</v>
      </c>
      <c r="F47" s="20">
        <f>Maitlandsarpts</f>
        <v>35</v>
      </c>
      <c r="G47" s="34" t="s">
        <v>1841</v>
      </c>
      <c r="H47" s="34" t="s">
        <v>1156</v>
      </c>
      <c r="I47" s="34">
        <f>Danielsbrigls</f>
        <v>2</v>
      </c>
      <c r="J47" s="42">
        <f>danielsbriatt</f>
        <v>5</v>
      </c>
      <c r="K47" s="35">
        <f t="shared" si="0"/>
        <v>40</v>
      </c>
    </row>
    <row r="48" spans="1:17" ht="14.95" customHeight="1" thickBot="1" x14ac:dyDescent="0.3">
      <c r="A48" s="11" t="s">
        <v>1701</v>
      </c>
      <c r="B48" s="93" t="s">
        <v>1076</v>
      </c>
      <c r="C48" s="12">
        <f>Weirwortries</f>
        <v>5</v>
      </c>
      <c r="D48" s="3" t="s">
        <v>1576</v>
      </c>
      <c r="E48" s="3" t="s">
        <v>1080</v>
      </c>
      <c r="F48" s="20">
        <f>Naiyaravoronorpts</f>
        <v>35</v>
      </c>
      <c r="G48" s="34" t="s">
        <v>1808</v>
      </c>
      <c r="H48" s="34" t="s">
        <v>1078</v>
      </c>
      <c r="I48" s="34">
        <f>wilsonjamesbthgls</f>
        <v>1</v>
      </c>
      <c r="J48" s="42">
        <f>wilsonjbthatt</f>
        <v>3</v>
      </c>
      <c r="K48" s="35">
        <f t="shared" si="0"/>
        <v>33.333333333333329</v>
      </c>
    </row>
    <row r="49" spans="1:11" ht="14.95" customHeight="1" thickBot="1" x14ac:dyDescent="0.3">
      <c r="A49" s="11" t="s">
        <v>1130</v>
      </c>
      <c r="B49" s="11" t="s">
        <v>1132</v>
      </c>
      <c r="C49" s="12">
        <f>Williamsexetries</f>
        <v>5</v>
      </c>
      <c r="D49" s="3" t="s">
        <v>246</v>
      </c>
      <c r="E49" s="3" t="s">
        <v>1156</v>
      </c>
      <c r="F49" s="82">
        <f>Poreckilirpts</f>
        <v>35</v>
      </c>
      <c r="G49" s="34" t="s">
        <v>1772</v>
      </c>
      <c r="H49" s="34" t="s">
        <v>1075</v>
      </c>
      <c r="I49" s="34" t="str">
        <f>chapmanglogls</f>
        <v>-</v>
      </c>
      <c r="J49" s="42" t="str">
        <f>chapmangloatt</f>
        <v>-</v>
      </c>
      <c r="K49" s="35">
        <v>0</v>
      </c>
    </row>
    <row r="50" spans="1:11" ht="14.95" customHeight="1" thickBot="1" x14ac:dyDescent="0.3">
      <c r="A50" s="93" t="s">
        <v>1240</v>
      </c>
      <c r="B50" s="93" t="s">
        <v>1079</v>
      </c>
      <c r="C50" s="12">
        <f>Wiliamsnewtries</f>
        <v>5</v>
      </c>
      <c r="D50" s="3" t="s">
        <v>1720</v>
      </c>
      <c r="E50" s="3" t="s">
        <v>1132</v>
      </c>
      <c r="F50" s="20">
        <f>Yeandlejackpts</f>
        <v>35</v>
      </c>
      <c r="G50" s="34" t="s">
        <v>1429</v>
      </c>
      <c r="H50" s="34" t="s">
        <v>1133</v>
      </c>
      <c r="I50" s="34" t="str">
        <f>eastgatewasgoals</f>
        <v>-</v>
      </c>
      <c r="J50" s="42" t="str">
        <f>eastgatewasatt</f>
        <v>-</v>
      </c>
      <c r="K50" s="35">
        <v>0</v>
      </c>
    </row>
    <row r="51" spans="1:11" ht="14.95" customHeight="1" thickBot="1" x14ac:dyDescent="0.3">
      <c r="A51" s="93" t="s">
        <v>1102</v>
      </c>
      <c r="B51" s="93" t="s">
        <v>1079</v>
      </c>
      <c r="C51" s="12">
        <f>Wilson_Marktries</f>
        <v>5</v>
      </c>
      <c r="D51" s="3" t="s">
        <v>1414</v>
      </c>
      <c r="E51" s="3" t="s">
        <v>1077</v>
      </c>
      <c r="F51" s="20">
        <f>Fearnsalpts</f>
        <v>34</v>
      </c>
      <c r="G51" s="34" t="s">
        <v>1785</v>
      </c>
      <c r="H51" s="34" t="s">
        <v>1156</v>
      </c>
      <c r="I51" s="34" t="str">
        <f>Edenbrigls</f>
        <v>-</v>
      </c>
      <c r="J51" s="42" t="str">
        <f>edenbriatt</f>
        <v>-</v>
      </c>
      <c r="K51" s="35">
        <v>0</v>
      </c>
    </row>
    <row r="52" spans="1:11" ht="14.95" customHeight="1" thickBot="1" x14ac:dyDescent="0.3">
      <c r="A52" s="93" t="s">
        <v>1713</v>
      </c>
      <c r="B52" s="93" t="s">
        <v>1132</v>
      </c>
      <c r="C52" s="12">
        <f>Woodburnexetries</f>
        <v>5</v>
      </c>
      <c r="D52" s="3" t="s">
        <v>1093</v>
      </c>
      <c r="E52" s="3" t="s">
        <v>1135</v>
      </c>
      <c r="F52" s="20">
        <f>Ford_Jleicpts</f>
        <v>34</v>
      </c>
      <c r="G52" s="34" t="s">
        <v>1449</v>
      </c>
      <c r="H52" s="34" t="s">
        <v>1080</v>
      </c>
      <c r="I52" s="34" t="str">
        <f>furbanknorgls</f>
        <v>-</v>
      </c>
      <c r="J52" s="42" t="str">
        <f>furbanknoratt</f>
        <v>-</v>
      </c>
      <c r="K52" s="35">
        <v>0</v>
      </c>
    </row>
    <row r="53" spans="1:11" ht="14.95" customHeight="1" thickBot="1" x14ac:dyDescent="0.3">
      <c r="A53" s="93" t="s">
        <v>1714</v>
      </c>
      <c r="B53" s="93" t="s">
        <v>1075</v>
      </c>
      <c r="C53" s="12">
        <f>Woodwardglotries</f>
        <v>5</v>
      </c>
      <c r="D53" s="3" t="s">
        <v>1705</v>
      </c>
      <c r="E53" s="3" t="s">
        <v>1134</v>
      </c>
      <c r="F53" s="20">
        <f>Whiteleysarpts</f>
        <v>31</v>
      </c>
      <c r="G53" s="34" t="s">
        <v>1462</v>
      </c>
      <c r="H53" s="34" t="s">
        <v>1133</v>
      </c>
      <c r="I53" s="34" t="str">
        <f>goodeandygoals</f>
        <v>-</v>
      </c>
      <c r="J53" s="42" t="str">
        <f>goodeandyatt</f>
        <v>-</v>
      </c>
      <c r="K53" s="35">
        <v>0</v>
      </c>
    </row>
    <row r="54" spans="1:11" ht="14.95" customHeight="1" thickBot="1" x14ac:dyDescent="0.3">
      <c r="A54" s="93" t="s">
        <v>1335</v>
      </c>
      <c r="B54" s="93" t="s">
        <v>1132</v>
      </c>
      <c r="C54" s="12">
        <f>Armanddontries</f>
        <v>4</v>
      </c>
      <c r="D54" s="3" t="s">
        <v>1330</v>
      </c>
      <c r="E54" s="3" t="s">
        <v>1075</v>
      </c>
      <c r="F54" s="20">
        <f>Ackermannglopts</f>
        <v>30</v>
      </c>
      <c r="G54" s="34" t="s">
        <v>1724</v>
      </c>
      <c r="H54" s="34" t="s">
        <v>1135</v>
      </c>
      <c r="I54" s="34" t="str">
        <f>Bellleigoals</f>
        <v>-</v>
      </c>
      <c r="J54" s="42" t="str">
        <f>bellleiatt</f>
        <v>-</v>
      </c>
      <c r="K54" s="35">
        <v>0</v>
      </c>
    </row>
    <row r="55" spans="1:11" ht="14.95" customHeight="1" thickBot="1" x14ac:dyDescent="0.3">
      <c r="A55" s="93" t="s">
        <v>1295</v>
      </c>
      <c r="B55" s="93" t="s">
        <v>1075</v>
      </c>
      <c r="C55" s="12">
        <f>Atkinsonglotries</f>
        <v>4</v>
      </c>
      <c r="D55" s="3" t="s">
        <v>1343</v>
      </c>
      <c r="E55" s="3" t="s">
        <v>1075</v>
      </c>
      <c r="F55" s="20">
        <f>Banahanglopts</f>
        <v>30</v>
      </c>
      <c r="G55" s="34" t="s">
        <v>182</v>
      </c>
      <c r="H55" s="34" t="s">
        <v>1078</v>
      </c>
      <c r="I55" s="34" t="str">
        <f>Homer_Tombthgoals</f>
        <v>-</v>
      </c>
      <c r="J55" s="42" t="str">
        <f>homertombthatt</f>
        <v>-</v>
      </c>
      <c r="K55" s="35">
        <v>0</v>
      </c>
    </row>
    <row r="56" spans="1:11" ht="14.95" customHeight="1" thickBot="1" x14ac:dyDescent="0.3">
      <c r="A56" s="93" t="s">
        <v>1387</v>
      </c>
      <c r="B56" s="93" t="s">
        <v>1131</v>
      </c>
      <c r="C56" s="12">
        <f>Cliffordhartries</f>
        <v>4</v>
      </c>
      <c r="D56" s="3" t="s">
        <v>1752</v>
      </c>
      <c r="E56" s="3" t="s">
        <v>1076</v>
      </c>
      <c r="F56" s="20">
        <f>Hillworpts</f>
        <v>30</v>
      </c>
      <c r="G56" s="34" t="s">
        <v>1144</v>
      </c>
      <c r="H56" s="34" t="s">
        <v>1133</v>
      </c>
      <c r="I56" s="34" t="str">
        <f>jameswasgoals</f>
        <v>-</v>
      </c>
      <c r="J56" s="42" t="str">
        <f>jameswasatt</f>
        <v>-</v>
      </c>
      <c r="K56" s="35">
        <v>0</v>
      </c>
    </row>
    <row r="57" spans="1:11" ht="14.95" customHeight="1" thickBot="1" x14ac:dyDescent="0.3">
      <c r="A57" s="93" t="s">
        <v>1092</v>
      </c>
      <c r="B57" s="93" t="s">
        <v>1135</v>
      </c>
      <c r="C57" s="12">
        <f>fordleictries</f>
        <v>4</v>
      </c>
      <c r="D57" s="21" t="s">
        <v>1082</v>
      </c>
      <c r="E57" s="21" t="s">
        <v>1078</v>
      </c>
      <c r="F57" s="20">
        <f>Mercerbatpts</f>
        <v>30</v>
      </c>
      <c r="G57" s="34" t="s">
        <v>1776</v>
      </c>
      <c r="H57" s="34" t="s">
        <v>1133</v>
      </c>
      <c r="I57" s="34" t="str">
        <f>jardinewasgls</f>
        <v>-</v>
      </c>
      <c r="J57" s="42" t="str">
        <f>jardinewasatt</f>
        <v>-</v>
      </c>
      <c r="K57" s="35">
        <v>0</v>
      </c>
    </row>
    <row r="58" spans="1:11" ht="14.95" customHeight="1" thickBot="1" x14ac:dyDescent="0.3">
      <c r="A58" s="93" t="s">
        <v>1492</v>
      </c>
      <c r="B58" s="93" t="s">
        <v>1080</v>
      </c>
      <c r="C58" s="12">
        <f>Hutchinsonnortries</f>
        <v>4</v>
      </c>
      <c r="D58" s="3" t="s">
        <v>1566</v>
      </c>
      <c r="E58" s="3" t="s">
        <v>1156</v>
      </c>
      <c r="F58" s="20">
        <f>McNallylirpts</f>
        <v>30</v>
      </c>
      <c r="G58" s="34" t="s">
        <v>1501</v>
      </c>
      <c r="H58" s="34" t="s">
        <v>1078</v>
      </c>
      <c r="I58" s="34" t="str">
        <f>Josephbthgls</f>
        <v>-</v>
      </c>
      <c r="J58" s="42" t="str">
        <f>josephbthatt</f>
        <v>-</v>
      </c>
      <c r="K58" s="35">
        <v>0</v>
      </c>
    </row>
    <row r="59" spans="1:11" ht="14.95" customHeight="1" thickBot="1" x14ac:dyDescent="0.3">
      <c r="A59" s="93" t="s">
        <v>1506</v>
      </c>
      <c r="B59" s="93" t="s">
        <v>1079</v>
      </c>
      <c r="C59" s="12">
        <f>Kibirigezachtries</f>
        <v>4</v>
      </c>
      <c r="D59" s="3" t="s">
        <v>1184</v>
      </c>
      <c r="E59" s="3" t="s">
        <v>1156</v>
      </c>
      <c r="F59" s="20">
        <f>Noakeslipts</f>
        <v>30</v>
      </c>
      <c r="G59" s="34" t="s">
        <v>1518</v>
      </c>
      <c r="H59" s="34" t="s">
        <v>1076</v>
      </c>
      <c r="I59" s="34" t="str">
        <f>lanceworgls</f>
        <v>-</v>
      </c>
      <c r="J59" s="42" t="str">
        <f>lanceworatt</f>
        <v>-</v>
      </c>
      <c r="K59" s="35">
        <v>0</v>
      </c>
    </row>
    <row r="60" spans="1:11" ht="14.95" customHeight="1" thickBot="1" x14ac:dyDescent="0.3">
      <c r="A60" s="93" t="s">
        <v>1559</v>
      </c>
      <c r="B60" s="93" t="s">
        <v>1078</v>
      </c>
      <c r="C60" s="12">
        <f>McConnochiebthtries</f>
        <v>4</v>
      </c>
      <c r="D60" s="3" t="s">
        <v>1128</v>
      </c>
      <c r="E60" s="3" t="s">
        <v>1132</v>
      </c>
      <c r="F60" s="20">
        <f>Simmonds_Sexepts</f>
        <v>30</v>
      </c>
      <c r="G60" s="34" t="s">
        <v>1563</v>
      </c>
      <c r="H60" s="34" t="s">
        <v>1076</v>
      </c>
      <c r="I60" s="34" t="str">
        <f>millsworgoals</f>
        <v>-</v>
      </c>
      <c r="J60" s="42" t="str">
        <f>millsworatt</f>
        <v>-</v>
      </c>
      <c r="K60" s="35">
        <v>0</v>
      </c>
    </row>
    <row r="61" spans="1:11" ht="14.95" customHeight="1" thickBot="1" x14ac:dyDescent="0.3">
      <c r="A61" s="93" t="s">
        <v>1307</v>
      </c>
      <c r="B61" s="93" t="s">
        <v>1077</v>
      </c>
      <c r="C61" s="12">
        <f>McGuigansaltries</f>
        <v>4</v>
      </c>
      <c r="D61" s="3" t="s">
        <v>1640</v>
      </c>
      <c r="E61" s="3" t="s">
        <v>1132</v>
      </c>
      <c r="F61" s="20">
        <f>Sladeexepts</f>
        <v>30</v>
      </c>
      <c r="G61" s="34" t="s">
        <v>1249</v>
      </c>
      <c r="H61" s="34" t="s">
        <v>1077</v>
      </c>
      <c r="I61" s="34" t="str">
        <f>macleodnickgoals</f>
        <v>-</v>
      </c>
      <c r="J61" s="42" t="str">
        <f>macleodnickatt</f>
        <v>-</v>
      </c>
      <c r="K61" s="35">
        <v>0</v>
      </c>
    </row>
    <row r="62" spans="1:11" ht="14.95" customHeight="1" thickBot="1" x14ac:dyDescent="0.3">
      <c r="A62" s="93" t="s">
        <v>1563</v>
      </c>
      <c r="B62" s="93" t="s">
        <v>1076</v>
      </c>
      <c r="C62" s="92">
        <f>McNallyjoshtries</f>
        <v>4</v>
      </c>
      <c r="D62" s="21" t="s">
        <v>1652</v>
      </c>
      <c r="E62" s="21" t="s">
        <v>1134</v>
      </c>
      <c r="F62" s="20">
        <f>Strettlesarptscorrect</f>
        <v>30</v>
      </c>
      <c r="G62" s="34" t="s">
        <v>1608</v>
      </c>
      <c r="H62" s="34" t="s">
        <v>1080</v>
      </c>
      <c r="I62" s="34" t="str">
        <f>reinachnorgls</f>
        <v>-</v>
      </c>
      <c r="J62" s="42" t="str">
        <f>reinachnoratt</f>
        <v>-</v>
      </c>
      <c r="K62" s="35">
        <v>0</v>
      </c>
    </row>
    <row r="63" spans="1:11" ht="14.95" customHeight="1" thickBot="1" x14ac:dyDescent="0.3">
      <c r="A63" s="11" t="s">
        <v>1227</v>
      </c>
      <c r="B63" s="11" t="s">
        <v>1135</v>
      </c>
      <c r="C63" s="12">
        <f>Parlingleitries</f>
        <v>4</v>
      </c>
      <c r="D63" s="3" t="s">
        <v>1117</v>
      </c>
      <c r="E63" s="3" t="s">
        <v>1133</v>
      </c>
      <c r="F63" s="20">
        <f>Watsonwaspts</f>
        <v>30</v>
      </c>
      <c r="G63" s="34" t="s">
        <v>1615</v>
      </c>
      <c r="H63" s="34" t="s">
        <v>1133</v>
      </c>
      <c r="I63" s="34" t="str">
        <f>robsobwasgoals</f>
        <v>-</v>
      </c>
      <c r="J63" s="42" t="str">
        <f>robsonwasatt</f>
        <v>-</v>
      </c>
      <c r="K63" s="35">
        <v>0</v>
      </c>
    </row>
    <row r="64" spans="1:11" ht="14.95" customHeight="1" thickBot="1" x14ac:dyDescent="0.3">
      <c r="A64" s="93" t="s">
        <v>1583</v>
      </c>
      <c r="B64" s="93" t="s">
        <v>1156</v>
      </c>
      <c r="C64" s="12">
        <f>MulchronelirtriesCORRECT</f>
        <v>4</v>
      </c>
      <c r="D64" s="3" t="s">
        <v>1129</v>
      </c>
      <c r="E64" s="3" t="s">
        <v>1132</v>
      </c>
      <c r="F64" s="82">
        <f>White_NexeptsCORRECT</f>
        <v>30</v>
      </c>
      <c r="G64" s="34" t="s">
        <v>1779</v>
      </c>
      <c r="H64" s="34" t="s">
        <v>1132</v>
      </c>
      <c r="I64" s="34" t="str">
        <f>Skinnerexegls</f>
        <v>-</v>
      </c>
      <c r="J64" s="42" t="str">
        <f>Skinnerexeatt</f>
        <v>-</v>
      </c>
      <c r="K64" s="35">
        <v>0</v>
      </c>
    </row>
    <row r="65" spans="1:11" ht="14.95" customHeight="1" thickBot="1" x14ac:dyDescent="0.3">
      <c r="A65" s="11" t="s">
        <v>1083</v>
      </c>
      <c r="B65" s="11" t="s">
        <v>1132</v>
      </c>
      <c r="C65" s="12">
        <f>Penalty_Triesexetries</f>
        <v>4</v>
      </c>
      <c r="D65" s="21" t="s">
        <v>1083</v>
      </c>
      <c r="E65" s="21" t="s">
        <v>1132</v>
      </c>
      <c r="F65" s="20">
        <f>Penalty_Triesexepts</f>
        <v>28</v>
      </c>
      <c r="G65" s="34" t="s">
        <v>1640</v>
      </c>
      <c r="H65" s="34" t="s">
        <v>1132</v>
      </c>
      <c r="I65" s="34" t="str">
        <f>sladegoals</f>
        <v>-</v>
      </c>
      <c r="J65" s="42" t="str">
        <f>sladeatt</f>
        <v>-</v>
      </c>
      <c r="K65" s="35">
        <v>0</v>
      </c>
    </row>
    <row r="66" spans="1:11" ht="14.95" customHeight="1" thickBot="1" x14ac:dyDescent="0.3">
      <c r="A66" s="11" t="s">
        <v>1602</v>
      </c>
      <c r="B66" s="11" t="s">
        <v>1156</v>
      </c>
      <c r="C66" s="12">
        <f>Palamobristries</f>
        <v>4</v>
      </c>
      <c r="D66" s="3" t="s">
        <v>1492</v>
      </c>
      <c r="E66" s="3" t="s">
        <v>1080</v>
      </c>
      <c r="F66" s="20">
        <f>Hutchinsonnorpts</f>
        <v>27</v>
      </c>
      <c r="G66" s="34" t="s">
        <v>1658</v>
      </c>
      <c r="H66" s="34" t="s">
        <v>1131</v>
      </c>
      <c r="I66" s="34" t="str">
        <f>tapuaiharglscorrect</f>
        <v>-</v>
      </c>
      <c r="J66" s="42" t="str">
        <f>tapuaiharglsatt</f>
        <v>-</v>
      </c>
      <c r="K66" s="35">
        <v>0</v>
      </c>
    </row>
    <row r="67" spans="1:11" ht="14.95" customHeight="1" thickBot="1" x14ac:dyDescent="0.3">
      <c r="A67" s="93" t="s">
        <v>1641</v>
      </c>
      <c r="B67" s="93" t="s">
        <v>1075</v>
      </c>
      <c r="C67" s="12">
        <f>Slaterglotries</f>
        <v>4</v>
      </c>
      <c r="D67" s="3" t="s">
        <v>1461</v>
      </c>
      <c r="E67" s="3" t="s">
        <v>1134</v>
      </c>
      <c r="F67" s="23">
        <f>Goodealexpts</f>
        <v>26</v>
      </c>
      <c r="G67" s="34" t="s">
        <v>1677</v>
      </c>
      <c r="H67" s="34" t="s">
        <v>1133</v>
      </c>
      <c r="I67" s="34" t="str">
        <f>umagawasgoals</f>
        <v>-</v>
      </c>
      <c r="J67" s="42" t="str">
        <f>umagawasatt</f>
        <v>-</v>
      </c>
      <c r="K67" s="35">
        <v>0</v>
      </c>
    </row>
    <row r="68" spans="1:11" ht="14.95" customHeight="1" thickBot="1" x14ac:dyDescent="0.3">
      <c r="A68" s="93" t="s">
        <v>1192</v>
      </c>
      <c r="B68" s="93" t="s">
        <v>1156</v>
      </c>
      <c r="C68" s="12">
        <f>Sheridaneamonntries</f>
        <v>4</v>
      </c>
      <c r="D68" s="3" t="s">
        <v>1419</v>
      </c>
      <c r="E68" s="3" t="s">
        <v>1132</v>
      </c>
      <c r="F68" s="23">
        <f>Devotoexepts</f>
        <v>25</v>
      </c>
      <c r="G68" s="34" t="s">
        <v>1682</v>
      </c>
      <c r="H68" s="34" t="s">
        <v>1076</v>
      </c>
      <c r="I68" s="34" t="str">
        <f>vanbredaworgls</f>
        <v>-</v>
      </c>
      <c r="J68" s="42" t="str">
        <f>vanbredaworatt</f>
        <v>-</v>
      </c>
      <c r="K68" s="35">
        <v>0</v>
      </c>
    </row>
    <row r="69" spans="1:11" ht="14.95" customHeight="1" thickBot="1" x14ac:dyDescent="0.3">
      <c r="A69" s="93" t="s">
        <v>1672</v>
      </c>
      <c r="B69" s="93" t="s">
        <v>1080</v>
      </c>
      <c r="C69" s="8">
        <f>TualaNORTRIES</f>
        <v>4</v>
      </c>
      <c r="D69" s="3" t="s">
        <v>1421</v>
      </c>
      <c r="E69" s="3" t="s">
        <v>1131</v>
      </c>
      <c r="F69" s="23">
        <f>Dombrandtharpts</f>
        <v>25</v>
      </c>
      <c r="G69" s="34" t="s">
        <v>1707</v>
      </c>
      <c r="H69" s="34" t="s">
        <v>1134</v>
      </c>
      <c r="I69" s="34" t="str">
        <f>Wigglesworthsargoals</f>
        <v>-</v>
      </c>
      <c r="J69" s="42" t="str">
        <f>wigglesworthsaratt</f>
        <v>-</v>
      </c>
      <c r="K69" s="35">
        <v>0</v>
      </c>
    </row>
    <row r="70" spans="1:11" ht="14.95" customHeight="1" thickBot="1" x14ac:dyDescent="0.3">
      <c r="A70" s="93" t="s">
        <v>1700</v>
      </c>
      <c r="B70" s="93" t="s">
        <v>1077</v>
      </c>
      <c r="C70" s="12">
        <f>Webbersaltries</f>
        <v>4</v>
      </c>
      <c r="D70" s="3" t="s">
        <v>1456</v>
      </c>
      <c r="E70" s="3" t="s">
        <v>1134</v>
      </c>
      <c r="F70" s="23">
        <f>Georgesarpts</f>
        <v>25</v>
      </c>
      <c r="G70" s="34" t="s">
        <v>1765</v>
      </c>
      <c r="H70" s="34" t="s">
        <v>1077</v>
      </c>
      <c r="I70" s="34" t="str">
        <f>wilkinsonsalgls</f>
        <v>-</v>
      </c>
      <c r="J70" s="42" t="str">
        <f>wilkinsonsalatt</f>
        <v>-</v>
      </c>
      <c r="K70" s="35">
        <v>0</v>
      </c>
    </row>
    <row r="71" spans="1:11" ht="14.95" customHeight="1" thickBot="1" x14ac:dyDescent="0.3">
      <c r="A71" s="93" t="s">
        <v>1352</v>
      </c>
      <c r="B71" s="93" t="s">
        <v>1077</v>
      </c>
      <c r="C71" s="8">
        <f>Beaumontsaltries</f>
        <v>3</v>
      </c>
      <c r="D71" s="3" t="s">
        <v>1460</v>
      </c>
      <c r="E71" s="3" t="s">
        <v>1079</v>
      </c>
      <c r="F71" s="23">
        <f>Furnonewpts</f>
        <v>25</v>
      </c>
      <c r="G71" s="34" t="s">
        <v>1714</v>
      </c>
      <c r="H71" s="34" t="s">
        <v>1075</v>
      </c>
      <c r="I71" s="34" t="str">
        <f>tindallglogoals</f>
        <v>-</v>
      </c>
      <c r="J71" s="42" t="str">
        <f>tindallgloatt</f>
        <v>-</v>
      </c>
      <c r="K71" s="35">
        <v>0</v>
      </c>
    </row>
    <row r="72" spans="1:11" ht="14.95" customHeight="1" thickBot="1" x14ac:dyDescent="0.3">
      <c r="A72" s="93" t="s">
        <v>1364</v>
      </c>
      <c r="B72" s="93" t="s">
        <v>1131</v>
      </c>
      <c r="C72" s="8">
        <f>brownmiketriescorrect</f>
        <v>3</v>
      </c>
      <c r="D72" s="3" t="s">
        <v>1464</v>
      </c>
      <c r="E72" s="3" t="s">
        <v>1080</v>
      </c>
      <c r="F72" s="23">
        <f>Graysonnorpts</f>
        <v>25</v>
      </c>
      <c r="G72" s="34" t="s">
        <v>1717</v>
      </c>
      <c r="H72" s="34" t="s">
        <v>1135</v>
      </c>
      <c r="I72" s="34" t="str">
        <f>worthleigoals</f>
        <v>-</v>
      </c>
      <c r="J72" s="42" t="str">
        <f>worthleiatt</f>
        <v>-</v>
      </c>
      <c r="K72" s="35">
        <v>0</v>
      </c>
    </row>
    <row r="73" spans="1:11" ht="14.95" customHeight="1" thickBot="1" x14ac:dyDescent="0.3">
      <c r="A73" s="11" t="s">
        <v>1376</v>
      </c>
      <c r="B73" s="93" t="s">
        <v>1133</v>
      </c>
      <c r="C73" s="12">
        <f>Carrwastries</f>
        <v>3</v>
      </c>
      <c r="D73" s="3" t="s">
        <v>1094</v>
      </c>
      <c r="E73" s="3" t="s">
        <v>1135</v>
      </c>
      <c r="F73" s="24">
        <f>Holmesleicpts</f>
        <v>25</v>
      </c>
      <c r="G73" s="34" t="s">
        <v>1386</v>
      </c>
      <c r="H73" s="34" t="s">
        <v>1077</v>
      </c>
      <c r="I73" s="34">
        <f>Cliffsalgls</f>
        <v>0</v>
      </c>
      <c r="J73" s="42">
        <f>cliffsalatt</f>
        <v>3</v>
      </c>
      <c r="K73" s="35">
        <f>SUM(I73/J73)*100</f>
        <v>0</v>
      </c>
    </row>
    <row r="74" spans="1:11" ht="14.95" customHeight="1" thickBot="1" x14ac:dyDescent="0.3">
      <c r="A74" s="11" t="s">
        <v>1378</v>
      </c>
      <c r="B74" s="11" t="s">
        <v>1078</v>
      </c>
      <c r="C74" s="92">
        <f>Cattnathantries</f>
        <v>3</v>
      </c>
      <c r="D74" s="3" t="s">
        <v>1567</v>
      </c>
      <c r="E74" s="3" t="s">
        <v>1075</v>
      </c>
      <c r="F74" s="24">
        <f>Morganbenpts</f>
        <v>25</v>
      </c>
      <c r="G74" s="34" t="s">
        <v>1183</v>
      </c>
      <c r="H74" s="34" t="s">
        <v>1156</v>
      </c>
      <c r="I74" s="34">
        <f>humphreysgoals</f>
        <v>0</v>
      </c>
      <c r="J74" s="42">
        <f>humphreysatt</f>
        <v>2</v>
      </c>
      <c r="K74" s="35">
        <f>SUM(I74/J74)*100</f>
        <v>0</v>
      </c>
    </row>
    <row r="75" spans="1:11" ht="14.95" customHeight="1" thickBot="1" x14ac:dyDescent="0.3">
      <c r="A75" s="11" t="s">
        <v>1384</v>
      </c>
      <c r="B75" s="11" t="s">
        <v>1075</v>
      </c>
      <c r="C75" s="12">
        <f>Ciprianiglotries</f>
        <v>3</v>
      </c>
      <c r="D75" s="3" t="s">
        <v>1665</v>
      </c>
      <c r="E75" s="3" t="s">
        <v>1075</v>
      </c>
      <c r="F75" s="23">
        <f>Thorleygloptscorrect</f>
        <v>25</v>
      </c>
      <c r="G75" s="41" t="s">
        <v>1337</v>
      </c>
      <c r="H75" s="34" t="s">
        <v>1079</v>
      </c>
      <c r="I75" s="34">
        <f>arscottnewgls</f>
        <v>0</v>
      </c>
      <c r="J75" s="42">
        <f>arscottnewatt</f>
        <v>1</v>
      </c>
      <c r="K75" s="35">
        <f>SUM(I75/J75)*100</f>
        <v>0</v>
      </c>
    </row>
    <row r="76" spans="1:11" ht="14.95" customHeight="1" thickBot="1" x14ac:dyDescent="0.3">
      <c r="A76" s="93" t="s">
        <v>1400</v>
      </c>
      <c r="B76" s="93" t="s">
        <v>1132</v>
      </c>
      <c r="C76" s="12">
        <f>Cowan_Dickie_Luketries</f>
        <v>3</v>
      </c>
      <c r="D76" s="21" t="s">
        <v>1130</v>
      </c>
      <c r="E76" s="21" t="s">
        <v>1132</v>
      </c>
      <c r="F76" s="24">
        <f>Williamsexepts</f>
        <v>25</v>
      </c>
      <c r="G76" s="34" t="s">
        <v>1781</v>
      </c>
      <c r="H76" s="34" t="s">
        <v>1156</v>
      </c>
      <c r="I76" s="34">
        <f>Bedlowbrigls</f>
        <v>0</v>
      </c>
      <c r="J76" s="42">
        <f>bedlowbriatt</f>
        <v>1</v>
      </c>
      <c r="K76" s="35">
        <f>SUM(I76/J76)*100</f>
        <v>0</v>
      </c>
    </row>
    <row r="77" spans="1:11" ht="14.95" customHeight="1" thickBot="1" x14ac:dyDescent="0.3">
      <c r="A77" s="93" t="s">
        <v>1414</v>
      </c>
      <c r="B77" s="93" t="s">
        <v>1077</v>
      </c>
      <c r="C77" s="12">
        <f>Fearnsaltries</f>
        <v>3</v>
      </c>
      <c r="D77" s="3" t="s">
        <v>1240</v>
      </c>
      <c r="E77" s="3" t="s">
        <v>1079</v>
      </c>
      <c r="F77" s="23">
        <f>Williamsnewpts</f>
        <v>25</v>
      </c>
      <c r="G77" s="34" t="s">
        <v>1307</v>
      </c>
      <c r="H77" s="34" t="s">
        <v>1077</v>
      </c>
      <c r="I77" s="34">
        <f>McGuigansalgoals</f>
        <v>0</v>
      </c>
      <c r="J77" s="42">
        <f>mcguigansalatt</f>
        <v>1</v>
      </c>
      <c r="K77" s="35">
        <f>SUM(I77/J77)*100</f>
        <v>0</v>
      </c>
    </row>
    <row r="78" spans="1:11" ht="14.95" customHeight="1" thickBot="1" x14ac:dyDescent="0.3">
      <c r="A78" s="93" t="s">
        <v>1803</v>
      </c>
      <c r="B78" s="93" t="s">
        <v>1080</v>
      </c>
      <c r="C78" s="12">
        <f>Dingwallnortries</f>
        <v>3</v>
      </c>
      <c r="D78" s="3" t="s">
        <v>1102</v>
      </c>
      <c r="E78" s="3" t="s">
        <v>1079</v>
      </c>
      <c r="F78" s="23">
        <f>Wilson_Markpts</f>
        <v>25</v>
      </c>
      <c r="G78" s="34" t="s">
        <v>1605</v>
      </c>
      <c r="H78" s="34" t="s">
        <v>1077</v>
      </c>
      <c r="I78" s="34">
        <f>redpathsalegls</f>
        <v>0</v>
      </c>
      <c r="J78" s="42">
        <f>redpathsalatt</f>
        <v>1</v>
      </c>
      <c r="K78" s="35">
        <v>0</v>
      </c>
    </row>
    <row r="79" spans="1:11" ht="14.95" customHeight="1" thickBot="1" x14ac:dyDescent="0.3">
      <c r="A79" s="11" t="s">
        <v>1425</v>
      </c>
      <c r="B79" s="11" t="s">
        <v>1078</v>
      </c>
      <c r="C79" s="12">
        <f>Dunnbattries</f>
        <v>3</v>
      </c>
      <c r="D79" s="3" t="s">
        <v>1713</v>
      </c>
      <c r="E79" s="3" t="s">
        <v>1132</v>
      </c>
      <c r="F79" s="23">
        <f>Woodburnexepts</f>
        <v>25</v>
      </c>
      <c r="G79" s="34" t="s">
        <v>1631</v>
      </c>
      <c r="H79" s="34" t="s">
        <v>1076</v>
      </c>
      <c r="I79" s="34">
        <f>shilllcockworgoals</f>
        <v>0</v>
      </c>
      <c r="J79" s="42">
        <f>shilllcockworatt</f>
        <v>1</v>
      </c>
      <c r="K79" s="35">
        <f>SUM(I79/J79)*100</f>
        <v>0</v>
      </c>
    </row>
    <row r="80" spans="1:11" ht="14.95" customHeight="1" thickBot="1" x14ac:dyDescent="0.3">
      <c r="A80" s="93" t="s">
        <v>1302</v>
      </c>
      <c r="B80" s="93" t="s">
        <v>1077</v>
      </c>
      <c r="C80" s="12">
        <f>Evanssaltries</f>
        <v>3</v>
      </c>
      <c r="D80" s="3" t="s">
        <v>1714</v>
      </c>
      <c r="E80" s="3" t="s">
        <v>1075</v>
      </c>
      <c r="F80" s="23">
        <f>Woodwardglopts</f>
        <v>25</v>
      </c>
      <c r="G80" s="34" t="s">
        <v>1313</v>
      </c>
      <c r="H80" s="34" t="s">
        <v>1079</v>
      </c>
      <c r="I80" s="34">
        <f>Stuartnewgls</f>
        <v>0</v>
      </c>
      <c r="J80" s="42">
        <f>stuartnewatt</f>
        <v>1</v>
      </c>
      <c r="K80" s="35">
        <f>SUM(I80/J80)*100</f>
        <v>0</v>
      </c>
    </row>
    <row r="81" spans="1:11" ht="14.95" customHeight="1" thickBot="1" x14ac:dyDescent="0.3">
      <c r="A81" s="93" t="s">
        <v>1434</v>
      </c>
      <c r="B81" s="93" t="s">
        <v>1132</v>
      </c>
      <c r="C81" s="12">
        <f>Ewersexetries</f>
        <v>3</v>
      </c>
      <c r="D81" s="3" t="s">
        <v>1408</v>
      </c>
      <c r="E81" s="3" t="s">
        <v>1133</v>
      </c>
      <c r="F81" s="23">
        <f>Dalywaspts</f>
        <v>24</v>
      </c>
      <c r="G81" s="34" t="s">
        <v>1655</v>
      </c>
      <c r="H81" s="34" t="s">
        <v>1079</v>
      </c>
      <c r="I81" s="34">
        <f>Swielnewgls</f>
        <v>0</v>
      </c>
      <c r="J81" s="42">
        <f>Swielnewatt</f>
        <v>1</v>
      </c>
      <c r="K81" s="35">
        <v>0</v>
      </c>
    </row>
    <row r="82" spans="1:11" ht="14.95" customHeight="1" thickBot="1" x14ac:dyDescent="0.3">
      <c r="A82" s="93" t="s">
        <v>1480</v>
      </c>
      <c r="B82" s="93" t="s">
        <v>1075</v>
      </c>
      <c r="C82" s="12">
        <f>Heinzglotries</f>
        <v>3</v>
      </c>
      <c r="D82" s="3" t="s">
        <v>1083</v>
      </c>
      <c r="E82" s="3" t="s">
        <v>1077</v>
      </c>
      <c r="F82" s="23">
        <f>Salepenaltytriespts</f>
        <v>21</v>
      </c>
      <c r="G82" s="34" t="s">
        <v>1240</v>
      </c>
      <c r="H82" s="34" t="s">
        <v>1079</v>
      </c>
      <c r="I82" s="34">
        <f>Williamsnewgls</f>
        <v>0</v>
      </c>
      <c r="J82" s="42">
        <f>williamsnewatt</f>
        <v>1</v>
      </c>
      <c r="K82" s="35">
        <f>SUM(I82/J82)*100</f>
        <v>0</v>
      </c>
    </row>
    <row r="83" spans="1:11" ht="14.95" customHeight="1" thickBot="1" x14ac:dyDescent="0.3">
      <c r="A83" s="93" t="s">
        <v>182</v>
      </c>
      <c r="B83" s="93" t="s">
        <v>1078</v>
      </c>
      <c r="C83" s="12">
        <f>Homer_Tombthtries</f>
        <v>3</v>
      </c>
      <c r="D83" s="3" t="s">
        <v>1335</v>
      </c>
      <c r="E83" s="3" t="s">
        <v>1132</v>
      </c>
      <c r="F83" s="23">
        <f>Armanddonpts</f>
        <v>20</v>
      </c>
      <c r="G83" s="41" t="s">
        <v>1143</v>
      </c>
      <c r="H83" s="34" t="s">
        <v>1075</v>
      </c>
      <c r="I83" s="34">
        <f>burnsfreddiegoals</f>
        <v>0</v>
      </c>
      <c r="J83" s="42">
        <f>burnsfreddieatt</f>
        <v>1</v>
      </c>
      <c r="K83" s="35">
        <f>SUM(I83/J83)*100</f>
        <v>0</v>
      </c>
    </row>
    <row r="84" spans="1:11" ht="14.95" customHeight="1" thickBot="1" x14ac:dyDescent="0.3">
      <c r="A84" s="93" t="s">
        <v>1487</v>
      </c>
      <c r="B84" s="93" t="s">
        <v>1076</v>
      </c>
      <c r="C84" s="92">
        <f>Howewortries</f>
        <v>3</v>
      </c>
      <c r="D84" s="3" t="s">
        <v>1295</v>
      </c>
      <c r="E84" s="3" t="s">
        <v>1075</v>
      </c>
      <c r="F84" s="23">
        <f>Atkinsonglopts</f>
        <v>20</v>
      </c>
      <c r="G84" s="188" t="s">
        <v>1015</v>
      </c>
      <c r="H84" s="241"/>
      <c r="I84" s="48"/>
    </row>
    <row r="85" spans="1:11" ht="14.95" customHeight="1" thickBot="1" x14ac:dyDescent="0.3">
      <c r="A85" s="93" t="s">
        <v>1110</v>
      </c>
      <c r="B85" s="93" t="s">
        <v>1077</v>
      </c>
      <c r="C85" s="12">
        <f>Jamessaltries</f>
        <v>3</v>
      </c>
      <c r="D85" s="3" t="s">
        <v>1387</v>
      </c>
      <c r="E85" s="3" t="s">
        <v>1131</v>
      </c>
      <c r="F85" s="23">
        <f>Cliffordharpts</f>
        <v>20</v>
      </c>
    </row>
    <row r="86" spans="1:11" ht="14.95" customHeight="1" thickBot="1" x14ac:dyDescent="0.3">
      <c r="A86" s="93" t="s">
        <v>1501</v>
      </c>
      <c r="B86" s="93" t="s">
        <v>1078</v>
      </c>
      <c r="C86" s="12">
        <f>Josephbattries</f>
        <v>3</v>
      </c>
      <c r="D86" s="3" t="s">
        <v>1506</v>
      </c>
      <c r="E86" s="3" t="s">
        <v>1079</v>
      </c>
      <c r="F86" s="22">
        <f>Kibirigezachpts</f>
        <v>20</v>
      </c>
    </row>
    <row r="87" spans="1:11" ht="14.95" customHeight="1" thickBot="1" x14ac:dyDescent="0.3">
      <c r="A87" s="93" t="s">
        <v>1119</v>
      </c>
      <c r="B87" s="93" t="s">
        <v>1076</v>
      </c>
      <c r="C87" s="92">
        <f>Maytomtries</f>
        <v>3</v>
      </c>
      <c r="D87" s="3" t="s">
        <v>1559</v>
      </c>
      <c r="E87" s="3" t="s">
        <v>1078</v>
      </c>
      <c r="F87" s="23">
        <f>McConnochiebthpts</f>
        <v>20</v>
      </c>
    </row>
    <row r="88" spans="1:11" ht="14.95" customHeight="1" thickBot="1" x14ac:dyDescent="0.3">
      <c r="A88" s="11" t="s">
        <v>1539</v>
      </c>
      <c r="B88" s="11" t="s">
        <v>1134</v>
      </c>
      <c r="C88" s="12">
        <f>Longbottomsartries</f>
        <v>3</v>
      </c>
      <c r="D88" s="3" t="s">
        <v>1307</v>
      </c>
      <c r="E88" s="3" t="s">
        <v>1077</v>
      </c>
      <c r="F88" s="23">
        <f>McGuigansalpts</f>
        <v>20</v>
      </c>
    </row>
    <row r="89" spans="1:11" ht="14.95" customHeight="1" thickBot="1" x14ac:dyDescent="0.3">
      <c r="A89" s="93" t="s">
        <v>1543</v>
      </c>
      <c r="B89" s="93" t="s">
        <v>1075</v>
      </c>
      <c r="C89" s="12">
        <f>Ludlowglotries</f>
        <v>3</v>
      </c>
      <c r="D89" s="3" t="s">
        <v>1563</v>
      </c>
      <c r="E89" s="3" t="s">
        <v>1076</v>
      </c>
      <c r="F89" s="23">
        <f>McNallyjoshpts</f>
        <v>20</v>
      </c>
    </row>
    <row r="90" spans="1:11" ht="14.95" customHeight="1" thickBot="1" x14ac:dyDescent="0.3">
      <c r="A90" s="93" t="s">
        <v>1305</v>
      </c>
      <c r="B90" s="93" t="s">
        <v>1080</v>
      </c>
      <c r="C90" s="12">
        <f>Marshallnortries</f>
        <v>3</v>
      </c>
      <c r="D90" s="21" t="s">
        <v>1227</v>
      </c>
      <c r="E90" s="21" t="s">
        <v>1135</v>
      </c>
      <c r="F90" s="23">
        <f>Parlingleipts</f>
        <v>20</v>
      </c>
    </row>
    <row r="91" spans="1:11" ht="14.95" customHeight="1" thickBot="1" x14ac:dyDescent="0.3">
      <c r="A91" s="93" t="s">
        <v>1564</v>
      </c>
      <c r="B91" s="93" t="s">
        <v>1080</v>
      </c>
      <c r="C91" s="12">
        <f>Mitchellnortries</f>
        <v>3</v>
      </c>
      <c r="D91" s="3" t="s">
        <v>1583</v>
      </c>
      <c r="E91" s="3" t="s">
        <v>1156</v>
      </c>
      <c r="F91" s="23">
        <f>Geraghtypts</f>
        <v>20</v>
      </c>
    </row>
    <row r="92" spans="1:11" ht="14.95" customHeight="1" thickBot="1" x14ac:dyDescent="0.3">
      <c r="A92" s="93" t="s">
        <v>1581</v>
      </c>
      <c r="B92" s="93" t="s">
        <v>1132</v>
      </c>
      <c r="C92" s="12">
        <f>Nowellexetries</f>
        <v>3</v>
      </c>
      <c r="D92" s="21" t="s">
        <v>1602</v>
      </c>
      <c r="E92" s="21" t="s">
        <v>1156</v>
      </c>
      <c r="F92" s="23">
        <f>Randallbripts</f>
        <v>20</v>
      </c>
    </row>
    <row r="93" spans="1:11" ht="14.95" customHeight="1" thickBot="1" x14ac:dyDescent="0.3">
      <c r="A93" s="93" t="s">
        <v>1585</v>
      </c>
      <c r="B93" s="93" t="s">
        <v>1132</v>
      </c>
      <c r="C93" s="12">
        <f>Parlingexetries</f>
        <v>3</v>
      </c>
      <c r="D93" s="3" t="s">
        <v>1641</v>
      </c>
      <c r="E93" s="3" t="s">
        <v>1075</v>
      </c>
      <c r="F93" s="23">
        <f>Slaterglopts</f>
        <v>20</v>
      </c>
    </row>
    <row r="94" spans="1:11" ht="14.95" customHeight="1" thickBot="1" x14ac:dyDescent="0.3">
      <c r="A94" s="93" t="s">
        <v>1083</v>
      </c>
      <c r="B94" s="93" t="s">
        <v>1077</v>
      </c>
      <c r="C94" s="12">
        <f>SalePenaltyTriestries</f>
        <v>3</v>
      </c>
      <c r="D94" s="3" t="s">
        <v>1192</v>
      </c>
      <c r="E94" s="3" t="s">
        <v>1156</v>
      </c>
      <c r="F94" s="23">
        <f>Thomas_Dbripts</f>
        <v>20</v>
      </c>
    </row>
    <row r="95" spans="1:11" ht="14.95" customHeight="1" thickBot="1" x14ac:dyDescent="0.3">
      <c r="A95" s="93" t="s">
        <v>1600</v>
      </c>
      <c r="B95" s="93" t="s">
        <v>1075</v>
      </c>
      <c r="C95" s="12">
        <f>Purdyglotries</f>
        <v>3</v>
      </c>
      <c r="D95" s="3" t="s">
        <v>1672</v>
      </c>
      <c r="E95" s="3" t="s">
        <v>1080</v>
      </c>
      <c r="F95" s="22">
        <f>Tualanorpts</f>
        <v>20</v>
      </c>
    </row>
    <row r="96" spans="1:11" ht="14.95" customHeight="1" thickBot="1" x14ac:dyDescent="0.3">
      <c r="A96" s="93" t="s">
        <v>1612</v>
      </c>
      <c r="B96" s="93" t="s">
        <v>1078</v>
      </c>
      <c r="C96" s="12">
        <f>Robertsbthtries</f>
        <v>3</v>
      </c>
      <c r="D96" s="3" t="s">
        <v>1700</v>
      </c>
      <c r="E96" s="3" t="s">
        <v>1077</v>
      </c>
      <c r="F96" s="23">
        <f>Webbersalpts</f>
        <v>20</v>
      </c>
    </row>
    <row r="97" spans="1:6" ht="14.95" customHeight="1" thickBot="1" x14ac:dyDescent="0.3">
      <c r="A97" s="11" t="s">
        <v>1616</v>
      </c>
      <c r="B97" s="11" t="s">
        <v>1078</v>
      </c>
      <c r="C97" s="10">
        <f>Rokodugunibattries</f>
        <v>3</v>
      </c>
      <c r="D97" s="3" t="s">
        <v>1110</v>
      </c>
      <c r="E97" s="3" t="s">
        <v>1077</v>
      </c>
      <c r="F97" s="23">
        <f>Jamessalpts</f>
        <v>17</v>
      </c>
    </row>
    <row r="98" spans="1:6" ht="14.95" customHeight="1" thickBot="1" x14ac:dyDescent="0.3">
      <c r="A98" s="93" t="s">
        <v>1629</v>
      </c>
      <c r="B98" s="93" t="s">
        <v>1156</v>
      </c>
      <c r="C98" s="10">
        <f>paulolirtries</f>
        <v>3</v>
      </c>
      <c r="D98" s="3" t="s">
        <v>1352</v>
      </c>
      <c r="E98" s="3" t="s">
        <v>1077</v>
      </c>
      <c r="F98" s="23">
        <f>Beaumontsalpts</f>
        <v>15</v>
      </c>
    </row>
    <row r="99" spans="1:6" ht="14.95" customHeight="1" thickBot="1" x14ac:dyDescent="0.3">
      <c r="A99" s="93" t="s">
        <v>1634</v>
      </c>
      <c r="B99" s="93" t="s">
        <v>1133</v>
      </c>
      <c r="C99" s="10">
        <f>Simpsonwastries</f>
        <v>3</v>
      </c>
      <c r="D99" s="3" t="s">
        <v>1364</v>
      </c>
      <c r="E99" s="3" t="s">
        <v>1131</v>
      </c>
      <c r="F99" s="23">
        <f>brownmikepts2</f>
        <v>15</v>
      </c>
    </row>
    <row r="100" spans="1:6" ht="14.95" customHeight="1" thickBot="1" x14ac:dyDescent="0.3">
      <c r="A100" s="93" t="s">
        <v>1638</v>
      </c>
      <c r="B100" s="93" t="s">
        <v>1134</v>
      </c>
      <c r="C100" s="10">
        <f>Saundersjaredsartries</f>
        <v>3</v>
      </c>
      <c r="D100" s="21" t="s">
        <v>1376</v>
      </c>
      <c r="E100" s="3" t="s">
        <v>1133</v>
      </c>
      <c r="F100" s="23">
        <f>Carrwaspts</f>
        <v>15</v>
      </c>
    </row>
    <row r="101" spans="1:6" ht="14.95" customHeight="1" thickBot="1" x14ac:dyDescent="0.3">
      <c r="A101" s="93" t="s">
        <v>1744</v>
      </c>
      <c r="B101" s="93" t="s">
        <v>1131</v>
      </c>
      <c r="C101" s="10">
        <f>Smithhartries</f>
        <v>3</v>
      </c>
      <c r="D101" s="21" t="s">
        <v>1378</v>
      </c>
      <c r="E101" s="21" t="s">
        <v>1078</v>
      </c>
      <c r="F101" s="23">
        <f>Cattnathanpts</f>
        <v>15</v>
      </c>
    </row>
    <row r="102" spans="1:6" ht="14.95" customHeight="1" thickBot="1" x14ac:dyDescent="0.3">
      <c r="A102" s="93" t="s">
        <v>1658</v>
      </c>
      <c r="B102" s="93" t="s">
        <v>1131</v>
      </c>
      <c r="C102" s="10">
        <f>Tapuaihartries</f>
        <v>3</v>
      </c>
      <c r="D102" s="3" t="s">
        <v>1400</v>
      </c>
      <c r="E102" s="3" t="s">
        <v>1132</v>
      </c>
      <c r="F102" s="23">
        <f>Cowan_Dickie_Lukepts</f>
        <v>15</v>
      </c>
    </row>
    <row r="103" spans="1:6" ht="14.95" customHeight="1" thickBot="1" x14ac:dyDescent="0.3">
      <c r="A103" s="93" t="s">
        <v>1661</v>
      </c>
      <c r="B103" s="93" t="s">
        <v>1076</v>
      </c>
      <c r="C103" s="241">
        <f>Thorperichardtries</f>
        <v>3</v>
      </c>
      <c r="D103" s="3" t="s">
        <v>1803</v>
      </c>
      <c r="E103" s="3" t="s">
        <v>1080</v>
      </c>
      <c r="F103" s="23">
        <f>Dingwallnorpts</f>
        <v>15</v>
      </c>
    </row>
    <row r="104" spans="1:6" ht="14.95" customHeight="1" thickBot="1" x14ac:dyDescent="0.3">
      <c r="A104" s="93" t="s">
        <v>1663</v>
      </c>
      <c r="B104" s="93" t="s">
        <v>1135</v>
      </c>
      <c r="C104" s="10">
        <f>Thompsonleictries</f>
        <v>3</v>
      </c>
      <c r="D104" s="21" t="s">
        <v>1425</v>
      </c>
      <c r="E104" s="21" t="s">
        <v>1078</v>
      </c>
      <c r="F104" s="23">
        <f>Dunntompts</f>
        <v>15</v>
      </c>
    </row>
    <row r="105" spans="1:6" ht="14.95" customHeight="1" thickBot="1" x14ac:dyDescent="0.3">
      <c r="A105" s="93" t="s">
        <v>1673</v>
      </c>
      <c r="B105" s="93" t="s">
        <v>1135</v>
      </c>
      <c r="C105" s="10">
        <f>Tuilagimanutries</f>
        <v>3</v>
      </c>
      <c r="D105" s="3" t="s">
        <v>1302</v>
      </c>
      <c r="E105" s="3" t="s">
        <v>1077</v>
      </c>
      <c r="F105" s="23">
        <f>Evanssalpts</f>
        <v>15</v>
      </c>
    </row>
    <row r="106" spans="1:6" ht="14.95" customHeight="1" thickBot="1" x14ac:dyDescent="0.3">
      <c r="A106" s="93" t="s">
        <v>1689</v>
      </c>
      <c r="B106" s="93" t="s">
        <v>1075</v>
      </c>
      <c r="C106" s="10">
        <f>Vellacottglotries</f>
        <v>3</v>
      </c>
      <c r="D106" s="3" t="s">
        <v>1434</v>
      </c>
      <c r="E106" s="3" t="s">
        <v>1132</v>
      </c>
      <c r="F106" s="23">
        <f>Ewersexepts</f>
        <v>15</v>
      </c>
    </row>
    <row r="107" spans="1:6" ht="14.95" customHeight="1" thickBot="1" x14ac:dyDescent="0.3">
      <c r="A107" s="93" t="s">
        <v>1113</v>
      </c>
      <c r="B107" s="93" t="s">
        <v>1134</v>
      </c>
      <c r="C107" s="10">
        <f>Vunipola_Bsartries</f>
        <v>3</v>
      </c>
      <c r="D107" s="3" t="s">
        <v>1480</v>
      </c>
      <c r="E107" s="3" t="s">
        <v>1075</v>
      </c>
      <c r="F107" s="23">
        <f>Heinzglopts</f>
        <v>15</v>
      </c>
    </row>
    <row r="108" spans="1:6" ht="14.95" customHeight="1" thickBot="1" x14ac:dyDescent="0.3">
      <c r="A108" s="93" t="s">
        <v>1706</v>
      </c>
      <c r="B108" s="93" t="s">
        <v>1132</v>
      </c>
      <c r="C108" s="10">
        <f>Whittentries</f>
        <v>3</v>
      </c>
      <c r="D108" s="3" t="s">
        <v>182</v>
      </c>
      <c r="E108" s="3" t="s">
        <v>1078</v>
      </c>
      <c r="F108" s="23">
        <f>Homer_Tombthpts</f>
        <v>15</v>
      </c>
    </row>
    <row r="109" spans="1:6" ht="14.95" customHeight="1" thickBot="1" x14ac:dyDescent="0.3">
      <c r="A109" s="93" t="s">
        <v>1719</v>
      </c>
      <c r="B109" s="93" t="s">
        <v>1077</v>
      </c>
      <c r="C109" s="10">
        <f>Yardesaltries</f>
        <v>3</v>
      </c>
      <c r="D109" s="3" t="s">
        <v>1487</v>
      </c>
      <c r="E109" s="3" t="s">
        <v>1076</v>
      </c>
      <c r="F109" s="23">
        <f>Howeworpts</f>
        <v>15</v>
      </c>
    </row>
    <row r="110" spans="1:6" ht="14.95" customHeight="1" thickBot="1" x14ac:dyDescent="0.3">
      <c r="A110" s="93" t="s">
        <v>1319</v>
      </c>
      <c r="B110" s="93" t="s">
        <v>1133</v>
      </c>
      <c r="C110" s="456">
        <f>Youngwastries</f>
        <v>3</v>
      </c>
      <c r="D110" s="3" t="s">
        <v>1501</v>
      </c>
      <c r="E110" s="3" t="s">
        <v>1078</v>
      </c>
      <c r="F110" s="23">
        <f>Josephbatpts</f>
        <v>15</v>
      </c>
    </row>
    <row r="111" spans="1:6" ht="14.95" customHeight="1" thickBot="1" x14ac:dyDescent="0.3">
      <c r="A111" s="93" t="s">
        <v>1801</v>
      </c>
      <c r="B111" s="93" t="s">
        <v>1077</v>
      </c>
      <c r="C111" s="11">
        <f>Ashtonsaltries</f>
        <v>2</v>
      </c>
      <c r="D111" s="3" t="s">
        <v>1119</v>
      </c>
      <c r="E111" s="3" t="s">
        <v>1076</v>
      </c>
      <c r="F111" s="23">
        <f>Maytompts</f>
        <v>15</v>
      </c>
    </row>
    <row r="112" spans="1:6" ht="14.95" customHeight="1" thickBot="1" x14ac:dyDescent="0.3">
      <c r="A112" s="11" t="s">
        <v>1357</v>
      </c>
      <c r="B112" s="11" t="s">
        <v>1134</v>
      </c>
      <c r="C112" s="11">
        <f>Boschmarcelotries</f>
        <v>2</v>
      </c>
      <c r="D112" s="3" t="s">
        <v>1543</v>
      </c>
      <c r="E112" s="3" t="s">
        <v>1075</v>
      </c>
      <c r="F112" s="23">
        <f>Ludlowglopts</f>
        <v>15</v>
      </c>
    </row>
    <row r="113" spans="1:6" ht="14.95" customHeight="1" thickBot="1" x14ac:dyDescent="0.3">
      <c r="A113" s="93" t="s">
        <v>1145</v>
      </c>
      <c r="B113" s="93" t="s">
        <v>1078</v>
      </c>
      <c r="C113" s="454">
        <f>burnsbthtries</f>
        <v>2</v>
      </c>
      <c r="D113" s="3" t="s">
        <v>1305</v>
      </c>
      <c r="E113" s="3" t="s">
        <v>1080</v>
      </c>
      <c r="F113" s="23">
        <f>Marshallnorpts</f>
        <v>15</v>
      </c>
    </row>
    <row r="114" spans="1:6" ht="14.95" customHeight="1" thickBot="1" x14ac:dyDescent="0.3">
      <c r="A114" s="11" t="s">
        <v>1368</v>
      </c>
      <c r="B114" s="93" t="s">
        <v>1080</v>
      </c>
      <c r="C114" s="10">
        <f>Burrelltriescorrect</f>
        <v>2</v>
      </c>
      <c r="D114" s="3" t="s">
        <v>1564</v>
      </c>
      <c r="E114" s="3" t="s">
        <v>1080</v>
      </c>
      <c r="F114" s="23">
        <f>Mitchellnorpts</f>
        <v>15</v>
      </c>
    </row>
    <row r="115" spans="1:6" ht="14.95" customHeight="1" thickBot="1" x14ac:dyDescent="0.3">
      <c r="A115" s="11" t="s">
        <v>1382</v>
      </c>
      <c r="B115" s="11" t="s">
        <v>1079</v>
      </c>
      <c r="C115" s="11">
        <f>Chicknewtries</f>
        <v>2</v>
      </c>
      <c r="D115" s="3" t="s">
        <v>1581</v>
      </c>
      <c r="E115" s="3" t="s">
        <v>1132</v>
      </c>
      <c r="F115" s="23">
        <f>Nowellexepts</f>
        <v>15</v>
      </c>
    </row>
    <row r="116" spans="1:6" ht="14.95" customHeight="1" thickBot="1" x14ac:dyDescent="0.3">
      <c r="A116" s="14" t="s">
        <v>1383</v>
      </c>
      <c r="B116" s="14" t="s">
        <v>1078</v>
      </c>
      <c r="C116" s="11">
        <f>Chudleybthtries</f>
        <v>2</v>
      </c>
      <c r="D116" s="3" t="s">
        <v>1585</v>
      </c>
      <c r="E116" s="3" t="s">
        <v>1132</v>
      </c>
      <c r="F116" s="23">
        <f>Parlinggeoffexepts</f>
        <v>15</v>
      </c>
    </row>
    <row r="117" spans="1:6" ht="14.95" customHeight="1" thickBot="1" x14ac:dyDescent="0.3">
      <c r="A117" s="93" t="s">
        <v>1386</v>
      </c>
      <c r="B117" s="93" t="s">
        <v>1077</v>
      </c>
      <c r="C117" s="11">
        <f>Cliffwillsaltries</f>
        <v>2</v>
      </c>
      <c r="D117" s="3" t="s">
        <v>1600</v>
      </c>
      <c r="E117" s="3" t="s">
        <v>1075</v>
      </c>
      <c r="F117" s="23">
        <f>Purdyglospts</f>
        <v>15</v>
      </c>
    </row>
    <row r="118" spans="1:6" ht="14.95" customHeight="1" thickBot="1" x14ac:dyDescent="0.3">
      <c r="A118" s="93" t="s">
        <v>1394</v>
      </c>
      <c r="B118" s="93" t="s">
        <v>1078</v>
      </c>
      <c r="C118" s="11">
        <f>Cookchristries</f>
        <v>2</v>
      </c>
      <c r="D118" s="3" t="s">
        <v>1612</v>
      </c>
      <c r="E118" s="3" t="s">
        <v>1078</v>
      </c>
      <c r="F118" s="23">
        <f>Robertsbthpts</f>
        <v>15</v>
      </c>
    </row>
    <row r="119" spans="1:6" ht="14.95" customHeight="1" thickBot="1" x14ac:dyDescent="0.3">
      <c r="A119" s="93" t="s">
        <v>1403</v>
      </c>
      <c r="B119" s="93" t="s">
        <v>1131</v>
      </c>
      <c r="C119" s="11">
        <f>Crumptonhartries</f>
        <v>2</v>
      </c>
      <c r="D119" s="21" t="s">
        <v>1616</v>
      </c>
      <c r="E119" s="21" t="s">
        <v>1078</v>
      </c>
      <c r="F119" s="23">
        <f>Rokodugunibatpts</f>
        <v>15</v>
      </c>
    </row>
    <row r="120" spans="1:6" ht="14.95" customHeight="1" thickBot="1" x14ac:dyDescent="0.3">
      <c r="A120" s="14" t="s">
        <v>1407</v>
      </c>
      <c r="B120" s="14" t="s">
        <v>1132</v>
      </c>
      <c r="C120" s="454">
        <f>Daviesexetries</f>
        <v>2</v>
      </c>
      <c r="D120" s="3" t="s">
        <v>1634</v>
      </c>
      <c r="E120" s="3" t="s">
        <v>1133</v>
      </c>
      <c r="F120" s="23">
        <f>Simpsonwaspts</f>
        <v>15</v>
      </c>
    </row>
    <row r="121" spans="1:6" ht="14.95" customHeight="1" thickBot="1" x14ac:dyDescent="0.3">
      <c r="A121" s="93" t="s">
        <v>1408</v>
      </c>
      <c r="B121" s="93" t="s">
        <v>1133</v>
      </c>
      <c r="C121" s="11">
        <f>Dalyelliottries</f>
        <v>2</v>
      </c>
      <c r="D121" s="3" t="s">
        <v>1638</v>
      </c>
      <c r="E121" s="3" t="s">
        <v>1134</v>
      </c>
      <c r="F121" s="23">
        <f>Saundersjaredsarpts</f>
        <v>15</v>
      </c>
    </row>
    <row r="122" spans="1:6" ht="14.95" customHeight="1" thickBot="1" x14ac:dyDescent="0.3">
      <c r="A122" s="93" t="s">
        <v>1417</v>
      </c>
      <c r="B122" s="93" t="s">
        <v>1132</v>
      </c>
      <c r="C122" s="11">
        <f>Dennisexetries</f>
        <v>2</v>
      </c>
      <c r="D122" s="3" t="s">
        <v>1658</v>
      </c>
      <c r="E122" s="3" t="s">
        <v>1131</v>
      </c>
      <c r="F122" s="23">
        <f>Tapuaiharpts</f>
        <v>15</v>
      </c>
    </row>
    <row r="123" spans="1:6" ht="14.95" customHeight="1" thickBot="1" x14ac:dyDescent="0.3">
      <c r="A123" s="93" t="s">
        <v>1442</v>
      </c>
      <c r="B123" s="93" t="s">
        <v>1079</v>
      </c>
      <c r="C123" s="11">
        <f>Floodnewtries</f>
        <v>2</v>
      </c>
      <c r="D123" s="3" t="s">
        <v>1661</v>
      </c>
      <c r="E123" s="3" t="s">
        <v>1076</v>
      </c>
      <c r="F123" s="23">
        <f>Thorperichardpts</f>
        <v>15</v>
      </c>
    </row>
    <row r="124" spans="1:6" ht="14.95" customHeight="1" thickBot="1" x14ac:dyDescent="0.3">
      <c r="A124" s="93" t="s">
        <v>1449</v>
      </c>
      <c r="B124" s="93" t="s">
        <v>1080</v>
      </c>
      <c r="C124" s="10">
        <f>Furbanknortriescorrect</f>
        <v>2</v>
      </c>
      <c r="D124" s="3" t="s">
        <v>1663</v>
      </c>
      <c r="E124" s="3" t="s">
        <v>1135</v>
      </c>
      <c r="F124" s="23">
        <f>Thompsonleicpts</f>
        <v>15</v>
      </c>
    </row>
    <row r="125" spans="1:6" ht="14.95" customHeight="1" thickBot="1" x14ac:dyDescent="0.3">
      <c r="A125" s="93" t="s">
        <v>1451</v>
      </c>
      <c r="B125" s="93" t="s">
        <v>1134</v>
      </c>
      <c r="C125" s="10">
        <f>Gallaghersartries</f>
        <v>2</v>
      </c>
      <c r="D125" s="3" t="s">
        <v>1673</v>
      </c>
      <c r="E125" s="3" t="s">
        <v>1135</v>
      </c>
      <c r="F125" s="23">
        <f>Tuilagimanupts</f>
        <v>15</v>
      </c>
    </row>
    <row r="126" spans="1:6" ht="14.95" customHeight="1" thickBot="1" x14ac:dyDescent="0.3">
      <c r="A126" s="93" t="s">
        <v>1472</v>
      </c>
      <c r="B126" s="93" t="s">
        <v>1075</v>
      </c>
      <c r="C126" s="10">
        <f>Hansonglotries</f>
        <v>2</v>
      </c>
      <c r="D126" s="3" t="s">
        <v>1689</v>
      </c>
      <c r="E126" s="3" t="s">
        <v>1075</v>
      </c>
      <c r="F126" s="22">
        <f>Vellacottglopts</f>
        <v>15</v>
      </c>
    </row>
    <row r="127" spans="1:6" ht="14.95" customHeight="1" thickBot="1" x14ac:dyDescent="0.3">
      <c r="A127" s="93" t="s">
        <v>1474</v>
      </c>
      <c r="B127" s="93" t="s">
        <v>1080</v>
      </c>
      <c r="C127" s="10">
        <f>Hartleytriescorrect</f>
        <v>2</v>
      </c>
      <c r="D127" s="3" t="s">
        <v>1113</v>
      </c>
      <c r="E127" s="3" t="s">
        <v>1134</v>
      </c>
      <c r="F127" s="23">
        <f>Vunipola_Bsarpts</f>
        <v>15</v>
      </c>
    </row>
    <row r="128" spans="1:6" ht="14.95" customHeight="1" thickBot="1" x14ac:dyDescent="0.3">
      <c r="A128" s="93" t="s">
        <v>1476</v>
      </c>
      <c r="B128" s="93" t="s">
        <v>1080</v>
      </c>
      <c r="C128" s="10">
        <f>Haywoodmiketries</f>
        <v>2</v>
      </c>
      <c r="D128" s="3" t="s">
        <v>1706</v>
      </c>
      <c r="E128" s="3" t="s">
        <v>1132</v>
      </c>
      <c r="F128" s="23">
        <f>Whittenpts</f>
        <v>15</v>
      </c>
    </row>
    <row r="129" spans="1:6" ht="14.95" customHeight="1" thickBot="1" x14ac:dyDescent="0.3">
      <c r="A129" s="93" t="s">
        <v>1124</v>
      </c>
      <c r="B129" s="93" t="s">
        <v>1132</v>
      </c>
      <c r="C129" s="10">
        <f>Hill_Jexetries</f>
        <v>2</v>
      </c>
      <c r="D129" s="3" t="s">
        <v>1719</v>
      </c>
      <c r="E129" s="3" t="s">
        <v>1077</v>
      </c>
      <c r="F129" s="22">
        <f>Yardesalpts</f>
        <v>15</v>
      </c>
    </row>
    <row r="130" spans="1:6" ht="14.95" customHeight="1" thickBot="1" x14ac:dyDescent="0.3">
      <c r="A130" s="11" t="s">
        <v>1125</v>
      </c>
      <c r="B130" s="11" t="s">
        <v>1132</v>
      </c>
      <c r="C130" s="10">
        <f>Hill_Samexetries</f>
        <v>2</v>
      </c>
      <c r="D130" s="3" t="s">
        <v>1319</v>
      </c>
      <c r="E130" s="3" t="s">
        <v>1133</v>
      </c>
      <c r="F130" s="24">
        <f>Youngwaspts</f>
        <v>15</v>
      </c>
    </row>
    <row r="131" spans="1:6" ht="14.95" customHeight="1" thickBot="1" x14ac:dyDescent="0.3">
      <c r="A131" s="93" t="s">
        <v>1491</v>
      </c>
      <c r="B131" s="93" t="s">
        <v>1156</v>
      </c>
      <c r="C131" s="10">
        <f>Gilsenanlitries</f>
        <v>2</v>
      </c>
      <c r="D131" s="21" t="s">
        <v>1357</v>
      </c>
      <c r="E131" s="21" t="s">
        <v>1134</v>
      </c>
      <c r="F131" s="23">
        <f>Boschmarcelopts</f>
        <v>14</v>
      </c>
    </row>
    <row r="132" spans="1:6" ht="14.95" customHeight="1" thickBot="1" x14ac:dyDescent="0.3">
      <c r="A132" s="93" t="s">
        <v>1493</v>
      </c>
      <c r="B132" s="93" t="s">
        <v>1131</v>
      </c>
      <c r="C132" s="10">
        <f>Ibitoyehartries</f>
        <v>2</v>
      </c>
      <c r="D132" s="3" t="s">
        <v>1083</v>
      </c>
      <c r="E132" s="3" t="s">
        <v>1156</v>
      </c>
      <c r="F132" s="23">
        <f>Penalty_Triesbripts</f>
        <v>14</v>
      </c>
    </row>
    <row r="133" spans="1:6" ht="14.95" customHeight="1" thickBot="1" x14ac:dyDescent="0.3">
      <c r="A133" s="93" t="s">
        <v>1496</v>
      </c>
      <c r="B133" s="93" t="s">
        <v>1134</v>
      </c>
      <c r="C133" s="10">
        <f>Itojesartries</f>
        <v>2</v>
      </c>
      <c r="D133" s="3" t="s">
        <v>1393</v>
      </c>
      <c r="E133" s="3" t="s">
        <v>1079</v>
      </c>
      <c r="F133" s="23">
        <f>Connonnewptscorrect</f>
        <v>13</v>
      </c>
    </row>
    <row r="134" spans="1:6" ht="14.95" customHeight="1" thickBot="1" x14ac:dyDescent="0.3">
      <c r="A134" s="93" t="s">
        <v>1503</v>
      </c>
      <c r="B134" s="93" t="s">
        <v>1135</v>
      </c>
      <c r="C134" s="10">
        <f>Kalamafonileitries</f>
        <v>2</v>
      </c>
      <c r="D134" s="21" t="s">
        <v>1086</v>
      </c>
      <c r="E134" s="21" t="s">
        <v>1075</v>
      </c>
      <c r="F134" s="23">
        <f>Evans_Lglopts</f>
        <v>11</v>
      </c>
    </row>
    <row r="135" spans="1:6" ht="14.95" customHeight="1" thickBot="1" x14ac:dyDescent="0.3">
      <c r="A135" s="93" t="s">
        <v>1504</v>
      </c>
      <c r="B135" s="93" t="s">
        <v>1080</v>
      </c>
      <c r="C135" s="10">
        <f>Kellawaynortries</f>
        <v>2</v>
      </c>
      <c r="D135" s="3" t="s">
        <v>1801</v>
      </c>
      <c r="E135" s="3" t="s">
        <v>1077</v>
      </c>
      <c r="F135" s="23">
        <f>Ashtonsalpts</f>
        <v>10</v>
      </c>
    </row>
    <row r="136" spans="1:6" ht="14.95" customHeight="1" thickBot="1" x14ac:dyDescent="0.3">
      <c r="A136" s="11" t="s">
        <v>1519</v>
      </c>
      <c r="B136" s="11" t="s">
        <v>1131</v>
      </c>
      <c r="C136" s="10">
        <f>Langhartries</f>
        <v>2</v>
      </c>
      <c r="D136" s="21" t="s">
        <v>1368</v>
      </c>
      <c r="E136" s="3" t="s">
        <v>1080</v>
      </c>
      <c r="F136" s="23">
        <f>Burrelllutherpts</f>
        <v>10</v>
      </c>
    </row>
    <row r="137" spans="1:6" ht="14.95" customHeight="1" thickBot="1" x14ac:dyDescent="0.3">
      <c r="A137" s="93" t="s">
        <v>1525</v>
      </c>
      <c r="B137" s="93" t="s">
        <v>1132</v>
      </c>
      <c r="C137" s="7">
        <f>Lawdayexetriescorrect</f>
        <v>2</v>
      </c>
      <c r="D137" s="21" t="s">
        <v>1382</v>
      </c>
      <c r="E137" s="21" t="s">
        <v>1079</v>
      </c>
      <c r="F137" s="23">
        <f>Chicknewpts</f>
        <v>10</v>
      </c>
    </row>
    <row r="138" spans="1:6" ht="14.95" customHeight="1" thickBot="1" x14ac:dyDescent="0.3">
      <c r="A138" s="93" t="s">
        <v>1529</v>
      </c>
      <c r="B138" s="93" t="s">
        <v>1133</v>
      </c>
      <c r="C138" s="10">
        <f>Le_Rouxwastries</f>
        <v>2</v>
      </c>
      <c r="D138" s="239" t="s">
        <v>1383</v>
      </c>
      <c r="E138" s="239" t="s">
        <v>1078</v>
      </c>
      <c r="F138" s="23">
        <f>Chudleybthpts</f>
        <v>10</v>
      </c>
    </row>
    <row r="139" spans="1:6" ht="14.95" customHeight="1" thickBot="1" x14ac:dyDescent="0.3">
      <c r="A139" s="93" t="s">
        <v>1821</v>
      </c>
      <c r="B139" s="93" t="s">
        <v>1132</v>
      </c>
      <c r="C139" s="10">
        <f>Lonsdaleexetries</f>
        <v>2</v>
      </c>
      <c r="D139" s="3" t="s">
        <v>1386</v>
      </c>
      <c r="E139" s="3" t="s">
        <v>1077</v>
      </c>
      <c r="F139" s="23">
        <f>Cliffwillsalpts</f>
        <v>10</v>
      </c>
    </row>
    <row r="140" spans="1:6" ht="14.95" customHeight="1" thickBot="1" x14ac:dyDescent="0.3">
      <c r="A140" s="93" t="s">
        <v>1541</v>
      </c>
      <c r="B140" s="93" t="s">
        <v>1156</v>
      </c>
      <c r="C140" s="10">
        <f>Marshalllirtries</f>
        <v>2</v>
      </c>
      <c r="D140" s="3" t="s">
        <v>1394</v>
      </c>
      <c r="E140" s="3" t="s">
        <v>1078</v>
      </c>
      <c r="F140" s="23">
        <f>Cookchrispts</f>
        <v>10</v>
      </c>
    </row>
    <row r="141" spans="1:6" ht="14.95" customHeight="1" thickBot="1" x14ac:dyDescent="0.3">
      <c r="A141" s="93" t="s">
        <v>1542</v>
      </c>
      <c r="B141" s="93" t="s">
        <v>1080</v>
      </c>
      <c r="C141" s="10">
        <f>Ludlamnortries</f>
        <v>2</v>
      </c>
      <c r="D141" s="3" t="s">
        <v>1403</v>
      </c>
      <c r="E141" s="3" t="s">
        <v>1131</v>
      </c>
      <c r="F141" s="23">
        <f>Crumptonharpts</f>
        <v>10</v>
      </c>
    </row>
    <row r="142" spans="1:6" ht="14.95" customHeight="1" thickBot="1" x14ac:dyDescent="0.3">
      <c r="A142" s="93" t="s">
        <v>1544</v>
      </c>
      <c r="B142" s="93" t="s">
        <v>1077</v>
      </c>
      <c r="C142" s="10">
        <f>MacKenziephiltries</f>
        <v>2</v>
      </c>
      <c r="D142" s="239" t="s">
        <v>1407</v>
      </c>
      <c r="E142" s="239" t="s">
        <v>1132</v>
      </c>
      <c r="F142" s="23">
        <f>Daviesexepts</f>
        <v>10</v>
      </c>
    </row>
    <row r="143" spans="1:6" ht="14.95" customHeight="1" thickBot="1" x14ac:dyDescent="0.3">
      <c r="A143" s="93" t="s">
        <v>1087</v>
      </c>
      <c r="B143" s="93" t="s">
        <v>1075</v>
      </c>
      <c r="C143" s="10">
        <f>Marshalltomglo</f>
        <v>2</v>
      </c>
      <c r="D143" s="3" t="s">
        <v>1417</v>
      </c>
      <c r="E143" s="3" t="s">
        <v>1132</v>
      </c>
      <c r="F143" s="23">
        <f>Dennisexepts</f>
        <v>10</v>
      </c>
    </row>
    <row r="144" spans="1:6" ht="14.95" customHeight="1" thickBot="1" x14ac:dyDescent="0.3">
      <c r="A144" s="93" t="s">
        <v>1565</v>
      </c>
      <c r="B144" s="93" t="s">
        <v>1132</v>
      </c>
      <c r="C144" s="10">
        <f>mummtries</f>
        <v>2</v>
      </c>
      <c r="D144" s="3" t="s">
        <v>1449</v>
      </c>
      <c r="E144" s="3" t="s">
        <v>1080</v>
      </c>
      <c r="F144" s="22">
        <f>Furbanknorptscorrect</f>
        <v>10</v>
      </c>
    </row>
    <row r="145" spans="1:6" ht="14.95" customHeight="1" thickBot="1" x14ac:dyDescent="0.3">
      <c r="A145" s="93" t="s">
        <v>1852</v>
      </c>
      <c r="B145" s="93" t="s">
        <v>1134</v>
      </c>
      <c r="C145" s="10">
        <f>Naysartries</f>
        <v>2</v>
      </c>
      <c r="D145" s="3" t="s">
        <v>1451</v>
      </c>
      <c r="E145" s="3" t="s">
        <v>1134</v>
      </c>
      <c r="F145" s="23">
        <f>Gallaghersarpts</f>
        <v>10</v>
      </c>
    </row>
    <row r="146" spans="1:6" ht="14.95" customHeight="1" thickBot="1" x14ac:dyDescent="0.3">
      <c r="A146" s="93" t="s">
        <v>1575</v>
      </c>
      <c r="B146" s="93" t="s">
        <v>1079</v>
      </c>
      <c r="C146" s="10">
        <f>Nagusanewtries</f>
        <v>2</v>
      </c>
      <c r="D146" s="3" t="s">
        <v>1472</v>
      </c>
      <c r="E146" s="3" t="s">
        <v>1075</v>
      </c>
      <c r="F146" s="23">
        <f>Hansonglopts</f>
        <v>10</v>
      </c>
    </row>
    <row r="147" spans="1:6" ht="14.95" customHeight="1" thickBot="1" x14ac:dyDescent="0.3">
      <c r="A147" s="93" t="s">
        <v>1577</v>
      </c>
      <c r="B147" s="93" t="s">
        <v>1133</v>
      </c>
      <c r="C147" s="10">
        <f>Nealwastries</f>
        <v>2</v>
      </c>
      <c r="D147" s="3" t="s">
        <v>1474</v>
      </c>
      <c r="E147" s="3" t="s">
        <v>1080</v>
      </c>
      <c r="F147" s="23">
        <f>Hartleyptscorrect</f>
        <v>10</v>
      </c>
    </row>
    <row r="148" spans="1:6" ht="14.95" customHeight="1" thickBot="1" x14ac:dyDescent="0.3">
      <c r="A148" s="93" t="s">
        <v>1046</v>
      </c>
      <c r="B148" s="93" t="s">
        <v>1135</v>
      </c>
      <c r="C148" s="10">
        <f>Olowofela_Jleictries</f>
        <v>2</v>
      </c>
      <c r="D148" s="3" t="s">
        <v>1476</v>
      </c>
      <c r="E148" s="3" t="s">
        <v>1080</v>
      </c>
      <c r="F148" s="23">
        <f>Haywoodmikepts</f>
        <v>10</v>
      </c>
    </row>
    <row r="149" spans="1:6" ht="14.95" customHeight="1" thickBot="1" x14ac:dyDescent="0.3">
      <c r="A149" s="93" t="s">
        <v>1083</v>
      </c>
      <c r="B149" s="93" t="s">
        <v>1156</v>
      </c>
      <c r="C149" s="10">
        <f>Penalty_Triesbritries</f>
        <v>2</v>
      </c>
      <c r="D149" s="3" t="s">
        <v>1124</v>
      </c>
      <c r="E149" s="3" t="s">
        <v>1132</v>
      </c>
      <c r="F149" s="23">
        <f>Hill_Jexepts</f>
        <v>10</v>
      </c>
    </row>
    <row r="150" spans="1:6" ht="14.95" customHeight="1" thickBot="1" x14ac:dyDescent="0.3">
      <c r="A150" s="93" t="s">
        <v>1598</v>
      </c>
      <c r="B150" s="93" t="s">
        <v>1078</v>
      </c>
      <c r="C150" s="10">
        <f>Priestlandbthtries</f>
        <v>2</v>
      </c>
      <c r="D150" s="21" t="s">
        <v>1125</v>
      </c>
      <c r="E150" s="21" t="s">
        <v>1132</v>
      </c>
      <c r="F150" s="23">
        <f>Hill_Ssamexepts</f>
        <v>10</v>
      </c>
    </row>
    <row r="151" spans="1:6" ht="14.95" customHeight="1" thickBot="1" x14ac:dyDescent="0.3">
      <c r="A151" s="93" t="s">
        <v>1609</v>
      </c>
      <c r="B151" s="93" t="s">
        <v>1134</v>
      </c>
      <c r="C151" s="72">
        <f>Rhodessartries</f>
        <v>2</v>
      </c>
      <c r="D151" s="3" t="s">
        <v>1491</v>
      </c>
      <c r="E151" s="3" t="s">
        <v>1156</v>
      </c>
      <c r="F151" s="23">
        <f>Gilsenanlipts</f>
        <v>10</v>
      </c>
    </row>
    <row r="152" spans="1:6" ht="14.95" customHeight="1" thickBot="1" x14ac:dyDescent="0.3">
      <c r="A152" s="93" t="s">
        <v>1610</v>
      </c>
      <c r="B152" s="93" t="s">
        <v>1080</v>
      </c>
      <c r="C152" s="72">
        <f>Ribbansnortries</f>
        <v>2</v>
      </c>
      <c r="D152" s="3" t="s">
        <v>1493</v>
      </c>
      <c r="E152" s="3" t="s">
        <v>1131</v>
      </c>
      <c r="F152" s="23">
        <f>Ibitoyeharpts</f>
        <v>10</v>
      </c>
    </row>
    <row r="153" spans="1:6" ht="14.95" customHeight="1" thickBot="1" x14ac:dyDescent="0.3">
      <c r="A153" s="93" t="s">
        <v>1615</v>
      </c>
      <c r="B153" s="93" t="s">
        <v>1133</v>
      </c>
      <c r="C153" s="10">
        <f>Robsonwastries</f>
        <v>2</v>
      </c>
      <c r="D153" s="3" t="s">
        <v>1496</v>
      </c>
      <c r="E153" s="3" t="s">
        <v>1134</v>
      </c>
      <c r="F153" s="23">
        <f>Itojesarpts</f>
        <v>10</v>
      </c>
    </row>
    <row r="154" spans="1:6" ht="14.95" customHeight="1" thickBot="1" x14ac:dyDescent="0.3">
      <c r="A154" s="93" t="s">
        <v>1624</v>
      </c>
      <c r="B154" s="93" t="s">
        <v>1075</v>
      </c>
      <c r="C154" s="10">
        <f>Seabrookglotries</f>
        <v>2</v>
      </c>
      <c r="D154" s="3" t="s">
        <v>1503</v>
      </c>
      <c r="E154" s="3" t="s">
        <v>1135</v>
      </c>
      <c r="F154" s="23">
        <f>Kalamafonileipts</f>
        <v>10</v>
      </c>
    </row>
    <row r="155" spans="1:6" ht="14.95" customHeight="1" thickBot="1" x14ac:dyDescent="0.3">
      <c r="A155" s="93" t="s">
        <v>1636</v>
      </c>
      <c r="B155" s="93" t="s">
        <v>1076</v>
      </c>
      <c r="C155" s="10">
        <f>Singletonwortries</f>
        <v>2</v>
      </c>
      <c r="D155" s="3" t="s">
        <v>1504</v>
      </c>
      <c r="E155" s="3" t="s">
        <v>1080</v>
      </c>
      <c r="F155" s="23">
        <f>Kellawaynorpts</f>
        <v>10</v>
      </c>
    </row>
    <row r="156" spans="1:6" ht="14.95" customHeight="1" thickBot="1" x14ac:dyDescent="0.3">
      <c r="A156" s="11" t="s">
        <v>1637</v>
      </c>
      <c r="B156" s="11" t="s">
        <v>1079</v>
      </c>
      <c r="C156" s="10">
        <f>Sinotisinotitries</f>
        <v>2</v>
      </c>
      <c r="D156" s="3" t="s">
        <v>1525</v>
      </c>
      <c r="E156" s="3" t="s">
        <v>1132</v>
      </c>
      <c r="F156" s="23">
        <f>Lawdayexeptscorrect</f>
        <v>10</v>
      </c>
    </row>
    <row r="157" spans="1:6" ht="14.95" customHeight="1" thickBot="1" x14ac:dyDescent="0.3">
      <c r="A157" s="93" t="s">
        <v>1805</v>
      </c>
      <c r="B157" s="93" t="s">
        <v>1080</v>
      </c>
      <c r="C157" s="10">
        <f>Sleightholmenortries</f>
        <v>2</v>
      </c>
      <c r="D157" s="3" t="s">
        <v>1529</v>
      </c>
      <c r="E157" s="3" t="s">
        <v>1133</v>
      </c>
      <c r="F157" s="23">
        <f>Le_Rouxwaspts</f>
        <v>10</v>
      </c>
    </row>
    <row r="158" spans="1:6" ht="14.95" customHeight="1" thickBot="1" x14ac:dyDescent="0.3">
      <c r="A158" s="93" t="s">
        <v>1650</v>
      </c>
      <c r="B158" s="93" t="s">
        <v>1078</v>
      </c>
      <c r="C158" s="10">
        <f>Spencerwilltries</f>
        <v>2</v>
      </c>
      <c r="D158" s="3" t="s">
        <v>1821</v>
      </c>
      <c r="E158" s="3" t="s">
        <v>1132</v>
      </c>
      <c r="F158" s="23">
        <f>Lonsdaleexepts</f>
        <v>10</v>
      </c>
    </row>
    <row r="159" spans="1:6" ht="14.95" customHeight="1" thickBot="1" x14ac:dyDescent="0.3">
      <c r="A159" s="93" t="s">
        <v>1314</v>
      </c>
      <c r="B159" s="93" t="s">
        <v>1133</v>
      </c>
      <c r="C159" s="10">
        <f>Stuartwastries</f>
        <v>2</v>
      </c>
      <c r="D159" s="3" t="s">
        <v>1541</v>
      </c>
      <c r="E159" s="3" t="s">
        <v>1156</v>
      </c>
      <c r="F159" s="23">
        <f>Marshalllirpts</f>
        <v>10</v>
      </c>
    </row>
    <row r="160" spans="1:6" ht="14.95" customHeight="1" thickBot="1" x14ac:dyDescent="0.3">
      <c r="A160" s="93" t="s">
        <v>1810</v>
      </c>
      <c r="B160" s="93" t="s">
        <v>1075</v>
      </c>
      <c r="C160" s="10">
        <f>Visagieglotries</f>
        <v>2</v>
      </c>
      <c r="D160" s="3" t="s">
        <v>1542</v>
      </c>
      <c r="E160" s="3" t="s">
        <v>1080</v>
      </c>
      <c r="F160" s="23">
        <f>Ludlamnorpts</f>
        <v>10</v>
      </c>
    </row>
    <row r="161" spans="1:6" ht="14.95" customHeight="1" thickBot="1" x14ac:dyDescent="0.3">
      <c r="A161" s="93" t="s">
        <v>1712</v>
      </c>
      <c r="B161" s="93" t="s">
        <v>1080</v>
      </c>
      <c r="C161" s="10">
        <f>Woodtomtriescorrect</f>
        <v>2</v>
      </c>
      <c r="D161" s="3" t="s">
        <v>1087</v>
      </c>
      <c r="E161" s="3" t="s">
        <v>1075</v>
      </c>
      <c r="F161" s="23">
        <f>Marshallglopts</f>
        <v>10</v>
      </c>
    </row>
    <row r="162" spans="1:6" ht="14.95" customHeight="1" thickBot="1" x14ac:dyDescent="0.3">
      <c r="A162" s="11" t="s">
        <v>1716</v>
      </c>
      <c r="B162" s="11" t="s">
        <v>1134</v>
      </c>
      <c r="C162" s="10">
        <f>Woolstencroftsartries</f>
        <v>2</v>
      </c>
      <c r="D162" s="3" t="s">
        <v>1565</v>
      </c>
      <c r="E162" s="3" t="s">
        <v>1132</v>
      </c>
      <c r="F162" s="23">
        <f>Mummpts</f>
        <v>10</v>
      </c>
    </row>
    <row r="163" spans="1:6" ht="14.95" customHeight="1" thickBot="1" x14ac:dyDescent="0.3">
      <c r="A163" s="93" t="s">
        <v>1098</v>
      </c>
      <c r="B163" s="93" t="s">
        <v>1135</v>
      </c>
      <c r="C163" s="10">
        <f>youngstomtries</f>
        <v>2</v>
      </c>
      <c r="D163" s="3" t="s">
        <v>1852</v>
      </c>
      <c r="E163" s="3" t="s">
        <v>1134</v>
      </c>
      <c r="F163" s="23">
        <f>Naysarpts</f>
        <v>10</v>
      </c>
    </row>
    <row r="164" spans="1:6" ht="14.95" customHeight="1" thickBot="1" x14ac:dyDescent="0.3">
      <c r="A164" s="93" t="s">
        <v>1721</v>
      </c>
      <c r="B164" s="93" t="s">
        <v>1133</v>
      </c>
      <c r="C164" s="10">
        <f>Zhvaniawastries</f>
        <v>2</v>
      </c>
      <c r="D164" s="3" t="s">
        <v>1575</v>
      </c>
      <c r="E164" s="3" t="s">
        <v>1079</v>
      </c>
      <c r="F164" s="22">
        <f>Nagusanewpts</f>
        <v>10</v>
      </c>
    </row>
    <row r="165" spans="1:6" ht="14.95" customHeight="1" thickBot="1" x14ac:dyDescent="0.3">
      <c r="A165" s="93" t="s">
        <v>1847</v>
      </c>
      <c r="B165" s="93" t="s">
        <v>1134</v>
      </c>
      <c r="C165" s="10">
        <f>Adams_Halesartries</f>
        <v>1</v>
      </c>
      <c r="D165" s="3" t="s">
        <v>1577</v>
      </c>
      <c r="E165" s="3" t="s">
        <v>1133</v>
      </c>
      <c r="F165" s="23">
        <f>Nealwaspts</f>
        <v>10</v>
      </c>
    </row>
    <row r="166" spans="1:6" ht="14.95" customHeight="1" thickBot="1" x14ac:dyDescent="0.3">
      <c r="A166" s="93" t="s">
        <v>1849</v>
      </c>
      <c r="B166" s="93" t="s">
        <v>1079</v>
      </c>
      <c r="C166" s="7">
        <f>Ah_Younewtries</f>
        <v>1</v>
      </c>
      <c r="D166" s="3" t="s">
        <v>1046</v>
      </c>
      <c r="E166" s="3" t="s">
        <v>1135</v>
      </c>
      <c r="F166" s="23">
        <f>Olowofela_Jleicpts</f>
        <v>10</v>
      </c>
    </row>
    <row r="167" spans="1:6" ht="14.95" customHeight="1" thickBot="1" x14ac:dyDescent="0.3">
      <c r="A167" s="93" t="s">
        <v>1334</v>
      </c>
      <c r="B167" s="93" t="s">
        <v>1076</v>
      </c>
      <c r="C167" s="10">
        <f>Aholeleiwelshtries</f>
        <v>1</v>
      </c>
      <c r="D167" s="3" t="s">
        <v>1609</v>
      </c>
      <c r="E167" s="3" t="s">
        <v>1134</v>
      </c>
      <c r="F167" s="23">
        <f>Rhodessarpts</f>
        <v>10</v>
      </c>
    </row>
    <row r="168" spans="1:6" ht="14.95" customHeight="1" thickBot="1" x14ac:dyDescent="0.3">
      <c r="A168" s="93" t="s">
        <v>1342</v>
      </c>
      <c r="B168" s="93" t="s">
        <v>1075</v>
      </c>
      <c r="C168" s="10">
        <f>Balmainglotries</f>
        <v>1</v>
      </c>
      <c r="D168" s="3" t="s">
        <v>1610</v>
      </c>
      <c r="E168" s="3" t="s">
        <v>1080</v>
      </c>
      <c r="F168" s="23">
        <f>Ribbansnorpts</f>
        <v>10</v>
      </c>
    </row>
    <row r="169" spans="1:6" ht="14.95" customHeight="1" thickBot="1" x14ac:dyDescent="0.3">
      <c r="A169" s="93" t="s">
        <v>1347</v>
      </c>
      <c r="B169" s="93" t="s">
        <v>1076</v>
      </c>
      <c r="C169" s="10">
        <f>Brownedanieltries</f>
        <v>1</v>
      </c>
      <c r="D169" s="3" t="s">
        <v>1615</v>
      </c>
      <c r="E169" s="3" t="s">
        <v>1133</v>
      </c>
      <c r="F169" s="23">
        <f>Robsonwaspts</f>
        <v>10</v>
      </c>
    </row>
    <row r="170" spans="1:6" ht="14.95" customHeight="1" thickBot="1" x14ac:dyDescent="0.3">
      <c r="A170" s="11" t="s">
        <v>1372</v>
      </c>
      <c r="B170" s="11" t="s">
        <v>1156</v>
      </c>
      <c r="C170" s="10">
        <f>Batleybritries</f>
        <v>1</v>
      </c>
      <c r="D170" s="3" t="s">
        <v>1624</v>
      </c>
      <c r="E170" s="3" t="s">
        <v>1075</v>
      </c>
      <c r="F170" s="23">
        <f>Seabrookglopts</f>
        <v>10</v>
      </c>
    </row>
    <row r="171" spans="1:6" ht="14.95" customHeight="1" thickBot="1" x14ac:dyDescent="0.3">
      <c r="A171" s="93" t="s">
        <v>1350</v>
      </c>
      <c r="B171" s="93" t="s">
        <v>1078</v>
      </c>
      <c r="C171" s="10">
        <f>Battyrosstries</f>
        <v>1</v>
      </c>
      <c r="D171" s="3" t="s">
        <v>1636</v>
      </c>
      <c r="E171" s="3" t="s">
        <v>1076</v>
      </c>
      <c r="F171" s="23">
        <f>Singletonworpts</f>
        <v>10</v>
      </c>
    </row>
    <row r="172" spans="1:6" ht="14.95" customHeight="1" thickBot="1" x14ac:dyDescent="0.3">
      <c r="A172" s="93" t="s">
        <v>1354</v>
      </c>
      <c r="B172" s="93" t="s">
        <v>1080</v>
      </c>
      <c r="C172" s="10">
        <f>Biggarnortries</f>
        <v>1</v>
      </c>
      <c r="D172" s="21" t="s">
        <v>1637</v>
      </c>
      <c r="E172" s="21" t="s">
        <v>1079</v>
      </c>
      <c r="F172" s="23">
        <f>Sinotisinotipts</f>
        <v>10</v>
      </c>
    </row>
    <row r="173" spans="1:6" ht="14.95" customHeight="1" thickBot="1" x14ac:dyDescent="0.3">
      <c r="A173" s="93" t="s">
        <v>1858</v>
      </c>
      <c r="B173" s="93" t="s">
        <v>1079</v>
      </c>
      <c r="C173" s="7">
        <f>Blamirenewtries</f>
        <v>1</v>
      </c>
      <c r="D173" s="3" t="s">
        <v>1805</v>
      </c>
      <c r="E173" s="3" t="s">
        <v>1080</v>
      </c>
      <c r="F173" s="23">
        <f>Sleightholmenorpts</f>
        <v>10</v>
      </c>
    </row>
    <row r="174" spans="1:6" ht="14.95" customHeight="1" thickBot="1" x14ac:dyDescent="0.3">
      <c r="A174" s="93" t="s">
        <v>1857</v>
      </c>
      <c r="B174" s="93" t="s">
        <v>1135</v>
      </c>
      <c r="C174" s="10">
        <f>Blommetjiesleictries</f>
        <v>1</v>
      </c>
      <c r="D174" s="3" t="s">
        <v>1650</v>
      </c>
      <c r="E174" s="3" t="s">
        <v>1078</v>
      </c>
      <c r="F174" s="23">
        <f>Spencerwillpts</f>
        <v>10</v>
      </c>
    </row>
    <row r="175" spans="1:6" ht="14.95" customHeight="1" thickBot="1" x14ac:dyDescent="0.3">
      <c r="A175" s="93" t="s">
        <v>1361</v>
      </c>
      <c r="B175" s="93" t="s">
        <v>1075</v>
      </c>
      <c r="C175" s="10">
        <f>Braleyglotries</f>
        <v>1</v>
      </c>
      <c r="D175" s="3" t="s">
        <v>1314</v>
      </c>
      <c r="E175" s="3" t="s">
        <v>1133</v>
      </c>
      <c r="F175" s="23">
        <f>Stuartwaspts</f>
        <v>10</v>
      </c>
    </row>
    <row r="176" spans="1:6" ht="14.95" customHeight="1" thickBot="1" x14ac:dyDescent="0.3">
      <c r="A176" s="11" t="s">
        <v>1367</v>
      </c>
      <c r="B176" s="11" t="s">
        <v>1134</v>
      </c>
      <c r="C176" s="10">
        <f>Burgerjacquestries</f>
        <v>1</v>
      </c>
      <c r="D176" s="3" t="s">
        <v>1668</v>
      </c>
      <c r="E176" s="3" t="s">
        <v>1135</v>
      </c>
      <c r="F176" s="23">
        <f>Toomualeipts</f>
        <v>10</v>
      </c>
    </row>
    <row r="177" spans="1:6" ht="14.95" customHeight="1" thickBot="1" x14ac:dyDescent="0.3">
      <c r="A177" s="93" t="s">
        <v>1796</v>
      </c>
      <c r="B177" s="93" t="s">
        <v>1132</v>
      </c>
      <c r="C177" s="10">
        <f>Capstickexetries</f>
        <v>1</v>
      </c>
      <c r="D177" s="3" t="s">
        <v>1810</v>
      </c>
      <c r="E177" s="3" t="s">
        <v>1075</v>
      </c>
      <c r="F177" s="23">
        <f>Visagieglopts</f>
        <v>10</v>
      </c>
    </row>
    <row r="178" spans="1:6" ht="14.95" customHeight="1" thickBot="1" x14ac:dyDescent="0.3">
      <c r="A178" s="93" t="s">
        <v>1089</v>
      </c>
      <c r="B178" s="93" t="s">
        <v>1131</v>
      </c>
      <c r="C178" s="72">
        <f>Chisholmjameshartries</f>
        <v>1</v>
      </c>
      <c r="D178" s="3" t="s">
        <v>1712</v>
      </c>
      <c r="E178" s="3" t="s">
        <v>1080</v>
      </c>
      <c r="F178" s="23">
        <f>Woodtomptscorrect</f>
        <v>10</v>
      </c>
    </row>
    <row r="179" spans="1:6" ht="14.95" customHeight="1" thickBot="1" x14ac:dyDescent="0.3">
      <c r="A179" s="93" t="s">
        <v>1090</v>
      </c>
      <c r="B179" s="93" t="s">
        <v>1131</v>
      </c>
      <c r="C179" s="10">
        <f>Chisholm_Rhartries</f>
        <v>1</v>
      </c>
      <c r="D179" s="21" t="s">
        <v>1716</v>
      </c>
      <c r="E179" s="21" t="s">
        <v>1134</v>
      </c>
      <c r="F179" s="22">
        <f>Woolstencroftsarpts</f>
        <v>10</v>
      </c>
    </row>
    <row r="180" spans="1:6" ht="14.95" customHeight="1" thickBot="1" x14ac:dyDescent="0.3">
      <c r="A180" s="93" t="s">
        <v>1297</v>
      </c>
      <c r="B180" s="93" t="s">
        <v>1134</v>
      </c>
      <c r="C180" s="10">
        <f>de_Kockneiltries</f>
        <v>1</v>
      </c>
      <c r="D180" s="3" t="s">
        <v>1098</v>
      </c>
      <c r="E180" s="3" t="s">
        <v>1135</v>
      </c>
      <c r="F180" s="23">
        <f>youngstompts</f>
        <v>10</v>
      </c>
    </row>
    <row r="181" spans="1:6" ht="14.95" customHeight="1" thickBot="1" x14ac:dyDescent="0.3">
      <c r="A181" s="93" t="s">
        <v>1385</v>
      </c>
      <c r="B181" s="93" t="s">
        <v>1075</v>
      </c>
      <c r="C181" s="10">
        <f>Dawidiukglotries</f>
        <v>1</v>
      </c>
      <c r="D181" s="3" t="s">
        <v>1721</v>
      </c>
      <c r="E181" s="3" t="s">
        <v>1133</v>
      </c>
      <c r="F181" s="23">
        <f>Zhvaniawaspts</f>
        <v>10</v>
      </c>
    </row>
    <row r="182" spans="1:6" ht="14.95" customHeight="1" thickBot="1" x14ac:dyDescent="0.3">
      <c r="A182" s="93" t="s">
        <v>1770</v>
      </c>
      <c r="B182" s="93" t="s">
        <v>1075</v>
      </c>
      <c r="C182" s="10">
        <f>Coetzerglotries</f>
        <v>1</v>
      </c>
      <c r="D182" s="3" t="s">
        <v>1547</v>
      </c>
      <c r="E182" s="3" t="s">
        <v>1134</v>
      </c>
      <c r="F182" s="23">
        <f>Malinssarpts</f>
        <v>7</v>
      </c>
    </row>
    <row r="183" spans="1:6" ht="14.95" customHeight="1" thickBot="1" x14ac:dyDescent="0.3">
      <c r="A183" s="93" t="s">
        <v>1402</v>
      </c>
      <c r="B183" s="93" t="s">
        <v>1156</v>
      </c>
      <c r="C183" s="10">
        <f>Courtlitries</f>
        <v>1</v>
      </c>
      <c r="D183" s="3" t="s">
        <v>1083</v>
      </c>
      <c r="E183" s="3" t="s">
        <v>1080</v>
      </c>
      <c r="F183" s="23">
        <f>Penalty_Triessaintspts</f>
        <v>7</v>
      </c>
    </row>
    <row r="184" spans="1:6" ht="14.95" customHeight="1" thickBot="1" x14ac:dyDescent="0.3">
      <c r="A184" s="93" t="s">
        <v>1404</v>
      </c>
      <c r="B184" s="93" t="s">
        <v>1133</v>
      </c>
      <c r="C184" s="10">
        <f>Crusewastries</f>
        <v>1</v>
      </c>
      <c r="D184" s="21" t="s">
        <v>1083</v>
      </c>
      <c r="E184" s="21" t="s">
        <v>1134</v>
      </c>
      <c r="F184" s="23">
        <f>Penalty_Triessarpts</f>
        <v>7</v>
      </c>
    </row>
    <row r="185" spans="1:6" ht="14.95" customHeight="1" thickBot="1" x14ac:dyDescent="0.3">
      <c r="A185" s="93" t="s">
        <v>1109</v>
      </c>
      <c r="B185" s="93" t="s">
        <v>1077</v>
      </c>
      <c r="C185" s="10">
        <f>Curry_Tsaltries</f>
        <v>1</v>
      </c>
      <c r="D185" s="3" t="s">
        <v>1083</v>
      </c>
      <c r="E185" s="3" t="s">
        <v>1076</v>
      </c>
      <c r="F185" s="23">
        <f>Penalty_Trieslwelshpts</f>
        <v>7</v>
      </c>
    </row>
    <row r="186" spans="1:6" ht="14.95" customHeight="1" thickBot="1" x14ac:dyDescent="0.3">
      <c r="A186" s="93" t="s">
        <v>1409</v>
      </c>
      <c r="B186" s="93" t="s">
        <v>1079</v>
      </c>
      <c r="C186" s="72">
        <f>Davidsonnewtries</f>
        <v>1</v>
      </c>
      <c r="D186" s="21" t="s">
        <v>1847</v>
      </c>
      <c r="E186" s="3" t="s">
        <v>1134</v>
      </c>
      <c r="F186" s="24">
        <f>Adams_Halesarpts</f>
        <v>5</v>
      </c>
    </row>
    <row r="187" spans="1:6" ht="14.95" customHeight="1" thickBot="1" x14ac:dyDescent="0.3">
      <c r="A187" s="93" t="s">
        <v>1418</v>
      </c>
      <c r="B187" s="93" t="s">
        <v>1135</v>
      </c>
      <c r="C187" s="10">
        <f>Dentonleictries</f>
        <v>1</v>
      </c>
      <c r="D187" s="3" t="s">
        <v>1849</v>
      </c>
      <c r="E187" s="3" t="s">
        <v>1079</v>
      </c>
      <c r="F187" s="23">
        <f>Ah_Younewpts</f>
        <v>5</v>
      </c>
    </row>
    <row r="188" spans="1:6" ht="14.95" customHeight="1" thickBot="1" x14ac:dyDescent="0.3">
      <c r="A188" s="93" t="s">
        <v>1423</v>
      </c>
      <c r="B188" s="93" t="s">
        <v>1075</v>
      </c>
      <c r="C188" s="10">
        <f>Dentonglotries</f>
        <v>1</v>
      </c>
      <c r="D188" s="3" t="s">
        <v>1334</v>
      </c>
      <c r="E188" s="3" t="s">
        <v>1076</v>
      </c>
      <c r="F188" s="23">
        <f>Aholeleiwelshpts</f>
        <v>5</v>
      </c>
    </row>
    <row r="189" spans="1:6" ht="14.95" customHeight="1" thickBot="1" x14ac:dyDescent="0.3">
      <c r="A189" s="11" t="s">
        <v>1812</v>
      </c>
      <c r="B189" s="93" t="s">
        <v>1077</v>
      </c>
      <c r="C189" s="10">
        <f>du_Preez_J_Lsaltries</f>
        <v>1</v>
      </c>
      <c r="D189" s="3" t="s">
        <v>1342</v>
      </c>
      <c r="E189" s="3" t="s">
        <v>1075</v>
      </c>
      <c r="F189" s="23">
        <f>Balmainglopts</f>
        <v>5</v>
      </c>
    </row>
    <row r="190" spans="1:6" ht="14.95" customHeight="1" thickBot="1" x14ac:dyDescent="0.3">
      <c r="A190" s="93" t="s">
        <v>1756</v>
      </c>
      <c r="B190" s="93" t="s">
        <v>1135</v>
      </c>
      <c r="C190" s="10">
        <f>Eastmondleictries</f>
        <v>1</v>
      </c>
      <c r="D190" s="3" t="s">
        <v>1347</v>
      </c>
      <c r="E190" s="3" t="s">
        <v>1076</v>
      </c>
      <c r="F190" s="23">
        <f>Brownedanielpts</f>
        <v>5</v>
      </c>
    </row>
    <row r="191" spans="1:6" ht="14.95" customHeight="1" thickBot="1" x14ac:dyDescent="0.3">
      <c r="A191" s="93" t="s">
        <v>1430</v>
      </c>
      <c r="B191" s="93" t="s">
        <v>1156</v>
      </c>
      <c r="C191" s="10">
        <f>Dawidiuklirtries</f>
        <v>1</v>
      </c>
      <c r="D191" s="21" t="s">
        <v>1372</v>
      </c>
      <c r="E191" s="21" t="s">
        <v>1156</v>
      </c>
      <c r="F191" s="22">
        <f>Batleybripts</f>
        <v>5</v>
      </c>
    </row>
    <row r="192" spans="1:6" ht="14.95" customHeight="1" thickBot="1" x14ac:dyDescent="0.3">
      <c r="A192" s="11" t="s">
        <v>1431</v>
      </c>
      <c r="B192" s="11" t="s">
        <v>1131</v>
      </c>
      <c r="C192" s="10">
        <f>Eliahartries</f>
        <v>1</v>
      </c>
      <c r="D192" s="3" t="s">
        <v>1350</v>
      </c>
      <c r="E192" s="3" t="s">
        <v>1078</v>
      </c>
      <c r="F192" s="23">
        <f>Battyrosspts</f>
        <v>5</v>
      </c>
    </row>
    <row r="193" spans="1:6" ht="14.95" customHeight="1" thickBot="1" x14ac:dyDescent="0.3">
      <c r="A193" s="93" t="s">
        <v>1432</v>
      </c>
      <c r="B193" s="93" t="s">
        <v>1078</v>
      </c>
      <c r="C193" s="450">
        <f>Evansbthtries</f>
        <v>1</v>
      </c>
      <c r="D193" s="3" t="s">
        <v>1858</v>
      </c>
      <c r="E193" s="3" t="s">
        <v>1079</v>
      </c>
      <c r="F193" s="23">
        <f>Blamirenewpts</f>
        <v>5</v>
      </c>
    </row>
    <row r="194" spans="1:6" ht="14.95" customHeight="1" thickBot="1" x14ac:dyDescent="0.3">
      <c r="A194" s="11" t="s">
        <v>1085</v>
      </c>
      <c r="B194" s="11" t="s">
        <v>1075</v>
      </c>
      <c r="C194" s="10">
        <f>Evansgarethtries</f>
        <v>1</v>
      </c>
      <c r="D194" s="3" t="s">
        <v>1857</v>
      </c>
      <c r="E194" s="3" t="s">
        <v>1135</v>
      </c>
      <c r="F194" s="23">
        <f>Blommetjiesleicpts</f>
        <v>5</v>
      </c>
    </row>
    <row r="195" spans="1:6" ht="14.95" customHeight="1" thickBot="1" x14ac:dyDescent="0.3">
      <c r="A195" s="93" t="s">
        <v>1437</v>
      </c>
      <c r="B195" s="93" t="s">
        <v>1076</v>
      </c>
      <c r="C195" s="10">
        <f>Fatialofawortries</f>
        <v>1</v>
      </c>
      <c r="D195" s="3" t="s">
        <v>1361</v>
      </c>
      <c r="E195" s="3" t="s">
        <v>1075</v>
      </c>
      <c r="F195" s="23">
        <f>Braleyglopts</f>
        <v>5</v>
      </c>
    </row>
    <row r="196" spans="1:6" ht="14.95" customHeight="1" thickBot="1" x14ac:dyDescent="0.3">
      <c r="A196" s="93" t="s">
        <v>1441</v>
      </c>
      <c r="B196" s="93" t="s">
        <v>1135</v>
      </c>
      <c r="C196" s="10">
        <f>Fitzgerald__Leitries</f>
        <v>1</v>
      </c>
      <c r="D196" s="21" t="s">
        <v>1367</v>
      </c>
      <c r="E196" s="21" t="s">
        <v>1134</v>
      </c>
      <c r="F196" s="23">
        <f>Burgerjacquespts</f>
        <v>5</v>
      </c>
    </row>
    <row r="197" spans="1:6" ht="14.95" customHeight="1" thickBot="1" x14ac:dyDescent="0.3">
      <c r="A197" s="93" t="s">
        <v>1093</v>
      </c>
      <c r="B197" s="93" t="s">
        <v>1135</v>
      </c>
      <c r="C197" s="10">
        <f>Ford_Jleictries</f>
        <v>1</v>
      </c>
      <c r="D197" s="3" t="s">
        <v>1796</v>
      </c>
      <c r="E197" s="3" t="s">
        <v>1132</v>
      </c>
      <c r="F197" s="22">
        <f>Capstickexepts</f>
        <v>5</v>
      </c>
    </row>
    <row r="198" spans="1:6" ht="14.95" customHeight="1" thickBot="1" x14ac:dyDescent="0.3">
      <c r="A198" s="11" t="s">
        <v>1447</v>
      </c>
      <c r="B198" s="93" t="s">
        <v>1080</v>
      </c>
      <c r="C198" s="10">
        <f>Franksnortries</f>
        <v>1</v>
      </c>
      <c r="D198" s="3" t="s">
        <v>1089</v>
      </c>
      <c r="E198" s="3" t="s">
        <v>1131</v>
      </c>
      <c r="F198" s="23">
        <f>Chisholmjamesharpts</f>
        <v>5</v>
      </c>
    </row>
    <row r="199" spans="1:6" ht="14.95" customHeight="1" thickBot="1" x14ac:dyDescent="0.3">
      <c r="A199" s="11" t="s">
        <v>1454</v>
      </c>
      <c r="B199" s="93" t="s">
        <v>1133</v>
      </c>
      <c r="C199" s="10">
        <f>Gaskellwastries</f>
        <v>1</v>
      </c>
      <c r="D199" s="3" t="s">
        <v>1090</v>
      </c>
      <c r="E199" s="3" t="s">
        <v>1131</v>
      </c>
      <c r="F199" s="23">
        <f>Chisholm_Rharpts</f>
        <v>5</v>
      </c>
    </row>
    <row r="200" spans="1:6" ht="14.95" customHeight="1" thickBot="1" x14ac:dyDescent="0.3">
      <c r="A200" s="93" t="s">
        <v>1457</v>
      </c>
      <c r="B200" s="93" t="s">
        <v>1080</v>
      </c>
      <c r="C200" s="10">
        <f>Gibsonnortries</f>
        <v>1</v>
      </c>
      <c r="D200" s="3" t="s">
        <v>1297</v>
      </c>
      <c r="E200" s="3" t="s">
        <v>1134</v>
      </c>
      <c r="F200" s="23">
        <f>de_Kockneilpts</f>
        <v>5</v>
      </c>
    </row>
    <row r="201" spans="1:6" ht="14.95" customHeight="1" thickBot="1" x14ac:dyDescent="0.3">
      <c r="A201" s="93" t="s">
        <v>1839</v>
      </c>
      <c r="B201" s="93" t="s">
        <v>1135</v>
      </c>
      <c r="C201" s="10">
        <f>Gigenaleictries</f>
        <v>1</v>
      </c>
      <c r="D201" s="3" t="s">
        <v>1385</v>
      </c>
      <c r="E201" s="3" t="s">
        <v>1075</v>
      </c>
      <c r="F201" s="23">
        <f>Dawidiukglopts</f>
        <v>5</v>
      </c>
    </row>
    <row r="202" spans="1:6" ht="14.95" customHeight="1" thickBot="1" x14ac:dyDescent="0.3">
      <c r="A202" s="93" t="s">
        <v>1461</v>
      </c>
      <c r="B202" s="93" t="s">
        <v>1134</v>
      </c>
      <c r="C202" s="10">
        <f>goodealextries</f>
        <v>1</v>
      </c>
      <c r="D202" s="3" t="s">
        <v>1770</v>
      </c>
      <c r="E202" s="3" t="s">
        <v>1075</v>
      </c>
      <c r="F202" s="23">
        <f>Coetzerglopts</f>
        <v>5</v>
      </c>
    </row>
    <row r="203" spans="1:6" ht="14.95" customHeight="1" thickBot="1" x14ac:dyDescent="0.3">
      <c r="A203" s="93" t="s">
        <v>1233</v>
      </c>
      <c r="B203" s="93" t="s">
        <v>1079</v>
      </c>
      <c r="C203" s="10">
        <f>Grahamnewtries</f>
        <v>1</v>
      </c>
      <c r="D203" s="3" t="s">
        <v>1402</v>
      </c>
      <c r="E203" s="3" t="s">
        <v>1156</v>
      </c>
      <c r="F203" s="23">
        <f>cranebripts</f>
        <v>5</v>
      </c>
    </row>
    <row r="204" spans="1:6" ht="14.95" customHeight="1" thickBot="1" x14ac:dyDescent="0.3">
      <c r="A204" s="93" t="s">
        <v>1467</v>
      </c>
      <c r="B204" s="93" t="s">
        <v>1075</v>
      </c>
      <c r="C204" s="10">
        <f>Groblerglotrie</f>
        <v>1</v>
      </c>
      <c r="D204" s="3" t="s">
        <v>1404</v>
      </c>
      <c r="E204" s="3" t="s">
        <v>1133</v>
      </c>
      <c r="F204" s="23">
        <f>Crusewaspts</f>
        <v>5</v>
      </c>
    </row>
    <row r="205" spans="1:6" ht="14.95" customHeight="1" thickBot="1" x14ac:dyDescent="0.3">
      <c r="A205" s="93" t="s">
        <v>1468</v>
      </c>
      <c r="B205" s="93" t="s">
        <v>1156</v>
      </c>
      <c r="C205" s="10">
        <f>Fenbylitries</f>
        <v>1</v>
      </c>
      <c r="D205" s="3" t="s">
        <v>1109</v>
      </c>
      <c r="E205" s="3" t="s">
        <v>1077</v>
      </c>
      <c r="F205" s="23">
        <f>Curry_Tsalpts</f>
        <v>5</v>
      </c>
    </row>
    <row r="206" spans="1:6" ht="14.95" customHeight="1" thickBot="1" x14ac:dyDescent="0.3">
      <c r="A206" s="93" t="s">
        <v>1138</v>
      </c>
      <c r="B206" s="93" t="s">
        <v>1133</v>
      </c>
      <c r="C206" s="10">
        <f>Harris_Bwastries</f>
        <v>1</v>
      </c>
      <c r="D206" s="3" t="s">
        <v>1409</v>
      </c>
      <c r="E206" s="3" t="s">
        <v>1079</v>
      </c>
      <c r="F206" s="23">
        <f>Davidsonnewpts</f>
        <v>5</v>
      </c>
    </row>
    <row r="207" spans="1:6" ht="14.95" customHeight="1" thickBot="1" x14ac:dyDescent="0.3">
      <c r="A207" s="93" t="s">
        <v>1139</v>
      </c>
      <c r="B207" s="93" t="s">
        <v>1079</v>
      </c>
      <c r="C207" s="10">
        <f>Harrisnewtries</f>
        <v>1</v>
      </c>
      <c r="D207" s="3" t="s">
        <v>1418</v>
      </c>
      <c r="E207" s="3" t="s">
        <v>1135</v>
      </c>
      <c r="F207" s="23">
        <f>Dentonleicpts</f>
        <v>5</v>
      </c>
    </row>
    <row r="208" spans="1:6" ht="14.95" customHeight="1" thickBot="1" x14ac:dyDescent="0.3">
      <c r="A208" s="93" t="s">
        <v>1477</v>
      </c>
      <c r="B208" s="93" t="s">
        <v>1076</v>
      </c>
      <c r="C208" s="10">
        <f>Heaneywortries</f>
        <v>1</v>
      </c>
      <c r="D208" s="3" t="s">
        <v>1423</v>
      </c>
      <c r="E208" s="3" t="s">
        <v>1075</v>
      </c>
      <c r="F208" s="23">
        <f>Dentonglopts</f>
        <v>5</v>
      </c>
    </row>
    <row r="209" spans="1:6" ht="14.95" customHeight="1" thickBot="1" x14ac:dyDescent="0.3">
      <c r="A209" s="11" t="s">
        <v>1851</v>
      </c>
      <c r="B209" s="11" t="s">
        <v>1131</v>
      </c>
      <c r="C209" s="10">
        <f>Grayhartries</f>
        <v>1</v>
      </c>
      <c r="D209" s="21" t="s">
        <v>1812</v>
      </c>
      <c r="E209" s="3" t="s">
        <v>1077</v>
      </c>
      <c r="F209" s="23">
        <f>du_Preez_J_Lsalpts</f>
        <v>5</v>
      </c>
    </row>
    <row r="210" spans="1:6" ht="14.95" customHeight="1" thickBot="1" x14ac:dyDescent="0.3">
      <c r="A210" s="93" t="s">
        <v>1484</v>
      </c>
      <c r="B210" s="93" t="s">
        <v>1075</v>
      </c>
      <c r="C210" s="10">
        <f>Hicksglotries</f>
        <v>1</v>
      </c>
      <c r="D210" s="3" t="s">
        <v>1756</v>
      </c>
      <c r="E210" s="3" t="s">
        <v>1135</v>
      </c>
      <c r="F210" s="23">
        <f>Eastmondlicpts</f>
        <v>5</v>
      </c>
    </row>
    <row r="211" spans="1:6" ht="14.95" customHeight="1" thickBot="1" x14ac:dyDescent="0.3">
      <c r="A211" s="93" t="s">
        <v>1126</v>
      </c>
      <c r="B211" s="93" t="s">
        <v>1132</v>
      </c>
      <c r="C211" s="10">
        <f>holmesexetries</f>
        <v>1</v>
      </c>
      <c r="D211" s="3" t="s">
        <v>1430</v>
      </c>
      <c r="E211" s="3" t="s">
        <v>1156</v>
      </c>
      <c r="F211" s="23">
        <f>Dawidiuklirpts</f>
        <v>5</v>
      </c>
    </row>
    <row r="212" spans="1:6" ht="14.95" customHeight="1" thickBot="1" x14ac:dyDescent="0.3">
      <c r="A212" s="93" t="s">
        <v>1486</v>
      </c>
      <c r="B212" s="93" t="s">
        <v>1076</v>
      </c>
      <c r="C212" s="10">
        <f>Hougaardwortries</f>
        <v>1</v>
      </c>
      <c r="D212" s="21" t="s">
        <v>1431</v>
      </c>
      <c r="E212" s="21" t="s">
        <v>1131</v>
      </c>
      <c r="F212" s="23">
        <f>Eliaharpts</f>
        <v>5</v>
      </c>
    </row>
    <row r="213" spans="1:6" ht="14.95" customHeight="1" thickBot="1" x14ac:dyDescent="0.3">
      <c r="A213" s="93" t="s">
        <v>1729</v>
      </c>
      <c r="B213" s="93" t="s">
        <v>1134</v>
      </c>
      <c r="C213" s="10">
        <f>Isiekwesartries</f>
        <v>1</v>
      </c>
      <c r="D213" s="3" t="s">
        <v>1432</v>
      </c>
      <c r="E213" s="3" t="s">
        <v>1078</v>
      </c>
      <c r="F213" s="23">
        <f>Evansbthpts</f>
        <v>5</v>
      </c>
    </row>
    <row r="214" spans="1:6" ht="14.95" customHeight="1" thickBot="1" x14ac:dyDescent="0.3">
      <c r="A214" s="93" t="s">
        <v>1758</v>
      </c>
      <c r="B214" s="93" t="s">
        <v>1077</v>
      </c>
      <c r="C214" s="72">
        <f>van_Rensburgsaltries</f>
        <v>1</v>
      </c>
      <c r="D214" s="21" t="s">
        <v>1085</v>
      </c>
      <c r="E214" s="21" t="s">
        <v>1075</v>
      </c>
      <c r="F214" s="23">
        <f>Evansgarethpts</f>
        <v>5</v>
      </c>
    </row>
    <row r="215" spans="1:6" ht="14.95" customHeight="1" thickBot="1" x14ac:dyDescent="0.3">
      <c r="A215" s="93" t="s">
        <v>1500</v>
      </c>
      <c r="B215" s="93" t="s">
        <v>1133</v>
      </c>
      <c r="C215" s="7">
        <f>Johnsonwastries</f>
        <v>1</v>
      </c>
      <c r="D215" s="3" t="s">
        <v>1437</v>
      </c>
      <c r="E215" s="3" t="s">
        <v>1076</v>
      </c>
      <c r="F215" s="23">
        <f>Fatialofaworpts</f>
        <v>5</v>
      </c>
    </row>
    <row r="216" spans="1:6" ht="14.95" customHeight="1" thickBot="1" x14ac:dyDescent="0.3">
      <c r="A216" s="93" t="s">
        <v>1806</v>
      </c>
      <c r="B216" s="93" t="s">
        <v>1134</v>
      </c>
      <c r="C216" s="10">
        <f>Kpokusartries</f>
        <v>1</v>
      </c>
      <c r="D216" s="3" t="s">
        <v>1441</v>
      </c>
      <c r="E216" s="3" t="s">
        <v>1135</v>
      </c>
      <c r="F216" s="23">
        <f>Fitzgeraldleipts</f>
        <v>5</v>
      </c>
    </row>
    <row r="217" spans="1:6" ht="14.95" customHeight="1" thickBot="1" x14ac:dyDescent="0.3">
      <c r="A217" s="93" t="s">
        <v>1783</v>
      </c>
      <c r="B217" s="93" t="s">
        <v>1131</v>
      </c>
      <c r="C217" s="10">
        <f>Kunatanihartries</f>
        <v>1</v>
      </c>
      <c r="D217" s="21" t="s">
        <v>1447</v>
      </c>
      <c r="E217" s="3" t="s">
        <v>1080</v>
      </c>
      <c r="F217" s="23">
        <f>Franksnorpts</f>
        <v>5</v>
      </c>
    </row>
    <row r="218" spans="1:6" ht="14.95" customHeight="1" thickBot="1" x14ac:dyDescent="0.3">
      <c r="A218" s="93" t="s">
        <v>1514</v>
      </c>
      <c r="B218" s="93" t="s">
        <v>1156</v>
      </c>
      <c r="C218" s="10">
        <f>Lambritries</f>
        <v>1</v>
      </c>
      <c r="D218" s="21" t="s">
        <v>1454</v>
      </c>
      <c r="E218" s="3" t="s">
        <v>1133</v>
      </c>
      <c r="F218" s="23">
        <f>Gaskellwaspts</f>
        <v>5</v>
      </c>
    </row>
    <row r="219" spans="1:6" ht="14.95" customHeight="1" thickBot="1" x14ac:dyDescent="0.3">
      <c r="A219" s="93" t="s">
        <v>1520</v>
      </c>
      <c r="B219" s="93" t="s">
        <v>1077</v>
      </c>
      <c r="C219" s="10">
        <f>Langdonsaltries</f>
        <v>1</v>
      </c>
      <c r="D219" s="3" t="s">
        <v>1457</v>
      </c>
      <c r="E219" s="3" t="s">
        <v>1080</v>
      </c>
      <c r="F219" s="23">
        <f>Gibsonnorpts</f>
        <v>5</v>
      </c>
    </row>
    <row r="220" spans="1:6" ht="14.95" customHeight="1" thickBot="1" x14ac:dyDescent="0.3">
      <c r="A220" s="93" t="s">
        <v>1524</v>
      </c>
      <c r="B220" s="93" t="s">
        <v>1133</v>
      </c>
      <c r="C220" s="10">
        <f>Launchburywastries</f>
        <v>1</v>
      </c>
      <c r="D220" s="3" t="s">
        <v>1839</v>
      </c>
      <c r="E220" s="3" t="s">
        <v>1135</v>
      </c>
      <c r="F220" s="23">
        <f>Gigenaleicpts</f>
        <v>5</v>
      </c>
    </row>
    <row r="221" spans="1:6" ht="14.95" customHeight="1" thickBot="1" x14ac:dyDescent="0.3">
      <c r="A221" s="11" t="s">
        <v>1526</v>
      </c>
      <c r="B221" s="93" t="s">
        <v>1080</v>
      </c>
      <c r="C221" s="10">
        <f>Lawesnortries</f>
        <v>1</v>
      </c>
      <c r="D221" s="3" t="s">
        <v>1233</v>
      </c>
      <c r="E221" s="3" t="s">
        <v>1079</v>
      </c>
      <c r="F221" s="23">
        <f>Grahamnewpts</f>
        <v>5</v>
      </c>
    </row>
    <row r="222" spans="1:6" ht="14.95" customHeight="1" thickBot="1" x14ac:dyDescent="0.3">
      <c r="A222" s="93" t="s">
        <v>1536</v>
      </c>
      <c r="B222" s="93" t="s">
        <v>1078</v>
      </c>
      <c r="C222" s="10">
        <f>Louwfrancoistris</f>
        <v>1</v>
      </c>
      <c r="D222" s="3" t="s">
        <v>1467</v>
      </c>
      <c r="E222" s="3" t="s">
        <v>1075</v>
      </c>
      <c r="F222" s="23">
        <f>Groblerglopts</f>
        <v>5</v>
      </c>
    </row>
    <row r="223" spans="1:6" ht="14.95" customHeight="1" thickBot="1" x14ac:dyDescent="0.3">
      <c r="A223" s="11" t="s">
        <v>1538</v>
      </c>
      <c r="B223" s="11" t="s">
        <v>1132</v>
      </c>
      <c r="C223" s="10">
        <f>Lowmoraytries</f>
        <v>1</v>
      </c>
      <c r="D223" s="3" t="s">
        <v>1468</v>
      </c>
      <c r="E223" s="3" t="s">
        <v>1156</v>
      </c>
      <c r="F223" s="23">
        <f>Fenbylipts</f>
        <v>5</v>
      </c>
    </row>
    <row r="224" spans="1:6" ht="14.95" customHeight="1" thickBot="1" x14ac:dyDescent="0.3">
      <c r="A224" s="93" t="s">
        <v>1547</v>
      </c>
      <c r="B224" s="93" t="s">
        <v>1134</v>
      </c>
      <c r="C224" s="10">
        <f>Malinssartries</f>
        <v>1</v>
      </c>
      <c r="D224" s="3" t="s">
        <v>1138</v>
      </c>
      <c r="E224" s="3" t="s">
        <v>1133</v>
      </c>
      <c r="F224" s="23">
        <f>Harris_Bwaspts</f>
        <v>5</v>
      </c>
    </row>
    <row r="225" spans="1:6" ht="14.95" customHeight="1" thickBot="1" x14ac:dyDescent="0.3">
      <c r="A225" s="11" t="s">
        <v>1550</v>
      </c>
      <c r="B225" s="93" t="s">
        <v>1076</v>
      </c>
      <c r="C225" s="10">
        <f>McCaffreywelshtries</f>
        <v>1</v>
      </c>
      <c r="D225" s="3" t="s">
        <v>1139</v>
      </c>
      <c r="E225" s="3" t="s">
        <v>1079</v>
      </c>
      <c r="F225" s="23">
        <f>Harrisnewpts</f>
        <v>5</v>
      </c>
    </row>
    <row r="226" spans="1:6" ht="14.95" customHeight="1" thickBot="1" x14ac:dyDescent="0.3">
      <c r="A226" s="93" t="s">
        <v>1551</v>
      </c>
      <c r="B226" s="93" t="s">
        <v>1075</v>
      </c>
      <c r="C226" s="10">
        <f>Maraisglotries</f>
        <v>1</v>
      </c>
      <c r="D226" s="3" t="s">
        <v>1477</v>
      </c>
      <c r="E226" s="3" t="s">
        <v>1076</v>
      </c>
      <c r="F226" s="23">
        <f>Heaneyworpts</f>
        <v>5</v>
      </c>
    </row>
    <row r="227" spans="1:6" ht="14.95" customHeight="1" thickBot="1" x14ac:dyDescent="0.3">
      <c r="A227" s="93" t="s">
        <v>1553</v>
      </c>
      <c r="B227" s="93" t="s">
        <v>1131</v>
      </c>
      <c r="C227" s="10">
        <f>marlertries</f>
        <v>1</v>
      </c>
      <c r="D227" s="21" t="s">
        <v>1851</v>
      </c>
      <c r="E227" s="21" t="s">
        <v>1131</v>
      </c>
      <c r="F227" s="23">
        <f>Grayharpts</f>
        <v>5</v>
      </c>
    </row>
    <row r="228" spans="1:6" ht="14.95" customHeight="1" thickBot="1" x14ac:dyDescent="0.3">
      <c r="A228" s="93" t="s">
        <v>1555</v>
      </c>
      <c r="B228" s="93" t="s">
        <v>1132</v>
      </c>
      <c r="C228" s="10">
        <f>Maunderexetries</f>
        <v>1</v>
      </c>
      <c r="D228" s="3" t="s">
        <v>1484</v>
      </c>
      <c r="E228" s="3" t="s">
        <v>1075</v>
      </c>
      <c r="F228" s="23">
        <f>Hicksgloptscorrect</f>
        <v>5</v>
      </c>
    </row>
    <row r="229" spans="1:6" ht="14.95" customHeight="1" thickBot="1" x14ac:dyDescent="0.3">
      <c r="A229" s="93" t="s">
        <v>1556</v>
      </c>
      <c r="B229" s="93" t="s">
        <v>1079</v>
      </c>
      <c r="C229" s="10">
        <f>Marshallnewtries</f>
        <v>1</v>
      </c>
      <c r="D229" s="3" t="s">
        <v>1126</v>
      </c>
      <c r="E229" s="3" t="s">
        <v>1132</v>
      </c>
      <c r="F229" s="23">
        <f>Holmesexepts</f>
        <v>5</v>
      </c>
    </row>
    <row r="230" spans="1:6" ht="14.95" customHeight="1" thickBot="1" x14ac:dyDescent="0.3">
      <c r="A230" s="93" t="s">
        <v>1837</v>
      </c>
      <c r="B230" s="93" t="s">
        <v>1077</v>
      </c>
      <c r="C230" s="10">
        <f>Mooresaltries</f>
        <v>1</v>
      </c>
      <c r="D230" s="3" t="s">
        <v>1486</v>
      </c>
      <c r="E230" s="3" t="s">
        <v>1076</v>
      </c>
      <c r="F230" s="23">
        <f>Hougaardworpts</f>
        <v>5</v>
      </c>
    </row>
    <row r="231" spans="1:6" ht="14.95" customHeight="1" thickBot="1" x14ac:dyDescent="0.3">
      <c r="A231" s="93" t="s">
        <v>1569</v>
      </c>
      <c r="B231" s="93" t="s">
        <v>1131</v>
      </c>
      <c r="C231" s="10">
        <f>Mulchronehartries</f>
        <v>1</v>
      </c>
      <c r="D231" s="3" t="s">
        <v>1729</v>
      </c>
      <c r="E231" s="3" t="s">
        <v>1134</v>
      </c>
      <c r="F231" s="23">
        <f>Isiekwesarpts</f>
        <v>5</v>
      </c>
    </row>
    <row r="232" spans="1:6" ht="14.95" customHeight="1" thickBot="1" x14ac:dyDescent="0.3">
      <c r="A232" s="93" t="s">
        <v>1817</v>
      </c>
      <c r="B232" s="93" t="s">
        <v>1131</v>
      </c>
      <c r="C232" s="10">
        <f>Murleyhartries</f>
        <v>1</v>
      </c>
      <c r="D232" s="3" t="s">
        <v>1758</v>
      </c>
      <c r="E232" s="3" t="s">
        <v>1077</v>
      </c>
      <c r="F232" s="23">
        <f>van_Rensburgsalpts</f>
        <v>5</v>
      </c>
    </row>
    <row r="233" spans="1:6" ht="14.95" customHeight="1" thickBot="1" x14ac:dyDescent="0.3">
      <c r="A233" s="11" t="s">
        <v>1582</v>
      </c>
      <c r="B233" s="11" t="s">
        <v>1078</v>
      </c>
      <c r="C233" s="7">
        <f>Obanobthtries</f>
        <v>1</v>
      </c>
      <c r="D233" s="3" t="s">
        <v>1500</v>
      </c>
      <c r="E233" s="3" t="s">
        <v>1133</v>
      </c>
      <c r="F233" s="23">
        <f>Johnsonwaspts</f>
        <v>5</v>
      </c>
    </row>
    <row r="234" spans="1:6" ht="14.95" customHeight="1" thickBot="1" x14ac:dyDescent="0.3">
      <c r="A234" s="93" t="s">
        <v>1754</v>
      </c>
      <c r="B234" s="93" t="s">
        <v>1080</v>
      </c>
      <c r="C234" s="7">
        <f>Painternortries</f>
        <v>1</v>
      </c>
      <c r="D234" s="3" t="s">
        <v>1806</v>
      </c>
      <c r="E234" s="3" t="s">
        <v>1134</v>
      </c>
      <c r="F234" s="23">
        <f>Kpokusarpts</f>
        <v>5</v>
      </c>
    </row>
    <row r="235" spans="1:6" ht="14.95" customHeight="1" thickBot="1" x14ac:dyDescent="0.3">
      <c r="A235" s="93" t="s">
        <v>1083</v>
      </c>
      <c r="B235" s="93" t="s">
        <v>1080</v>
      </c>
      <c r="C235" s="10">
        <f>Penalty_Triessaintstries</f>
        <v>1</v>
      </c>
      <c r="D235" s="3" t="s">
        <v>1783</v>
      </c>
      <c r="E235" s="3" t="s">
        <v>1131</v>
      </c>
      <c r="F235" s="23">
        <f>Kunataniharpts</f>
        <v>5</v>
      </c>
    </row>
    <row r="236" spans="1:6" ht="14.95" customHeight="1" thickBot="1" x14ac:dyDescent="0.3">
      <c r="A236" s="11" t="s">
        <v>1083</v>
      </c>
      <c r="B236" s="11" t="s">
        <v>1134</v>
      </c>
      <c r="C236" s="10">
        <f>Penalty_Triessartries</f>
        <v>1</v>
      </c>
      <c r="D236" s="3" t="s">
        <v>1514</v>
      </c>
      <c r="E236" s="3" t="s">
        <v>1156</v>
      </c>
      <c r="F236" s="23">
        <f>Lambripts</f>
        <v>5</v>
      </c>
    </row>
    <row r="237" spans="1:6" ht="14.95" customHeight="1" thickBot="1" x14ac:dyDescent="0.3">
      <c r="A237" s="93" t="s">
        <v>1083</v>
      </c>
      <c r="B237" s="93" t="s">
        <v>1076</v>
      </c>
      <c r="C237" s="72">
        <f>Penalty_Trieslwelshtries</f>
        <v>1</v>
      </c>
      <c r="D237" s="25" t="s">
        <v>1520</v>
      </c>
      <c r="E237" s="25" t="s">
        <v>1077</v>
      </c>
      <c r="F237" s="23">
        <f>Langdonsalpts</f>
        <v>5</v>
      </c>
    </row>
    <row r="238" spans="1:6" ht="14.95" customHeight="1" thickBot="1" x14ac:dyDescent="0.3">
      <c r="A238" s="9" t="s">
        <v>1311</v>
      </c>
      <c r="B238" s="9" t="s">
        <v>1077</v>
      </c>
      <c r="C238" s="10">
        <f>Phillipsjamessaltries</f>
        <v>1</v>
      </c>
      <c r="D238" s="25" t="s">
        <v>1524</v>
      </c>
      <c r="E238" s="25" t="s">
        <v>1133</v>
      </c>
      <c r="F238" s="23">
        <f>Launchburywaspts</f>
        <v>5</v>
      </c>
    </row>
    <row r="239" spans="1:6" ht="14.95" customHeight="1" thickBot="1" x14ac:dyDescent="0.3">
      <c r="A239" s="9" t="s">
        <v>1595</v>
      </c>
      <c r="B239" s="9" t="s">
        <v>1156</v>
      </c>
      <c r="C239" s="10">
        <f>Narrawaylitries</f>
        <v>1</v>
      </c>
      <c r="D239" s="23" t="s">
        <v>1526</v>
      </c>
      <c r="E239" s="25" t="s">
        <v>1080</v>
      </c>
      <c r="F239" s="23">
        <f>Lawesnorpts</f>
        <v>5</v>
      </c>
    </row>
    <row r="240" spans="1:6" ht="14.95" customHeight="1" thickBot="1" x14ac:dyDescent="0.3">
      <c r="A240" s="9" t="s">
        <v>1596</v>
      </c>
      <c r="B240" s="9" t="s">
        <v>1075</v>
      </c>
      <c r="C240" s="10">
        <f>Polledriglotries</f>
        <v>1</v>
      </c>
      <c r="D240" s="25" t="s">
        <v>1536</v>
      </c>
      <c r="E240" s="25" t="s">
        <v>1078</v>
      </c>
      <c r="F240" s="23">
        <f>Louwfrancoispts</f>
        <v>5</v>
      </c>
    </row>
    <row r="241" spans="1:6" ht="14.95" customHeight="1" thickBot="1" x14ac:dyDescent="0.3">
      <c r="A241" s="9" t="s">
        <v>1845</v>
      </c>
      <c r="B241" s="9" t="s">
        <v>1077</v>
      </c>
      <c r="C241" s="10">
        <f>Postlethwaitesaltries</f>
        <v>1</v>
      </c>
      <c r="D241" s="23" t="s">
        <v>1538</v>
      </c>
      <c r="E241" s="23" t="s">
        <v>1132</v>
      </c>
      <c r="F241" s="23">
        <f>Lowmoraypts</f>
        <v>5</v>
      </c>
    </row>
    <row r="242" spans="1:6" ht="14.95" customHeight="1" thickBot="1" x14ac:dyDescent="0.3">
      <c r="A242" s="10" t="s">
        <v>1601</v>
      </c>
      <c r="B242" s="10" t="s">
        <v>1079</v>
      </c>
      <c r="C242" s="10">
        <f>Radwannewtries</f>
        <v>1</v>
      </c>
      <c r="D242" s="25" t="s">
        <v>1548</v>
      </c>
      <c r="E242" s="25" t="s">
        <v>1080</v>
      </c>
      <c r="F242" s="23">
        <f>Mallindernorpts</f>
        <v>5</v>
      </c>
    </row>
    <row r="243" spans="1:6" ht="14.95" customHeight="1" thickBot="1" x14ac:dyDescent="0.3">
      <c r="A243" s="10" t="s">
        <v>1614</v>
      </c>
      <c r="B243" s="10" t="s">
        <v>1131</v>
      </c>
      <c r="C243" s="10">
        <f>Robshawhartries</f>
        <v>1</v>
      </c>
      <c r="D243" s="23" t="s">
        <v>1550</v>
      </c>
      <c r="E243" s="25" t="s">
        <v>1076</v>
      </c>
      <c r="F243" s="23">
        <f>McCaffreywelshpts</f>
        <v>5</v>
      </c>
    </row>
    <row r="244" spans="1:6" ht="14.95" customHeight="1" thickBot="1" x14ac:dyDescent="0.3">
      <c r="A244" s="10" t="s">
        <v>1617</v>
      </c>
      <c r="B244" s="10" t="s">
        <v>1077</v>
      </c>
      <c r="C244" s="10">
        <f>Rosssaltries</f>
        <v>1</v>
      </c>
      <c r="D244" s="25" t="s">
        <v>1551</v>
      </c>
      <c r="E244" s="25" t="s">
        <v>1075</v>
      </c>
      <c r="F244" s="23">
        <f>Maraisglopts</f>
        <v>5</v>
      </c>
    </row>
    <row r="245" spans="1:6" ht="14.95" customHeight="1" thickBot="1" x14ac:dyDescent="0.3">
      <c r="A245" s="9" t="s">
        <v>1618</v>
      </c>
      <c r="B245" s="9" t="s">
        <v>1133</v>
      </c>
      <c r="C245" s="10">
        <f>Rowlandswastries</f>
        <v>1</v>
      </c>
      <c r="D245" s="25" t="s">
        <v>1553</v>
      </c>
      <c r="E245" s="25" t="s">
        <v>1131</v>
      </c>
      <c r="F245" s="24">
        <f>Marlerharpts</f>
        <v>5</v>
      </c>
    </row>
    <row r="246" spans="1:6" ht="14.95" customHeight="1" thickBot="1" x14ac:dyDescent="0.3">
      <c r="A246" s="10" t="s">
        <v>1620</v>
      </c>
      <c r="B246" s="10" t="s">
        <v>1131</v>
      </c>
      <c r="C246" s="10">
        <f>Robsonhartries</f>
        <v>1</v>
      </c>
      <c r="D246" s="25" t="s">
        <v>1555</v>
      </c>
      <c r="E246" s="25" t="s">
        <v>1132</v>
      </c>
      <c r="F246" s="23">
        <f>Maunderexepts</f>
        <v>5</v>
      </c>
    </row>
    <row r="247" spans="1:6" ht="14.95" customHeight="1" thickBot="1" x14ac:dyDescent="0.3">
      <c r="A247" s="9" t="s">
        <v>1623</v>
      </c>
      <c r="B247" s="9" t="s">
        <v>1076</v>
      </c>
      <c r="C247" s="72">
        <f>Rowleypaultries</f>
        <v>1</v>
      </c>
      <c r="D247" s="25" t="s">
        <v>1556</v>
      </c>
      <c r="E247" s="25" t="s">
        <v>1079</v>
      </c>
      <c r="F247" s="23">
        <f>Marshallnewpts</f>
        <v>5</v>
      </c>
    </row>
    <row r="248" spans="1:6" ht="14.95" customHeight="1" thickBot="1" x14ac:dyDescent="0.3">
      <c r="A248" s="9" t="s">
        <v>1127</v>
      </c>
      <c r="B248" s="9" t="s">
        <v>1132</v>
      </c>
      <c r="C248" s="10">
        <f>Simmondsexetries</f>
        <v>1</v>
      </c>
      <c r="D248" s="25" t="s">
        <v>1837</v>
      </c>
      <c r="E248" s="25" t="s">
        <v>1077</v>
      </c>
      <c r="F248" s="23">
        <f>Mooresalpts</f>
        <v>5</v>
      </c>
    </row>
    <row r="249" spans="1:6" ht="14.95" customHeight="1" thickBot="1" x14ac:dyDescent="0.3">
      <c r="A249" s="9" t="s">
        <v>1744</v>
      </c>
      <c r="B249" s="9" t="s">
        <v>1135</v>
      </c>
      <c r="C249" s="7">
        <f>Smithleitries</f>
        <v>1</v>
      </c>
      <c r="D249" s="25" t="s">
        <v>1569</v>
      </c>
      <c r="E249" s="25" t="s">
        <v>1131</v>
      </c>
      <c r="F249" s="23">
        <f>Mulchroneharpts</f>
        <v>5</v>
      </c>
    </row>
    <row r="250" spans="1:6" ht="14.95" customHeight="1" thickBot="1" x14ac:dyDescent="0.3">
      <c r="A250" s="9" t="s">
        <v>1644</v>
      </c>
      <c r="B250" s="9" t="s">
        <v>1133</v>
      </c>
      <c r="C250" s="10">
        <f>Sopoagawastries</f>
        <v>1</v>
      </c>
      <c r="D250" s="25" t="s">
        <v>1817</v>
      </c>
      <c r="E250" s="25" t="s">
        <v>1131</v>
      </c>
      <c r="F250" s="23">
        <f>Murleyharpts</f>
        <v>5</v>
      </c>
    </row>
    <row r="251" spans="1:6" ht="14.95" customHeight="1" thickBot="1" x14ac:dyDescent="0.3">
      <c r="A251" s="9" t="s">
        <v>1316</v>
      </c>
      <c r="B251" s="9" t="s">
        <v>1133</v>
      </c>
      <c r="C251" s="10">
        <f>Taylortommywastries</f>
        <v>1</v>
      </c>
      <c r="D251" s="23" t="s">
        <v>1582</v>
      </c>
      <c r="E251" s="23" t="s">
        <v>1078</v>
      </c>
      <c r="F251" s="23">
        <f>Obanobthpts</f>
        <v>5</v>
      </c>
    </row>
    <row r="252" spans="1:6" ht="14.95" customHeight="1" thickBot="1" x14ac:dyDescent="0.3">
      <c r="A252" s="9" t="s">
        <v>1194</v>
      </c>
      <c r="B252" s="9" t="s">
        <v>1156</v>
      </c>
      <c r="C252" s="10">
        <f>Saulolirtries</f>
        <v>1</v>
      </c>
      <c r="D252" s="25" t="s">
        <v>1754</v>
      </c>
      <c r="E252" s="25" t="s">
        <v>1080</v>
      </c>
      <c r="F252" s="23">
        <f>Painternorpts</f>
        <v>5</v>
      </c>
    </row>
    <row r="253" spans="1:6" ht="14.95" customHeight="1" thickBot="1" x14ac:dyDescent="0.3">
      <c r="A253" s="9" t="s">
        <v>1664</v>
      </c>
      <c r="B253" s="9" t="s">
        <v>1135</v>
      </c>
      <c r="C253" s="10">
        <f>Thompstoneleitries</f>
        <v>1</v>
      </c>
      <c r="D253" s="25" t="s">
        <v>1311</v>
      </c>
      <c r="E253" s="25" t="s">
        <v>1077</v>
      </c>
      <c r="F253" s="23">
        <f>Phillipsjamessalpts</f>
        <v>5</v>
      </c>
    </row>
    <row r="254" spans="1:6" ht="14.95" customHeight="1" thickBot="1" x14ac:dyDescent="0.3">
      <c r="A254" s="9" t="s">
        <v>1666</v>
      </c>
      <c r="B254" s="9" t="s">
        <v>1134</v>
      </c>
      <c r="C254" s="7">
        <f>Tolofuasartries</f>
        <v>1</v>
      </c>
      <c r="D254" s="25" t="s">
        <v>1595</v>
      </c>
      <c r="E254" s="25" t="s">
        <v>1156</v>
      </c>
      <c r="F254" s="23">
        <f>Pincusbripts</f>
        <v>5</v>
      </c>
    </row>
    <row r="255" spans="1:6" ht="14.95" customHeight="1" thickBot="1" x14ac:dyDescent="0.3">
      <c r="A255" s="9" t="s">
        <v>1670</v>
      </c>
      <c r="B255" s="9" t="s">
        <v>1132</v>
      </c>
      <c r="C255" s="10">
        <f>Townsendexetries</f>
        <v>1</v>
      </c>
      <c r="D255" s="25" t="s">
        <v>1596</v>
      </c>
      <c r="E255" s="25" t="s">
        <v>1075</v>
      </c>
      <c r="F255" s="24">
        <f>Polledriglopts</f>
        <v>5</v>
      </c>
    </row>
    <row r="256" spans="1:6" ht="14.95" customHeight="1" thickBot="1" x14ac:dyDescent="0.3">
      <c r="A256" s="9" t="s">
        <v>1679</v>
      </c>
      <c r="B256" s="9" t="s">
        <v>1156</v>
      </c>
      <c r="C256" s="10">
        <f>UrenBRITRIES</f>
        <v>1</v>
      </c>
      <c r="D256" s="25" t="s">
        <v>1845</v>
      </c>
      <c r="E256" s="25" t="s">
        <v>1077</v>
      </c>
      <c r="F256" s="23">
        <f>Postlethwaitesalpts</f>
        <v>5</v>
      </c>
    </row>
    <row r="257" spans="1:6" ht="14.95" customHeight="1" thickBot="1" x14ac:dyDescent="0.3">
      <c r="A257" s="9" t="s">
        <v>1684</v>
      </c>
      <c r="B257" s="9" t="s">
        <v>1078</v>
      </c>
      <c r="C257" s="72">
        <f>van_Rooyenbthtries</f>
        <v>1</v>
      </c>
      <c r="D257" s="23" t="s">
        <v>1601</v>
      </c>
      <c r="E257" s="23" t="s">
        <v>1079</v>
      </c>
      <c r="F257" s="23">
        <f>Radwannewpts</f>
        <v>5</v>
      </c>
    </row>
    <row r="258" spans="1:6" ht="14.95" customHeight="1" thickBot="1" x14ac:dyDescent="0.3">
      <c r="A258" s="9" t="s">
        <v>1685</v>
      </c>
      <c r="B258" s="9" t="s">
        <v>1076</v>
      </c>
      <c r="C258" s="72">
        <f>Tincknelljamestries</f>
        <v>1</v>
      </c>
      <c r="D258" s="23" t="s">
        <v>1614</v>
      </c>
      <c r="E258" s="23" t="s">
        <v>1131</v>
      </c>
      <c r="F258" s="24">
        <f>Robshawharpts</f>
        <v>5</v>
      </c>
    </row>
    <row r="259" spans="1:6" ht="14.95" customHeight="1" thickBot="1" x14ac:dyDescent="0.3">
      <c r="A259" s="9" t="s">
        <v>1688</v>
      </c>
      <c r="B259" s="9" t="s">
        <v>1135</v>
      </c>
      <c r="C259" s="72">
        <f>Veainuleitries</f>
        <v>1</v>
      </c>
      <c r="D259" s="23" t="s">
        <v>1617</v>
      </c>
      <c r="E259" s="23" t="s">
        <v>1077</v>
      </c>
      <c r="F259" s="24">
        <f>Rosssalpts</f>
        <v>5</v>
      </c>
    </row>
    <row r="260" spans="1:6" ht="14.95" customHeight="1" thickBot="1" x14ac:dyDescent="0.3">
      <c r="A260" s="9" t="s">
        <v>1690</v>
      </c>
      <c r="B260" s="9" t="s">
        <v>1076</v>
      </c>
      <c r="C260" s="72">
        <f>Venterwortries</f>
        <v>1</v>
      </c>
      <c r="D260" s="25" t="s">
        <v>1618</v>
      </c>
      <c r="E260" s="25" t="s">
        <v>1133</v>
      </c>
      <c r="F260" s="23">
        <f>Rowlandswaspts</f>
        <v>5</v>
      </c>
    </row>
    <row r="261" spans="1:6" ht="14.95" customHeight="1" thickBot="1" x14ac:dyDescent="0.3">
      <c r="A261" s="9" t="s">
        <v>1114</v>
      </c>
      <c r="B261" s="9" t="s">
        <v>1134</v>
      </c>
      <c r="C261" s="10">
        <f>Vunipola_Msartries</f>
        <v>1</v>
      </c>
      <c r="D261" s="23" t="s">
        <v>1620</v>
      </c>
      <c r="E261" s="23" t="s">
        <v>1131</v>
      </c>
      <c r="F261" s="23">
        <f>Robsonharpts</f>
        <v>5</v>
      </c>
    </row>
    <row r="262" spans="1:6" ht="14.95" customHeight="1" thickBot="1" x14ac:dyDescent="0.3">
      <c r="A262" s="10" t="s">
        <v>1696</v>
      </c>
      <c r="B262" s="10" t="s">
        <v>1131</v>
      </c>
      <c r="C262" s="10">
        <f>Walkercharliehqtries</f>
        <v>1</v>
      </c>
      <c r="D262" s="25" t="s">
        <v>1623</v>
      </c>
      <c r="E262" s="25" t="s">
        <v>1076</v>
      </c>
      <c r="F262" s="23">
        <f>Rowleypaulpts</f>
        <v>5</v>
      </c>
    </row>
    <row r="263" spans="1:6" ht="14.95" customHeight="1" thickBot="1" x14ac:dyDescent="0.3">
      <c r="A263" s="9" t="s">
        <v>1107</v>
      </c>
      <c r="B263" s="9" t="s">
        <v>1080</v>
      </c>
      <c r="C263" s="10">
        <f>A_Wallertries</f>
        <v>1</v>
      </c>
      <c r="D263" s="25" t="s">
        <v>1744</v>
      </c>
      <c r="E263" s="25" t="s">
        <v>1135</v>
      </c>
      <c r="F263" s="23">
        <f>Smithleipts</f>
        <v>5</v>
      </c>
    </row>
    <row r="264" spans="1:6" ht="14.95" customHeight="1" thickBot="1" x14ac:dyDescent="0.3">
      <c r="A264" s="9" t="s">
        <v>1084</v>
      </c>
      <c r="B264" s="9" t="s">
        <v>1078</v>
      </c>
      <c r="C264" s="10">
        <f>Watsonanthonytries</f>
        <v>1</v>
      </c>
      <c r="D264" s="25" t="s">
        <v>1316</v>
      </c>
      <c r="E264" s="25" t="s">
        <v>1133</v>
      </c>
      <c r="F264" s="23">
        <f>Taylortommywaspts</f>
        <v>5</v>
      </c>
    </row>
    <row r="265" spans="1:6" ht="14.95" customHeight="1" thickBot="1" x14ac:dyDescent="0.3">
      <c r="A265" s="9" t="s">
        <v>1702</v>
      </c>
      <c r="B265" s="9" t="s">
        <v>1079</v>
      </c>
      <c r="C265" s="7">
        <f>Welchwilltries</f>
        <v>1</v>
      </c>
      <c r="D265" s="25" t="s">
        <v>1194</v>
      </c>
      <c r="E265" s="25" t="s">
        <v>1156</v>
      </c>
      <c r="F265" s="23">
        <f>Saulolirpts</f>
        <v>5</v>
      </c>
    </row>
    <row r="266" spans="1:6" ht="14.95" customHeight="1" thickBot="1" x14ac:dyDescent="0.3">
      <c r="A266" s="9" t="s">
        <v>1705</v>
      </c>
      <c r="B266" s="9" t="s">
        <v>1134</v>
      </c>
      <c r="C266" s="7">
        <f>Whiteleysartries</f>
        <v>1</v>
      </c>
      <c r="D266" s="25" t="s">
        <v>1664</v>
      </c>
      <c r="E266" s="25" t="s">
        <v>1135</v>
      </c>
      <c r="F266" s="23">
        <f>Thompstoneleipts</f>
        <v>5</v>
      </c>
    </row>
    <row r="267" spans="1:6" ht="14.95" customHeight="1" thickBot="1" x14ac:dyDescent="0.3">
      <c r="A267" s="9" t="s">
        <v>1707</v>
      </c>
      <c r="B267" s="9" t="s">
        <v>1134</v>
      </c>
      <c r="C267" s="10">
        <f>Wigglesworthrichardtries</f>
        <v>1</v>
      </c>
      <c r="D267" s="25" t="s">
        <v>1666</v>
      </c>
      <c r="E267" s="25" t="s">
        <v>1134</v>
      </c>
      <c r="F267" s="23">
        <f>Tolofuasarpts</f>
        <v>5</v>
      </c>
    </row>
    <row r="268" spans="1:6" ht="14.95" customHeight="1" thickBot="1" x14ac:dyDescent="0.3">
      <c r="A268" s="9" t="s">
        <v>1813</v>
      </c>
      <c r="B268" s="9" t="s">
        <v>1135</v>
      </c>
      <c r="C268" s="10">
        <f>Wellsharrytries</f>
        <v>1</v>
      </c>
      <c r="D268" s="25" t="s">
        <v>1670</v>
      </c>
      <c r="E268" s="25" t="s">
        <v>1132</v>
      </c>
      <c r="F268" s="23">
        <f>Townsendexepts</f>
        <v>5</v>
      </c>
    </row>
    <row r="269" spans="1:6" ht="14.95" customHeight="1" thickBot="1" x14ac:dyDescent="0.3">
      <c r="A269" s="9" t="s">
        <v>1718</v>
      </c>
      <c r="B269" s="9" t="s">
        <v>1134</v>
      </c>
      <c r="C269" s="10">
        <f>Wrayjacksontries</f>
        <v>1</v>
      </c>
      <c r="D269" s="25" t="s">
        <v>1679</v>
      </c>
      <c r="E269" s="25" t="s">
        <v>1156</v>
      </c>
      <c r="F269" s="23">
        <f>Sinclairjebbpts</f>
        <v>5</v>
      </c>
    </row>
    <row r="270" spans="1:6" ht="14.95" customHeight="1" thickBot="1" x14ac:dyDescent="0.3">
      <c r="A270" s="9" t="s">
        <v>1104</v>
      </c>
      <c r="B270" s="9" t="s">
        <v>1079</v>
      </c>
      <c r="C270" s="10">
        <f>Yorkchristries</f>
        <v>1</v>
      </c>
      <c r="D270" s="25" t="s">
        <v>1684</v>
      </c>
      <c r="E270" s="25" t="s">
        <v>1078</v>
      </c>
      <c r="F270" s="23">
        <f>van_Rooyenbthpts</f>
        <v>5</v>
      </c>
    </row>
    <row r="271" spans="1:6" ht="14.95" customHeight="1" thickBot="1" x14ac:dyDescent="0.3">
      <c r="A271" s="9" t="s">
        <v>1097</v>
      </c>
      <c r="B271" s="9" t="s">
        <v>1135</v>
      </c>
      <c r="C271" s="10">
        <f>youngsbentries</f>
        <v>1</v>
      </c>
      <c r="D271" s="25" t="s">
        <v>1685</v>
      </c>
      <c r="E271" s="25" t="s">
        <v>1076</v>
      </c>
      <c r="F271" s="24">
        <f>Tincknelljamespts</f>
        <v>5</v>
      </c>
    </row>
    <row r="272" spans="1:6" ht="14.95" customHeight="1" thickBot="1" x14ac:dyDescent="0.3">
      <c r="A272" s="9" t="s">
        <v>1332</v>
      </c>
      <c r="B272" s="9" t="s">
        <v>1156</v>
      </c>
      <c r="C272" s="10">
        <f>afoabritries</f>
        <v>0</v>
      </c>
      <c r="D272" s="25" t="s">
        <v>1688</v>
      </c>
      <c r="E272" s="25" t="s">
        <v>1135</v>
      </c>
      <c r="F272" s="23">
        <f>Veainuleipts</f>
        <v>5</v>
      </c>
    </row>
    <row r="273" spans="1:6" ht="14.95" customHeight="1" thickBot="1" x14ac:dyDescent="0.3">
      <c r="A273" s="9" t="s">
        <v>1333</v>
      </c>
      <c r="B273" s="9" t="s">
        <v>1131</v>
      </c>
      <c r="C273" s="10">
        <f>Alofafartries</f>
        <v>0</v>
      </c>
      <c r="D273" s="25" t="s">
        <v>1690</v>
      </c>
      <c r="E273" s="25" t="s">
        <v>1076</v>
      </c>
      <c r="F273" s="24">
        <f>Venterworpts</f>
        <v>5</v>
      </c>
    </row>
    <row r="274" spans="1:6" ht="14.95" customHeight="1" thickBot="1" x14ac:dyDescent="0.3">
      <c r="A274" s="9" t="s">
        <v>1370</v>
      </c>
      <c r="B274" s="9" t="s">
        <v>1156</v>
      </c>
      <c r="C274" s="72">
        <f>Armstrongbritries</f>
        <v>0</v>
      </c>
      <c r="D274" s="25" t="s">
        <v>1114</v>
      </c>
      <c r="E274" s="25" t="s">
        <v>1134</v>
      </c>
      <c r="F274" s="23">
        <f>Vunipola_Msarpts</f>
        <v>5</v>
      </c>
    </row>
    <row r="275" spans="1:6" ht="14.95" customHeight="1" thickBot="1" x14ac:dyDescent="0.3">
      <c r="A275" s="259" t="s">
        <v>1336</v>
      </c>
      <c r="B275" s="259" t="s">
        <v>1076</v>
      </c>
      <c r="C275" s="10">
        <f>Barkleyollytries</f>
        <v>0</v>
      </c>
      <c r="D275" s="23" t="s">
        <v>1696</v>
      </c>
      <c r="E275" s="23" t="s">
        <v>1131</v>
      </c>
      <c r="F275" s="23">
        <f>Walkercharliepts</f>
        <v>5</v>
      </c>
    </row>
    <row r="276" spans="1:6" ht="14.95" customHeight="1" thickBot="1" x14ac:dyDescent="0.3">
      <c r="A276" s="9" t="s">
        <v>1337</v>
      </c>
      <c r="B276" s="9" t="s">
        <v>1079</v>
      </c>
      <c r="C276" s="10">
        <f>Arscottnewtries</f>
        <v>0</v>
      </c>
      <c r="D276" s="25" t="s">
        <v>1107</v>
      </c>
      <c r="E276" s="25" t="s">
        <v>1080</v>
      </c>
      <c r="F276" s="22">
        <f>A_Wallerpts</f>
        <v>5</v>
      </c>
    </row>
    <row r="277" spans="1:6" ht="14.95" customHeight="1" thickBot="1" x14ac:dyDescent="0.3">
      <c r="A277" s="10" t="s">
        <v>1338</v>
      </c>
      <c r="B277" s="10" t="s">
        <v>1135</v>
      </c>
      <c r="C277" s="10">
        <f>Barbierileitries</f>
        <v>0</v>
      </c>
      <c r="D277" s="25" t="s">
        <v>1084</v>
      </c>
      <c r="E277" s="25" t="s">
        <v>1078</v>
      </c>
      <c r="F277" s="24">
        <f>Watsonanthonypts</f>
        <v>5</v>
      </c>
    </row>
    <row r="278" spans="1:6" ht="14.95" customHeight="1" thickBot="1" x14ac:dyDescent="0.3">
      <c r="A278" s="259" t="s">
        <v>1081</v>
      </c>
      <c r="B278" s="259" t="s">
        <v>1078</v>
      </c>
      <c r="C278" s="10">
        <f>Atkinsbthtries</f>
        <v>0</v>
      </c>
      <c r="D278" s="3" t="s">
        <v>1702</v>
      </c>
      <c r="E278" s="3" t="s">
        <v>1079</v>
      </c>
      <c r="F278" s="24">
        <f>Welchwillpts</f>
        <v>5</v>
      </c>
    </row>
    <row r="279" spans="1:6" ht="14.95" customHeight="1" thickBot="1" x14ac:dyDescent="0.3">
      <c r="A279" s="11" t="s">
        <v>1294</v>
      </c>
      <c r="B279" s="11" t="s">
        <v>1132</v>
      </c>
      <c r="C279" s="10">
        <f>Batemangregtries</f>
        <v>0</v>
      </c>
      <c r="D279" s="3" t="s">
        <v>1707</v>
      </c>
      <c r="E279" s="3" t="s">
        <v>1134</v>
      </c>
      <c r="F279" s="21">
        <f>Wigglesworthrichardpts</f>
        <v>5</v>
      </c>
    </row>
    <row r="280" spans="1:6" ht="14.95" customHeight="1" thickBot="1" x14ac:dyDescent="0.3">
      <c r="A280" s="93" t="s">
        <v>1269</v>
      </c>
      <c r="B280" s="93" t="s">
        <v>1133</v>
      </c>
      <c r="C280" s="72">
        <f>Armitagewastries</f>
        <v>0</v>
      </c>
      <c r="D280" s="3" t="s">
        <v>1813</v>
      </c>
      <c r="E280" s="3" t="s">
        <v>1135</v>
      </c>
      <c r="F280" s="20">
        <f>Wellsharrypts</f>
        <v>5</v>
      </c>
    </row>
    <row r="281" spans="1:6" ht="14.95" customHeight="1" thickBot="1" x14ac:dyDescent="0.3">
      <c r="A281" s="11" t="s">
        <v>1339</v>
      </c>
      <c r="B281" s="11" t="s">
        <v>1078</v>
      </c>
      <c r="C281" s="7">
        <f>Attwooddavetries</f>
        <v>0</v>
      </c>
      <c r="D281" s="3" t="s">
        <v>1718</v>
      </c>
      <c r="E281" s="3" t="s">
        <v>1134</v>
      </c>
      <c r="F281" s="2">
        <f>Wrayjacksonpts</f>
        <v>5</v>
      </c>
    </row>
    <row r="282" spans="1:6" ht="14.95" customHeight="1" thickBot="1" x14ac:dyDescent="0.3">
      <c r="A282" s="93" t="s">
        <v>1340</v>
      </c>
      <c r="B282" s="93" t="s">
        <v>1131</v>
      </c>
      <c r="C282" s="10">
        <f>Auterachartries</f>
        <v>0</v>
      </c>
      <c r="D282" s="3" t="s">
        <v>1104</v>
      </c>
      <c r="E282" s="3" t="s">
        <v>1079</v>
      </c>
      <c r="F282" s="20">
        <f>Yorkchrispts</f>
        <v>5</v>
      </c>
    </row>
    <row r="283" spans="1:6" ht="14.95" customHeight="1" thickBot="1" x14ac:dyDescent="0.3">
      <c r="A283" s="453" t="s">
        <v>1341</v>
      </c>
      <c r="B283" s="453" t="s">
        <v>1076</v>
      </c>
      <c r="C283" s="10">
        <f>Brittonweltries</f>
        <v>0</v>
      </c>
      <c r="D283" s="3" t="s">
        <v>1097</v>
      </c>
      <c r="E283" s="3" t="s">
        <v>1135</v>
      </c>
      <c r="F283" s="20">
        <f>Youngsbenptscorrect</f>
        <v>5</v>
      </c>
    </row>
    <row r="284" spans="1:6" ht="14.95" customHeight="1" thickBot="1" x14ac:dyDescent="0.3">
      <c r="A284" s="93" t="s">
        <v>1774</v>
      </c>
      <c r="B284" s="93" t="s">
        <v>1133</v>
      </c>
      <c r="C284" s="10">
        <f>Barbearywastrie</f>
        <v>0</v>
      </c>
      <c r="D284" s="239" t="s">
        <v>1377</v>
      </c>
      <c r="E284" s="239" t="s">
        <v>1131</v>
      </c>
      <c r="F284" s="20">
        <f>Catrakilisharpts</f>
        <v>4</v>
      </c>
    </row>
    <row r="285" spans="1:6" ht="14.95" customHeight="1" thickBot="1" x14ac:dyDescent="0.3">
      <c r="A285" s="93" t="s">
        <v>1344</v>
      </c>
      <c r="B285" s="93" t="s">
        <v>1134</v>
      </c>
      <c r="C285" s="10">
        <f>Barringtonrichardtries</f>
        <v>0</v>
      </c>
      <c r="D285" s="3" t="s">
        <v>1841</v>
      </c>
      <c r="E285" s="3" t="s">
        <v>1156</v>
      </c>
      <c r="F285" s="20">
        <f>Danielsbripts</f>
        <v>4</v>
      </c>
    </row>
    <row r="286" spans="1:6" ht="14.95" customHeight="1" thickBot="1" x14ac:dyDescent="0.3">
      <c r="A286" s="14" t="s">
        <v>1345</v>
      </c>
      <c r="B286" s="14" t="s">
        <v>1134</v>
      </c>
      <c r="C286" s="7">
        <f>Barrittbradtries</f>
        <v>0</v>
      </c>
      <c r="D286" s="3" t="s">
        <v>1483</v>
      </c>
      <c r="E286" s="3" t="s">
        <v>1079</v>
      </c>
      <c r="F286" s="26">
        <f>Hawkinsnewpts</f>
        <v>4</v>
      </c>
    </row>
    <row r="287" spans="1:6" ht="14.95" customHeight="1" thickBot="1" x14ac:dyDescent="0.3">
      <c r="A287" s="93" t="s">
        <v>1346</v>
      </c>
      <c r="B287" s="93" t="s">
        <v>1080</v>
      </c>
      <c r="C287" s="10">
        <f>Barrownortries</f>
        <v>0</v>
      </c>
      <c r="D287" s="451" t="s">
        <v>1081</v>
      </c>
      <c r="E287" s="451" t="s">
        <v>1078</v>
      </c>
      <c r="F287" s="455">
        <f>Atkinsbthpts</f>
        <v>3</v>
      </c>
    </row>
    <row r="288" spans="1:6" ht="14.95" customHeight="1" thickBot="1" x14ac:dyDescent="0.3">
      <c r="A288" s="11" t="s">
        <v>1348</v>
      </c>
      <c r="B288" s="11" t="s">
        <v>1079</v>
      </c>
      <c r="C288" s="10">
        <f>Bashamnewtries</f>
        <v>0</v>
      </c>
      <c r="D288" s="3" t="s">
        <v>1473</v>
      </c>
      <c r="E288" s="3" t="s">
        <v>1135</v>
      </c>
      <c r="F288" s="455">
        <f>Hardwickleicpts</f>
        <v>3</v>
      </c>
    </row>
    <row r="289" spans="1:6" ht="14.95" customHeight="1" thickBot="1" x14ac:dyDescent="0.3">
      <c r="A289" s="11" t="s">
        <v>1371</v>
      </c>
      <c r="B289" s="11" t="s">
        <v>1135</v>
      </c>
      <c r="C289" s="10">
        <f>Batemanleitries</f>
        <v>0</v>
      </c>
      <c r="D289" s="3" t="s">
        <v>1148</v>
      </c>
      <c r="E289" s="3" t="s">
        <v>1078</v>
      </c>
      <c r="F289" s="26">
        <f>Daviesbthpts</f>
        <v>2</v>
      </c>
    </row>
    <row r="290" spans="1:6" ht="14.95" customHeight="1" thickBot="1" x14ac:dyDescent="0.3">
      <c r="A290" s="93" t="s">
        <v>1351</v>
      </c>
      <c r="B290" s="93" t="s">
        <v>1078</v>
      </c>
      <c r="C290" s="10">
        <f>Baylissbthtries</f>
        <v>0</v>
      </c>
      <c r="D290" s="3" t="s">
        <v>1446</v>
      </c>
      <c r="E290" s="3" t="s">
        <v>1078</v>
      </c>
      <c r="F290" s="26">
        <f>Fotuali_ibthpts</f>
        <v>2</v>
      </c>
    </row>
    <row r="291" spans="1:6" ht="14.95" customHeight="1" thickBot="1" x14ac:dyDescent="0.3">
      <c r="A291" s="93" t="s">
        <v>1353</v>
      </c>
      <c r="B291" s="93" t="s">
        <v>1076</v>
      </c>
      <c r="C291" s="10">
        <f>Beckwortries</f>
        <v>0</v>
      </c>
      <c r="D291" s="3" t="s">
        <v>1808</v>
      </c>
      <c r="E291" s="3" t="s">
        <v>1078</v>
      </c>
      <c r="F291" s="26">
        <f>Wilson__Jamesbthptscorrect</f>
        <v>2</v>
      </c>
    </row>
    <row r="292" spans="1:6" ht="14.95" customHeight="1" thickBot="1" x14ac:dyDescent="0.3">
      <c r="A292" s="93" t="s">
        <v>1781</v>
      </c>
      <c r="B292" s="93" t="s">
        <v>1156</v>
      </c>
      <c r="C292" s="10">
        <f>bedlowbritries</f>
        <v>0</v>
      </c>
      <c r="D292" s="3" t="s">
        <v>1332</v>
      </c>
      <c r="E292" s="3" t="s">
        <v>1156</v>
      </c>
      <c r="F292" s="27">
        <f>afoabripts</f>
        <v>0</v>
      </c>
    </row>
    <row r="293" spans="1:6" ht="14.95" customHeight="1" thickBot="1" x14ac:dyDescent="0.3">
      <c r="A293" s="93" t="s">
        <v>1329</v>
      </c>
      <c r="B293" s="93" t="s">
        <v>1079</v>
      </c>
      <c r="C293" s="10">
        <f>Bettencourtnewtries</f>
        <v>0</v>
      </c>
      <c r="D293" s="3" t="s">
        <v>1333</v>
      </c>
      <c r="E293" s="3" t="s">
        <v>1131</v>
      </c>
      <c r="F293" s="27">
        <f>Alofaharpts</f>
        <v>0</v>
      </c>
    </row>
    <row r="294" spans="1:6" ht="14.95" customHeight="1" thickBot="1" x14ac:dyDescent="0.3">
      <c r="A294" s="93" t="s">
        <v>1355</v>
      </c>
      <c r="B294" s="93" t="s">
        <v>1076</v>
      </c>
      <c r="C294" s="10">
        <f>Blackwortries</f>
        <v>0</v>
      </c>
      <c r="D294" s="3" t="s">
        <v>1370</v>
      </c>
      <c r="E294" s="3" t="s">
        <v>1156</v>
      </c>
      <c r="F294" s="27">
        <f>Armstrongbripts</f>
        <v>0</v>
      </c>
    </row>
    <row r="295" spans="1:6" ht="14.95" customHeight="1" thickBot="1" x14ac:dyDescent="0.3">
      <c r="A295" s="11" t="s">
        <v>1356</v>
      </c>
      <c r="B295" s="11" t="s">
        <v>1132</v>
      </c>
      <c r="C295" s="10">
        <f>Bodillyexetries</f>
        <v>0</v>
      </c>
      <c r="D295" s="451" t="s">
        <v>1336</v>
      </c>
      <c r="E295" s="451" t="s">
        <v>1076</v>
      </c>
      <c r="F295" s="27">
        <f>Barkleyollypts</f>
        <v>0</v>
      </c>
    </row>
    <row r="296" spans="1:6" ht="14.95" customHeight="1" thickBot="1" x14ac:dyDescent="0.3">
      <c r="A296" s="93" t="s">
        <v>1358</v>
      </c>
      <c r="B296" s="93" t="s">
        <v>1131</v>
      </c>
      <c r="C296" s="10">
        <f>Bothmahartries</f>
        <v>0</v>
      </c>
      <c r="D296" s="3" t="s">
        <v>1337</v>
      </c>
      <c r="E296" s="3" t="s">
        <v>1079</v>
      </c>
      <c r="F296" s="27">
        <f>Arscottnewpts</f>
        <v>0</v>
      </c>
    </row>
    <row r="297" spans="1:6" ht="14.95" customHeight="1" thickBot="1" x14ac:dyDescent="0.3">
      <c r="A297" s="93" t="s">
        <v>1359</v>
      </c>
      <c r="B297" s="93" t="s">
        <v>1076</v>
      </c>
      <c r="C297" s="10">
        <f>Cooperweltries</f>
        <v>0</v>
      </c>
      <c r="D297" s="21" t="s">
        <v>1338</v>
      </c>
      <c r="E297" s="21" t="s">
        <v>1135</v>
      </c>
      <c r="F297" s="20">
        <f>Barbierileipts</f>
        <v>0</v>
      </c>
    </row>
    <row r="298" spans="1:6" ht="14.95" customHeight="1" thickBot="1" x14ac:dyDescent="0.3">
      <c r="A298" s="93" t="s">
        <v>1360</v>
      </c>
      <c r="B298" s="93" t="s">
        <v>1131</v>
      </c>
      <c r="C298" s="10">
        <f>Boycehartries</f>
        <v>0</v>
      </c>
      <c r="D298" s="21" t="s">
        <v>1294</v>
      </c>
      <c r="E298" s="21" t="s">
        <v>1132</v>
      </c>
      <c r="F298" s="23">
        <f>Batemangregpts</f>
        <v>0</v>
      </c>
    </row>
    <row r="299" spans="1:6" ht="14.95" customHeight="1" thickBot="1" x14ac:dyDescent="0.3">
      <c r="A299" s="93" t="s">
        <v>1732</v>
      </c>
      <c r="B299" s="93" t="s">
        <v>1076</v>
      </c>
      <c r="C299" s="10">
        <f>Breslerwortries</f>
        <v>0</v>
      </c>
      <c r="D299" s="3" t="s">
        <v>1269</v>
      </c>
      <c r="E299" s="3" t="s">
        <v>1133</v>
      </c>
      <c r="F299" s="23">
        <f>Armitagewaspts</f>
        <v>0</v>
      </c>
    </row>
    <row r="300" spans="1:6" ht="14.95" customHeight="1" thickBot="1" x14ac:dyDescent="0.3">
      <c r="A300" s="93" t="s">
        <v>1362</v>
      </c>
      <c r="B300" s="93" t="s">
        <v>1078</v>
      </c>
      <c r="C300" s="10">
        <f>Brewbthtries</f>
        <v>0</v>
      </c>
      <c r="D300" s="21" t="s">
        <v>1339</v>
      </c>
      <c r="E300" s="21" t="s">
        <v>1078</v>
      </c>
      <c r="F300" s="23">
        <f>Attwooddavepts</f>
        <v>0</v>
      </c>
    </row>
    <row r="301" spans="1:6" ht="14.95" customHeight="1" thickBot="1" x14ac:dyDescent="0.3">
      <c r="A301" s="93" t="s">
        <v>1829</v>
      </c>
      <c r="B301" s="93" t="s">
        <v>1077</v>
      </c>
      <c r="C301" s="10">
        <f>Bristowsaltries</f>
        <v>0</v>
      </c>
      <c r="D301" s="3" t="s">
        <v>1340</v>
      </c>
      <c r="E301" s="3" t="s">
        <v>1131</v>
      </c>
      <c r="F301" s="23">
        <f>Auteracharpts</f>
        <v>0</v>
      </c>
    </row>
    <row r="302" spans="1:6" ht="14.95" customHeight="1" thickBot="1" x14ac:dyDescent="0.3">
      <c r="A302" s="93" t="s">
        <v>1363</v>
      </c>
      <c r="B302" s="93" t="s">
        <v>1133</v>
      </c>
      <c r="C302" s="10">
        <f>Brookeswastries</f>
        <v>0</v>
      </c>
      <c r="D302" s="451" t="s">
        <v>1341</v>
      </c>
      <c r="E302" s="451" t="s">
        <v>1076</v>
      </c>
      <c r="F302" s="23">
        <f>Brittonwelpts</f>
        <v>0</v>
      </c>
    </row>
    <row r="303" spans="1:6" ht="14.95" customHeight="1" thickBot="1" x14ac:dyDescent="0.3">
      <c r="A303" s="93" t="s">
        <v>1365</v>
      </c>
      <c r="B303" s="93" t="s">
        <v>1080</v>
      </c>
      <c r="C303" s="10">
        <f>Brussownortries</f>
        <v>0</v>
      </c>
      <c r="D303" s="3" t="s">
        <v>1774</v>
      </c>
      <c r="E303" s="3" t="s">
        <v>1133</v>
      </c>
      <c r="F303" s="23">
        <f>Barbearywaspts</f>
        <v>0</v>
      </c>
    </row>
    <row r="304" spans="1:6" ht="14.95" customHeight="1" thickBot="1" x14ac:dyDescent="0.3">
      <c r="A304" s="93" t="s">
        <v>1366</v>
      </c>
      <c r="B304" s="93" t="s">
        <v>1131</v>
      </c>
      <c r="C304" s="7">
        <f>buchanantries</f>
        <v>0</v>
      </c>
      <c r="D304" s="3" t="s">
        <v>1344</v>
      </c>
      <c r="E304" s="3" t="s">
        <v>1134</v>
      </c>
      <c r="F304" s="23">
        <f>Barringtonrichardpts</f>
        <v>0</v>
      </c>
    </row>
    <row r="305" spans="1:6" ht="14.95" customHeight="1" thickBot="1" x14ac:dyDescent="0.3">
      <c r="A305" s="11" t="s">
        <v>1369</v>
      </c>
      <c r="B305" s="11" t="s">
        <v>1079</v>
      </c>
      <c r="C305" s="10">
        <f>Burrowsnewtries</f>
        <v>0</v>
      </c>
      <c r="D305" s="239" t="s">
        <v>1345</v>
      </c>
      <c r="E305" s="239" t="s">
        <v>1134</v>
      </c>
      <c r="F305" s="23">
        <f>Barrittbradpts</f>
        <v>0</v>
      </c>
    </row>
    <row r="306" spans="1:6" ht="14.95" customHeight="1" thickBot="1" x14ac:dyDescent="0.3">
      <c r="A306" s="93" t="s">
        <v>1373</v>
      </c>
      <c r="B306" s="93" t="s">
        <v>1076</v>
      </c>
      <c r="C306" s="11">
        <f>Daviesalextries</f>
        <v>0</v>
      </c>
      <c r="D306" s="3" t="s">
        <v>1346</v>
      </c>
      <c r="E306" s="3" t="s">
        <v>1080</v>
      </c>
      <c r="F306" s="23">
        <f>Barrownorpts</f>
        <v>0</v>
      </c>
    </row>
    <row r="307" spans="1:6" ht="14.95" customHeight="1" thickBot="1" x14ac:dyDescent="0.3">
      <c r="A307" s="93" t="s">
        <v>1374</v>
      </c>
      <c r="B307" s="93" t="s">
        <v>1133</v>
      </c>
      <c r="C307" s="11">
        <f>Campagnarowastries</f>
        <v>0</v>
      </c>
      <c r="D307" s="21" t="s">
        <v>1348</v>
      </c>
      <c r="E307" s="21" t="s">
        <v>1079</v>
      </c>
      <c r="F307" s="24">
        <f>Bashamnewpts</f>
        <v>0</v>
      </c>
    </row>
    <row r="308" spans="1:6" ht="14.95" customHeight="1" thickBot="1" x14ac:dyDescent="0.3">
      <c r="A308" s="403" t="s">
        <v>1377</v>
      </c>
      <c r="B308" s="403" t="s">
        <v>1131</v>
      </c>
      <c r="C308" s="454">
        <f>Catrakilishartries</f>
        <v>0</v>
      </c>
      <c r="D308" s="23" t="s">
        <v>1371</v>
      </c>
      <c r="E308" s="23" t="s">
        <v>1135</v>
      </c>
      <c r="F308" s="22">
        <f>Batemanleipts</f>
        <v>0</v>
      </c>
    </row>
    <row r="309" spans="1:6" ht="14.95" customHeight="1" thickBot="1" x14ac:dyDescent="0.3">
      <c r="A309" s="9" t="s">
        <v>1379</v>
      </c>
      <c r="B309" s="9" t="s">
        <v>1079</v>
      </c>
      <c r="C309" s="10">
        <f>Blairtries</f>
        <v>0</v>
      </c>
      <c r="D309" s="25" t="s">
        <v>1351</v>
      </c>
      <c r="E309" s="25" t="s">
        <v>1078</v>
      </c>
      <c r="F309" s="23">
        <f>Baylissbthpts</f>
        <v>0</v>
      </c>
    </row>
    <row r="310" spans="1:6" ht="14.95" customHeight="1" thickBot="1" x14ac:dyDescent="0.3">
      <c r="A310" s="9" t="s">
        <v>1772</v>
      </c>
      <c r="B310" s="9" t="s">
        <v>1075</v>
      </c>
      <c r="C310" s="10">
        <f>Chapmanglotries</f>
        <v>0</v>
      </c>
      <c r="D310" s="25" t="s">
        <v>1353</v>
      </c>
      <c r="E310" s="25" t="s">
        <v>1076</v>
      </c>
      <c r="F310" s="23">
        <f>Beckworpts</f>
        <v>0</v>
      </c>
    </row>
    <row r="311" spans="1:6" ht="14.95" customHeight="1" thickBot="1" x14ac:dyDescent="0.3">
      <c r="A311" s="9" t="s">
        <v>1380</v>
      </c>
      <c r="B311" s="9" t="s">
        <v>1078</v>
      </c>
      <c r="C311" s="10">
        <f>Charterisbthtries</f>
        <v>0</v>
      </c>
      <c r="D311" s="25" t="s">
        <v>1781</v>
      </c>
      <c r="E311" s="25" t="s">
        <v>1156</v>
      </c>
      <c r="F311" s="23">
        <f>Bedlowbripts</f>
        <v>0</v>
      </c>
    </row>
    <row r="312" spans="1:6" ht="14.95" customHeight="1" thickBot="1" x14ac:dyDescent="0.3">
      <c r="A312" s="9" t="s">
        <v>1381</v>
      </c>
      <c r="B312" s="9" t="s">
        <v>1131</v>
      </c>
      <c r="C312" s="10">
        <f>Cheesemanhartries</f>
        <v>0</v>
      </c>
      <c r="D312" s="25" t="s">
        <v>1329</v>
      </c>
      <c r="E312" s="25" t="s">
        <v>1079</v>
      </c>
      <c r="F312" s="23">
        <f>Bettencourtnewpts</f>
        <v>0</v>
      </c>
    </row>
    <row r="313" spans="1:6" ht="14.95" customHeight="1" thickBot="1" x14ac:dyDescent="0.3">
      <c r="A313" s="9" t="s">
        <v>1296</v>
      </c>
      <c r="B313" s="9" t="s">
        <v>1078</v>
      </c>
      <c r="C313" s="10">
        <f>Clarkbattries</f>
        <v>0</v>
      </c>
      <c r="D313" s="25" t="s">
        <v>1355</v>
      </c>
      <c r="E313" s="25" t="s">
        <v>1076</v>
      </c>
      <c r="F313" s="23">
        <f>Blackworpts</f>
        <v>0</v>
      </c>
    </row>
    <row r="314" spans="1:6" ht="14.95" customHeight="1" thickBot="1" x14ac:dyDescent="0.3">
      <c r="A314" s="9" t="s">
        <v>1735</v>
      </c>
      <c r="B314" s="9" t="s">
        <v>1076</v>
      </c>
      <c r="C314" s="10">
        <f>Cleggwortries</f>
        <v>0</v>
      </c>
      <c r="D314" s="23" t="s">
        <v>1356</v>
      </c>
      <c r="E314" s="23" t="s">
        <v>1132</v>
      </c>
      <c r="F314" s="23">
        <f>Bodillyexepts</f>
        <v>0</v>
      </c>
    </row>
    <row r="315" spans="1:6" ht="14.95" customHeight="1" thickBot="1" x14ac:dyDescent="0.3">
      <c r="A315" s="9" t="s">
        <v>1389</v>
      </c>
      <c r="B315" s="9" t="s">
        <v>1135</v>
      </c>
      <c r="C315" s="10">
        <f>Coleleitries</f>
        <v>0</v>
      </c>
      <c r="D315" s="25" t="s">
        <v>1358</v>
      </c>
      <c r="E315" s="25" t="s">
        <v>1131</v>
      </c>
      <c r="F315" s="23">
        <f>Bothmaharpts</f>
        <v>0</v>
      </c>
    </row>
    <row r="316" spans="1:6" ht="14.95" customHeight="1" thickBot="1" x14ac:dyDescent="0.3">
      <c r="A316" s="9" t="s">
        <v>1827</v>
      </c>
      <c r="B316" s="9" t="s">
        <v>1080</v>
      </c>
      <c r="C316" s="10">
        <f>Colesnortries</f>
        <v>0</v>
      </c>
      <c r="D316" s="25" t="s">
        <v>1359</v>
      </c>
      <c r="E316" s="25" t="s">
        <v>1076</v>
      </c>
      <c r="F316" s="23">
        <f>Cooperwelpts</f>
        <v>0</v>
      </c>
    </row>
    <row r="317" spans="1:6" ht="14.95" customHeight="1" thickBot="1" x14ac:dyDescent="0.3">
      <c r="A317" s="9" t="s">
        <v>1390</v>
      </c>
      <c r="B317" s="9" t="s">
        <v>1079</v>
      </c>
      <c r="C317" s="10">
        <f>Collettnewtries</f>
        <v>0</v>
      </c>
      <c r="D317" s="25" t="s">
        <v>1360</v>
      </c>
      <c r="E317" s="25" t="s">
        <v>1131</v>
      </c>
      <c r="F317" s="23">
        <f>Boyceharpts</f>
        <v>0</v>
      </c>
    </row>
    <row r="318" spans="1:6" ht="14.95" customHeight="1" thickBot="1" x14ac:dyDescent="0.3">
      <c r="A318" s="9" t="s">
        <v>1391</v>
      </c>
      <c r="B318" s="9" t="s">
        <v>1131</v>
      </c>
      <c r="C318" s="450">
        <f>Collierhartries</f>
        <v>0</v>
      </c>
      <c r="D318" s="25" t="s">
        <v>1732</v>
      </c>
      <c r="E318" s="25" t="s">
        <v>1076</v>
      </c>
      <c r="F318" s="26">
        <f>Breslerworpts</f>
        <v>0</v>
      </c>
    </row>
    <row r="319" spans="1:6" ht="14.95" customHeight="1" thickBot="1" x14ac:dyDescent="0.3">
      <c r="A319" s="9" t="s">
        <v>1393</v>
      </c>
      <c r="B319" s="9" t="s">
        <v>1079</v>
      </c>
      <c r="C319" s="10">
        <f>Connonnewtriescorrect</f>
        <v>0</v>
      </c>
      <c r="D319" s="25" t="s">
        <v>1362</v>
      </c>
      <c r="E319" s="25" t="s">
        <v>1078</v>
      </c>
      <c r="F319" s="23">
        <f>Brewbthpts</f>
        <v>0</v>
      </c>
    </row>
    <row r="320" spans="1:6" ht="14.95" customHeight="1" thickBot="1" x14ac:dyDescent="0.3">
      <c r="A320" s="9" t="s">
        <v>1395</v>
      </c>
      <c r="B320" s="9" t="s">
        <v>1079</v>
      </c>
      <c r="C320" s="10">
        <f>Coopernewtries</f>
        <v>0</v>
      </c>
      <c r="D320" s="25" t="s">
        <v>1829</v>
      </c>
      <c r="E320" s="25" t="s">
        <v>1077</v>
      </c>
      <c r="F320" s="23">
        <f>Bristowsalpts</f>
        <v>0</v>
      </c>
    </row>
    <row r="321" spans="1:6" ht="14.95" customHeight="1" thickBot="1" x14ac:dyDescent="0.3">
      <c r="A321" s="9" t="s">
        <v>1396</v>
      </c>
      <c r="B321" s="9" t="s">
        <v>1133</v>
      </c>
      <c r="C321" s="10">
        <f>Cooper_Woolleywastries</f>
        <v>0</v>
      </c>
      <c r="D321" s="25" t="s">
        <v>1363</v>
      </c>
      <c r="E321" s="25" t="s">
        <v>1133</v>
      </c>
      <c r="F321" s="23">
        <f>Brookeswaspts</f>
        <v>0</v>
      </c>
    </row>
    <row r="322" spans="1:6" ht="14.95" customHeight="1" thickBot="1" x14ac:dyDescent="0.3">
      <c r="A322" s="9" t="s">
        <v>1398</v>
      </c>
      <c r="B322" s="9" t="s">
        <v>1135</v>
      </c>
      <c r="C322" s="10">
        <f>Croftleitries</f>
        <v>0</v>
      </c>
      <c r="D322" s="25" t="s">
        <v>1365</v>
      </c>
      <c r="E322" s="25" t="s">
        <v>1080</v>
      </c>
      <c r="F322" s="23">
        <f>Brussownorpts</f>
        <v>0</v>
      </c>
    </row>
    <row r="323" spans="1:6" ht="14.95" customHeight="1" thickBot="1" x14ac:dyDescent="0.3">
      <c r="A323" s="9" t="s">
        <v>1399</v>
      </c>
      <c r="B323" s="9" t="s">
        <v>1156</v>
      </c>
      <c r="C323" s="10">
        <f>Comanlirtries</f>
        <v>0</v>
      </c>
      <c r="D323" s="25" t="s">
        <v>1366</v>
      </c>
      <c r="E323" s="25" t="s">
        <v>1131</v>
      </c>
      <c r="F323" s="23">
        <f>Buchananpts</f>
        <v>0</v>
      </c>
    </row>
    <row r="324" spans="1:6" ht="14.95" customHeight="1" thickBot="1" x14ac:dyDescent="0.3">
      <c r="A324" s="9" t="s">
        <v>1736</v>
      </c>
      <c r="B324" s="9" t="s">
        <v>1076</v>
      </c>
      <c r="C324" s="10">
        <f>Coxwortries</f>
        <v>0</v>
      </c>
      <c r="D324" s="23" t="s">
        <v>1369</v>
      </c>
      <c r="E324" s="23" t="s">
        <v>1079</v>
      </c>
      <c r="F324" s="23">
        <f>Burrowsnewpts</f>
        <v>0</v>
      </c>
    </row>
    <row r="325" spans="1:6" ht="14.95" customHeight="1" thickBot="1" x14ac:dyDescent="0.3">
      <c r="A325" s="10" t="s">
        <v>1401</v>
      </c>
      <c r="B325" s="9" t="s">
        <v>1080</v>
      </c>
      <c r="C325" s="10">
        <f>Craignortries</f>
        <v>0</v>
      </c>
      <c r="D325" s="25" t="s">
        <v>1373</v>
      </c>
      <c r="E325" s="25" t="s">
        <v>1076</v>
      </c>
      <c r="F325" s="23">
        <f>Daviesalexpts</f>
        <v>0</v>
      </c>
    </row>
    <row r="326" spans="1:6" ht="14.95" customHeight="1" thickBot="1" x14ac:dyDescent="0.3">
      <c r="A326" s="9" t="s">
        <v>1800</v>
      </c>
      <c r="B326" s="9" t="s">
        <v>1134</v>
      </c>
      <c r="C326" s="10">
        <f>Crossdalesartries</f>
        <v>0</v>
      </c>
      <c r="D326" s="25" t="s">
        <v>1374</v>
      </c>
      <c r="E326" s="25" t="s">
        <v>1133</v>
      </c>
      <c r="F326" s="22">
        <f>Campagnarowaspts</f>
        <v>0</v>
      </c>
    </row>
    <row r="327" spans="1:6" ht="14.95" customHeight="1" thickBot="1" x14ac:dyDescent="0.3">
      <c r="A327" s="9" t="s">
        <v>1405</v>
      </c>
      <c r="B327" s="9" t="s">
        <v>1156</v>
      </c>
      <c r="C327" s="10">
        <f>Comanlirtries</f>
        <v>0</v>
      </c>
      <c r="D327" s="25" t="s">
        <v>1379</v>
      </c>
      <c r="E327" s="25" t="s">
        <v>1079</v>
      </c>
      <c r="F327" s="23">
        <f>Blairnewpts</f>
        <v>0</v>
      </c>
    </row>
    <row r="328" spans="1:6" ht="14.95" customHeight="1" thickBot="1" x14ac:dyDescent="0.3">
      <c r="A328" s="403" t="s">
        <v>1108</v>
      </c>
      <c r="B328" s="403" t="s">
        <v>1077</v>
      </c>
      <c r="C328" s="7">
        <f>Curry_Bsaltries</f>
        <v>0</v>
      </c>
      <c r="D328" s="25" t="s">
        <v>1772</v>
      </c>
      <c r="E328" s="25" t="s">
        <v>1075</v>
      </c>
      <c r="F328" s="23">
        <f>Chapmanglopts</f>
        <v>0</v>
      </c>
    </row>
    <row r="329" spans="1:6" ht="14.95" customHeight="1" thickBot="1" x14ac:dyDescent="0.3">
      <c r="A329" s="9" t="s">
        <v>1406</v>
      </c>
      <c r="B329" s="9" t="s">
        <v>1133</v>
      </c>
      <c r="C329" s="10">
        <f>Curtiswastries</f>
        <v>0</v>
      </c>
      <c r="D329" s="25" t="s">
        <v>1380</v>
      </c>
      <c r="E329" s="25" t="s">
        <v>1078</v>
      </c>
      <c r="F329" s="23">
        <f>Charterisbthpts</f>
        <v>0</v>
      </c>
    </row>
    <row r="330" spans="1:6" ht="14.95" customHeight="1" thickBot="1" x14ac:dyDescent="0.3">
      <c r="A330" s="10" t="s">
        <v>1841</v>
      </c>
      <c r="B330" s="9" t="s">
        <v>1156</v>
      </c>
      <c r="C330" s="10">
        <f>Danielsbritries</f>
        <v>0</v>
      </c>
      <c r="D330" s="25" t="s">
        <v>1381</v>
      </c>
      <c r="E330" s="25" t="s">
        <v>1131</v>
      </c>
      <c r="F330" s="23">
        <f>Cheesemanharpts</f>
        <v>0</v>
      </c>
    </row>
    <row r="331" spans="1:6" ht="14.95" customHeight="1" thickBot="1" x14ac:dyDescent="0.3">
      <c r="A331" s="9" t="s">
        <v>1832</v>
      </c>
      <c r="B331" s="9" t="s">
        <v>1076</v>
      </c>
      <c r="C331" s="10">
        <f>Davidwortries</f>
        <v>0</v>
      </c>
      <c r="D331" s="25" t="s">
        <v>1296</v>
      </c>
      <c r="E331" s="25" t="s">
        <v>1078</v>
      </c>
      <c r="F331" s="23">
        <f>Clarkbatpts</f>
        <v>0</v>
      </c>
    </row>
    <row r="332" spans="1:6" ht="14.95" customHeight="1" thickBot="1" x14ac:dyDescent="0.3">
      <c r="A332" s="9" t="s">
        <v>1148</v>
      </c>
      <c r="B332" s="9" t="s">
        <v>1078</v>
      </c>
      <c r="C332" s="10">
        <f>Daviesbthtries</f>
        <v>0</v>
      </c>
      <c r="D332" s="25" t="s">
        <v>1735</v>
      </c>
      <c r="E332" s="25" t="s">
        <v>1076</v>
      </c>
      <c r="F332" s="23">
        <f>Cleggworpts</f>
        <v>0</v>
      </c>
    </row>
    <row r="333" spans="1:6" ht="14.95" customHeight="1" thickBot="1" x14ac:dyDescent="0.3">
      <c r="A333" s="10" t="s">
        <v>1298</v>
      </c>
      <c r="B333" s="9" t="s">
        <v>1080</v>
      </c>
      <c r="C333" s="10">
        <f>Daviesnortries</f>
        <v>0</v>
      </c>
      <c r="D333" s="25" t="s">
        <v>1389</v>
      </c>
      <c r="E333" s="25" t="s">
        <v>1135</v>
      </c>
      <c r="F333" s="23">
        <f>Coleleipts</f>
        <v>0</v>
      </c>
    </row>
    <row r="334" spans="1:6" ht="14.95" customHeight="1" thickBot="1" x14ac:dyDescent="0.3">
      <c r="A334" s="9" t="s">
        <v>1300</v>
      </c>
      <c r="B334" s="9" t="s">
        <v>1078</v>
      </c>
      <c r="C334" s="10">
        <f>Davisbthtries</f>
        <v>0</v>
      </c>
      <c r="D334" s="25" t="s">
        <v>1827</v>
      </c>
      <c r="E334" s="25" t="s">
        <v>1080</v>
      </c>
      <c r="F334" s="23">
        <f>Colesnorpts</f>
        <v>0</v>
      </c>
    </row>
    <row r="335" spans="1:6" ht="14.95" customHeight="1" thickBot="1" x14ac:dyDescent="0.3">
      <c r="A335" s="9" t="s">
        <v>1122</v>
      </c>
      <c r="B335" s="9" t="s">
        <v>1132</v>
      </c>
      <c r="C335" s="10">
        <f>Davisexetries</f>
        <v>0</v>
      </c>
      <c r="D335" s="25" t="s">
        <v>1390</v>
      </c>
      <c r="E335" s="25" t="s">
        <v>1079</v>
      </c>
      <c r="F335" s="23">
        <f>Collettnewpts</f>
        <v>0</v>
      </c>
    </row>
    <row r="336" spans="1:6" ht="14.95" customHeight="1" thickBot="1" x14ac:dyDescent="0.3">
      <c r="A336" s="10" t="s">
        <v>1299</v>
      </c>
      <c r="B336" s="9" t="s">
        <v>1080</v>
      </c>
      <c r="C336" s="10">
        <f>Davisnortries</f>
        <v>0</v>
      </c>
      <c r="D336" s="25" t="s">
        <v>1391</v>
      </c>
      <c r="E336" s="25" t="s">
        <v>1131</v>
      </c>
      <c r="F336" s="23">
        <f>Collierharpts</f>
        <v>0</v>
      </c>
    </row>
    <row r="337" spans="1:6" ht="14.95" customHeight="1" thickBot="1" x14ac:dyDescent="0.3">
      <c r="A337" s="9" t="s">
        <v>1410</v>
      </c>
      <c r="B337" s="9" t="s">
        <v>1079</v>
      </c>
      <c r="C337" s="10">
        <f>Davisonnewtries</f>
        <v>0</v>
      </c>
      <c r="D337" s="25" t="s">
        <v>1395</v>
      </c>
      <c r="E337" s="25" t="s">
        <v>1079</v>
      </c>
      <c r="F337" s="23">
        <f>Coopernewpts</f>
        <v>0</v>
      </c>
    </row>
    <row r="338" spans="1:6" ht="14.95" customHeight="1" thickBot="1" x14ac:dyDescent="0.3">
      <c r="A338" s="9" t="s">
        <v>1411</v>
      </c>
      <c r="B338" s="9" t="s">
        <v>1156</v>
      </c>
      <c r="C338" s="10">
        <f>Dawebritries</f>
        <v>0</v>
      </c>
      <c r="D338" s="25" t="s">
        <v>1396</v>
      </c>
      <c r="E338" s="25" t="s">
        <v>1133</v>
      </c>
      <c r="F338" s="23">
        <f>Cooper_Woolleywaspts</f>
        <v>0</v>
      </c>
    </row>
    <row r="339" spans="1:6" ht="14.95" customHeight="1" thickBot="1" x14ac:dyDescent="0.3">
      <c r="A339" s="9" t="s">
        <v>1412</v>
      </c>
      <c r="B339" s="9" t="s">
        <v>1134</v>
      </c>
      <c r="C339" s="10">
        <f>du_Plessissartries</f>
        <v>0</v>
      </c>
      <c r="D339" s="25" t="s">
        <v>1398</v>
      </c>
      <c r="E339" s="25" t="s">
        <v>1135</v>
      </c>
      <c r="F339" s="23">
        <f>Croftleipts</f>
        <v>0</v>
      </c>
    </row>
    <row r="340" spans="1:6" ht="14.95" customHeight="1" thickBot="1" x14ac:dyDescent="0.3">
      <c r="A340" s="9" t="s">
        <v>1415</v>
      </c>
      <c r="B340" s="9" t="s">
        <v>1078</v>
      </c>
      <c r="C340" s="10">
        <f>Delmasbthtries</f>
        <v>0</v>
      </c>
      <c r="D340" s="25" t="s">
        <v>1399</v>
      </c>
      <c r="E340" s="25" t="s">
        <v>1156</v>
      </c>
      <c r="F340" s="23">
        <f>Cosgrovebripts</f>
        <v>0</v>
      </c>
    </row>
    <row r="341" spans="1:6" ht="14.95" customHeight="1" thickBot="1" x14ac:dyDescent="0.3">
      <c r="A341" s="9" t="s">
        <v>1416</v>
      </c>
      <c r="B341" s="9" t="s">
        <v>1075</v>
      </c>
      <c r="C341" s="10">
        <f>Denmanglotries</f>
        <v>0</v>
      </c>
      <c r="D341" s="25" t="s">
        <v>1736</v>
      </c>
      <c r="E341" s="25" t="s">
        <v>1076</v>
      </c>
      <c r="F341" s="23">
        <f>Coxworpts</f>
        <v>0</v>
      </c>
    </row>
    <row r="342" spans="1:6" ht="14.95" customHeight="1" thickBot="1" x14ac:dyDescent="0.3">
      <c r="A342" s="9" t="s">
        <v>1420</v>
      </c>
      <c r="B342" s="9" t="s">
        <v>1132</v>
      </c>
      <c r="C342" s="10">
        <f>Dollmanexetries</f>
        <v>0</v>
      </c>
      <c r="D342" s="23" t="s">
        <v>1401</v>
      </c>
      <c r="E342" s="25" t="s">
        <v>1080</v>
      </c>
      <c r="F342" s="23">
        <f>Craignorpts</f>
        <v>0</v>
      </c>
    </row>
    <row r="343" spans="1:6" ht="14.95" customHeight="1" thickBot="1" x14ac:dyDescent="0.3">
      <c r="A343" s="9" t="s">
        <v>1422</v>
      </c>
      <c r="B343" s="9" t="s">
        <v>1078</v>
      </c>
      <c r="C343" s="10">
        <f>Douglasbthtries</f>
        <v>0</v>
      </c>
      <c r="D343" s="25" t="s">
        <v>1800</v>
      </c>
      <c r="E343" s="25" t="s">
        <v>1134</v>
      </c>
      <c r="F343" s="23">
        <f>Crossdalesarpts</f>
        <v>0</v>
      </c>
    </row>
    <row r="344" spans="1:6" ht="14.95" customHeight="1" thickBot="1" x14ac:dyDescent="0.3">
      <c r="A344" s="9" t="s">
        <v>1424</v>
      </c>
      <c r="B344" s="9" t="s">
        <v>1076</v>
      </c>
      <c r="C344" s="10">
        <f>du_Preezwortries</f>
        <v>0</v>
      </c>
      <c r="D344" s="25" t="s">
        <v>1405</v>
      </c>
      <c r="E344" s="25" t="s">
        <v>1156</v>
      </c>
      <c r="F344" s="23">
        <f>Comanlirpts</f>
        <v>0</v>
      </c>
    </row>
    <row r="345" spans="1:6" ht="14.95" customHeight="1" thickBot="1" x14ac:dyDescent="0.3">
      <c r="A345" s="9" t="s">
        <v>1794</v>
      </c>
      <c r="B345" s="9" t="s">
        <v>1077</v>
      </c>
      <c r="C345" s="10">
        <f>du_Preezsaltries</f>
        <v>0</v>
      </c>
      <c r="D345" s="404" t="s">
        <v>1108</v>
      </c>
      <c r="E345" s="404" t="s">
        <v>1077</v>
      </c>
      <c r="F345" s="23">
        <f>Curry_Bsalpts</f>
        <v>0</v>
      </c>
    </row>
    <row r="346" spans="1:6" ht="14.95" customHeight="1" thickBot="1" x14ac:dyDescent="0.3">
      <c r="A346" s="9" t="s">
        <v>1426</v>
      </c>
      <c r="B346" s="9" t="s">
        <v>1080</v>
      </c>
      <c r="C346" s="10">
        <f>Denmangarethtries</f>
        <v>0</v>
      </c>
      <c r="D346" s="25" t="s">
        <v>1406</v>
      </c>
      <c r="E346" s="25" t="s">
        <v>1133</v>
      </c>
      <c r="F346" s="23">
        <f>Curtiswaspts</f>
        <v>0</v>
      </c>
    </row>
    <row r="347" spans="1:6" ht="14.95" customHeight="1" thickBot="1" x14ac:dyDescent="0.3">
      <c r="A347" s="9" t="s">
        <v>1427</v>
      </c>
      <c r="B347" s="9" t="s">
        <v>1134</v>
      </c>
      <c r="C347" s="10">
        <f>Earlsartries</f>
        <v>0</v>
      </c>
      <c r="D347" s="25" t="s">
        <v>1832</v>
      </c>
      <c r="E347" s="25" t="s">
        <v>1076</v>
      </c>
      <c r="F347" s="23">
        <f>Davidworpts</f>
        <v>0</v>
      </c>
    </row>
    <row r="348" spans="1:6" ht="14.95" customHeight="1" thickBot="1" x14ac:dyDescent="0.3">
      <c r="A348" s="9" t="s">
        <v>1429</v>
      </c>
      <c r="B348" s="9" t="s">
        <v>1133</v>
      </c>
      <c r="C348" s="10">
        <f>Eastgatewastries</f>
        <v>0</v>
      </c>
      <c r="D348" s="23" t="s">
        <v>1298</v>
      </c>
      <c r="E348" s="25" t="s">
        <v>1080</v>
      </c>
      <c r="F348" s="23">
        <f>Daviesnorpts</f>
        <v>0</v>
      </c>
    </row>
    <row r="349" spans="1:6" ht="14.95" customHeight="1" thickBot="1" x14ac:dyDescent="0.3">
      <c r="A349" s="9" t="s">
        <v>1785</v>
      </c>
      <c r="B349" s="9" t="s">
        <v>1156</v>
      </c>
      <c r="C349" s="10">
        <f>Edenbritries</f>
        <v>0</v>
      </c>
      <c r="D349" s="25" t="s">
        <v>1300</v>
      </c>
      <c r="E349" s="25" t="s">
        <v>1078</v>
      </c>
      <c r="F349" s="23">
        <f>Davisbthpts</f>
        <v>0</v>
      </c>
    </row>
    <row r="350" spans="1:6" ht="14.95" customHeight="1" thickBot="1" x14ac:dyDescent="0.3">
      <c r="A350" s="10" t="s">
        <v>1086</v>
      </c>
      <c r="B350" s="10" t="s">
        <v>1075</v>
      </c>
      <c r="C350" s="10">
        <f>Evans_Lglotries</f>
        <v>0</v>
      </c>
      <c r="D350" s="25" t="s">
        <v>1122</v>
      </c>
      <c r="E350" s="25" t="s">
        <v>1132</v>
      </c>
      <c r="F350" s="23">
        <f>Davisexepts</f>
        <v>0</v>
      </c>
    </row>
    <row r="351" spans="1:6" ht="14.95" customHeight="1" thickBot="1" x14ac:dyDescent="0.3">
      <c r="A351" s="9" t="s">
        <v>1301</v>
      </c>
      <c r="B351" s="9" t="s">
        <v>1135</v>
      </c>
      <c r="C351" s="10">
        <f>Evansleitries</f>
        <v>0</v>
      </c>
      <c r="D351" s="23" t="s">
        <v>1299</v>
      </c>
      <c r="E351" s="25" t="s">
        <v>1080</v>
      </c>
      <c r="F351" s="23">
        <f>Davisnorpts</f>
        <v>0</v>
      </c>
    </row>
    <row r="352" spans="1:6" ht="14.95" customHeight="1" thickBot="1" x14ac:dyDescent="0.3">
      <c r="A352" s="9" t="s">
        <v>1433</v>
      </c>
      <c r="B352" s="9" t="s">
        <v>1078</v>
      </c>
      <c r="C352" s="10">
        <f>ewelsbthtries</f>
        <v>0</v>
      </c>
      <c r="D352" s="25" t="s">
        <v>1410</v>
      </c>
      <c r="E352" s="25" t="s">
        <v>1079</v>
      </c>
      <c r="F352" s="23">
        <f>Davisonnewpts</f>
        <v>0</v>
      </c>
    </row>
    <row r="353" spans="1:6" ht="14.95" customHeight="1" thickBot="1" x14ac:dyDescent="0.3">
      <c r="A353" s="9" t="s">
        <v>1165</v>
      </c>
      <c r="B353" s="9" t="s">
        <v>1156</v>
      </c>
      <c r="C353" s="10">
        <f>Faletaubritries</f>
        <v>0</v>
      </c>
      <c r="D353" s="25" t="s">
        <v>1411</v>
      </c>
      <c r="E353" s="25" t="s">
        <v>1156</v>
      </c>
      <c r="F353" s="23">
        <f>Dawebripts</f>
        <v>0</v>
      </c>
    </row>
    <row r="354" spans="1:6" ht="14.95" customHeight="1" thickBot="1" x14ac:dyDescent="0.3">
      <c r="A354" s="9" t="s">
        <v>1164</v>
      </c>
      <c r="B354" s="9" t="s">
        <v>1078</v>
      </c>
      <c r="C354" s="10">
        <f>Faletaubthtries</f>
        <v>0</v>
      </c>
      <c r="D354" s="25" t="s">
        <v>1412</v>
      </c>
      <c r="E354" s="25" t="s">
        <v>1134</v>
      </c>
      <c r="F354" s="23">
        <f>du_Plessissarpts</f>
        <v>0</v>
      </c>
    </row>
    <row r="355" spans="1:6" ht="14.95" customHeight="1" thickBot="1" x14ac:dyDescent="0.3">
      <c r="A355" s="9" t="s">
        <v>1435</v>
      </c>
      <c r="B355" s="9" t="s">
        <v>1076</v>
      </c>
      <c r="C355" s="10">
        <f>Faosilivawortries</f>
        <v>0</v>
      </c>
      <c r="D355" s="25" t="s">
        <v>1415</v>
      </c>
      <c r="E355" s="25" t="s">
        <v>1078</v>
      </c>
      <c r="F355" s="23">
        <f>Delmasbthpts</f>
        <v>0</v>
      </c>
    </row>
    <row r="356" spans="1:6" ht="14.95" customHeight="1" thickBot="1" x14ac:dyDescent="0.3">
      <c r="A356" s="10" t="s">
        <v>1436</v>
      </c>
      <c r="B356" s="10" t="s">
        <v>1134</v>
      </c>
      <c r="C356" s="10">
        <f>Farrellowentries</f>
        <v>0</v>
      </c>
      <c r="D356" s="25" t="s">
        <v>1416</v>
      </c>
      <c r="E356" s="25" t="s">
        <v>1075</v>
      </c>
      <c r="F356" s="23">
        <f>Denmanglopts</f>
        <v>0</v>
      </c>
    </row>
    <row r="357" spans="1:6" ht="14.95" customHeight="1" thickBot="1" x14ac:dyDescent="0.3">
      <c r="A357" s="9" t="s">
        <v>1778</v>
      </c>
      <c r="B357" s="9" t="s">
        <v>1135</v>
      </c>
      <c r="C357" s="10">
        <f>Feaoleictries</f>
        <v>0</v>
      </c>
      <c r="D357" s="25" t="s">
        <v>1420</v>
      </c>
      <c r="E357" s="25" t="s">
        <v>1132</v>
      </c>
      <c r="F357" s="23">
        <f>Dollmanexepts</f>
        <v>0</v>
      </c>
    </row>
    <row r="358" spans="1:6" ht="14.95" customHeight="1" thickBot="1" x14ac:dyDescent="0.3">
      <c r="A358" s="10" t="s">
        <v>1438</v>
      </c>
      <c r="B358" s="10" t="s">
        <v>1156</v>
      </c>
      <c r="C358" s="10">
        <f>Fenton_Wellsbritries</f>
        <v>0</v>
      </c>
      <c r="D358" s="25" t="s">
        <v>1422</v>
      </c>
      <c r="E358" s="25" t="s">
        <v>1078</v>
      </c>
      <c r="F358" s="24">
        <f>Douglasbthpts</f>
        <v>0</v>
      </c>
    </row>
    <row r="359" spans="1:6" ht="14.95" customHeight="1" thickBot="1" x14ac:dyDescent="0.3">
      <c r="A359" s="9" t="s">
        <v>1439</v>
      </c>
      <c r="B359" s="9" t="s">
        <v>1134</v>
      </c>
      <c r="C359" s="7">
        <f>Figallosartries</f>
        <v>0</v>
      </c>
      <c r="D359" s="25" t="s">
        <v>1424</v>
      </c>
      <c r="E359" s="25" t="s">
        <v>1076</v>
      </c>
      <c r="F359" s="23">
        <f>du_Preezworpts</f>
        <v>0</v>
      </c>
    </row>
    <row r="360" spans="1:6" ht="14.95" customHeight="1" thickBot="1" x14ac:dyDescent="0.3">
      <c r="A360" s="9" t="s">
        <v>1440</v>
      </c>
      <c r="B360" s="9" t="s">
        <v>1080</v>
      </c>
      <c r="C360" s="10">
        <f>Fishnortries</f>
        <v>0</v>
      </c>
      <c r="D360" s="25" t="s">
        <v>1426</v>
      </c>
      <c r="E360" s="25" t="s">
        <v>1080</v>
      </c>
      <c r="F360" s="23">
        <f>Denmangarethpts</f>
        <v>0</v>
      </c>
    </row>
    <row r="361" spans="1:6" ht="14.95" customHeight="1" thickBot="1" x14ac:dyDescent="0.3">
      <c r="A361" s="9" t="s">
        <v>1443</v>
      </c>
      <c r="B361" s="9" t="s">
        <v>1077</v>
      </c>
      <c r="C361" s="10">
        <f>Flynnsaltries</f>
        <v>0</v>
      </c>
      <c r="D361" s="25" t="s">
        <v>1427</v>
      </c>
      <c r="E361" s="25" t="s">
        <v>1134</v>
      </c>
      <c r="F361" s="22">
        <f>Earlsarpts</f>
        <v>0</v>
      </c>
    </row>
    <row r="362" spans="1:6" ht="14.95" customHeight="1" thickBot="1" x14ac:dyDescent="0.3">
      <c r="A362" s="9" t="s">
        <v>1444</v>
      </c>
      <c r="B362" s="9" t="s">
        <v>1080</v>
      </c>
      <c r="C362" s="10">
        <f>Ford_Robinsonnortries</f>
        <v>0</v>
      </c>
      <c r="D362" s="25" t="s">
        <v>1429</v>
      </c>
      <c r="E362" s="25" t="s">
        <v>1133</v>
      </c>
      <c r="F362" s="23">
        <f>Eastgatewaspts</f>
        <v>0</v>
      </c>
    </row>
    <row r="363" spans="1:6" ht="14.95" customHeight="1" thickBot="1" x14ac:dyDescent="0.3">
      <c r="A363" s="10" t="s">
        <v>1445</v>
      </c>
      <c r="B363" s="9" t="s">
        <v>1133</v>
      </c>
      <c r="C363" s="10">
        <f>Fosterwastries</f>
        <v>0</v>
      </c>
      <c r="D363" s="25" t="s">
        <v>1785</v>
      </c>
      <c r="E363" s="25" t="s">
        <v>1156</v>
      </c>
      <c r="F363" s="23">
        <f>Edenbripts</f>
        <v>0</v>
      </c>
    </row>
    <row r="364" spans="1:6" ht="14.95" customHeight="1" thickBot="1" x14ac:dyDescent="0.3">
      <c r="A364" s="9" t="s">
        <v>1446</v>
      </c>
      <c r="B364" s="9" t="s">
        <v>1078</v>
      </c>
      <c r="C364" s="10">
        <f>Fotuali_ibthtries</f>
        <v>0</v>
      </c>
      <c r="D364" s="25" t="s">
        <v>1301</v>
      </c>
      <c r="E364" s="25" t="s">
        <v>1135</v>
      </c>
      <c r="F364" s="23">
        <f>Evansleipts</f>
        <v>0</v>
      </c>
    </row>
    <row r="365" spans="1:6" ht="14.95" customHeight="1" thickBot="1" x14ac:dyDescent="0.3">
      <c r="A365" s="10" t="s">
        <v>1123</v>
      </c>
      <c r="B365" s="10" t="s">
        <v>1132</v>
      </c>
      <c r="C365" s="10">
        <f>Francisexetries</f>
        <v>0</v>
      </c>
      <c r="D365" s="25" t="s">
        <v>1433</v>
      </c>
      <c r="E365" s="25" t="s">
        <v>1078</v>
      </c>
      <c r="F365" s="23">
        <f>Ewelsbthpts</f>
        <v>0</v>
      </c>
    </row>
    <row r="366" spans="1:6" ht="14.95" customHeight="1" thickBot="1" x14ac:dyDescent="0.3">
      <c r="A366" s="10" t="s">
        <v>1448</v>
      </c>
      <c r="B366" s="10" t="s">
        <v>1132</v>
      </c>
      <c r="C366" s="10">
        <f>Freemanexetries</f>
        <v>0</v>
      </c>
      <c r="D366" s="25" t="s">
        <v>1165</v>
      </c>
      <c r="E366" s="25" t="s">
        <v>1156</v>
      </c>
      <c r="F366" s="23">
        <f>Faletaubripts</f>
        <v>0</v>
      </c>
    </row>
    <row r="367" spans="1:6" ht="14.95" customHeight="1" thickBot="1" x14ac:dyDescent="0.3">
      <c r="A367" s="9" t="s">
        <v>1450</v>
      </c>
      <c r="B367" s="9" t="s">
        <v>1075</v>
      </c>
      <c r="C367" s="10">
        <f>Galarzaglotries</f>
        <v>0</v>
      </c>
      <c r="D367" s="25" t="s">
        <v>1164</v>
      </c>
      <c r="E367" s="25" t="s">
        <v>1078</v>
      </c>
      <c r="F367" s="23">
        <f>Faletaubthpts</f>
        <v>0</v>
      </c>
    </row>
    <row r="368" spans="1:6" ht="14.95" customHeight="1" thickBot="1" x14ac:dyDescent="0.3">
      <c r="A368" s="10" t="s">
        <v>1452</v>
      </c>
      <c r="B368" s="9" t="s">
        <v>1133</v>
      </c>
      <c r="C368" s="10">
        <f>Festucciacarlotries</f>
        <v>0</v>
      </c>
      <c r="D368" s="25" t="s">
        <v>1435</v>
      </c>
      <c r="E368" s="25" t="s">
        <v>1076</v>
      </c>
      <c r="F368" s="23">
        <f>Faosilivaworpts</f>
        <v>0</v>
      </c>
    </row>
    <row r="369" spans="1:6" ht="14.95" customHeight="1" thickBot="1" x14ac:dyDescent="0.3">
      <c r="A369" s="9" t="s">
        <v>1453</v>
      </c>
      <c r="B369" s="9" t="s">
        <v>1078</v>
      </c>
      <c r="C369" s="10">
        <f>Garveymatttries</f>
        <v>0</v>
      </c>
      <c r="D369" s="25" t="s">
        <v>1778</v>
      </c>
      <c r="E369" s="25" t="s">
        <v>1135</v>
      </c>
      <c r="F369" s="23">
        <f>Feaoleicpts</f>
        <v>0</v>
      </c>
    </row>
    <row r="370" spans="1:6" ht="14.95" customHeight="1" thickBot="1" x14ac:dyDescent="0.3">
      <c r="A370" s="9" t="s">
        <v>1455</v>
      </c>
      <c r="B370" s="9" t="s">
        <v>1135</v>
      </c>
      <c r="C370" s="10">
        <f>Floodtobytries</f>
        <v>0</v>
      </c>
      <c r="D370" s="23" t="s">
        <v>1438</v>
      </c>
      <c r="E370" s="23" t="s">
        <v>1156</v>
      </c>
      <c r="F370" s="23">
        <f>Fenton_Wellsbripts</f>
        <v>0</v>
      </c>
    </row>
    <row r="371" spans="1:6" ht="14.95" customHeight="1" thickBot="1" x14ac:dyDescent="0.3">
      <c r="A371" s="9" t="s">
        <v>1458</v>
      </c>
      <c r="B371" s="9" t="s">
        <v>1075</v>
      </c>
      <c r="C371" s="10">
        <f>Halaifonuaglotries</f>
        <v>0</v>
      </c>
      <c r="D371" s="25" t="s">
        <v>1439</v>
      </c>
      <c r="E371" s="25" t="s">
        <v>1134</v>
      </c>
      <c r="F371" s="23">
        <f>Figallosarpts</f>
        <v>0</v>
      </c>
    </row>
    <row r="372" spans="1:6" ht="14.95" customHeight="1" thickBot="1" x14ac:dyDescent="0.3">
      <c r="A372" s="10" t="s">
        <v>1459</v>
      </c>
      <c r="B372" s="10" t="s">
        <v>1131</v>
      </c>
      <c r="C372" s="10">
        <f>Evans_Ohartries</f>
        <v>0</v>
      </c>
      <c r="D372" s="25" t="s">
        <v>1440</v>
      </c>
      <c r="E372" s="25" t="s">
        <v>1080</v>
      </c>
      <c r="F372" s="23">
        <f>Fishnorpts</f>
        <v>0</v>
      </c>
    </row>
    <row r="373" spans="1:6" ht="14.95" customHeight="1" thickBot="1" x14ac:dyDescent="0.3">
      <c r="A373" s="9" t="s">
        <v>1462</v>
      </c>
      <c r="B373" s="9" t="s">
        <v>1133</v>
      </c>
      <c r="C373" s="10">
        <f>Goodewastries</f>
        <v>0</v>
      </c>
      <c r="D373" s="25" t="s">
        <v>1443</v>
      </c>
      <c r="E373" s="25" t="s">
        <v>1077</v>
      </c>
      <c r="F373" s="23">
        <f>Flynnsalpts</f>
        <v>0</v>
      </c>
    </row>
    <row r="374" spans="1:6" ht="14.95" customHeight="1" thickBot="1" x14ac:dyDescent="0.3">
      <c r="A374" s="9" t="s">
        <v>1824</v>
      </c>
      <c r="B374" s="9" t="s">
        <v>1156</v>
      </c>
      <c r="C374" s="10">
        <f>Grahambritries</f>
        <v>0</v>
      </c>
      <c r="D374" s="25" t="s">
        <v>1444</v>
      </c>
      <c r="E374" s="25" t="s">
        <v>1080</v>
      </c>
      <c r="F374" s="23">
        <f>Ford_Robinsonnorpts</f>
        <v>0</v>
      </c>
    </row>
    <row r="375" spans="1:6" ht="14.95" customHeight="1" thickBot="1" x14ac:dyDescent="0.3">
      <c r="A375" s="9" t="s">
        <v>1234</v>
      </c>
      <c r="B375" s="9" t="s">
        <v>1079</v>
      </c>
      <c r="C375" s="10">
        <f>Graham__Guynewtries</f>
        <v>0</v>
      </c>
      <c r="D375" s="23" t="s">
        <v>1445</v>
      </c>
      <c r="E375" s="25" t="s">
        <v>1133</v>
      </c>
      <c r="F375" s="23">
        <f>Fosterwaspts</f>
        <v>0</v>
      </c>
    </row>
    <row r="376" spans="1:6" ht="14.95" customHeight="1" thickBot="1" x14ac:dyDescent="0.3">
      <c r="A376" s="9" t="s">
        <v>1463</v>
      </c>
      <c r="B376" s="9" t="s">
        <v>1078</v>
      </c>
      <c r="C376" s="10">
        <f>Grantbattries</f>
        <v>0</v>
      </c>
      <c r="D376" s="23" t="s">
        <v>1123</v>
      </c>
      <c r="E376" s="23" t="s">
        <v>1132</v>
      </c>
      <c r="F376" s="23">
        <f>Francisexepts</f>
        <v>0</v>
      </c>
    </row>
    <row r="377" spans="1:6" ht="14.95" customHeight="1" thickBot="1" x14ac:dyDescent="0.3">
      <c r="A377" s="9" t="s">
        <v>1464</v>
      </c>
      <c r="B377" s="9" t="s">
        <v>1080</v>
      </c>
      <c r="C377" s="10">
        <f>Graysonnortries</f>
        <v>0</v>
      </c>
      <c r="D377" s="23" t="s">
        <v>1448</v>
      </c>
      <c r="E377" s="23" t="s">
        <v>1132</v>
      </c>
      <c r="F377" s="23">
        <f>Freemanexepts</f>
        <v>0</v>
      </c>
    </row>
    <row r="378" spans="1:6" ht="14.95" customHeight="1" thickBot="1" x14ac:dyDescent="0.3">
      <c r="A378" s="9" t="s">
        <v>1465</v>
      </c>
      <c r="B378" s="9" t="s">
        <v>1079</v>
      </c>
      <c r="C378" s="10">
        <f>Greennewtries</f>
        <v>0</v>
      </c>
      <c r="D378" s="25" t="s">
        <v>1450</v>
      </c>
      <c r="E378" s="25" t="s">
        <v>1075</v>
      </c>
      <c r="F378" s="24">
        <f>Galarzaglopts</f>
        <v>0</v>
      </c>
    </row>
    <row r="379" spans="1:6" ht="14.95" customHeight="1" thickBot="1" x14ac:dyDescent="0.3">
      <c r="A379" s="9" t="s">
        <v>1822</v>
      </c>
      <c r="B379" s="9" t="s">
        <v>1078</v>
      </c>
      <c r="C379" s="10">
        <f>Greenbthtries</f>
        <v>0</v>
      </c>
      <c r="D379" s="23" t="s">
        <v>1452</v>
      </c>
      <c r="E379" s="25" t="s">
        <v>1133</v>
      </c>
      <c r="F379" s="23">
        <f>Festucciacarlopts</f>
        <v>0</v>
      </c>
    </row>
    <row r="380" spans="1:6" ht="14.95" customHeight="1" thickBot="1" x14ac:dyDescent="0.3">
      <c r="A380" s="9" t="s">
        <v>1466</v>
      </c>
      <c r="B380" s="9" t="s">
        <v>1134</v>
      </c>
      <c r="C380" s="7">
        <f>Griffithssartries</f>
        <v>0</v>
      </c>
      <c r="D380" s="25" t="s">
        <v>1453</v>
      </c>
      <c r="E380" s="25" t="s">
        <v>1078</v>
      </c>
      <c r="F380" s="23">
        <f>Garveymattpts</f>
        <v>0</v>
      </c>
    </row>
    <row r="381" spans="1:6" ht="14.95" customHeight="1" thickBot="1" x14ac:dyDescent="0.3">
      <c r="A381" s="9" t="s">
        <v>1469</v>
      </c>
      <c r="B381" s="9" t="s">
        <v>1079</v>
      </c>
      <c r="C381" s="10">
        <f>Hammersleynewtries</f>
        <v>0</v>
      </c>
      <c r="D381" s="25" t="s">
        <v>1455</v>
      </c>
      <c r="E381" s="25" t="s">
        <v>1135</v>
      </c>
      <c r="F381" s="23">
        <f>Bowdendanpts</f>
        <v>0</v>
      </c>
    </row>
    <row r="382" spans="1:6" ht="14.95" customHeight="1" thickBot="1" x14ac:dyDescent="0.3">
      <c r="A382" s="9" t="s">
        <v>1470</v>
      </c>
      <c r="B382" s="9" t="s">
        <v>1076</v>
      </c>
      <c r="C382" s="10">
        <f>Jewellsebtries</f>
        <v>0</v>
      </c>
      <c r="D382" s="25" t="s">
        <v>1458</v>
      </c>
      <c r="E382" s="25" t="s">
        <v>1075</v>
      </c>
      <c r="F382" s="23">
        <f>Halaifonuaglopts</f>
        <v>0</v>
      </c>
    </row>
    <row r="383" spans="1:6" ht="14.95" customHeight="1" thickBot="1" x14ac:dyDescent="0.3">
      <c r="A383" s="9" t="s">
        <v>1471</v>
      </c>
      <c r="B383" s="9" t="s">
        <v>1133</v>
      </c>
      <c r="C383" s="10">
        <f>Hampsonwastriescorrect</f>
        <v>0</v>
      </c>
      <c r="D383" s="23" t="s">
        <v>1459</v>
      </c>
      <c r="E383" s="23" t="s">
        <v>1131</v>
      </c>
      <c r="F383" s="23">
        <f>Evans_Oharpts</f>
        <v>0</v>
      </c>
    </row>
    <row r="384" spans="1:6" ht="14.95" customHeight="1" thickBot="1" x14ac:dyDescent="0.3">
      <c r="A384" s="9" t="s">
        <v>1473</v>
      </c>
      <c r="B384" s="9" t="s">
        <v>1135</v>
      </c>
      <c r="C384" s="10">
        <f>Hardwickleictries</f>
        <v>0</v>
      </c>
      <c r="D384" s="25" t="s">
        <v>1462</v>
      </c>
      <c r="E384" s="25" t="s">
        <v>1133</v>
      </c>
      <c r="F384" s="23">
        <f>Goodewaspts</f>
        <v>0</v>
      </c>
    </row>
    <row r="385" spans="1:6" ht="14.95" customHeight="1" thickBot="1" x14ac:dyDescent="0.3">
      <c r="A385" s="9" t="s">
        <v>1137</v>
      </c>
      <c r="B385" s="9" t="s">
        <v>1133</v>
      </c>
      <c r="C385" s="10">
        <f>Halaiwastries</f>
        <v>0</v>
      </c>
      <c r="D385" s="25" t="s">
        <v>1824</v>
      </c>
      <c r="E385" s="25" t="s">
        <v>1156</v>
      </c>
      <c r="F385" s="23">
        <f>Grahambripts</f>
        <v>0</v>
      </c>
    </row>
    <row r="386" spans="1:6" ht="14.95" customHeight="1" thickBot="1" x14ac:dyDescent="0.3">
      <c r="A386" s="9" t="s">
        <v>1140</v>
      </c>
      <c r="B386" s="9" t="s">
        <v>1077</v>
      </c>
      <c r="C386" s="10">
        <f>Harrisonsaltris</f>
        <v>0</v>
      </c>
      <c r="D386" s="25" t="s">
        <v>1234</v>
      </c>
      <c r="E386" s="25" t="s">
        <v>1079</v>
      </c>
      <c r="F386" s="23">
        <f>Graham__Guynewpts</f>
        <v>0</v>
      </c>
    </row>
    <row r="387" spans="1:6" ht="14.95" customHeight="1" thickBot="1" x14ac:dyDescent="0.3">
      <c r="A387" s="10" t="s">
        <v>1141</v>
      </c>
      <c r="B387" s="10" t="s">
        <v>1135</v>
      </c>
      <c r="C387" s="10">
        <f>Harrisonsamtries</f>
        <v>0</v>
      </c>
      <c r="D387" s="25" t="s">
        <v>1463</v>
      </c>
      <c r="E387" s="25" t="s">
        <v>1078</v>
      </c>
      <c r="F387" s="23">
        <f>Grantbatpts</f>
        <v>0</v>
      </c>
    </row>
    <row r="388" spans="1:6" ht="14.95" customHeight="1" thickBot="1" x14ac:dyDescent="0.3">
      <c r="A388" s="10" t="s">
        <v>1142</v>
      </c>
      <c r="B388" s="9" t="s">
        <v>1080</v>
      </c>
      <c r="C388" s="10">
        <f>Harrisonnortries</f>
        <v>0</v>
      </c>
      <c r="D388" s="25" t="s">
        <v>1465</v>
      </c>
      <c r="E388" s="25" t="s">
        <v>1079</v>
      </c>
      <c r="F388" s="24">
        <f>Greennewpts</f>
        <v>0</v>
      </c>
    </row>
    <row r="389" spans="1:6" ht="14.95" customHeight="1" thickBot="1" x14ac:dyDescent="0.3">
      <c r="A389" s="9" t="s">
        <v>1475</v>
      </c>
      <c r="B389" s="9" t="s">
        <v>1080</v>
      </c>
      <c r="C389" s="10">
        <f>Haskellnortries</f>
        <v>0</v>
      </c>
      <c r="D389" s="23" t="s">
        <v>1822</v>
      </c>
      <c r="E389" s="25" t="s">
        <v>1078</v>
      </c>
      <c r="F389" s="23">
        <f>Greenbthpts</f>
        <v>0</v>
      </c>
    </row>
    <row r="390" spans="1:6" ht="14.95" customHeight="1" thickBot="1" x14ac:dyDescent="0.3">
      <c r="A390" s="9" t="s">
        <v>1479</v>
      </c>
      <c r="B390" s="9" t="s">
        <v>1156</v>
      </c>
      <c r="C390" s="10">
        <f>Fowlietomtries</f>
        <v>0</v>
      </c>
      <c r="D390" s="25" t="s">
        <v>1466</v>
      </c>
      <c r="E390" s="25" t="s">
        <v>1134</v>
      </c>
      <c r="F390" s="23">
        <f>Griffithssarpts</f>
        <v>0</v>
      </c>
    </row>
    <row r="391" spans="1:6" ht="14.95" customHeight="1" thickBot="1" x14ac:dyDescent="0.3">
      <c r="A391" s="9" t="s">
        <v>1481</v>
      </c>
      <c r="B391" s="9" t="s">
        <v>1132</v>
      </c>
      <c r="C391" s="10">
        <f>Hendriksonexetries</f>
        <v>0</v>
      </c>
      <c r="D391" s="25" t="s">
        <v>1469</v>
      </c>
      <c r="E391" s="25" t="s">
        <v>1079</v>
      </c>
      <c r="F391" s="23">
        <f>Hammersleynewpts</f>
        <v>0</v>
      </c>
    </row>
    <row r="392" spans="1:6" ht="14.95" customHeight="1" thickBot="1" x14ac:dyDescent="0.3">
      <c r="A392" s="9" t="s">
        <v>1482</v>
      </c>
      <c r="B392" s="9" t="s">
        <v>1132</v>
      </c>
      <c r="C392" s="10">
        <f>Hepburnexetries</f>
        <v>0</v>
      </c>
      <c r="D392" s="25" t="s">
        <v>1470</v>
      </c>
      <c r="E392" s="25" t="s">
        <v>1076</v>
      </c>
      <c r="F392" s="23">
        <f>Fainga_anukuofapts</f>
        <v>0</v>
      </c>
    </row>
    <row r="393" spans="1:6" ht="14.95" customHeight="1" thickBot="1" x14ac:dyDescent="0.3">
      <c r="A393" s="10" t="s">
        <v>1303</v>
      </c>
      <c r="B393" s="9" t="s">
        <v>1080</v>
      </c>
      <c r="C393" s="10">
        <f>Hodgsonnortries</f>
        <v>0</v>
      </c>
      <c r="D393" s="25" t="s">
        <v>1471</v>
      </c>
      <c r="E393" s="25" t="s">
        <v>1133</v>
      </c>
      <c r="F393" s="22">
        <f>Hampsonwasptscorrect</f>
        <v>0</v>
      </c>
    </row>
    <row r="394" spans="1:6" ht="14.95" customHeight="1" thickBot="1" x14ac:dyDescent="0.3">
      <c r="A394" s="9" t="s">
        <v>1483</v>
      </c>
      <c r="B394" s="9" t="s">
        <v>1079</v>
      </c>
      <c r="C394" s="10">
        <f>Hawkinsnewtries</f>
        <v>0</v>
      </c>
      <c r="D394" s="25" t="s">
        <v>1137</v>
      </c>
      <c r="E394" s="25" t="s">
        <v>1133</v>
      </c>
      <c r="F394" s="23">
        <f>Halaiwaspts</f>
        <v>0</v>
      </c>
    </row>
    <row r="395" spans="1:6" ht="14.95" customHeight="1" thickBot="1" x14ac:dyDescent="0.3">
      <c r="A395" s="9" t="s">
        <v>1304</v>
      </c>
      <c r="B395" s="9" t="s">
        <v>1156</v>
      </c>
      <c r="C395" s="72">
        <f>Frankslirtries</f>
        <v>0</v>
      </c>
      <c r="D395" s="25" t="s">
        <v>1140</v>
      </c>
      <c r="E395" s="25" t="s">
        <v>1077</v>
      </c>
      <c r="F395" s="23">
        <f>Harrisonsalpts</f>
        <v>0</v>
      </c>
    </row>
    <row r="396" spans="1:6" ht="14.95" customHeight="1" thickBot="1" x14ac:dyDescent="0.3">
      <c r="A396" s="9" t="s">
        <v>1485</v>
      </c>
      <c r="B396" s="9" t="s">
        <v>1131</v>
      </c>
      <c r="C396" s="10">
        <f>Horwillhartries</f>
        <v>0</v>
      </c>
      <c r="D396" s="23" t="s">
        <v>1141</v>
      </c>
      <c r="E396" s="23" t="s">
        <v>1135</v>
      </c>
      <c r="F396" s="23">
        <f>Harrisonsampts</f>
        <v>0</v>
      </c>
    </row>
    <row r="397" spans="1:6" ht="14.95" customHeight="1" thickBot="1" x14ac:dyDescent="0.3">
      <c r="A397" s="9" t="s">
        <v>1488</v>
      </c>
      <c r="B397" s="9" t="s">
        <v>1075</v>
      </c>
      <c r="C397" s="10">
        <f>Hudsonglotries</f>
        <v>0</v>
      </c>
      <c r="D397" s="23" t="s">
        <v>1142</v>
      </c>
      <c r="E397" s="25" t="s">
        <v>1080</v>
      </c>
      <c r="F397" s="24">
        <f>Harrisonnorpts</f>
        <v>0</v>
      </c>
    </row>
    <row r="398" spans="1:6" ht="14.95" customHeight="1" thickBot="1" x14ac:dyDescent="0.3">
      <c r="A398" s="9" t="s">
        <v>1490</v>
      </c>
      <c r="B398" s="9" t="s">
        <v>1076</v>
      </c>
      <c r="C398" s="72">
        <f>Humphreyswortries</f>
        <v>0</v>
      </c>
      <c r="D398" s="25" t="s">
        <v>1475</v>
      </c>
      <c r="E398" s="25" t="s">
        <v>1080</v>
      </c>
      <c r="F398" s="23">
        <f>Haskellnorpts</f>
        <v>0</v>
      </c>
    </row>
    <row r="399" spans="1:6" ht="14.95" customHeight="1" thickBot="1" x14ac:dyDescent="0.3">
      <c r="A399" s="10" t="s">
        <v>1494</v>
      </c>
      <c r="B399" s="10" t="s">
        <v>1131</v>
      </c>
      <c r="C399" s="10">
        <f>Ibuanokpehartries</f>
        <v>0</v>
      </c>
      <c r="D399" s="25" t="s">
        <v>1479</v>
      </c>
      <c r="E399" s="25" t="s">
        <v>1156</v>
      </c>
      <c r="F399" s="23">
        <f>Fowlielipts</f>
        <v>0</v>
      </c>
    </row>
    <row r="400" spans="1:6" ht="14.95" customHeight="1" thickBot="1" x14ac:dyDescent="0.3">
      <c r="A400" s="9" t="s">
        <v>1495</v>
      </c>
      <c r="B400" s="9" t="s">
        <v>1132</v>
      </c>
      <c r="C400" s="10">
        <f>jamestries</f>
        <v>0</v>
      </c>
      <c r="D400" s="25" t="s">
        <v>1481</v>
      </c>
      <c r="E400" s="25" t="s">
        <v>1132</v>
      </c>
      <c r="F400" s="23">
        <f>Hendricksonexepts</f>
        <v>0</v>
      </c>
    </row>
    <row r="401" spans="1:6" ht="14.95" customHeight="1" thickBot="1" x14ac:dyDescent="0.3">
      <c r="A401" s="9" t="s">
        <v>1044</v>
      </c>
      <c r="B401" s="9" t="s">
        <v>1077</v>
      </c>
      <c r="C401" s="10">
        <f>James_Lsaltries</f>
        <v>0</v>
      </c>
      <c r="D401" s="25" t="s">
        <v>1482</v>
      </c>
      <c r="E401" s="25" t="s">
        <v>1132</v>
      </c>
      <c r="F401" s="23">
        <f>Hepburnexepts</f>
        <v>0</v>
      </c>
    </row>
    <row r="402" spans="1:6" ht="14.95" customHeight="1" thickBot="1" x14ac:dyDescent="0.3">
      <c r="A402" s="9" t="s">
        <v>1116</v>
      </c>
      <c r="B402" s="9" t="s">
        <v>1133</v>
      </c>
      <c r="C402" s="10">
        <f>Jameswastries</f>
        <v>0</v>
      </c>
      <c r="D402" s="23" t="s">
        <v>1303</v>
      </c>
      <c r="E402" s="25" t="s">
        <v>1080</v>
      </c>
      <c r="F402" s="23">
        <f>Hodgsonnorpts</f>
        <v>0</v>
      </c>
    </row>
    <row r="403" spans="1:6" ht="14.95" customHeight="1" thickBot="1" x14ac:dyDescent="0.3">
      <c r="A403" s="9" t="s">
        <v>1776</v>
      </c>
      <c r="B403" s="9" t="s">
        <v>1133</v>
      </c>
      <c r="C403" s="10">
        <f>Jardinewastries</f>
        <v>0</v>
      </c>
      <c r="D403" s="25" t="s">
        <v>1304</v>
      </c>
      <c r="E403" s="25" t="s">
        <v>1156</v>
      </c>
      <c r="F403" s="23">
        <f>Frankslirpts</f>
        <v>0</v>
      </c>
    </row>
    <row r="404" spans="1:6" ht="14.95" customHeight="1" thickBot="1" x14ac:dyDescent="0.3">
      <c r="A404" s="9" t="s">
        <v>1497</v>
      </c>
      <c r="B404" s="9" t="s">
        <v>1156</v>
      </c>
      <c r="C404" s="10">
        <f>Cowantries</f>
        <v>0</v>
      </c>
      <c r="D404" s="25" t="s">
        <v>1485</v>
      </c>
      <c r="E404" s="25" t="s">
        <v>1131</v>
      </c>
      <c r="F404" s="23">
        <f>Horwillharpts</f>
        <v>0</v>
      </c>
    </row>
    <row r="405" spans="1:6" ht="14.95" customHeight="1" thickBot="1" x14ac:dyDescent="0.3">
      <c r="A405" s="9" t="s">
        <v>1498</v>
      </c>
      <c r="B405" s="9" t="s">
        <v>1077</v>
      </c>
      <c r="C405" s="10">
        <f>Jenningssaltries</f>
        <v>0</v>
      </c>
      <c r="D405" s="25" t="s">
        <v>1488</v>
      </c>
      <c r="E405" s="25" t="s">
        <v>1075</v>
      </c>
      <c r="F405" s="23">
        <f>Hudsonglopts</f>
        <v>0</v>
      </c>
    </row>
    <row r="406" spans="1:6" ht="14.95" customHeight="1" thickBot="1" x14ac:dyDescent="0.3">
      <c r="A406" s="9" t="s">
        <v>1499</v>
      </c>
      <c r="B406" s="9" t="s">
        <v>1077</v>
      </c>
      <c r="C406" s="10">
        <f>Johnsaltries</f>
        <v>0</v>
      </c>
      <c r="D406" s="25" t="s">
        <v>1490</v>
      </c>
      <c r="E406" s="25" t="s">
        <v>1076</v>
      </c>
      <c r="F406" s="23">
        <f>Humphreysworpts</f>
        <v>0</v>
      </c>
    </row>
    <row r="407" spans="1:6" ht="14.95" customHeight="1" thickBot="1" x14ac:dyDescent="0.3">
      <c r="A407" s="9" t="s">
        <v>1261</v>
      </c>
      <c r="B407" s="9" t="s">
        <v>1077</v>
      </c>
      <c r="C407" s="10">
        <f>Jones_Jsaltries</f>
        <v>0</v>
      </c>
      <c r="D407" s="23" t="s">
        <v>1494</v>
      </c>
      <c r="E407" s="23" t="s">
        <v>1131</v>
      </c>
      <c r="F407" s="23">
        <f>Ibuanokpeharpts</f>
        <v>0</v>
      </c>
    </row>
    <row r="408" spans="1:6" ht="14.95" customHeight="1" thickBot="1" x14ac:dyDescent="0.3">
      <c r="A408" s="9" t="s">
        <v>1111</v>
      </c>
      <c r="B408" s="9" t="s">
        <v>1077</v>
      </c>
      <c r="C408" s="10">
        <f>Jonessaltries</f>
        <v>0</v>
      </c>
      <c r="D408" s="25" t="s">
        <v>1495</v>
      </c>
      <c r="E408" s="25" t="s">
        <v>1132</v>
      </c>
      <c r="F408" s="23">
        <f>Jamespts</f>
        <v>0</v>
      </c>
    </row>
    <row r="409" spans="1:6" ht="14.95" customHeight="1" thickBot="1" x14ac:dyDescent="0.3">
      <c r="A409" s="9" t="s">
        <v>1502</v>
      </c>
      <c r="B409" s="9" t="s">
        <v>1156</v>
      </c>
      <c r="C409" s="10">
        <f>Jeffriesbritries</f>
        <v>0</v>
      </c>
      <c r="D409" s="25" t="s">
        <v>1044</v>
      </c>
      <c r="E409" s="25" t="s">
        <v>1077</v>
      </c>
      <c r="F409" s="23">
        <f>James_Lsalpts</f>
        <v>0</v>
      </c>
    </row>
    <row r="410" spans="1:6" ht="14.95" customHeight="1" thickBot="1" x14ac:dyDescent="0.3">
      <c r="A410" s="9" t="s">
        <v>1815</v>
      </c>
      <c r="B410" s="9" t="s">
        <v>1134</v>
      </c>
      <c r="C410" s="10">
        <f>Judgesartries</f>
        <v>0</v>
      </c>
      <c r="D410" s="25" t="s">
        <v>1116</v>
      </c>
      <c r="E410" s="25" t="s">
        <v>1133</v>
      </c>
      <c r="F410" s="23">
        <f>Jameswaspts</f>
        <v>0</v>
      </c>
    </row>
    <row r="411" spans="1:6" ht="14.95" customHeight="1" thickBot="1" x14ac:dyDescent="0.3">
      <c r="A411" s="9" t="s">
        <v>1798</v>
      </c>
      <c r="B411" s="9" t="s">
        <v>1132</v>
      </c>
      <c r="C411" s="10">
        <f>Keastexetries</f>
        <v>0</v>
      </c>
      <c r="D411" s="25" t="s">
        <v>1776</v>
      </c>
      <c r="E411" s="25" t="s">
        <v>1133</v>
      </c>
      <c r="F411" s="23">
        <f>Jardinewaspts</f>
        <v>0</v>
      </c>
    </row>
    <row r="412" spans="1:6" ht="14.95" customHeight="1" thickBot="1" x14ac:dyDescent="0.3">
      <c r="A412" s="9" t="s">
        <v>1505</v>
      </c>
      <c r="B412" s="9" t="s">
        <v>1076</v>
      </c>
      <c r="C412" s="10">
        <f>Kerrodwortries</f>
        <v>0</v>
      </c>
      <c r="D412" s="25" t="s">
        <v>1497</v>
      </c>
      <c r="E412" s="25" t="s">
        <v>1156</v>
      </c>
      <c r="F412" s="23">
        <f>Jeffriesbripts</f>
        <v>0</v>
      </c>
    </row>
    <row r="413" spans="1:6" ht="14.95" customHeight="1" thickBot="1" x14ac:dyDescent="0.3">
      <c r="A413" s="10" t="s">
        <v>1507</v>
      </c>
      <c r="B413" s="9" t="s">
        <v>1076</v>
      </c>
      <c r="C413" s="10">
        <f>Lewisrobtries</f>
        <v>0</v>
      </c>
      <c r="D413" s="25" t="s">
        <v>1498</v>
      </c>
      <c r="E413" s="25" t="s">
        <v>1077</v>
      </c>
      <c r="F413" s="22">
        <f>Jenningssalpts</f>
        <v>0</v>
      </c>
    </row>
    <row r="414" spans="1:6" ht="14.95" customHeight="1" thickBot="1" x14ac:dyDescent="0.3">
      <c r="A414" s="9" t="s">
        <v>1508</v>
      </c>
      <c r="B414" s="9" t="s">
        <v>1135</v>
      </c>
      <c r="C414" s="10">
        <f>Kitchenergrahamtriescorrect</f>
        <v>0</v>
      </c>
      <c r="D414" s="25" t="s">
        <v>1499</v>
      </c>
      <c r="E414" s="25" t="s">
        <v>1077</v>
      </c>
      <c r="F414" s="23">
        <f>Johnsalpts</f>
        <v>0</v>
      </c>
    </row>
    <row r="415" spans="1:6" ht="14.95" customHeight="1" thickBot="1" x14ac:dyDescent="0.3">
      <c r="A415" s="9" t="s">
        <v>1509</v>
      </c>
      <c r="B415" s="9" t="s">
        <v>1134</v>
      </c>
      <c r="C415" s="10">
        <f>Jouberternsttries</f>
        <v>0</v>
      </c>
      <c r="D415" s="25" t="s">
        <v>1261</v>
      </c>
      <c r="E415" s="25" t="s">
        <v>1077</v>
      </c>
      <c r="F415" s="23">
        <f>Jones_Jsalpts</f>
        <v>0</v>
      </c>
    </row>
    <row r="416" spans="1:6" ht="14.95" customHeight="1" thickBot="1" x14ac:dyDescent="0.3">
      <c r="A416" s="9" t="s">
        <v>1807</v>
      </c>
      <c r="B416" s="9" t="s">
        <v>1134</v>
      </c>
      <c r="C416" s="10">
        <f>Kpoku__Jonathansartries</f>
        <v>0</v>
      </c>
      <c r="D416" s="25" t="s">
        <v>1111</v>
      </c>
      <c r="E416" s="25" t="s">
        <v>1077</v>
      </c>
      <c r="F416" s="23">
        <f>Jonessalpts</f>
        <v>0</v>
      </c>
    </row>
    <row r="417" spans="1:6" ht="14.95" customHeight="1" thickBot="1" x14ac:dyDescent="0.3">
      <c r="A417" s="9" t="s">
        <v>1510</v>
      </c>
      <c r="B417" s="9" t="s">
        <v>1075</v>
      </c>
      <c r="C417" s="10">
        <f>Krielglotries</f>
        <v>0</v>
      </c>
      <c r="D417" s="25" t="s">
        <v>1502</v>
      </c>
      <c r="E417" s="25" t="s">
        <v>1156</v>
      </c>
      <c r="F417" s="23">
        <f>Hearnlirpts</f>
        <v>0</v>
      </c>
    </row>
    <row r="418" spans="1:6" ht="14.95" customHeight="1" thickBot="1" x14ac:dyDescent="0.3">
      <c r="A418" s="9" t="s">
        <v>1511</v>
      </c>
      <c r="B418" s="9" t="s">
        <v>1134</v>
      </c>
      <c r="C418" s="10">
        <f>Kruisgeorgetries</f>
        <v>0</v>
      </c>
      <c r="D418" s="25" t="s">
        <v>1815</v>
      </c>
      <c r="E418" s="25" t="s">
        <v>1134</v>
      </c>
      <c r="F418" s="23">
        <f>Judgesarpts</f>
        <v>0</v>
      </c>
    </row>
    <row r="419" spans="1:6" ht="14.95" customHeight="1" thickBot="1" x14ac:dyDescent="0.3">
      <c r="A419" s="9" t="s">
        <v>1513</v>
      </c>
      <c r="B419" s="9" t="s">
        <v>1078</v>
      </c>
      <c r="C419" s="10">
        <f>lahiffmaxbthtries</f>
        <v>0</v>
      </c>
      <c r="D419" s="25" t="s">
        <v>1798</v>
      </c>
      <c r="E419" s="25" t="s">
        <v>1132</v>
      </c>
      <c r="F419" s="23">
        <f>Keastexepts</f>
        <v>0</v>
      </c>
    </row>
    <row r="420" spans="1:6" ht="14.95" customHeight="1" thickBot="1" x14ac:dyDescent="0.3">
      <c r="A420" s="9" t="s">
        <v>1515</v>
      </c>
      <c r="B420" s="9" t="s">
        <v>1131</v>
      </c>
      <c r="C420" s="10">
        <f>Jonesadamhartries</f>
        <v>0</v>
      </c>
      <c r="D420" s="25" t="s">
        <v>1505</v>
      </c>
      <c r="E420" s="25" t="s">
        <v>1076</v>
      </c>
      <c r="F420" s="23">
        <f>Kerrodworpts</f>
        <v>0</v>
      </c>
    </row>
    <row r="421" spans="1:6" ht="14.95" customHeight="1" thickBot="1" x14ac:dyDescent="0.3">
      <c r="A421" s="9" t="s">
        <v>1516</v>
      </c>
      <c r="B421" s="9" t="s">
        <v>1131</v>
      </c>
      <c r="C421" s="10">
        <f>Lamberthartries</f>
        <v>0</v>
      </c>
      <c r="D421" s="23" t="s">
        <v>1507</v>
      </c>
      <c r="E421" s="25" t="s">
        <v>1076</v>
      </c>
      <c r="F421" s="23">
        <f>Lewisrobpts</f>
        <v>0</v>
      </c>
    </row>
    <row r="422" spans="1:6" ht="14.95" customHeight="1" thickBot="1" x14ac:dyDescent="0.3">
      <c r="A422" s="10" t="s">
        <v>1517</v>
      </c>
      <c r="B422" s="10" t="s">
        <v>1134</v>
      </c>
      <c r="C422" s="10">
        <f>Lamositelesartries</f>
        <v>0</v>
      </c>
      <c r="D422" s="25" t="s">
        <v>1508</v>
      </c>
      <c r="E422" s="25" t="s">
        <v>1135</v>
      </c>
      <c r="F422" s="23">
        <f>Kitchenergrahamptscorrect</f>
        <v>0</v>
      </c>
    </row>
    <row r="423" spans="1:6" ht="14.95" customHeight="1" thickBot="1" x14ac:dyDescent="0.3">
      <c r="A423" s="10" t="s">
        <v>1518</v>
      </c>
      <c r="B423" s="9" t="s">
        <v>1076</v>
      </c>
      <c r="C423" s="10">
        <f>Lancewortries</f>
        <v>0</v>
      </c>
      <c r="D423" s="25" t="s">
        <v>1509</v>
      </c>
      <c r="E423" s="25" t="s">
        <v>1134</v>
      </c>
      <c r="F423" s="23">
        <f>Jouberternstpts</f>
        <v>0</v>
      </c>
    </row>
    <row r="424" spans="1:6" ht="14.95" customHeight="1" thickBot="1" x14ac:dyDescent="0.3">
      <c r="A424" s="9" t="s">
        <v>1521</v>
      </c>
      <c r="B424" s="9" t="s">
        <v>1133</v>
      </c>
      <c r="C424" s="10">
        <f>Langleywastries</f>
        <v>0</v>
      </c>
      <c r="D424" s="25" t="s">
        <v>1807</v>
      </c>
      <c r="E424" s="25" t="s">
        <v>1134</v>
      </c>
      <c r="F424" s="23">
        <f>Kpoku__Jonathansarpts</f>
        <v>0</v>
      </c>
    </row>
    <row r="425" spans="1:6" ht="14.95" customHeight="1" thickBot="1" x14ac:dyDescent="0.3">
      <c r="A425" s="9" t="s">
        <v>1522</v>
      </c>
      <c r="B425" s="9" t="s">
        <v>1131</v>
      </c>
      <c r="C425" s="10">
        <f>Lasikehartries</f>
        <v>0</v>
      </c>
      <c r="D425" s="25" t="s">
        <v>1510</v>
      </c>
      <c r="E425" s="25" t="s">
        <v>1075</v>
      </c>
      <c r="F425" s="23">
        <f>Krielglopts</f>
        <v>0</v>
      </c>
    </row>
    <row r="426" spans="1:6" ht="14.95" customHeight="1" thickBot="1" x14ac:dyDescent="0.3">
      <c r="A426" s="9" t="s">
        <v>1523</v>
      </c>
      <c r="B426" s="9" t="s">
        <v>1156</v>
      </c>
      <c r="C426" s="10">
        <f>Laybritries</f>
        <v>0</v>
      </c>
      <c r="D426" s="25" t="s">
        <v>1511</v>
      </c>
      <c r="E426" s="25" t="s">
        <v>1134</v>
      </c>
      <c r="F426" s="23">
        <f>Kruisgeorgepts</f>
        <v>0</v>
      </c>
    </row>
    <row r="427" spans="1:6" ht="14.95" customHeight="1" thickBot="1" x14ac:dyDescent="0.3">
      <c r="A427" s="9" t="s">
        <v>1527</v>
      </c>
      <c r="B427" s="9" t="s">
        <v>1076</v>
      </c>
      <c r="C427" s="10">
        <f>Lawrencewortries</f>
        <v>0</v>
      </c>
      <c r="D427" s="25" t="s">
        <v>1513</v>
      </c>
      <c r="E427" s="25" t="s">
        <v>1078</v>
      </c>
      <c r="F427" s="23">
        <f>Lahiffmaxbthpts</f>
        <v>0</v>
      </c>
    </row>
    <row r="428" spans="1:6" ht="14.95" customHeight="1" thickBot="1" x14ac:dyDescent="0.3">
      <c r="A428" s="9" t="s">
        <v>1174</v>
      </c>
      <c r="B428" s="9" t="s">
        <v>1156</v>
      </c>
      <c r="C428" s="10">
        <f>Lloydlirtries</f>
        <v>0</v>
      </c>
      <c r="D428" s="25" t="s">
        <v>1515</v>
      </c>
      <c r="E428" s="25" t="s">
        <v>1131</v>
      </c>
      <c r="F428" s="23">
        <f>Jonesadamharpts</f>
        <v>0</v>
      </c>
    </row>
    <row r="429" spans="1:6" ht="14.95" customHeight="1" thickBot="1" x14ac:dyDescent="0.3">
      <c r="A429" s="9" t="s">
        <v>1175</v>
      </c>
      <c r="B429" s="9" t="s">
        <v>1156</v>
      </c>
      <c r="C429" s="10">
        <f>Lloydlirtries</f>
        <v>0</v>
      </c>
      <c r="D429" s="25" t="s">
        <v>1516</v>
      </c>
      <c r="E429" s="25" t="s">
        <v>1131</v>
      </c>
      <c r="F429" s="23">
        <f>Lambertharpts</f>
        <v>0</v>
      </c>
    </row>
    <row r="430" spans="1:6" ht="14.95" customHeight="1" thickBot="1" x14ac:dyDescent="0.3">
      <c r="A430" s="9" t="s">
        <v>1528</v>
      </c>
      <c r="B430" s="9" t="s">
        <v>1133</v>
      </c>
      <c r="C430" s="10">
        <f>Le_Bourgeoiswastries</f>
        <v>0</v>
      </c>
      <c r="D430" s="23" t="s">
        <v>1517</v>
      </c>
      <c r="E430" s="23" t="s">
        <v>1134</v>
      </c>
      <c r="F430" s="23">
        <f>Lamositelesarpts</f>
        <v>0</v>
      </c>
    </row>
    <row r="431" spans="1:6" ht="14.95" customHeight="1" thickBot="1" x14ac:dyDescent="0.3">
      <c r="A431" s="9" t="s">
        <v>1530</v>
      </c>
      <c r="B431" s="9" t="s">
        <v>1132</v>
      </c>
      <c r="C431" s="10">
        <f>Leesexetries</f>
        <v>0</v>
      </c>
      <c r="D431" s="23" t="s">
        <v>1518</v>
      </c>
      <c r="E431" s="25" t="s">
        <v>1076</v>
      </c>
      <c r="F431" s="23">
        <f>Lanceworpts</f>
        <v>0</v>
      </c>
    </row>
    <row r="432" spans="1:6" ht="14.95" customHeight="1" thickBot="1" x14ac:dyDescent="0.3">
      <c r="A432" s="9" t="s">
        <v>1532</v>
      </c>
      <c r="B432" s="9" t="s">
        <v>1077</v>
      </c>
      <c r="C432" s="7">
        <f>Leotajohnnytries</f>
        <v>0</v>
      </c>
      <c r="D432" s="25" t="s">
        <v>1521</v>
      </c>
      <c r="E432" s="25" t="s">
        <v>1133</v>
      </c>
      <c r="F432" s="23">
        <f>Langleywaspts</f>
        <v>0</v>
      </c>
    </row>
    <row r="433" spans="1:6" ht="14.95" customHeight="1" thickBot="1" x14ac:dyDescent="0.3">
      <c r="A433" s="9" t="s">
        <v>1091</v>
      </c>
      <c r="B433" s="9" t="s">
        <v>1131</v>
      </c>
      <c r="C433" s="10">
        <f>Lewisdavehartries</f>
        <v>0</v>
      </c>
      <c r="D433" s="25" t="s">
        <v>1522</v>
      </c>
      <c r="E433" s="25" t="s">
        <v>1131</v>
      </c>
      <c r="F433" s="23">
        <f>Lasikeharpts</f>
        <v>0</v>
      </c>
    </row>
    <row r="434" spans="1:6" ht="14.95" customHeight="1" thickBot="1" x14ac:dyDescent="0.3">
      <c r="A434" s="9" t="s">
        <v>1534</v>
      </c>
      <c r="B434" s="9" t="s">
        <v>1156</v>
      </c>
      <c r="C434" s="10">
        <f>Lomidzelirtries</f>
        <v>0</v>
      </c>
      <c r="D434" s="25" t="s">
        <v>1523</v>
      </c>
      <c r="E434" s="25" t="s">
        <v>1156</v>
      </c>
      <c r="F434" s="23">
        <f>Hoskinslirpts</f>
        <v>0</v>
      </c>
    </row>
    <row r="435" spans="1:6" ht="14.95" customHeight="1" thickBot="1" x14ac:dyDescent="0.3">
      <c r="A435" s="9" t="s">
        <v>1535</v>
      </c>
      <c r="B435" s="9" t="s">
        <v>1079</v>
      </c>
      <c r="C435" s="10">
        <f>MacLeodnewtries</f>
        <v>0</v>
      </c>
      <c r="D435" s="25" t="s">
        <v>1527</v>
      </c>
      <c r="E435" s="25" t="s">
        <v>1076</v>
      </c>
      <c r="F435" s="23">
        <f>Lawrenceworpts</f>
        <v>0</v>
      </c>
    </row>
    <row r="436" spans="1:6" ht="14.95" customHeight="1" thickBot="1" x14ac:dyDescent="0.3">
      <c r="A436" s="9" t="s">
        <v>1537</v>
      </c>
      <c r="B436" s="9" t="s">
        <v>1133</v>
      </c>
      <c r="C436" s="10">
        <f>Leiuawastries</f>
        <v>0</v>
      </c>
      <c r="D436" s="25" t="s">
        <v>1174</v>
      </c>
      <c r="E436" s="25" t="s">
        <v>1156</v>
      </c>
      <c r="F436" s="23">
        <f>Laybripts</f>
        <v>0</v>
      </c>
    </row>
    <row r="437" spans="1:6" ht="14.95" customHeight="1" thickBot="1" x14ac:dyDescent="0.3">
      <c r="A437" s="9" t="s">
        <v>1540</v>
      </c>
      <c r="B437" s="9" t="s">
        <v>1131</v>
      </c>
      <c r="C437" s="10">
        <f>Marfohartries</f>
        <v>0</v>
      </c>
      <c r="D437" s="25" t="s">
        <v>1175</v>
      </c>
      <c r="E437" s="25" t="s">
        <v>1156</v>
      </c>
      <c r="F437" s="22">
        <f>Lloydlirpts</f>
        <v>0</v>
      </c>
    </row>
    <row r="438" spans="1:6" ht="14.95" customHeight="1" thickBot="1" x14ac:dyDescent="0.3">
      <c r="A438" s="9" t="s">
        <v>1545</v>
      </c>
      <c r="B438" s="9" t="s">
        <v>1156</v>
      </c>
      <c r="C438" s="10">
        <f>McLeanlirtries</f>
        <v>0</v>
      </c>
      <c r="D438" s="25" t="s">
        <v>1528</v>
      </c>
      <c r="E438" s="25" t="s">
        <v>1133</v>
      </c>
      <c r="F438" s="23">
        <f>Le_Bourgeoiswaspts</f>
        <v>0</v>
      </c>
    </row>
    <row r="439" spans="1:6" ht="14.95" customHeight="1" thickBot="1" x14ac:dyDescent="0.3">
      <c r="A439" s="9" t="s">
        <v>1548</v>
      </c>
      <c r="B439" s="9" t="s">
        <v>1080</v>
      </c>
      <c r="C439" s="10">
        <f>Mallindernortries</f>
        <v>0</v>
      </c>
      <c r="D439" s="25" t="s">
        <v>1530</v>
      </c>
      <c r="E439" s="25" t="s">
        <v>1132</v>
      </c>
      <c r="F439" s="23">
        <f>Leesexepts</f>
        <v>0</v>
      </c>
    </row>
    <row r="440" spans="1:6" ht="14.95" customHeight="1" thickBot="1" x14ac:dyDescent="0.3">
      <c r="A440" s="9" t="s">
        <v>1549</v>
      </c>
      <c r="B440" s="9" t="s">
        <v>1156</v>
      </c>
      <c r="C440" s="10">
        <f>McLeanlirtries</f>
        <v>0</v>
      </c>
      <c r="D440" s="25" t="s">
        <v>1532</v>
      </c>
      <c r="E440" s="25" t="s">
        <v>1077</v>
      </c>
      <c r="F440" s="23">
        <f>Leotajohnnypts</f>
        <v>0</v>
      </c>
    </row>
    <row r="441" spans="1:6" ht="14.95" customHeight="1" thickBot="1" x14ac:dyDescent="0.3">
      <c r="A441" s="9" t="s">
        <v>1099</v>
      </c>
      <c r="B441" s="9" t="s">
        <v>1079</v>
      </c>
      <c r="C441" s="10">
        <f>Matavesi__Joelnewtries</f>
        <v>0</v>
      </c>
      <c r="D441" s="25" t="s">
        <v>1091</v>
      </c>
      <c r="E441" s="25" t="s">
        <v>1131</v>
      </c>
      <c r="F441" s="24">
        <f>Lewisdaveharpts</f>
        <v>0</v>
      </c>
    </row>
    <row r="442" spans="1:6" ht="14.95" customHeight="1" thickBot="1" x14ac:dyDescent="0.3">
      <c r="A442" s="9" t="s">
        <v>1100</v>
      </c>
      <c r="B442" s="9" t="s">
        <v>1079</v>
      </c>
      <c r="C442" s="10">
        <f>Matavesi__Joshnewtries</f>
        <v>0</v>
      </c>
      <c r="D442" s="25" t="s">
        <v>1534</v>
      </c>
      <c r="E442" s="25" t="s">
        <v>1156</v>
      </c>
      <c r="F442" s="24">
        <f>Lomidzelirpts</f>
        <v>0</v>
      </c>
    </row>
    <row r="443" spans="1:6" ht="14.95" customHeight="1" thickBot="1" x14ac:dyDescent="0.3">
      <c r="A443" s="9" t="s">
        <v>1554</v>
      </c>
      <c r="B443" s="9" t="s">
        <v>1133</v>
      </c>
      <c r="C443" s="10">
        <f>Matthewswastries</f>
        <v>0</v>
      </c>
      <c r="D443" s="25" t="s">
        <v>1535</v>
      </c>
      <c r="E443" s="25" t="s">
        <v>1079</v>
      </c>
      <c r="F443" s="23">
        <f>MacLeodnewpts</f>
        <v>0</v>
      </c>
    </row>
    <row r="444" spans="1:6" ht="14.95" customHeight="1" thickBot="1" x14ac:dyDescent="0.3">
      <c r="A444" s="9" t="s">
        <v>1558</v>
      </c>
      <c r="B444" s="9" t="s">
        <v>1075</v>
      </c>
      <c r="C444" s="10">
        <f>McAllisterglotries</f>
        <v>0</v>
      </c>
      <c r="D444" s="25" t="s">
        <v>1537</v>
      </c>
      <c r="E444" s="25" t="s">
        <v>1133</v>
      </c>
      <c r="F444" s="22">
        <f>Leiuaalapatiwaspts</f>
        <v>0</v>
      </c>
    </row>
    <row r="445" spans="1:6" ht="14.95" customHeight="1" thickBot="1" x14ac:dyDescent="0.3">
      <c r="A445" s="9" t="s">
        <v>1306</v>
      </c>
      <c r="B445" s="9" t="s">
        <v>1079</v>
      </c>
      <c r="C445" s="10">
        <f>McGuigannewtries</f>
        <v>0</v>
      </c>
      <c r="D445" s="25" t="s">
        <v>1540</v>
      </c>
      <c r="E445" s="25" t="s">
        <v>1131</v>
      </c>
      <c r="F445" s="23">
        <f>Marfoharpts</f>
        <v>0</v>
      </c>
    </row>
    <row r="446" spans="1:6" ht="14.95" customHeight="1" thickBot="1" x14ac:dyDescent="0.3">
      <c r="A446" s="9" t="s">
        <v>1560</v>
      </c>
      <c r="B446" s="9" t="s">
        <v>1133</v>
      </c>
      <c r="C446" s="10">
        <f>McIntyrewastries</f>
        <v>0</v>
      </c>
      <c r="D446" s="25" t="s">
        <v>1549</v>
      </c>
      <c r="E446" s="25" t="s">
        <v>1156</v>
      </c>
      <c r="F446" s="23">
        <f>McLeanlirpts</f>
        <v>0</v>
      </c>
    </row>
    <row r="447" spans="1:6" ht="14.95" customHeight="1" thickBot="1" x14ac:dyDescent="0.3">
      <c r="A447" s="9" t="s">
        <v>1561</v>
      </c>
      <c r="B447" s="9" t="s">
        <v>1131</v>
      </c>
      <c r="C447" s="10">
        <f>McNultyhartries</f>
        <v>0</v>
      </c>
      <c r="D447" s="25" t="s">
        <v>1099</v>
      </c>
      <c r="E447" s="25" t="s">
        <v>1079</v>
      </c>
      <c r="F447" s="23">
        <f>Matavesi__Joelnewpts</f>
        <v>0</v>
      </c>
    </row>
    <row r="448" spans="1:6" ht="14.95" customHeight="1" thickBot="1" x14ac:dyDescent="0.3">
      <c r="A448" s="9" t="s">
        <v>1562</v>
      </c>
      <c r="B448" s="9" t="s">
        <v>1131</v>
      </c>
      <c r="C448" s="10">
        <f>Merrickhartries</f>
        <v>0</v>
      </c>
      <c r="D448" s="25" t="s">
        <v>1100</v>
      </c>
      <c r="E448" s="25" t="s">
        <v>1079</v>
      </c>
      <c r="F448" s="23">
        <f>Matavesi__JoshnewptsCORRECT</f>
        <v>0</v>
      </c>
    </row>
    <row r="449" spans="1:6" ht="14.95" customHeight="1" thickBot="1" x14ac:dyDescent="0.3">
      <c r="A449" s="9" t="s">
        <v>1738</v>
      </c>
      <c r="B449" s="9" t="s">
        <v>1076</v>
      </c>
      <c r="C449" s="10">
        <f>Milasinovichwortries</f>
        <v>0</v>
      </c>
      <c r="D449" s="25" t="s">
        <v>1554</v>
      </c>
      <c r="E449" s="25" t="s">
        <v>1133</v>
      </c>
      <c r="F449" s="22">
        <f>Matthewswaspts</f>
        <v>0</v>
      </c>
    </row>
    <row r="450" spans="1:6" ht="14.95" customHeight="1" thickBot="1" x14ac:dyDescent="0.3">
      <c r="A450" s="10" t="s">
        <v>1291</v>
      </c>
      <c r="B450" s="9" t="s">
        <v>1076</v>
      </c>
      <c r="C450" s="10">
        <f>Millerwortries</f>
        <v>0</v>
      </c>
      <c r="D450" s="25" t="s">
        <v>1558</v>
      </c>
      <c r="E450" s="25" t="s">
        <v>1075</v>
      </c>
      <c r="F450" s="23">
        <f>McAllisterglopts</f>
        <v>0</v>
      </c>
    </row>
    <row r="451" spans="1:6" ht="14.95" customHeight="1" thickBot="1" x14ac:dyDescent="0.3">
      <c r="A451" s="9" t="s">
        <v>1308</v>
      </c>
      <c r="B451" s="9" t="s">
        <v>1133</v>
      </c>
      <c r="C451" s="10">
        <f>Millerwastries</f>
        <v>0</v>
      </c>
      <c r="D451" s="25" t="s">
        <v>1306</v>
      </c>
      <c r="E451" s="25" t="s">
        <v>1079</v>
      </c>
      <c r="F451" s="23">
        <f>McGuigannewpts</f>
        <v>0</v>
      </c>
    </row>
    <row r="452" spans="1:6" ht="14.95" customHeight="1" thickBot="1" x14ac:dyDescent="0.3">
      <c r="A452" s="9" t="s">
        <v>1843</v>
      </c>
      <c r="B452" s="9" t="s">
        <v>1080</v>
      </c>
      <c r="C452" s="10">
        <f>Moon_Anortries</f>
        <v>0</v>
      </c>
      <c r="D452" s="25" t="s">
        <v>1560</v>
      </c>
      <c r="E452" s="25" t="s">
        <v>1133</v>
      </c>
      <c r="F452" s="23">
        <f>McIntyresimonpts</f>
        <v>0</v>
      </c>
    </row>
    <row r="453" spans="1:6" ht="14.95" customHeight="1" thickBot="1" x14ac:dyDescent="0.3">
      <c r="A453" s="9" t="s">
        <v>1309</v>
      </c>
      <c r="B453" s="9" t="s">
        <v>1131</v>
      </c>
      <c r="C453" s="10">
        <f>Morrishartries</f>
        <v>0</v>
      </c>
      <c r="D453" s="25" t="s">
        <v>1561</v>
      </c>
      <c r="E453" s="25" t="s">
        <v>1131</v>
      </c>
      <c r="F453" s="23">
        <f>McNultyharpts</f>
        <v>0</v>
      </c>
    </row>
    <row r="454" spans="1:6" ht="14.95" customHeight="1" thickBot="1" x14ac:dyDescent="0.3">
      <c r="A454" s="9" t="s">
        <v>1310</v>
      </c>
      <c r="B454" s="9" t="s">
        <v>1133</v>
      </c>
      <c r="C454" s="10">
        <f>Morrisbenwasgtries</f>
        <v>0</v>
      </c>
      <c r="D454" s="25" t="s">
        <v>1562</v>
      </c>
      <c r="E454" s="25" t="s">
        <v>1131</v>
      </c>
      <c r="F454" s="23">
        <f>Merrickharpts</f>
        <v>0</v>
      </c>
    </row>
    <row r="455" spans="1:6" ht="14.95" customHeight="1" thickBot="1" x14ac:dyDescent="0.3">
      <c r="A455" s="9" t="s">
        <v>1568</v>
      </c>
      <c r="B455" s="9" t="s">
        <v>1075</v>
      </c>
      <c r="C455" s="10">
        <f>Moriartyglotries</f>
        <v>0</v>
      </c>
      <c r="D455" s="25" t="s">
        <v>1738</v>
      </c>
      <c r="E455" s="25" t="s">
        <v>1076</v>
      </c>
      <c r="F455" s="23">
        <f>Milasinovichworpts</f>
        <v>0</v>
      </c>
    </row>
    <row r="456" spans="1:6" ht="14.95" customHeight="1" thickBot="1" x14ac:dyDescent="0.3">
      <c r="A456" s="9" t="s">
        <v>1740</v>
      </c>
      <c r="B456" s="9" t="s">
        <v>1076</v>
      </c>
      <c r="C456" s="10">
        <f>Mudarikiwortries</f>
        <v>0</v>
      </c>
      <c r="D456" s="23" t="s">
        <v>1291</v>
      </c>
      <c r="E456" s="25" t="s">
        <v>1076</v>
      </c>
      <c r="F456" s="23">
        <f>Millerworpts</f>
        <v>0</v>
      </c>
    </row>
    <row r="457" spans="1:6" ht="14.95" customHeight="1" thickBot="1" x14ac:dyDescent="0.3">
      <c r="A457" s="9" t="s">
        <v>1570</v>
      </c>
      <c r="B457" s="9" t="s">
        <v>1156</v>
      </c>
      <c r="C457" s="10">
        <f>Muldowneybritries</f>
        <v>0</v>
      </c>
      <c r="D457" s="23" t="s">
        <v>1843</v>
      </c>
      <c r="E457" s="25" t="s">
        <v>1080</v>
      </c>
      <c r="F457" s="23">
        <f>Moonnorpts</f>
        <v>0</v>
      </c>
    </row>
    <row r="458" spans="1:6" ht="14.95" customHeight="1" thickBot="1" x14ac:dyDescent="0.3">
      <c r="A458" s="9" t="s">
        <v>1571</v>
      </c>
      <c r="B458" s="9" t="s">
        <v>1079</v>
      </c>
      <c r="C458" s="10">
        <f>Mulipolanewtries</f>
        <v>0</v>
      </c>
      <c r="D458" s="25" t="s">
        <v>1309</v>
      </c>
      <c r="E458" s="25" t="s">
        <v>1131</v>
      </c>
      <c r="F458" s="22">
        <f>Morrisharpts</f>
        <v>0</v>
      </c>
    </row>
    <row r="459" spans="1:6" ht="14.95" customHeight="1" thickBot="1" x14ac:dyDescent="0.3">
      <c r="A459" s="9" t="s">
        <v>1572</v>
      </c>
      <c r="B459" s="9" t="s">
        <v>1133</v>
      </c>
      <c r="C459" s="10">
        <f>Mullanwastries</f>
        <v>0</v>
      </c>
      <c r="D459" s="25" t="s">
        <v>1310</v>
      </c>
      <c r="E459" s="25" t="s">
        <v>1133</v>
      </c>
      <c r="F459" s="23">
        <f>Morrisbenwaspts</f>
        <v>0</v>
      </c>
    </row>
    <row r="460" spans="1:6" ht="14.95" customHeight="1" thickBot="1" x14ac:dyDescent="0.3">
      <c r="A460" s="9" t="s">
        <v>1727</v>
      </c>
      <c r="B460" s="9" t="s">
        <v>1079</v>
      </c>
      <c r="C460" s="10">
        <f>Mullennewtries</f>
        <v>0</v>
      </c>
      <c r="D460" s="25" t="s">
        <v>1568</v>
      </c>
      <c r="E460" s="25" t="s">
        <v>1075</v>
      </c>
      <c r="F460" s="23">
        <f>Moriartyglopts</f>
        <v>0</v>
      </c>
    </row>
    <row r="461" spans="1:6" ht="14.95" customHeight="1" thickBot="1" x14ac:dyDescent="0.3">
      <c r="A461" s="259" t="s">
        <v>1573</v>
      </c>
      <c r="B461" s="259" t="s">
        <v>1075</v>
      </c>
      <c r="C461" s="10">
        <f>MullisGLOTRIES</f>
        <v>0</v>
      </c>
      <c r="D461" s="25" t="s">
        <v>1740</v>
      </c>
      <c r="E461" s="25" t="s">
        <v>1076</v>
      </c>
      <c r="F461" s="23">
        <f>Mudarikiworpts</f>
        <v>0</v>
      </c>
    </row>
    <row r="462" spans="1:6" ht="14.95" customHeight="1" thickBot="1" x14ac:dyDescent="0.3">
      <c r="A462" s="9" t="s">
        <v>1574</v>
      </c>
      <c r="B462" s="9" t="s">
        <v>1133</v>
      </c>
      <c r="C462" s="10">
        <f>Myalltries</f>
        <v>0</v>
      </c>
      <c r="D462" s="25" t="s">
        <v>1570</v>
      </c>
      <c r="E462" s="25" t="s">
        <v>1156</v>
      </c>
      <c r="F462" s="23">
        <f>Muldowneybripts</f>
        <v>0</v>
      </c>
    </row>
    <row r="463" spans="1:6" ht="14.95" customHeight="1" thickBot="1" x14ac:dyDescent="0.3">
      <c r="A463" s="9" t="s">
        <v>1578</v>
      </c>
      <c r="B463" s="9" t="s">
        <v>1077</v>
      </c>
      <c r="C463" s="10">
        <f>Neildsaltries</f>
        <v>0</v>
      </c>
      <c r="D463" s="25" t="s">
        <v>1571</v>
      </c>
      <c r="E463" s="25" t="s">
        <v>1079</v>
      </c>
      <c r="F463" s="22">
        <f>Mulipolanewpts</f>
        <v>0</v>
      </c>
    </row>
    <row r="464" spans="1:6" ht="14.95" customHeight="1" thickBot="1" x14ac:dyDescent="0.3">
      <c r="A464" s="9" t="s">
        <v>1579</v>
      </c>
      <c r="B464" s="9" t="s">
        <v>1078</v>
      </c>
      <c r="C464" s="10">
        <f>Noguerabthtries</f>
        <v>0</v>
      </c>
      <c r="D464" s="25" t="s">
        <v>1572</v>
      </c>
      <c r="E464" s="25" t="s">
        <v>1133</v>
      </c>
      <c r="F464" s="23">
        <f>Mullanwaspts</f>
        <v>0</v>
      </c>
    </row>
    <row r="465" spans="1:6" ht="14.95" customHeight="1" thickBot="1" x14ac:dyDescent="0.3">
      <c r="A465" s="9" t="s">
        <v>1580</v>
      </c>
      <c r="B465" s="9" t="s">
        <v>1077</v>
      </c>
      <c r="C465" s="10">
        <f>Nottsaltries</f>
        <v>0</v>
      </c>
      <c r="D465" s="25" t="s">
        <v>1727</v>
      </c>
      <c r="E465" s="25" t="s">
        <v>1079</v>
      </c>
      <c r="F465" s="23">
        <f>Mullennewpts</f>
        <v>0</v>
      </c>
    </row>
    <row r="466" spans="1:6" ht="14.95" customHeight="1" thickBot="1" x14ac:dyDescent="0.3">
      <c r="A466" s="9" t="s">
        <v>1262</v>
      </c>
      <c r="B466" s="9" t="s">
        <v>1077</v>
      </c>
      <c r="C466" s="10">
        <f>O_Connortriessal</f>
        <v>0</v>
      </c>
      <c r="D466" s="260" t="s">
        <v>1573</v>
      </c>
      <c r="E466" s="260" t="s">
        <v>1075</v>
      </c>
      <c r="F466" s="23">
        <f>MullisGLOPTS</f>
        <v>0</v>
      </c>
    </row>
    <row r="467" spans="1:6" ht="14.95" customHeight="1" thickBot="1" x14ac:dyDescent="0.3">
      <c r="A467" s="9" t="s">
        <v>1584</v>
      </c>
      <c r="B467" s="9" t="s">
        <v>1077</v>
      </c>
      <c r="C467" s="10">
        <f>Odogwusaltries</f>
        <v>0</v>
      </c>
      <c r="D467" s="25" t="s">
        <v>1574</v>
      </c>
      <c r="E467" s="25" t="s">
        <v>1133</v>
      </c>
      <c r="F467" s="23">
        <f>Myallpts</f>
        <v>0</v>
      </c>
    </row>
    <row r="468" spans="1:6" ht="14.95" customHeight="1" thickBot="1" x14ac:dyDescent="0.3">
      <c r="A468" s="9" t="s">
        <v>1586</v>
      </c>
      <c r="B468" s="9" t="s">
        <v>1076</v>
      </c>
      <c r="C468" s="72">
        <f>Reevesrickytries</f>
        <v>0</v>
      </c>
      <c r="D468" s="25" t="s">
        <v>1578</v>
      </c>
      <c r="E468" s="25" t="s">
        <v>1077</v>
      </c>
      <c r="F468" s="23">
        <f>Neildsalpts</f>
        <v>0</v>
      </c>
    </row>
    <row r="469" spans="1:6" ht="14.95" customHeight="1" thickBot="1" x14ac:dyDescent="0.3">
      <c r="A469" s="9" t="s">
        <v>978</v>
      </c>
      <c r="B469" s="9" t="s">
        <v>1080</v>
      </c>
      <c r="C469" s="10">
        <f>Olvernortriescorrect</f>
        <v>0</v>
      </c>
      <c r="D469" s="25" t="s">
        <v>1579</v>
      </c>
      <c r="E469" s="25" t="s">
        <v>1078</v>
      </c>
      <c r="F469" s="23">
        <f>Noguerabthpts</f>
        <v>0</v>
      </c>
    </row>
    <row r="470" spans="1:6" ht="14.95" customHeight="1" thickBot="1" x14ac:dyDescent="0.3">
      <c r="A470" s="9" t="s">
        <v>1587</v>
      </c>
      <c r="B470" s="9" t="s">
        <v>1077</v>
      </c>
      <c r="C470" s="7">
        <f>Ostrikovandreitries</f>
        <v>0</v>
      </c>
      <c r="D470" s="25" t="s">
        <v>1580</v>
      </c>
      <c r="E470" s="25" t="s">
        <v>1077</v>
      </c>
      <c r="F470" s="23">
        <f>Nottsalpts</f>
        <v>0</v>
      </c>
    </row>
    <row r="471" spans="1:6" ht="14.95" customHeight="1" thickBot="1" x14ac:dyDescent="0.3">
      <c r="A471" s="10" t="s">
        <v>1588</v>
      </c>
      <c r="B471" s="9" t="s">
        <v>1133</v>
      </c>
      <c r="C471" s="10">
        <f>O_Sullivanwastries</f>
        <v>0</v>
      </c>
      <c r="D471" s="25" t="s">
        <v>1262</v>
      </c>
      <c r="E471" s="25" t="s">
        <v>1077</v>
      </c>
      <c r="F471" s="23">
        <f>O_Connorptssal</f>
        <v>0</v>
      </c>
    </row>
    <row r="472" spans="1:6" ht="14.95" customHeight="1" thickBot="1" x14ac:dyDescent="0.3">
      <c r="A472" s="10" t="s">
        <v>1589</v>
      </c>
      <c r="B472" s="10" t="s">
        <v>1135</v>
      </c>
      <c r="C472" s="10">
        <f>Owenleictries</f>
        <v>0</v>
      </c>
      <c r="D472" s="25" t="s">
        <v>1584</v>
      </c>
      <c r="E472" s="25" t="s">
        <v>1077</v>
      </c>
      <c r="F472" s="23">
        <f>Odogwusalpts</f>
        <v>0</v>
      </c>
    </row>
    <row r="473" spans="1:6" ht="14.95" customHeight="1" thickBot="1" x14ac:dyDescent="0.3">
      <c r="A473" s="9" t="s">
        <v>1590</v>
      </c>
      <c r="B473" s="9" t="s">
        <v>1077</v>
      </c>
      <c r="C473" s="10">
        <f>Pearcesaltries</f>
        <v>0</v>
      </c>
      <c r="D473" s="25" t="s">
        <v>1586</v>
      </c>
      <c r="E473" s="25" t="s">
        <v>1076</v>
      </c>
      <c r="F473" s="22">
        <f>Reevesrickypts</f>
        <v>0</v>
      </c>
    </row>
    <row r="474" spans="1:6" ht="14.95" customHeight="1" thickBot="1" x14ac:dyDescent="0.3">
      <c r="A474" s="9" t="s">
        <v>1083</v>
      </c>
      <c r="B474" s="9" t="s">
        <v>1078</v>
      </c>
      <c r="C474" s="10">
        <f>bathpentriestriesthisone</f>
        <v>0</v>
      </c>
      <c r="D474" s="25" t="s">
        <v>978</v>
      </c>
      <c r="E474" s="25" t="s">
        <v>1080</v>
      </c>
      <c r="F474" s="23">
        <f>Olvernorpts</f>
        <v>0</v>
      </c>
    </row>
    <row r="475" spans="1:6" ht="14.95" customHeight="1" thickBot="1" x14ac:dyDescent="0.3">
      <c r="A475" s="9" t="s">
        <v>1083</v>
      </c>
      <c r="B475" s="9" t="s">
        <v>1075</v>
      </c>
      <c r="C475" s="10">
        <f>Penalty_Triesglotries</f>
        <v>0</v>
      </c>
      <c r="D475" s="25" t="s">
        <v>1587</v>
      </c>
      <c r="E475" s="25" t="s">
        <v>1077</v>
      </c>
      <c r="F475" s="24">
        <f>OStrikovsalpts</f>
        <v>0</v>
      </c>
    </row>
    <row r="476" spans="1:6" ht="14.95" customHeight="1" thickBot="1" x14ac:dyDescent="0.3">
      <c r="A476" s="9" t="s">
        <v>1083</v>
      </c>
      <c r="B476" s="9" t="s">
        <v>1131</v>
      </c>
      <c r="C476" s="10">
        <f>Penalty_Trieshartries</f>
        <v>0</v>
      </c>
      <c r="D476" s="23" t="s">
        <v>1588</v>
      </c>
      <c r="E476" s="25" t="s">
        <v>1133</v>
      </c>
      <c r="F476" s="23">
        <f>O_Sullivanwaspts</f>
        <v>0</v>
      </c>
    </row>
    <row r="477" spans="1:6" ht="14.95" customHeight="1" thickBot="1" x14ac:dyDescent="0.3">
      <c r="A477" s="9" t="s">
        <v>1083</v>
      </c>
      <c r="B477" s="9" t="s">
        <v>1135</v>
      </c>
      <c r="C477" s="10">
        <f>leicspentriestries</f>
        <v>0</v>
      </c>
      <c r="D477" s="23" t="s">
        <v>1589</v>
      </c>
      <c r="E477" s="23" t="s">
        <v>1135</v>
      </c>
      <c r="F477" s="23">
        <f>Owenleicpts</f>
        <v>0</v>
      </c>
    </row>
    <row r="478" spans="1:6" ht="14.95" customHeight="1" thickBot="1" x14ac:dyDescent="0.3">
      <c r="A478" s="9" t="s">
        <v>1083</v>
      </c>
      <c r="B478" s="9" t="s">
        <v>1079</v>
      </c>
      <c r="C478" s="10">
        <f>Penalty_Triesnewtries</f>
        <v>0</v>
      </c>
      <c r="D478" s="25" t="s">
        <v>1590</v>
      </c>
      <c r="E478" s="25" t="s">
        <v>1077</v>
      </c>
      <c r="F478" s="23">
        <f>Pearcesalpts</f>
        <v>0</v>
      </c>
    </row>
    <row r="479" spans="1:6" ht="14.95" customHeight="1" thickBot="1" x14ac:dyDescent="0.3">
      <c r="A479" s="9" t="s">
        <v>1083</v>
      </c>
      <c r="B479" s="9" t="s">
        <v>1133</v>
      </c>
      <c r="C479" s="10">
        <f>Penalty_Trieswastries</f>
        <v>0</v>
      </c>
      <c r="D479" s="25" t="s">
        <v>1083</v>
      </c>
      <c r="E479" s="25" t="s">
        <v>1078</v>
      </c>
      <c r="F479" s="22">
        <f>bathpentriesptsthisone</f>
        <v>0</v>
      </c>
    </row>
    <row r="480" spans="1:6" ht="14.95" customHeight="1" thickBot="1" x14ac:dyDescent="0.3">
      <c r="A480" s="10" t="s">
        <v>1592</v>
      </c>
      <c r="B480" s="10" t="s">
        <v>1079</v>
      </c>
      <c r="C480" s="10">
        <f>Pennynewtries</f>
        <v>0</v>
      </c>
      <c r="D480" s="25" t="s">
        <v>1083</v>
      </c>
      <c r="E480" s="25" t="s">
        <v>1075</v>
      </c>
      <c r="F480" s="23">
        <f>Penalty_Triesglopts</f>
        <v>0</v>
      </c>
    </row>
    <row r="481" spans="1:6" ht="14.95" customHeight="1" thickBot="1" x14ac:dyDescent="0.3">
      <c r="A481" s="9" t="s">
        <v>1593</v>
      </c>
      <c r="B481" s="9" t="s">
        <v>1078</v>
      </c>
      <c r="C481" s="10">
        <f>Perenisebthtries</f>
        <v>0</v>
      </c>
      <c r="D481" s="25" t="s">
        <v>1083</v>
      </c>
      <c r="E481" s="25" t="s">
        <v>1131</v>
      </c>
      <c r="F481" s="23">
        <f>Penalty_Triesharpts</f>
        <v>0</v>
      </c>
    </row>
    <row r="482" spans="1:6" ht="14.95" customHeight="1" thickBot="1" x14ac:dyDescent="0.3">
      <c r="A482" s="9" t="s">
        <v>1594</v>
      </c>
      <c r="B482" s="9" t="s">
        <v>1080</v>
      </c>
      <c r="C482" s="10">
        <f>Picamolesnortries</f>
        <v>0</v>
      </c>
      <c r="D482" s="25" t="s">
        <v>1083</v>
      </c>
      <c r="E482" s="25" t="s">
        <v>1135</v>
      </c>
      <c r="F482" s="22">
        <f>leicspentriespts</f>
        <v>0</v>
      </c>
    </row>
    <row r="483" spans="1:6" ht="14.95" customHeight="1" thickBot="1" x14ac:dyDescent="0.3">
      <c r="A483" s="9" t="s">
        <v>1120</v>
      </c>
      <c r="B483" s="9" t="s">
        <v>1076</v>
      </c>
      <c r="C483" s="10">
        <f>Phillipswortries</f>
        <v>0</v>
      </c>
      <c r="D483" s="25" t="s">
        <v>1083</v>
      </c>
      <c r="E483" s="25" t="s">
        <v>1079</v>
      </c>
      <c r="F483" s="23">
        <f>Penalty_Triesnewpts</f>
        <v>0</v>
      </c>
    </row>
    <row r="484" spans="1:6" ht="14.95" customHeight="1" thickBot="1" x14ac:dyDescent="0.3">
      <c r="A484" s="93" t="s">
        <v>1106</v>
      </c>
      <c r="B484" s="9" t="s">
        <v>1080</v>
      </c>
      <c r="C484" s="7">
        <f>Pisikentriescorrect</f>
        <v>0</v>
      </c>
      <c r="D484" s="3" t="s">
        <v>1083</v>
      </c>
      <c r="E484" s="25" t="s">
        <v>1133</v>
      </c>
      <c r="F484" s="23">
        <f>Penalty_Trieswaspts</f>
        <v>0</v>
      </c>
    </row>
    <row r="485" spans="1:6" ht="14.95" customHeight="1" thickBot="1" x14ac:dyDescent="0.3">
      <c r="A485" s="93" t="s">
        <v>1183</v>
      </c>
      <c r="B485" s="9" t="s">
        <v>1156</v>
      </c>
      <c r="C485" s="10">
        <f>Pisibritries</f>
        <v>0</v>
      </c>
      <c r="D485" s="21" t="s">
        <v>1592</v>
      </c>
      <c r="E485" s="23" t="s">
        <v>1079</v>
      </c>
      <c r="F485" s="23">
        <f>Pennynewpts</f>
        <v>0</v>
      </c>
    </row>
    <row r="486" spans="1:6" ht="14.95" customHeight="1" thickBot="1" x14ac:dyDescent="0.3">
      <c r="A486" s="93" t="s">
        <v>1185</v>
      </c>
      <c r="B486" s="9" t="s">
        <v>1156</v>
      </c>
      <c r="C486" s="7">
        <f>Ojotopsytries</f>
        <v>0</v>
      </c>
      <c r="D486" s="3" t="s">
        <v>1593</v>
      </c>
      <c r="E486" s="25" t="s">
        <v>1078</v>
      </c>
      <c r="F486" s="23">
        <f>Perenisebthpts</f>
        <v>0</v>
      </c>
    </row>
    <row r="487" spans="1:6" ht="14.95" customHeight="1" thickBot="1" x14ac:dyDescent="0.3">
      <c r="A487" s="93" t="s">
        <v>1597</v>
      </c>
      <c r="B487" s="9" t="s">
        <v>1076</v>
      </c>
      <c r="C487" s="7">
        <f>Potgieterwortries</f>
        <v>0</v>
      </c>
      <c r="D487" s="3" t="s">
        <v>1594</v>
      </c>
      <c r="E487" s="25" t="s">
        <v>1080</v>
      </c>
      <c r="F487" s="23">
        <f>Picamolesnorpts</f>
        <v>0</v>
      </c>
    </row>
    <row r="488" spans="1:6" ht="14.95" customHeight="1" thickBot="1" x14ac:dyDescent="0.3">
      <c r="A488" s="93" t="s">
        <v>1819</v>
      </c>
      <c r="B488" s="9" t="s">
        <v>1156</v>
      </c>
      <c r="C488" s="10">
        <f>Powellbritries</f>
        <v>0</v>
      </c>
      <c r="D488" s="3" t="s">
        <v>1120</v>
      </c>
      <c r="E488" s="25" t="s">
        <v>1076</v>
      </c>
      <c r="F488" s="23">
        <f>Phillipsworpts</f>
        <v>0</v>
      </c>
    </row>
    <row r="489" spans="1:6" ht="14.95" customHeight="1" thickBot="1" x14ac:dyDescent="0.3">
      <c r="A489" s="93" t="s">
        <v>1599</v>
      </c>
      <c r="B489" s="9" t="s">
        <v>1156</v>
      </c>
      <c r="C489" s="7">
        <f>Piutaubritries</f>
        <v>0</v>
      </c>
      <c r="D489" s="3" t="s">
        <v>1106</v>
      </c>
      <c r="E489" s="25" t="s">
        <v>1080</v>
      </c>
      <c r="F489" s="23">
        <f>Pisikenptscorrect</f>
        <v>0</v>
      </c>
    </row>
    <row r="490" spans="1:6" ht="14.95" customHeight="1" thickBot="1" x14ac:dyDescent="0.3">
      <c r="A490" s="93" t="s">
        <v>1603</v>
      </c>
      <c r="B490" s="9" t="s">
        <v>1075</v>
      </c>
      <c r="C490" s="10">
        <f>Rapava_Ruskinglotries</f>
        <v>0</v>
      </c>
      <c r="D490" s="3" t="s">
        <v>1183</v>
      </c>
      <c r="E490" s="25" t="s">
        <v>1156</v>
      </c>
      <c r="F490" s="23">
        <f>Pisibritries</f>
        <v>0</v>
      </c>
    </row>
    <row r="491" spans="1:6" ht="14.95" customHeight="1" thickBot="1" x14ac:dyDescent="0.3">
      <c r="A491" s="93" t="s">
        <v>1604</v>
      </c>
      <c r="B491" s="9" t="s">
        <v>1080</v>
      </c>
      <c r="C491" s="10">
        <f>Ratuniyarawanortries</f>
        <v>0</v>
      </c>
      <c r="D491" s="3" t="s">
        <v>1185</v>
      </c>
      <c r="E491" s="25" t="s">
        <v>1156</v>
      </c>
      <c r="F491" s="23">
        <f>Ojotopsypts</f>
        <v>0</v>
      </c>
    </row>
    <row r="492" spans="1:6" ht="14.95" customHeight="1" thickBot="1" x14ac:dyDescent="0.3">
      <c r="A492" s="93" t="s">
        <v>1605</v>
      </c>
      <c r="B492" s="9" t="s">
        <v>1077</v>
      </c>
      <c r="C492" s="10">
        <f>Redpathsaltries</f>
        <v>0</v>
      </c>
      <c r="D492" s="3" t="s">
        <v>1597</v>
      </c>
      <c r="E492" s="25" t="s">
        <v>1076</v>
      </c>
      <c r="F492" s="23">
        <f>Potgieterworpts</f>
        <v>0</v>
      </c>
    </row>
    <row r="493" spans="1:6" ht="14.95" customHeight="1" thickBot="1" x14ac:dyDescent="0.3">
      <c r="A493" s="93" t="s">
        <v>1606</v>
      </c>
      <c r="B493" s="9" t="s">
        <v>1077</v>
      </c>
      <c r="C493" s="10">
        <f>Readsaltries</f>
        <v>0</v>
      </c>
      <c r="D493" s="3" t="s">
        <v>1819</v>
      </c>
      <c r="E493" s="25" t="s">
        <v>1156</v>
      </c>
      <c r="F493" s="23">
        <f>Powellbripts</f>
        <v>0</v>
      </c>
    </row>
    <row r="494" spans="1:6" ht="14.95" customHeight="1" thickBot="1" x14ac:dyDescent="0.3">
      <c r="A494" s="93" t="s">
        <v>1607</v>
      </c>
      <c r="B494" s="9" t="s">
        <v>1134</v>
      </c>
      <c r="C494" s="10">
        <f>Reffellsartries</f>
        <v>0</v>
      </c>
      <c r="D494" s="3" t="s">
        <v>1599</v>
      </c>
      <c r="E494" s="25" t="s">
        <v>1156</v>
      </c>
      <c r="F494" s="23">
        <f>Paicedavidpts</f>
        <v>0</v>
      </c>
    </row>
    <row r="495" spans="1:6" ht="14.95" customHeight="1" thickBot="1" x14ac:dyDescent="0.3">
      <c r="A495" s="93" t="s">
        <v>1787</v>
      </c>
      <c r="B495" s="9" t="s">
        <v>1135</v>
      </c>
      <c r="C495" s="10">
        <f>Salvijuliantries</f>
        <v>0</v>
      </c>
      <c r="D495" s="3" t="s">
        <v>1603</v>
      </c>
      <c r="E495" s="25" t="s">
        <v>1075</v>
      </c>
      <c r="F495" s="23">
        <f>Rapava_Ruskinglopts</f>
        <v>0</v>
      </c>
    </row>
    <row r="496" spans="1:6" ht="14.95" customHeight="1" thickBot="1" x14ac:dyDescent="0.3">
      <c r="A496" s="93" t="s">
        <v>1611</v>
      </c>
      <c r="B496" s="9" t="s">
        <v>1133</v>
      </c>
      <c r="C496" s="10">
        <f>Riederwastries</f>
        <v>0</v>
      </c>
      <c r="D496" s="3" t="s">
        <v>1604</v>
      </c>
      <c r="E496" s="25" t="s">
        <v>1080</v>
      </c>
      <c r="F496" s="23">
        <f>Ratuniyarawanorpts</f>
        <v>0</v>
      </c>
    </row>
    <row r="497" spans="1:6" ht="14.95" customHeight="1" thickBot="1" x14ac:dyDescent="0.3">
      <c r="A497" s="93" t="s">
        <v>1613</v>
      </c>
      <c r="B497" s="9" t="s">
        <v>1079</v>
      </c>
      <c r="C497" s="10">
        <f>Robinsonnewtries</f>
        <v>0</v>
      </c>
      <c r="D497" s="3" t="s">
        <v>1605</v>
      </c>
      <c r="E497" s="25" t="s">
        <v>1077</v>
      </c>
      <c r="F497" s="23">
        <f>Redpathsalpts</f>
        <v>0</v>
      </c>
    </row>
    <row r="498" spans="1:6" ht="14.95" customHeight="1" thickBot="1" x14ac:dyDescent="0.3">
      <c r="A498" s="93" t="s">
        <v>1619</v>
      </c>
      <c r="B498" s="9" t="s">
        <v>1075</v>
      </c>
      <c r="C498" s="72">
        <f>Safeglotries</f>
        <v>0</v>
      </c>
      <c r="D498" s="3" t="s">
        <v>1606</v>
      </c>
      <c r="E498" s="25" t="s">
        <v>1077</v>
      </c>
      <c r="F498" s="23">
        <f>Readsalpts</f>
        <v>0</v>
      </c>
    </row>
    <row r="499" spans="1:6" ht="14.95" customHeight="1" thickBot="1" x14ac:dyDescent="0.3">
      <c r="A499" s="93" t="s">
        <v>1621</v>
      </c>
      <c r="B499" s="9" t="s">
        <v>1132</v>
      </c>
      <c r="C499" s="10">
        <f>Salmonexetries</f>
        <v>0</v>
      </c>
      <c r="D499" s="3" t="s">
        <v>1607</v>
      </c>
      <c r="E499" s="25" t="s">
        <v>1134</v>
      </c>
      <c r="F499" s="23">
        <f>Reffellsarpts</f>
        <v>0</v>
      </c>
    </row>
    <row r="500" spans="1:6" ht="14.95" customHeight="1" thickBot="1" x14ac:dyDescent="0.3">
      <c r="A500" s="93" t="s">
        <v>1622</v>
      </c>
      <c r="B500" s="9" t="s">
        <v>1075</v>
      </c>
      <c r="C500" s="10">
        <f>Savageglotries</f>
        <v>0</v>
      </c>
      <c r="D500" s="3" t="s">
        <v>1787</v>
      </c>
      <c r="E500" s="25" t="s">
        <v>1135</v>
      </c>
      <c r="F500" s="23">
        <f>Salvijulianpts</f>
        <v>0</v>
      </c>
    </row>
    <row r="501" spans="1:6" ht="14.95" customHeight="1" thickBot="1" x14ac:dyDescent="0.3">
      <c r="A501" s="11" t="s">
        <v>1625</v>
      </c>
      <c r="B501" s="9" t="s">
        <v>1133</v>
      </c>
      <c r="C501" s="10">
        <f>Searlswastries</f>
        <v>0</v>
      </c>
      <c r="D501" s="3" t="s">
        <v>1611</v>
      </c>
      <c r="E501" s="25" t="s">
        <v>1133</v>
      </c>
      <c r="F501" s="23">
        <f>Riederwaspts</f>
        <v>0</v>
      </c>
    </row>
    <row r="502" spans="1:6" ht="14.95" customHeight="1" thickBot="1" x14ac:dyDescent="0.3">
      <c r="A502" s="11" t="s">
        <v>1626</v>
      </c>
      <c r="B502" s="9" t="s">
        <v>1133</v>
      </c>
      <c r="C502" s="10">
        <f>Searlewastries</f>
        <v>0</v>
      </c>
      <c r="D502" s="3" t="s">
        <v>1613</v>
      </c>
      <c r="E502" s="25" t="s">
        <v>1079</v>
      </c>
      <c r="F502" s="23">
        <f>Robinsonnewpts</f>
        <v>0</v>
      </c>
    </row>
    <row r="503" spans="1:6" ht="14.95" customHeight="1" thickBot="1" x14ac:dyDescent="0.3">
      <c r="A503" s="11" t="s">
        <v>1627</v>
      </c>
      <c r="B503" s="10" t="s">
        <v>1134</v>
      </c>
      <c r="C503" s="10">
        <f>Segunsartries</f>
        <v>0</v>
      </c>
      <c r="D503" s="3" t="s">
        <v>1619</v>
      </c>
      <c r="E503" s="25" t="s">
        <v>1075</v>
      </c>
      <c r="F503" s="23">
        <f>Safeglopts</f>
        <v>0</v>
      </c>
    </row>
    <row r="504" spans="1:6" ht="14.95" customHeight="1" thickBot="1" x14ac:dyDescent="0.3">
      <c r="A504" s="11" t="s">
        <v>1630</v>
      </c>
      <c r="B504" s="9" t="s">
        <v>1133</v>
      </c>
      <c r="C504" s="10">
        <f>Shieldswastries</f>
        <v>0</v>
      </c>
      <c r="D504" s="3" t="s">
        <v>1621</v>
      </c>
      <c r="E504" s="25" t="s">
        <v>1132</v>
      </c>
      <c r="F504" s="23">
        <f>Salmonexepts</f>
        <v>0</v>
      </c>
    </row>
    <row r="505" spans="1:6" ht="14.95" customHeight="1" thickBot="1" x14ac:dyDescent="0.3">
      <c r="A505" s="93" t="s">
        <v>1631</v>
      </c>
      <c r="B505" s="9" t="s">
        <v>1076</v>
      </c>
      <c r="C505" s="10">
        <f>Shillcockwortries</f>
        <v>0</v>
      </c>
      <c r="D505" s="3" t="s">
        <v>1622</v>
      </c>
      <c r="E505" s="25" t="s">
        <v>1075</v>
      </c>
      <c r="F505" s="23">
        <f>Savageglopts</f>
        <v>0</v>
      </c>
    </row>
    <row r="506" spans="1:6" ht="14.95" customHeight="1" thickBot="1" x14ac:dyDescent="0.3">
      <c r="A506" s="11" t="s">
        <v>1632</v>
      </c>
      <c r="B506" s="10" t="s">
        <v>1132</v>
      </c>
      <c r="C506" s="7">
        <f>Shortexetries</f>
        <v>0</v>
      </c>
      <c r="D506" s="21" t="s">
        <v>1625</v>
      </c>
      <c r="E506" s="25" t="s">
        <v>1133</v>
      </c>
      <c r="F506" s="24">
        <f>Searlswaspts</f>
        <v>0</v>
      </c>
    </row>
    <row r="507" spans="1:6" ht="14.95" customHeight="1" thickBot="1" x14ac:dyDescent="0.3">
      <c r="A507" s="93" t="s">
        <v>1633</v>
      </c>
      <c r="B507" s="9" t="s">
        <v>1135</v>
      </c>
      <c r="C507" s="10">
        <f>Simmonsleictries</f>
        <v>0</v>
      </c>
      <c r="D507" s="21" t="s">
        <v>1627</v>
      </c>
      <c r="E507" s="23" t="s">
        <v>1134</v>
      </c>
      <c r="F507" s="24">
        <f>Segunsarpts</f>
        <v>0</v>
      </c>
    </row>
    <row r="508" spans="1:6" ht="14.95" customHeight="1" thickBot="1" x14ac:dyDescent="0.3">
      <c r="A508" s="93" t="s">
        <v>1635</v>
      </c>
      <c r="B508" s="9" t="s">
        <v>1131</v>
      </c>
      <c r="C508" s="10">
        <f>Sincklerhartries</f>
        <v>0</v>
      </c>
      <c r="D508" s="21" t="s">
        <v>1630</v>
      </c>
      <c r="E508" s="25" t="s">
        <v>1133</v>
      </c>
      <c r="F508" s="24">
        <f>Shieldswaspts</f>
        <v>0</v>
      </c>
    </row>
    <row r="509" spans="1:6" ht="14.95" customHeight="1" thickBot="1" x14ac:dyDescent="0.3">
      <c r="A509" s="93" t="s">
        <v>1779</v>
      </c>
      <c r="B509" s="9" t="s">
        <v>1132</v>
      </c>
      <c r="C509" s="10">
        <f>Skinner_Hexetries</f>
        <v>0</v>
      </c>
      <c r="D509" s="3" t="s">
        <v>1631</v>
      </c>
      <c r="E509" s="25" t="s">
        <v>1076</v>
      </c>
      <c r="F509" s="24">
        <f>Shillcockworpts</f>
        <v>0</v>
      </c>
    </row>
    <row r="510" spans="1:6" ht="14.95" customHeight="1" thickBot="1" x14ac:dyDescent="0.3">
      <c r="A510" s="93" t="s">
        <v>1639</v>
      </c>
      <c r="B510" s="9" t="s">
        <v>1132</v>
      </c>
      <c r="C510" s="10">
        <f>Skinnerexetries</f>
        <v>0</v>
      </c>
      <c r="D510" s="21" t="s">
        <v>1632</v>
      </c>
      <c r="E510" s="23" t="s">
        <v>1132</v>
      </c>
      <c r="F510" s="23">
        <f>Shortexepts</f>
        <v>0</v>
      </c>
    </row>
    <row r="511" spans="1:6" ht="14.95" customHeight="1" thickBot="1" x14ac:dyDescent="0.3">
      <c r="A511" s="93" t="s">
        <v>1200</v>
      </c>
      <c r="B511" s="9" t="s">
        <v>1156</v>
      </c>
      <c r="C511" s="10">
        <f>Smithbritries</f>
        <v>0</v>
      </c>
      <c r="D511" s="3" t="s">
        <v>1633</v>
      </c>
      <c r="E511" s="25" t="s">
        <v>1135</v>
      </c>
      <c r="F511" s="23">
        <f>Simmonsleicpts</f>
        <v>0</v>
      </c>
    </row>
    <row r="512" spans="1:6" ht="14.95" customHeight="1" thickBot="1" x14ac:dyDescent="0.3">
      <c r="A512" s="93" t="s">
        <v>1642</v>
      </c>
      <c r="B512" s="9" t="s">
        <v>1079</v>
      </c>
      <c r="C512" s="10">
        <f>Socino_Snewtries</f>
        <v>0</v>
      </c>
      <c r="D512" s="3" t="s">
        <v>1635</v>
      </c>
      <c r="E512" s="25" t="s">
        <v>1131</v>
      </c>
      <c r="F512" s="23">
        <f>Sincklerharpts</f>
        <v>0</v>
      </c>
    </row>
    <row r="513" spans="1:6" ht="14.95" customHeight="1" thickBot="1" x14ac:dyDescent="0.3">
      <c r="A513" s="93" t="s">
        <v>1645</v>
      </c>
      <c r="B513" s="9" t="s">
        <v>1079</v>
      </c>
      <c r="C513" s="72">
        <f>Sowreynewtries</f>
        <v>0</v>
      </c>
      <c r="D513" s="3" t="s">
        <v>1779</v>
      </c>
      <c r="E513" s="25" t="s">
        <v>1132</v>
      </c>
      <c r="F513" s="23">
        <f>Skinner_Hexepts</f>
        <v>0</v>
      </c>
    </row>
    <row r="514" spans="1:6" ht="14.95" customHeight="1" thickBot="1" x14ac:dyDescent="0.3">
      <c r="A514" s="93" t="s">
        <v>1231</v>
      </c>
      <c r="B514" s="9" t="s">
        <v>1135</v>
      </c>
      <c r="C514" s="7">
        <f>Spencerleictries</f>
        <v>0</v>
      </c>
      <c r="D514" s="3" t="s">
        <v>1639</v>
      </c>
      <c r="E514" s="25" t="s">
        <v>1132</v>
      </c>
      <c r="F514" s="23">
        <f>Skinnerexepts</f>
        <v>0</v>
      </c>
    </row>
    <row r="515" spans="1:6" ht="14.95" customHeight="1" thickBot="1" x14ac:dyDescent="0.3">
      <c r="A515" s="11" t="s">
        <v>1646</v>
      </c>
      <c r="B515" s="10" t="s">
        <v>1134</v>
      </c>
      <c r="C515" s="10">
        <f>Spurlingsartries</f>
        <v>0</v>
      </c>
      <c r="D515" s="3" t="s">
        <v>1200</v>
      </c>
      <c r="E515" s="25" t="s">
        <v>1156</v>
      </c>
      <c r="F515" s="23">
        <f>Smithbripts</f>
        <v>0</v>
      </c>
    </row>
    <row r="516" spans="1:6" ht="14.95" customHeight="1" thickBot="1" x14ac:dyDescent="0.3">
      <c r="A516" s="93" t="s">
        <v>1647</v>
      </c>
      <c r="B516" s="9" t="s">
        <v>1132</v>
      </c>
      <c r="C516" s="10">
        <f>steensongarethtries</f>
        <v>0</v>
      </c>
      <c r="D516" s="3" t="s">
        <v>1642</v>
      </c>
      <c r="E516" s="25" t="s">
        <v>1079</v>
      </c>
      <c r="F516" s="23">
        <f>Socino_Snewpts</f>
        <v>0</v>
      </c>
    </row>
    <row r="517" spans="1:6" ht="14.95" customHeight="1" thickBot="1" x14ac:dyDescent="0.3">
      <c r="A517" s="93" t="s">
        <v>1648</v>
      </c>
      <c r="B517" s="9" t="s">
        <v>1135</v>
      </c>
      <c r="C517" s="7">
        <f>Stevensleictries</f>
        <v>0</v>
      </c>
      <c r="D517" s="3" t="s">
        <v>1645</v>
      </c>
      <c r="E517" s="25" t="s">
        <v>1079</v>
      </c>
      <c r="F517" s="23">
        <f>Sowreynewpts</f>
        <v>0</v>
      </c>
    </row>
    <row r="518" spans="1:6" ht="14.95" customHeight="1" thickBot="1" x14ac:dyDescent="0.3">
      <c r="A518" s="93" t="s">
        <v>1789</v>
      </c>
      <c r="B518" s="9" t="s">
        <v>1079</v>
      </c>
      <c r="C518" s="7">
        <f>Stevensonnewtries</f>
        <v>0</v>
      </c>
      <c r="D518" s="3" t="s">
        <v>1231</v>
      </c>
      <c r="E518" s="25" t="s">
        <v>1135</v>
      </c>
      <c r="F518" s="23">
        <f>Spencerleicpts</f>
        <v>0</v>
      </c>
    </row>
    <row r="519" spans="1:6" ht="14.95" customHeight="1" thickBot="1" x14ac:dyDescent="0.3">
      <c r="A519" s="93" t="s">
        <v>1649</v>
      </c>
      <c r="B519" s="9" t="s">
        <v>1156</v>
      </c>
      <c r="C519" s="10">
        <f>Geraghtytries</f>
        <v>0</v>
      </c>
      <c r="D519" s="21" t="s">
        <v>1646</v>
      </c>
      <c r="E519" s="23" t="s">
        <v>1134</v>
      </c>
      <c r="F519" s="23">
        <f>Spurlingsarpts</f>
        <v>0</v>
      </c>
    </row>
    <row r="520" spans="1:6" ht="14.95" customHeight="1" thickBot="1" x14ac:dyDescent="0.3">
      <c r="A520" s="93" t="s">
        <v>1651</v>
      </c>
      <c r="B520" s="9" t="s">
        <v>1077</v>
      </c>
      <c r="C520" s="10">
        <f>Stringersaltries</f>
        <v>0</v>
      </c>
      <c r="D520" s="3" t="s">
        <v>1648</v>
      </c>
      <c r="E520" s="25" t="s">
        <v>1135</v>
      </c>
      <c r="F520" s="23">
        <f>Stevensleicpts</f>
        <v>0</v>
      </c>
    </row>
    <row r="521" spans="1:6" ht="14.95" customHeight="1" thickBot="1" x14ac:dyDescent="0.3">
      <c r="A521" s="93" t="s">
        <v>1653</v>
      </c>
      <c r="B521" s="9" t="s">
        <v>1132</v>
      </c>
      <c r="C521" s="10">
        <f>Strongexetries</f>
        <v>0</v>
      </c>
      <c r="D521" s="3" t="s">
        <v>1789</v>
      </c>
      <c r="E521" s="25" t="s">
        <v>1079</v>
      </c>
      <c r="F521" s="23">
        <f>Stevensonnewpts</f>
        <v>0</v>
      </c>
    </row>
    <row r="522" spans="1:6" ht="14.95" customHeight="1" thickBot="1" x14ac:dyDescent="0.3">
      <c r="A522" s="93" t="s">
        <v>1313</v>
      </c>
      <c r="B522" s="9" t="s">
        <v>1079</v>
      </c>
      <c r="C522" s="10">
        <f>Stuartnewtries</f>
        <v>0</v>
      </c>
      <c r="D522" s="3" t="s">
        <v>1649</v>
      </c>
      <c r="E522" s="25" t="s">
        <v>1156</v>
      </c>
      <c r="F522" s="23">
        <f>londonirishpentriespts</f>
        <v>0</v>
      </c>
    </row>
    <row r="523" spans="1:6" ht="14.95" customHeight="1" thickBot="1" x14ac:dyDescent="0.3">
      <c r="A523" s="93" t="s">
        <v>1654</v>
      </c>
      <c r="B523" s="9" t="s">
        <v>1131</v>
      </c>
      <c r="C523" s="10">
        <f>Swainstonhartries</f>
        <v>0</v>
      </c>
      <c r="D523" s="3" t="s">
        <v>1651</v>
      </c>
      <c r="E523" s="25" t="s">
        <v>1077</v>
      </c>
      <c r="F523" s="23">
        <f>Stringersalpts</f>
        <v>0</v>
      </c>
    </row>
    <row r="524" spans="1:6" ht="14.95" customHeight="1" thickBot="1" x14ac:dyDescent="0.3">
      <c r="A524" s="93" t="s">
        <v>1655</v>
      </c>
      <c r="B524" s="9" t="s">
        <v>1079</v>
      </c>
      <c r="C524" s="10">
        <f>Swielnewtries</f>
        <v>0</v>
      </c>
      <c r="D524" s="3" t="s">
        <v>1653</v>
      </c>
      <c r="E524" s="25" t="s">
        <v>1132</v>
      </c>
      <c r="F524" s="23">
        <f>Strongexepts</f>
        <v>0</v>
      </c>
    </row>
    <row r="525" spans="1:6" ht="14.95" customHeight="1" thickBot="1" x14ac:dyDescent="0.3">
      <c r="A525" s="93" t="s">
        <v>1254</v>
      </c>
      <c r="B525" s="9" t="s">
        <v>1080</v>
      </c>
      <c r="C525" s="72">
        <f>Symonsnortries</f>
        <v>0</v>
      </c>
      <c r="D525" s="3" t="s">
        <v>1313</v>
      </c>
      <c r="E525" s="25" t="s">
        <v>1079</v>
      </c>
      <c r="F525" s="23">
        <f>Stuartnewpts</f>
        <v>0</v>
      </c>
    </row>
    <row r="526" spans="1:6" ht="14.95" customHeight="1" thickBot="1" x14ac:dyDescent="0.3">
      <c r="A526" s="93" t="s">
        <v>1223</v>
      </c>
      <c r="B526" s="9" t="s">
        <v>1131</v>
      </c>
      <c r="C526" s="10">
        <f>Symonshartries</f>
        <v>0</v>
      </c>
      <c r="D526" s="3" t="s">
        <v>1654</v>
      </c>
      <c r="E526" s="25" t="s">
        <v>1131</v>
      </c>
      <c r="F526" s="23">
        <f>Swainstonharpts</f>
        <v>0</v>
      </c>
    </row>
    <row r="527" spans="1:6" ht="14.95" customHeight="1" thickBot="1" x14ac:dyDescent="0.3">
      <c r="A527" s="93" t="s">
        <v>1656</v>
      </c>
      <c r="B527" s="9" t="s">
        <v>1132</v>
      </c>
      <c r="C527" s="10">
        <f>Taioneexetries</f>
        <v>0</v>
      </c>
      <c r="D527" s="3" t="s">
        <v>1655</v>
      </c>
      <c r="E527" s="25" t="s">
        <v>1079</v>
      </c>
      <c r="F527" s="23">
        <f>Swielnewpts</f>
        <v>0</v>
      </c>
    </row>
    <row r="528" spans="1:6" ht="14.95" customHeight="1" thickBot="1" x14ac:dyDescent="0.3">
      <c r="A528" s="93" t="s">
        <v>1239</v>
      </c>
      <c r="B528" s="9" t="s">
        <v>1079</v>
      </c>
      <c r="C528" s="10">
        <f>Taitnewtris</f>
        <v>0</v>
      </c>
      <c r="D528" s="3" t="s">
        <v>1254</v>
      </c>
      <c r="E528" s="25" t="s">
        <v>1080</v>
      </c>
      <c r="F528" s="23">
        <f>Symonsnorpts</f>
        <v>0</v>
      </c>
    </row>
    <row r="529" spans="1:6" ht="14.95" customHeight="1" thickBot="1" x14ac:dyDescent="0.3">
      <c r="A529" s="93" t="s">
        <v>1659</v>
      </c>
      <c r="B529" s="9" t="s">
        <v>1077</v>
      </c>
      <c r="C529" s="10">
        <f>Tuitupousamtries</f>
        <v>0</v>
      </c>
      <c r="D529" s="3" t="s">
        <v>1223</v>
      </c>
      <c r="E529" s="25" t="s">
        <v>1131</v>
      </c>
      <c r="F529" s="23">
        <f>Symonsharpts</f>
        <v>0</v>
      </c>
    </row>
    <row r="530" spans="1:6" ht="14.95" customHeight="1" thickBot="1" x14ac:dyDescent="0.3">
      <c r="A530" s="93" t="s">
        <v>1660</v>
      </c>
      <c r="B530" s="9" t="s">
        <v>1076</v>
      </c>
      <c r="C530" s="10">
        <f>Taufete_ewortries</f>
        <v>0</v>
      </c>
      <c r="D530" s="3" t="s">
        <v>1656</v>
      </c>
      <c r="E530" s="25" t="s">
        <v>1132</v>
      </c>
      <c r="F530" s="23">
        <f>Taioneexepts</f>
        <v>0</v>
      </c>
    </row>
    <row r="531" spans="1:6" ht="14.95" customHeight="1" thickBot="1" x14ac:dyDescent="0.3">
      <c r="A531" s="93" t="s">
        <v>1112</v>
      </c>
      <c r="B531" s="9" t="s">
        <v>1134</v>
      </c>
      <c r="C531" s="10">
        <f>Taylorsartries</f>
        <v>0</v>
      </c>
      <c r="D531" s="3" t="s">
        <v>1239</v>
      </c>
      <c r="E531" s="25" t="s">
        <v>1079</v>
      </c>
      <c r="F531" s="23">
        <f>Taitnewpts</f>
        <v>0</v>
      </c>
    </row>
    <row r="532" spans="1:6" ht="14.95" customHeight="1" thickBot="1" x14ac:dyDescent="0.3">
      <c r="A532" s="93" t="s">
        <v>1315</v>
      </c>
      <c r="B532" s="9" t="s">
        <v>1134</v>
      </c>
      <c r="C532" s="72">
        <f>Thielsartries</f>
        <v>0</v>
      </c>
      <c r="D532" s="3" t="s">
        <v>1659</v>
      </c>
      <c r="E532" s="25" t="s">
        <v>1077</v>
      </c>
      <c r="F532" s="23">
        <f>Tuitupousampts</f>
        <v>0</v>
      </c>
    </row>
    <row r="533" spans="1:6" ht="14.95" customHeight="1" thickBot="1" x14ac:dyDescent="0.3">
      <c r="A533" s="93" t="s">
        <v>1769</v>
      </c>
      <c r="B533" s="9" t="s">
        <v>1075</v>
      </c>
      <c r="C533" s="72">
        <f>Terryglotries</f>
        <v>0</v>
      </c>
      <c r="D533" s="3" t="s">
        <v>1660</v>
      </c>
      <c r="E533" s="25" t="s">
        <v>1076</v>
      </c>
      <c r="F533" s="23">
        <f>Taufete_eworpts</f>
        <v>0</v>
      </c>
    </row>
    <row r="534" spans="1:6" ht="14.95" customHeight="1" thickBot="1" x14ac:dyDescent="0.3">
      <c r="A534" s="93" t="s">
        <v>1095</v>
      </c>
      <c r="B534" s="9" t="s">
        <v>1135</v>
      </c>
      <c r="C534" s="10">
        <f>Thacker_Cleictries</f>
        <v>0</v>
      </c>
      <c r="D534" s="3" t="s">
        <v>1112</v>
      </c>
      <c r="E534" s="25" t="s">
        <v>1134</v>
      </c>
      <c r="F534" s="23">
        <f>Taylorsarpts</f>
        <v>0</v>
      </c>
    </row>
    <row r="535" spans="1:6" ht="14.95" customHeight="1" thickBot="1" x14ac:dyDescent="0.3">
      <c r="A535" s="93" t="s">
        <v>1662</v>
      </c>
      <c r="B535" s="93" t="s">
        <v>1156</v>
      </c>
      <c r="C535" s="10">
        <f>Geraghtytries</f>
        <v>0</v>
      </c>
      <c r="D535" s="3" t="s">
        <v>1315</v>
      </c>
      <c r="E535" s="3" t="s">
        <v>1134</v>
      </c>
      <c r="F535" s="23">
        <f>Thielsarpts</f>
        <v>0</v>
      </c>
    </row>
    <row r="536" spans="1:6" ht="14.95" customHeight="1" thickBot="1" x14ac:dyDescent="0.3">
      <c r="A536" s="93" t="s">
        <v>1193</v>
      </c>
      <c r="B536" s="93" t="s">
        <v>1078</v>
      </c>
      <c r="C536" s="72">
        <f>Thomashenrybattries</f>
        <v>0</v>
      </c>
      <c r="D536" s="3" t="s">
        <v>1769</v>
      </c>
      <c r="E536" s="3" t="s">
        <v>1075</v>
      </c>
      <c r="F536" s="23">
        <f>Terryglopts</f>
        <v>0</v>
      </c>
    </row>
    <row r="537" spans="1:6" ht="14.95" customHeight="1" thickBot="1" x14ac:dyDescent="0.3">
      <c r="A537" s="93" t="s">
        <v>1730</v>
      </c>
      <c r="B537" s="93" t="s">
        <v>1134</v>
      </c>
      <c r="C537" s="10">
        <f>Thompson_Stringersartries</f>
        <v>0</v>
      </c>
      <c r="D537" s="3" t="s">
        <v>1095</v>
      </c>
      <c r="E537" s="3" t="s">
        <v>1135</v>
      </c>
      <c r="F537" s="23">
        <f>Thacker_Cleicpts</f>
        <v>0</v>
      </c>
    </row>
    <row r="538" spans="1:6" ht="14.95" customHeight="1" thickBot="1" x14ac:dyDescent="0.3">
      <c r="A538" s="93" t="s">
        <v>1668</v>
      </c>
      <c r="B538" s="93" t="s">
        <v>1135</v>
      </c>
      <c r="C538" s="10">
        <f>Toomualeitries</f>
        <v>0</v>
      </c>
      <c r="D538" s="3" t="s">
        <v>1662</v>
      </c>
      <c r="E538" s="3" t="s">
        <v>1156</v>
      </c>
      <c r="F538" s="23">
        <f>Ransomlirpts</f>
        <v>0</v>
      </c>
    </row>
    <row r="539" spans="1:6" ht="14.95" customHeight="1" thickBot="1" x14ac:dyDescent="0.3">
      <c r="A539" s="93" t="s">
        <v>1669</v>
      </c>
      <c r="B539" s="93" t="s">
        <v>1156</v>
      </c>
      <c r="C539" s="10">
        <f>Schatzlirtries</f>
        <v>0</v>
      </c>
      <c r="D539" s="3" t="s">
        <v>1193</v>
      </c>
      <c r="E539" s="3" t="s">
        <v>1078</v>
      </c>
      <c r="F539" s="23">
        <f>Thomashenrybatpts</f>
        <v>0</v>
      </c>
    </row>
    <row r="540" spans="1:6" ht="14.95" customHeight="1" thickBot="1" x14ac:dyDescent="0.3">
      <c r="A540" s="93" t="s">
        <v>1671</v>
      </c>
      <c r="B540" s="93" t="s">
        <v>1075</v>
      </c>
      <c r="C540" s="10">
        <f>Cowanjimmytries</f>
        <v>0</v>
      </c>
      <c r="D540" s="3" t="s">
        <v>1730</v>
      </c>
      <c r="E540" s="3" t="s">
        <v>1134</v>
      </c>
      <c r="F540" s="23">
        <f>Thompson_Stringersarpts</f>
        <v>0</v>
      </c>
    </row>
    <row r="541" spans="1:6" ht="14.95" customHeight="1" thickBot="1" x14ac:dyDescent="0.3">
      <c r="A541" s="93" t="s">
        <v>1825</v>
      </c>
      <c r="B541" s="93" t="s">
        <v>1135</v>
      </c>
      <c r="C541" s="7">
        <f>Tuilagi_Fleictries</f>
        <v>0</v>
      </c>
      <c r="D541" s="3" t="s">
        <v>1669</v>
      </c>
      <c r="E541" s="3" t="s">
        <v>1156</v>
      </c>
      <c r="F541" s="23">
        <f>Schatzlirpts</f>
        <v>0</v>
      </c>
    </row>
    <row r="542" spans="1:6" ht="14.95" thickBot="1" x14ac:dyDescent="0.3">
      <c r="A542" s="93" t="s">
        <v>1674</v>
      </c>
      <c r="B542" s="93" t="s">
        <v>1080</v>
      </c>
      <c r="C542" s="10">
        <f>Tuitavakenortries</f>
        <v>0</v>
      </c>
      <c r="D542" s="3" t="s">
        <v>1671</v>
      </c>
      <c r="E542" s="3" t="s">
        <v>1075</v>
      </c>
      <c r="F542" s="23">
        <f>Cowanjimmypts</f>
        <v>0</v>
      </c>
    </row>
    <row r="543" spans="1:6" ht="14.95" thickBot="1" x14ac:dyDescent="0.3">
      <c r="A543" s="93" t="s">
        <v>1675</v>
      </c>
      <c r="B543" s="93" t="s">
        <v>1075</v>
      </c>
      <c r="C543" s="10">
        <f>Twelvetreesglotries</f>
        <v>0</v>
      </c>
      <c r="D543" s="3" t="s">
        <v>1825</v>
      </c>
      <c r="E543" s="3" t="s">
        <v>1135</v>
      </c>
      <c r="F543" s="22">
        <f>Tuilagi_Fleicpts</f>
        <v>0</v>
      </c>
    </row>
    <row r="544" spans="1:6" ht="14.95" thickBot="1" x14ac:dyDescent="0.3">
      <c r="A544" s="11" t="s">
        <v>1676</v>
      </c>
      <c r="B544" s="11" t="s">
        <v>1131</v>
      </c>
      <c r="C544" s="10">
        <f>Twomeyhartries</f>
        <v>0</v>
      </c>
      <c r="D544" s="3" t="s">
        <v>1674</v>
      </c>
      <c r="E544" s="3" t="s">
        <v>1080</v>
      </c>
      <c r="F544" s="23">
        <f>Tuitavakenorpts</f>
        <v>0</v>
      </c>
    </row>
    <row r="545" spans="1:6" ht="14.95" thickBot="1" x14ac:dyDescent="0.3">
      <c r="A545" s="93" t="s">
        <v>1677</v>
      </c>
      <c r="B545" s="93" t="s">
        <v>1133</v>
      </c>
      <c r="C545" s="10">
        <f>Umagawastries</f>
        <v>0</v>
      </c>
      <c r="D545" s="21" t="s">
        <v>1676</v>
      </c>
      <c r="E545" s="21" t="s">
        <v>1131</v>
      </c>
      <c r="F545" s="23">
        <f>Twomeyharpts</f>
        <v>0</v>
      </c>
    </row>
    <row r="546" spans="1:6" ht="14.95" thickBot="1" x14ac:dyDescent="0.3">
      <c r="A546" s="93" t="s">
        <v>1678</v>
      </c>
      <c r="B546" s="93" t="s">
        <v>1078</v>
      </c>
      <c r="C546" s="10">
        <f>Underhillbthtries</f>
        <v>0</v>
      </c>
      <c r="D546" s="3" t="s">
        <v>1677</v>
      </c>
      <c r="E546" s="3" t="s">
        <v>1133</v>
      </c>
      <c r="F546" s="23">
        <f>Umagawaspts</f>
        <v>0</v>
      </c>
    </row>
    <row r="547" spans="1:6" ht="14.95" thickBot="1" x14ac:dyDescent="0.3">
      <c r="A547" s="11" t="s">
        <v>1680</v>
      </c>
      <c r="B547" s="11" t="s">
        <v>1079</v>
      </c>
      <c r="C547" s="10">
        <f>Uzokwenewtries</f>
        <v>0</v>
      </c>
      <c r="D547" s="3" t="s">
        <v>1678</v>
      </c>
      <c r="E547" s="3" t="s">
        <v>1078</v>
      </c>
      <c r="F547" s="23">
        <f>Underhillbthpts</f>
        <v>0</v>
      </c>
    </row>
    <row r="548" spans="1:6" ht="14.95" thickBot="1" x14ac:dyDescent="0.3">
      <c r="A548" s="93" t="s">
        <v>1681</v>
      </c>
      <c r="B548" s="93" t="s">
        <v>1134</v>
      </c>
      <c r="C548" s="72">
        <f>Vailanusartries</f>
        <v>0</v>
      </c>
      <c r="D548" s="21" t="s">
        <v>1680</v>
      </c>
      <c r="E548" s="21" t="s">
        <v>1079</v>
      </c>
      <c r="F548" s="23">
        <f>Uzokwenewpts</f>
        <v>0</v>
      </c>
    </row>
    <row r="549" spans="1:6" ht="14.95" thickBot="1" x14ac:dyDescent="0.3">
      <c r="A549" s="93" t="s">
        <v>1682</v>
      </c>
      <c r="B549" s="93" t="s">
        <v>1076</v>
      </c>
      <c r="C549" s="72">
        <f>van_Bredawortries</f>
        <v>0</v>
      </c>
      <c r="D549" s="3" t="s">
        <v>1681</v>
      </c>
      <c r="E549" s="3" t="s">
        <v>1134</v>
      </c>
      <c r="F549" s="23">
        <f>Vailanusarpts</f>
        <v>0</v>
      </c>
    </row>
    <row r="550" spans="1:6" ht="14.95" thickBot="1" x14ac:dyDescent="0.3">
      <c r="A550" s="93" t="s">
        <v>1683</v>
      </c>
      <c r="B550" s="93" t="s">
        <v>1132</v>
      </c>
      <c r="C550" s="10">
        <f>van_der_Sluysexetries</f>
        <v>0</v>
      </c>
      <c r="D550" s="3" t="s">
        <v>1682</v>
      </c>
      <c r="E550" s="3" t="s">
        <v>1076</v>
      </c>
      <c r="F550" s="23">
        <f>van_Bredaworpts</f>
        <v>0</v>
      </c>
    </row>
    <row r="551" spans="1:6" ht="14.95" thickBot="1" x14ac:dyDescent="0.3">
      <c r="A551" s="93" t="s">
        <v>1686</v>
      </c>
      <c r="B551" s="93" t="s">
        <v>1080</v>
      </c>
      <c r="C551" s="72">
        <f>van_Wyknortries</f>
        <v>0</v>
      </c>
      <c r="D551" s="3" t="s">
        <v>1683</v>
      </c>
      <c r="E551" s="3" t="s">
        <v>1132</v>
      </c>
      <c r="F551" s="23">
        <f>van_der_Sluysexepts</f>
        <v>0</v>
      </c>
    </row>
    <row r="552" spans="1:6" ht="14.95" thickBot="1" x14ac:dyDescent="0.3">
      <c r="A552" s="93" t="s">
        <v>1687</v>
      </c>
      <c r="B552" s="93" t="s">
        <v>1078</v>
      </c>
      <c r="C552" s="10">
        <f>van_Vuurenbthtries</f>
        <v>0</v>
      </c>
      <c r="D552" s="3" t="s">
        <v>1686</v>
      </c>
      <c r="E552" s="3" t="s">
        <v>1080</v>
      </c>
      <c r="F552" s="24">
        <f>van_Wyknorpts</f>
        <v>0</v>
      </c>
    </row>
    <row r="553" spans="1:6" ht="14.95" customHeight="1" thickBot="1" x14ac:dyDescent="0.3">
      <c r="A553" s="93" t="s">
        <v>1691</v>
      </c>
      <c r="B553" s="93" t="s">
        <v>1131</v>
      </c>
      <c r="C553" s="10">
        <f>Williamstomtriescorrect</f>
        <v>0</v>
      </c>
      <c r="D553" s="3" t="s">
        <v>1687</v>
      </c>
      <c r="E553" s="3" t="s">
        <v>1078</v>
      </c>
      <c r="F553" s="23">
        <f>van_Vuurenbthpts</f>
        <v>0</v>
      </c>
    </row>
    <row r="554" spans="1:6" ht="14.95" thickBot="1" x14ac:dyDescent="0.3">
      <c r="A554" s="93" t="s">
        <v>1692</v>
      </c>
      <c r="B554" s="93" t="s">
        <v>1135</v>
      </c>
      <c r="C554" s="72">
        <f>Vossleictries</f>
        <v>0</v>
      </c>
      <c r="D554" s="3" t="s">
        <v>1691</v>
      </c>
      <c r="E554" s="3" t="s">
        <v>1131</v>
      </c>
      <c r="F554" s="23">
        <f>Williamstompts</f>
        <v>0</v>
      </c>
    </row>
    <row r="555" spans="1:6" ht="14.95" thickBot="1" x14ac:dyDescent="0.3">
      <c r="A555" s="11" t="s">
        <v>1693</v>
      </c>
      <c r="B555" s="11" t="s">
        <v>1156</v>
      </c>
      <c r="C555" s="10">
        <f>Vuibritries</f>
        <v>0</v>
      </c>
      <c r="D555" s="3" t="s">
        <v>1692</v>
      </c>
      <c r="E555" s="3" t="s">
        <v>1135</v>
      </c>
      <c r="F555" s="23">
        <f>Vossleicpts</f>
        <v>0</v>
      </c>
    </row>
    <row r="556" spans="1:6" ht="14.95" thickBot="1" x14ac:dyDescent="0.3">
      <c r="A556" s="93" t="s">
        <v>1694</v>
      </c>
      <c r="B556" s="93" t="s">
        <v>1078</v>
      </c>
      <c r="C556" s="10">
        <f>Vunabthtries</f>
        <v>0</v>
      </c>
      <c r="D556" s="21" t="s">
        <v>1693</v>
      </c>
      <c r="E556" s="21" t="s">
        <v>1156</v>
      </c>
      <c r="F556" s="23">
        <f>Vuibripts</f>
        <v>0</v>
      </c>
    </row>
    <row r="557" spans="1:6" ht="14.95" thickBot="1" x14ac:dyDescent="0.3">
      <c r="A557" s="93" t="s">
        <v>1695</v>
      </c>
      <c r="B557" s="93" t="s">
        <v>1079</v>
      </c>
      <c r="C557" s="72">
        <f>Waldoucknewtries</f>
        <v>0</v>
      </c>
      <c r="D557" s="3" t="s">
        <v>1694</v>
      </c>
      <c r="E557" s="3" t="s">
        <v>1078</v>
      </c>
      <c r="F557" s="22">
        <f>Vunabthpts</f>
        <v>0</v>
      </c>
    </row>
    <row r="558" spans="1:6" ht="14.95" thickBot="1" x14ac:dyDescent="0.3">
      <c r="A558" s="11" t="s">
        <v>1766</v>
      </c>
      <c r="B558" s="11" t="s">
        <v>1078</v>
      </c>
      <c r="C558" s="10">
        <f>Walkerbthtries</f>
        <v>0</v>
      </c>
      <c r="D558" s="3" t="s">
        <v>1695</v>
      </c>
      <c r="E558" s="3" t="s">
        <v>1079</v>
      </c>
      <c r="F558" s="23">
        <f>Waldoucknewpts</f>
        <v>0</v>
      </c>
    </row>
    <row r="559" spans="1:6" ht="14.95" thickBot="1" x14ac:dyDescent="0.3">
      <c r="A559" s="93" t="s">
        <v>1697</v>
      </c>
      <c r="B559" s="93" t="s">
        <v>1131</v>
      </c>
      <c r="C559" s="10">
        <f>Wallaceluketries</f>
        <v>0</v>
      </c>
      <c r="D559" s="21" t="s">
        <v>1766</v>
      </c>
      <c r="E559" s="21" t="s">
        <v>1078</v>
      </c>
      <c r="F559" s="23">
        <f>Walkerbthpts</f>
        <v>0</v>
      </c>
    </row>
    <row r="560" spans="1:6" ht="14.95" thickBot="1" x14ac:dyDescent="0.3">
      <c r="A560" s="11" t="s">
        <v>1121</v>
      </c>
      <c r="B560" s="93" t="s">
        <v>1076</v>
      </c>
      <c r="C560" s="10">
        <f>Wallerwortries</f>
        <v>0</v>
      </c>
      <c r="D560" s="3" t="s">
        <v>1697</v>
      </c>
      <c r="E560" s="3" t="s">
        <v>1131</v>
      </c>
      <c r="F560" s="23">
        <f>Wallacelukepts</f>
        <v>0</v>
      </c>
    </row>
    <row r="561" spans="1:6" ht="14.95" thickBot="1" x14ac:dyDescent="0.3">
      <c r="A561" s="93" t="s">
        <v>1698</v>
      </c>
      <c r="B561" s="93" t="s">
        <v>1131</v>
      </c>
      <c r="C561" s="10">
        <f>warddavetries</f>
        <v>0</v>
      </c>
      <c r="D561" s="21" t="s">
        <v>1121</v>
      </c>
      <c r="E561" s="3" t="s">
        <v>1076</v>
      </c>
      <c r="F561" s="23">
        <f>Wallerworpts</f>
        <v>0</v>
      </c>
    </row>
    <row r="562" spans="1:6" ht="14.95" thickBot="1" x14ac:dyDescent="0.3">
      <c r="A562" s="93" t="s">
        <v>1699</v>
      </c>
      <c r="B562" s="93" t="s">
        <v>1131</v>
      </c>
      <c r="C562" s="10">
        <f>Watershartries</f>
        <v>0</v>
      </c>
      <c r="D562" s="3" t="s">
        <v>1698</v>
      </c>
      <c r="E562" s="3" t="s">
        <v>1131</v>
      </c>
      <c r="F562" s="23">
        <f>Warddavepts</f>
        <v>0</v>
      </c>
    </row>
    <row r="563" spans="1:6" ht="14.95" thickBot="1" x14ac:dyDescent="0.3">
      <c r="A563" s="93" t="s">
        <v>1763</v>
      </c>
      <c r="B563" s="93" t="s">
        <v>1135</v>
      </c>
      <c r="C563" s="10">
        <f>Wellsleictries</f>
        <v>0</v>
      </c>
      <c r="D563" s="3" t="s">
        <v>1699</v>
      </c>
      <c r="E563" s="3" t="s">
        <v>1131</v>
      </c>
      <c r="F563" s="23">
        <f>Watersharpts</f>
        <v>0</v>
      </c>
    </row>
    <row r="564" spans="1:6" ht="14.95" thickBot="1" x14ac:dyDescent="0.3">
      <c r="A564" s="93" t="s">
        <v>1703</v>
      </c>
      <c r="B564" s="93" t="s">
        <v>1079</v>
      </c>
      <c r="C564" s="10">
        <f>Welshnewtries</f>
        <v>0</v>
      </c>
      <c r="D564" s="3" t="s">
        <v>1763</v>
      </c>
      <c r="E564" s="3" t="s">
        <v>1135</v>
      </c>
      <c r="F564" s="24">
        <f>Wellsleicpts</f>
        <v>0</v>
      </c>
    </row>
    <row r="565" spans="1:6" ht="14.95" thickBot="1" x14ac:dyDescent="0.3">
      <c r="A565" s="93" t="s">
        <v>1704</v>
      </c>
      <c r="B565" s="93" t="s">
        <v>1133</v>
      </c>
      <c r="C565" s="10">
        <f>Westwastries</f>
        <v>0</v>
      </c>
      <c r="D565" s="3" t="s">
        <v>1703</v>
      </c>
      <c r="E565" s="3" t="s">
        <v>1079</v>
      </c>
      <c r="F565" s="23">
        <f>Welshnewpts</f>
        <v>0</v>
      </c>
    </row>
    <row r="566" spans="1:6" ht="14.95" thickBot="1" x14ac:dyDescent="0.3">
      <c r="A566" s="93" t="s">
        <v>1317</v>
      </c>
      <c r="B566" s="93" t="s">
        <v>1131</v>
      </c>
      <c r="C566" s="10">
        <f>Whitehartries</f>
        <v>0</v>
      </c>
      <c r="D566" s="3" t="s">
        <v>1704</v>
      </c>
      <c r="E566" s="3" t="s">
        <v>1133</v>
      </c>
      <c r="F566" s="23">
        <f>Westwaspts</f>
        <v>0</v>
      </c>
    </row>
    <row r="567" spans="1:6" ht="14.95" thickBot="1" x14ac:dyDescent="0.3">
      <c r="A567" s="93" t="s">
        <v>1096</v>
      </c>
      <c r="B567" s="93" t="s">
        <v>1135</v>
      </c>
      <c r="C567" s="10">
        <f>Whiteleictries</f>
        <v>0</v>
      </c>
      <c r="D567" s="3" t="s">
        <v>1317</v>
      </c>
      <c r="E567" s="3" t="s">
        <v>1131</v>
      </c>
      <c r="F567" s="23">
        <f>Whiteharpts</f>
        <v>0</v>
      </c>
    </row>
    <row r="568" spans="1:6" ht="14.95" thickBot="1" x14ac:dyDescent="0.3">
      <c r="A568" s="93" t="s">
        <v>1765</v>
      </c>
      <c r="B568" s="93" t="s">
        <v>1077</v>
      </c>
      <c r="C568" s="10">
        <f>Wilkinsonsaltries</f>
        <v>0</v>
      </c>
      <c r="D568" s="3" t="s">
        <v>1096</v>
      </c>
      <c r="E568" s="3" t="s">
        <v>1135</v>
      </c>
      <c r="F568" s="23">
        <f>Whiteleicpts</f>
        <v>0</v>
      </c>
    </row>
    <row r="569" spans="1:6" ht="14.95" thickBot="1" x14ac:dyDescent="0.3">
      <c r="A569" s="93" t="s">
        <v>1088</v>
      </c>
      <c r="B569" s="93" t="s">
        <v>1075</v>
      </c>
      <c r="C569" s="10">
        <f>williamsglotries</f>
        <v>0</v>
      </c>
      <c r="D569" s="3" t="s">
        <v>1765</v>
      </c>
      <c r="E569" s="3" t="s">
        <v>1077</v>
      </c>
      <c r="F569" s="23">
        <f>Wilkinsonsalpts</f>
        <v>0</v>
      </c>
    </row>
    <row r="570" spans="1:6" ht="14.95" thickBot="1" x14ac:dyDescent="0.3">
      <c r="A570" s="11" t="s">
        <v>1318</v>
      </c>
      <c r="B570" s="11" t="s">
        <v>1076</v>
      </c>
      <c r="C570" s="10">
        <f>Williamswortries</f>
        <v>0</v>
      </c>
      <c r="D570" s="3" t="s">
        <v>1088</v>
      </c>
      <c r="E570" s="3" t="s">
        <v>1075</v>
      </c>
      <c r="F570" s="23">
        <f>williamsglopts</f>
        <v>0</v>
      </c>
    </row>
    <row r="571" spans="1:6" ht="14.95" thickBot="1" x14ac:dyDescent="0.3">
      <c r="A571" s="11" t="s">
        <v>1118</v>
      </c>
      <c r="B571" s="11" t="s">
        <v>1133</v>
      </c>
      <c r="C571" s="10">
        <f>Williswastries</f>
        <v>0</v>
      </c>
      <c r="D571" s="21" t="s">
        <v>1318</v>
      </c>
      <c r="E571" s="21" t="s">
        <v>1076</v>
      </c>
      <c r="F571" s="23">
        <f>Williamsworpts</f>
        <v>0</v>
      </c>
    </row>
    <row r="572" spans="1:6" ht="14.95" thickBot="1" x14ac:dyDescent="0.3">
      <c r="A572" s="11" t="s">
        <v>1278</v>
      </c>
      <c r="B572" s="11" t="s">
        <v>1133</v>
      </c>
      <c r="C572" s="10">
        <f>Willis_Twastries</f>
        <v>0</v>
      </c>
      <c r="D572" s="21" t="s">
        <v>1118</v>
      </c>
      <c r="E572" s="21" t="s">
        <v>1133</v>
      </c>
      <c r="F572" s="23">
        <f>Williswaspts</f>
        <v>0</v>
      </c>
    </row>
    <row r="573" spans="1:6" ht="14.95" thickBot="1" x14ac:dyDescent="0.3">
      <c r="A573" s="93" t="s">
        <v>1708</v>
      </c>
      <c r="B573" s="93" t="s">
        <v>1078</v>
      </c>
      <c r="C573" s="10">
        <f>Willisonbthtries</f>
        <v>0</v>
      </c>
      <c r="D573" s="21" t="s">
        <v>1278</v>
      </c>
      <c r="E573" s="21" t="s">
        <v>1133</v>
      </c>
      <c r="F573" s="23">
        <f>Willis_Twaspts</f>
        <v>0</v>
      </c>
    </row>
    <row r="574" spans="1:6" ht="14.95" thickBot="1" x14ac:dyDescent="0.3">
      <c r="A574" s="93" t="s">
        <v>1101</v>
      </c>
      <c r="B574" s="93" t="s">
        <v>1079</v>
      </c>
      <c r="C574" s="10">
        <f>Wilson_Dnewtries</f>
        <v>0</v>
      </c>
      <c r="D574" s="3" t="s">
        <v>1708</v>
      </c>
      <c r="E574" s="3" t="s">
        <v>1078</v>
      </c>
      <c r="F574" s="23">
        <f>Willisonbthpts</f>
        <v>0</v>
      </c>
    </row>
    <row r="575" spans="1:6" ht="14.95" thickBot="1" x14ac:dyDescent="0.3">
      <c r="A575" s="93" t="s">
        <v>1709</v>
      </c>
      <c r="B575" s="93" t="s">
        <v>1078</v>
      </c>
      <c r="C575" s="10">
        <f>Wilsonbattries</f>
        <v>0</v>
      </c>
      <c r="D575" s="3" t="s">
        <v>1101</v>
      </c>
      <c r="E575" s="3" t="s">
        <v>1079</v>
      </c>
      <c r="F575" s="23">
        <f>Wilson_Dnewpts</f>
        <v>0</v>
      </c>
    </row>
    <row r="576" spans="1:6" ht="14.95" thickBot="1" x14ac:dyDescent="0.3">
      <c r="A576" s="93" t="s">
        <v>1808</v>
      </c>
      <c r="B576" s="93" t="s">
        <v>1078</v>
      </c>
      <c r="C576" s="10">
        <f>Wilson__Jamesbthtriescorrect</f>
        <v>0</v>
      </c>
      <c r="D576" s="3" t="s">
        <v>1709</v>
      </c>
      <c r="E576" s="3" t="s">
        <v>1078</v>
      </c>
      <c r="F576" s="22">
        <f>Wilsonbatpts</f>
        <v>0</v>
      </c>
    </row>
    <row r="577" spans="1:6" ht="14.95" thickBot="1" x14ac:dyDescent="0.3">
      <c r="A577" s="93" t="s">
        <v>1711</v>
      </c>
      <c r="B577" s="93" t="s">
        <v>1079</v>
      </c>
      <c r="C577" s="10">
        <f>Wittynewtries</f>
        <v>0</v>
      </c>
      <c r="D577" s="3" t="s">
        <v>1711</v>
      </c>
      <c r="E577" s="3" t="s">
        <v>1079</v>
      </c>
      <c r="F577" s="23">
        <f>Wittynewpts</f>
        <v>0</v>
      </c>
    </row>
    <row r="578" spans="1:6" ht="14.95" thickBot="1" x14ac:dyDescent="0.3">
      <c r="A578" s="93" t="s">
        <v>1715</v>
      </c>
      <c r="B578" s="93" t="s">
        <v>1156</v>
      </c>
      <c r="C578" s="10">
        <f>Steelelitries</f>
        <v>0</v>
      </c>
      <c r="D578" s="3" t="s">
        <v>1715</v>
      </c>
      <c r="E578" s="3" t="s">
        <v>1156</v>
      </c>
      <c r="F578" s="23">
        <f>Steelelipts</f>
        <v>0</v>
      </c>
    </row>
    <row r="579" spans="1:6" ht="14.95" thickBot="1" x14ac:dyDescent="0.3">
      <c r="A579" s="93" t="s">
        <v>1717</v>
      </c>
      <c r="B579" s="93" t="s">
        <v>1135</v>
      </c>
      <c r="C579" s="10">
        <f>Worthleitries</f>
        <v>0</v>
      </c>
      <c r="D579" s="3" t="s">
        <v>1717</v>
      </c>
      <c r="E579" s="3" t="s">
        <v>1135</v>
      </c>
      <c r="F579" s="23">
        <f>Worthleipts</f>
        <v>0</v>
      </c>
    </row>
    <row r="580" spans="1:6" ht="14.95" thickBot="1" x14ac:dyDescent="0.3">
      <c r="A580" s="93" t="s">
        <v>1710</v>
      </c>
      <c r="B580" s="93" t="s">
        <v>1078</v>
      </c>
      <c r="C580" s="10">
        <f>Wilson__Jamesbthtries</f>
        <v>0</v>
      </c>
      <c r="D580" s="3" t="s">
        <v>1710</v>
      </c>
      <c r="E580" s="3" t="s">
        <v>1078</v>
      </c>
      <c r="F580" s="23">
        <f>Wilson__Jamesbthpts</f>
        <v>0</v>
      </c>
    </row>
    <row r="581" spans="1:6" ht="14.95" thickBot="1" x14ac:dyDescent="0.3">
      <c r="A581" s="93" t="s">
        <v>1103</v>
      </c>
      <c r="B581" s="93" t="s">
        <v>1079</v>
      </c>
      <c r="C581" s="10">
        <f>Young_Gnewtries</f>
        <v>0</v>
      </c>
      <c r="D581" s="3" t="s">
        <v>1103</v>
      </c>
      <c r="E581" s="3" t="s">
        <v>1079</v>
      </c>
      <c r="F581" s="23">
        <f>Young_Gnewpts</f>
        <v>0</v>
      </c>
    </row>
    <row r="582" spans="1:6" ht="14.95" thickBot="1" x14ac:dyDescent="0.3">
      <c r="A582" s="10" t="s">
        <v>47</v>
      </c>
      <c r="B582" s="10"/>
      <c r="C582" s="10">
        <f>SUM(C2:C581)</f>
        <v>765</v>
      </c>
      <c r="D582" s="23" t="s">
        <v>47</v>
      </c>
      <c r="E582" s="23"/>
      <c r="F582" s="23">
        <f>SUM(F2:F581)</f>
        <v>6476</v>
      </c>
    </row>
    <row r="583" spans="1:6" x14ac:dyDescent="0.25">
      <c r="A583" s="342" t="s">
        <v>171</v>
      </c>
      <c r="B583" s="48"/>
      <c r="C583" s="48"/>
      <c r="D583" s="48"/>
      <c r="E583" s="48"/>
      <c r="F583" s="48"/>
    </row>
  </sheetData>
  <sortState xmlns:xlrd2="http://schemas.microsoft.com/office/spreadsheetml/2017/richdata2" ref="G2:K83">
    <sortCondition sortBy="fontColor" ref="J2:J83" dxfId="0"/>
    <sortCondition descending="1" ref="K2:K83"/>
    <sortCondition descending="1" ref="J2:J83"/>
    <sortCondition ref="G2:G83"/>
  </sortState>
  <mergeCells count="2">
    <mergeCell ref="O1:Q1"/>
    <mergeCell ref="L1:N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T110"/>
  <sheetViews>
    <sheetView zoomScaleNormal="100" workbookViewId="0">
      <selection activeCell="M5" sqref="M5"/>
    </sheetView>
  </sheetViews>
  <sheetFormatPr defaultRowHeight="14.3" x14ac:dyDescent="0.25"/>
  <cols>
    <col min="1" max="1" width="16.625" customWidth="1"/>
    <col min="2" max="3" width="3.75" customWidth="1"/>
    <col min="4" max="5" width="4.75" customWidth="1"/>
    <col min="6" max="6" width="16.625" customWidth="1"/>
    <col min="7" max="10" width="5.25" customWidth="1"/>
    <col min="11" max="11" width="12.875" bestFit="1" customWidth="1"/>
    <col min="12" max="14" width="5.625" customWidth="1"/>
    <col min="15" max="23" width="5.75" customWidth="1"/>
    <col min="24" max="34" width="4.75" customWidth="1"/>
    <col min="35" max="40" width="5.75" customWidth="1"/>
  </cols>
  <sheetData>
    <row r="1" spans="1:46" ht="14.95" customHeight="1" thickBot="1" x14ac:dyDescent="0.3">
      <c r="A1" s="504" t="s">
        <v>1741</v>
      </c>
      <c r="B1" s="505"/>
      <c r="C1" s="505"/>
      <c r="D1" s="505"/>
      <c r="E1" s="505"/>
      <c r="F1" s="505"/>
      <c r="G1" s="505"/>
      <c r="H1" s="505"/>
      <c r="I1" s="505"/>
      <c r="J1" s="506"/>
      <c r="K1" s="478" t="s">
        <v>1324</v>
      </c>
      <c r="L1" s="486" t="s">
        <v>49</v>
      </c>
      <c r="M1" s="487"/>
      <c r="N1" s="488"/>
      <c r="O1" s="486" t="s">
        <v>1199</v>
      </c>
      <c r="P1" s="487"/>
      <c r="Q1" s="488"/>
      <c r="R1" s="492" t="s">
        <v>62</v>
      </c>
      <c r="S1" s="493"/>
      <c r="T1" s="457" t="s">
        <v>124</v>
      </c>
      <c r="U1" s="458"/>
      <c r="V1" s="459"/>
      <c r="W1" s="457" t="s">
        <v>1070</v>
      </c>
      <c r="X1" s="458"/>
      <c r="Y1" s="459"/>
      <c r="Z1" s="457"/>
      <c r="AA1" s="458"/>
      <c r="AB1" s="458"/>
      <c r="AC1" s="501"/>
      <c r="AD1" s="501"/>
      <c r="AE1" s="501"/>
      <c r="AF1" s="457" t="s">
        <v>598</v>
      </c>
      <c r="AG1" s="458"/>
      <c r="AH1" s="459"/>
      <c r="AI1" s="457" t="s">
        <v>254</v>
      </c>
      <c r="AJ1" s="458"/>
      <c r="AK1" s="459"/>
      <c r="AL1" s="5"/>
      <c r="AM1" s="5"/>
      <c r="AN1" s="5"/>
      <c r="AQ1" s="5"/>
    </row>
    <row r="2" spans="1:46" ht="14.95" customHeight="1" thickBot="1" x14ac:dyDescent="0.3">
      <c r="A2" s="267" t="s">
        <v>0</v>
      </c>
      <c r="B2" s="305" t="s">
        <v>1072</v>
      </c>
      <c r="C2" s="268" t="s">
        <v>127</v>
      </c>
      <c r="D2" s="368" t="s">
        <v>1073</v>
      </c>
      <c r="E2" s="269" t="s">
        <v>1</v>
      </c>
      <c r="F2" s="312" t="s">
        <v>2</v>
      </c>
      <c r="G2" s="313" t="s">
        <v>1072</v>
      </c>
      <c r="H2" s="314" t="s">
        <v>127</v>
      </c>
      <c r="I2" s="362" t="s">
        <v>1073</v>
      </c>
      <c r="J2" s="315" t="s">
        <v>1</v>
      </c>
      <c r="K2" s="479"/>
      <c r="L2" s="489"/>
      <c r="M2" s="490"/>
      <c r="N2" s="491"/>
      <c r="O2" s="489"/>
      <c r="P2" s="490"/>
      <c r="Q2" s="491"/>
      <c r="R2" s="494"/>
      <c r="S2" s="495"/>
      <c r="T2" s="460"/>
      <c r="U2" s="461"/>
      <c r="V2" s="462"/>
      <c r="W2" s="460"/>
      <c r="X2" s="461"/>
      <c r="Y2" s="462"/>
      <c r="Z2" s="502"/>
      <c r="AA2" s="501"/>
      <c r="AB2" s="501"/>
      <c r="AC2" s="501"/>
      <c r="AD2" s="501"/>
      <c r="AE2" s="501"/>
      <c r="AF2" s="460"/>
      <c r="AG2" s="461"/>
      <c r="AH2" s="462"/>
      <c r="AI2" s="460"/>
      <c r="AJ2" s="461"/>
      <c r="AK2" s="462"/>
      <c r="AO2" s="5"/>
      <c r="AP2" s="5"/>
      <c r="AQ2" s="5"/>
      <c r="AR2" s="5"/>
      <c r="AS2" s="5"/>
      <c r="AT2" s="5"/>
    </row>
    <row r="3" spans="1:46" ht="14.95" customHeight="1" thickBot="1" x14ac:dyDescent="0.3">
      <c r="A3" s="270" t="s">
        <v>141</v>
      </c>
      <c r="B3" s="306">
        <v>0</v>
      </c>
      <c r="C3" s="271">
        <v>0</v>
      </c>
      <c r="D3" s="369">
        <v>0</v>
      </c>
      <c r="E3" s="272">
        <f t="shared" ref="E3:E53" si="0">SUM(B3:D3)</f>
        <v>0</v>
      </c>
      <c r="F3" s="308" t="s">
        <v>141</v>
      </c>
      <c r="G3" s="309">
        <v>0</v>
      </c>
      <c r="H3" s="310">
        <v>0</v>
      </c>
      <c r="I3" s="363">
        <v>0</v>
      </c>
      <c r="J3" s="311">
        <f t="shared" ref="J3:J53" si="1">SUM(G3:I3)</f>
        <v>0</v>
      </c>
      <c r="K3" s="37" t="s">
        <v>87</v>
      </c>
      <c r="L3" s="1" t="s">
        <v>243</v>
      </c>
      <c r="M3" s="1" t="s">
        <v>42</v>
      </c>
      <c r="N3" s="1" t="s">
        <v>43</v>
      </c>
      <c r="O3" s="191" t="s">
        <v>243</v>
      </c>
      <c r="P3" s="1" t="s">
        <v>42</v>
      </c>
      <c r="Q3" s="1" t="s">
        <v>43</v>
      </c>
      <c r="R3" s="4" t="s">
        <v>63</v>
      </c>
      <c r="S3" s="4" t="s">
        <v>957</v>
      </c>
      <c r="T3" s="119" t="s">
        <v>243</v>
      </c>
      <c r="U3" s="119" t="s">
        <v>42</v>
      </c>
      <c r="V3" s="119" t="s">
        <v>43</v>
      </c>
      <c r="W3" s="119" t="s">
        <v>243</v>
      </c>
      <c r="X3" s="119" t="s">
        <v>42</v>
      </c>
      <c r="Y3" s="158" t="s">
        <v>43</v>
      </c>
      <c r="Z3" s="60"/>
      <c r="AA3" s="60"/>
      <c r="AB3" s="60"/>
      <c r="AC3" s="60"/>
      <c r="AD3" s="60"/>
      <c r="AE3" s="60"/>
      <c r="AF3" s="158" t="s">
        <v>243</v>
      </c>
      <c r="AG3" s="119" t="s">
        <v>42</v>
      </c>
      <c r="AH3" s="119" t="s">
        <v>43</v>
      </c>
      <c r="AI3" s="119" t="s">
        <v>243</v>
      </c>
      <c r="AJ3" s="119" t="s">
        <v>42</v>
      </c>
      <c r="AK3" s="119" t="s">
        <v>43</v>
      </c>
    </row>
    <row r="4" spans="1:46" ht="14.95" customHeight="1" thickBot="1" x14ac:dyDescent="0.3">
      <c r="A4" s="270" t="s">
        <v>1157</v>
      </c>
      <c r="B4" s="306">
        <v>0</v>
      </c>
      <c r="C4" s="271">
        <v>2</v>
      </c>
      <c r="D4" s="369">
        <v>0</v>
      </c>
      <c r="E4" s="272">
        <f t="shared" si="0"/>
        <v>2</v>
      </c>
      <c r="F4" s="308" t="s">
        <v>1157</v>
      </c>
      <c r="G4" s="309">
        <v>0</v>
      </c>
      <c r="H4" s="310">
        <v>10</v>
      </c>
      <c r="I4" s="363">
        <v>0</v>
      </c>
      <c r="J4" s="311">
        <f t="shared" si="1"/>
        <v>10</v>
      </c>
      <c r="K4" s="267" t="s">
        <v>1183</v>
      </c>
      <c r="L4" s="273">
        <v>0</v>
      </c>
      <c r="M4" s="273">
        <v>2</v>
      </c>
      <c r="N4" s="278">
        <f>SUM(L4/M4)*100</f>
        <v>0</v>
      </c>
      <c r="O4" s="274" t="s">
        <v>50</v>
      </c>
      <c r="P4" s="274" t="s">
        <v>50</v>
      </c>
      <c r="Q4" s="274" t="s">
        <v>50</v>
      </c>
      <c r="R4" s="275">
        <v>-2</v>
      </c>
      <c r="S4" s="275">
        <v>-2</v>
      </c>
      <c r="T4" s="273" t="s">
        <v>50</v>
      </c>
      <c r="U4" s="273" t="s">
        <v>50</v>
      </c>
      <c r="V4" s="273" t="s">
        <v>50</v>
      </c>
      <c r="W4" s="273">
        <v>4</v>
      </c>
      <c r="X4" s="273">
        <v>8</v>
      </c>
      <c r="Y4" s="276">
        <f t="shared" ref="Y4" si="2">SUM(W4/X4)*100</f>
        <v>50</v>
      </c>
      <c r="Z4" s="77"/>
      <c r="AA4" s="77"/>
      <c r="AB4" s="77"/>
      <c r="AC4" s="77"/>
      <c r="AD4" s="77"/>
      <c r="AE4" s="77"/>
      <c r="AF4" s="274" t="s">
        <v>50</v>
      </c>
      <c r="AG4" s="275" t="s">
        <v>50</v>
      </c>
      <c r="AH4" s="275" t="s">
        <v>50</v>
      </c>
      <c r="AI4" s="274" t="s">
        <v>50</v>
      </c>
      <c r="AJ4" s="275" t="s">
        <v>50</v>
      </c>
      <c r="AK4" s="275" t="s">
        <v>50</v>
      </c>
    </row>
    <row r="5" spans="1:46" ht="14.95" customHeight="1" thickBot="1" x14ac:dyDescent="0.3">
      <c r="A5" s="270" t="s">
        <v>1158</v>
      </c>
      <c r="B5" s="306">
        <v>1</v>
      </c>
      <c r="C5" s="271">
        <v>0</v>
      </c>
      <c r="D5" s="369">
        <v>0</v>
      </c>
      <c r="E5" s="272">
        <f t="shared" si="0"/>
        <v>1</v>
      </c>
      <c r="F5" s="308" t="s">
        <v>1158</v>
      </c>
      <c r="G5" s="309">
        <v>5</v>
      </c>
      <c r="H5" s="310">
        <v>0</v>
      </c>
      <c r="I5" s="363">
        <v>0</v>
      </c>
      <c r="J5" s="311">
        <f t="shared" si="1"/>
        <v>5</v>
      </c>
      <c r="K5" s="267" t="s">
        <v>1780</v>
      </c>
      <c r="L5" s="274">
        <v>0</v>
      </c>
      <c r="M5" s="274">
        <v>1</v>
      </c>
      <c r="N5" s="274">
        <v>0</v>
      </c>
      <c r="O5" s="274" t="s">
        <v>50</v>
      </c>
      <c r="P5" s="274" t="s">
        <v>50</v>
      </c>
      <c r="Q5" s="274" t="s">
        <v>50</v>
      </c>
      <c r="R5" s="275">
        <v>-1</v>
      </c>
      <c r="S5" s="275">
        <v>-1</v>
      </c>
      <c r="T5" s="273" t="s">
        <v>50</v>
      </c>
      <c r="U5" s="273" t="s">
        <v>50</v>
      </c>
      <c r="V5" s="273" t="s">
        <v>50</v>
      </c>
      <c r="W5" s="273" t="s">
        <v>50</v>
      </c>
      <c r="X5" s="273" t="s">
        <v>50</v>
      </c>
      <c r="Y5" s="273" t="s">
        <v>50</v>
      </c>
      <c r="Z5" s="77"/>
      <c r="AA5" s="77"/>
      <c r="AB5" s="77"/>
      <c r="AC5" s="77"/>
      <c r="AD5" s="77"/>
      <c r="AE5" s="77"/>
      <c r="AF5" s="372" t="s">
        <v>50</v>
      </c>
      <c r="AG5" s="273" t="s">
        <v>50</v>
      </c>
      <c r="AH5" s="273" t="s">
        <v>50</v>
      </c>
      <c r="AI5" s="273" t="s">
        <v>50</v>
      </c>
      <c r="AJ5" s="273" t="s">
        <v>50</v>
      </c>
      <c r="AK5" s="273" t="s">
        <v>50</v>
      </c>
    </row>
    <row r="6" spans="1:46" ht="14.95" customHeight="1" thickBot="1" x14ac:dyDescent="0.3">
      <c r="A6" s="270" t="s">
        <v>1780</v>
      </c>
      <c r="B6" s="306">
        <v>0</v>
      </c>
      <c r="C6" s="271">
        <v>0</v>
      </c>
      <c r="D6" s="369">
        <v>0</v>
      </c>
      <c r="E6" s="272">
        <f t="shared" si="0"/>
        <v>0</v>
      </c>
      <c r="F6" s="308" t="s">
        <v>1780</v>
      </c>
      <c r="G6" s="309">
        <v>0</v>
      </c>
      <c r="H6" s="310">
        <v>2</v>
      </c>
      <c r="I6" s="363">
        <v>0</v>
      </c>
      <c r="J6" s="311">
        <f t="shared" si="1"/>
        <v>2</v>
      </c>
      <c r="K6" s="267" t="s">
        <v>1840</v>
      </c>
      <c r="L6" s="274">
        <v>2</v>
      </c>
      <c r="M6" s="274">
        <v>5</v>
      </c>
      <c r="N6" s="278">
        <f>SUM(L6/M6)*100</f>
        <v>40</v>
      </c>
      <c r="O6" s="274" t="s">
        <v>50</v>
      </c>
      <c r="P6" s="274" t="s">
        <v>50</v>
      </c>
      <c r="Q6" s="274" t="s">
        <v>50</v>
      </c>
      <c r="R6" s="273">
        <v>-1</v>
      </c>
      <c r="S6" s="273">
        <v>-1</v>
      </c>
      <c r="T6" s="274" t="s">
        <v>50</v>
      </c>
      <c r="U6" s="274" t="s">
        <v>50</v>
      </c>
      <c r="V6" s="274" t="s">
        <v>50</v>
      </c>
      <c r="W6" s="274" t="s">
        <v>50</v>
      </c>
      <c r="X6" s="274" t="s">
        <v>50</v>
      </c>
      <c r="Y6" s="274" t="s">
        <v>50</v>
      </c>
      <c r="Z6" s="77"/>
      <c r="AA6" s="77"/>
      <c r="AB6" s="77"/>
      <c r="AC6" s="77"/>
      <c r="AD6" s="77"/>
      <c r="AE6" s="77"/>
      <c r="AF6" s="274" t="s">
        <v>50</v>
      </c>
      <c r="AG6" s="274" t="s">
        <v>50</v>
      </c>
      <c r="AH6" s="274" t="s">
        <v>50</v>
      </c>
      <c r="AI6" s="274" t="s">
        <v>50</v>
      </c>
      <c r="AJ6" s="274" t="s">
        <v>50</v>
      </c>
      <c r="AK6" s="274" t="s">
        <v>50</v>
      </c>
    </row>
    <row r="7" spans="1:46" ht="14.95" customHeight="1" thickBot="1" x14ac:dyDescent="0.3">
      <c r="A7" s="270" t="s">
        <v>1159</v>
      </c>
      <c r="B7" s="306">
        <v>0</v>
      </c>
      <c r="C7" s="271">
        <v>0</v>
      </c>
      <c r="D7" s="369">
        <v>0</v>
      </c>
      <c r="E7" s="272">
        <f t="shared" si="0"/>
        <v>0</v>
      </c>
      <c r="F7" s="308" t="s">
        <v>1159</v>
      </c>
      <c r="G7" s="309">
        <v>0</v>
      </c>
      <c r="H7" s="310">
        <v>0</v>
      </c>
      <c r="I7" s="363">
        <v>0</v>
      </c>
      <c r="J7" s="311">
        <f t="shared" si="1"/>
        <v>0</v>
      </c>
      <c r="K7" s="267" t="s">
        <v>1784</v>
      </c>
      <c r="L7" s="274" t="s">
        <v>50</v>
      </c>
      <c r="M7" s="274" t="s">
        <v>50</v>
      </c>
      <c r="N7" s="274" t="s">
        <v>50</v>
      </c>
      <c r="O7" s="274" t="s">
        <v>50</v>
      </c>
      <c r="P7" s="274" t="s">
        <v>50</v>
      </c>
      <c r="Q7" s="274" t="s">
        <v>50</v>
      </c>
      <c r="R7" s="275" t="s">
        <v>64</v>
      </c>
      <c r="S7" s="275">
        <v>1</v>
      </c>
      <c r="T7" s="274" t="s">
        <v>50</v>
      </c>
      <c r="U7" s="274" t="s">
        <v>50</v>
      </c>
      <c r="V7" s="274" t="s">
        <v>50</v>
      </c>
      <c r="W7" s="274" t="s">
        <v>50</v>
      </c>
      <c r="X7" s="274" t="s">
        <v>50</v>
      </c>
      <c r="Y7" s="274" t="s">
        <v>50</v>
      </c>
      <c r="Z7" s="77"/>
      <c r="AA7" s="77"/>
      <c r="AB7" s="77"/>
      <c r="AC7" s="77"/>
      <c r="AD7" s="77"/>
      <c r="AE7" s="77"/>
      <c r="AF7" s="274" t="s">
        <v>50</v>
      </c>
      <c r="AG7" s="274" t="s">
        <v>50</v>
      </c>
      <c r="AH7" s="274" t="s">
        <v>50</v>
      </c>
      <c r="AI7" s="274" t="s">
        <v>50</v>
      </c>
      <c r="AJ7" s="274" t="s">
        <v>50</v>
      </c>
      <c r="AK7" s="274" t="s">
        <v>50</v>
      </c>
    </row>
    <row r="8" spans="1:46" ht="14.95" customHeight="1" thickBot="1" x14ac:dyDescent="0.3">
      <c r="A8" s="270" t="s">
        <v>1160</v>
      </c>
      <c r="B8" s="306">
        <v>1</v>
      </c>
      <c r="C8" s="271">
        <v>3</v>
      </c>
      <c r="D8" s="369">
        <v>1</v>
      </c>
      <c r="E8" s="272">
        <f t="shared" si="0"/>
        <v>5</v>
      </c>
      <c r="F8" s="308" t="s">
        <v>1160</v>
      </c>
      <c r="G8" s="309">
        <v>5</v>
      </c>
      <c r="H8" s="310">
        <v>15</v>
      </c>
      <c r="I8" s="363">
        <v>5</v>
      </c>
      <c r="J8" s="311">
        <f t="shared" si="1"/>
        <v>25</v>
      </c>
      <c r="K8" s="267" t="s">
        <v>1759</v>
      </c>
      <c r="L8" s="274">
        <v>40</v>
      </c>
      <c r="M8" s="275">
        <v>50</v>
      </c>
      <c r="N8" s="278">
        <f>SUM(L8/M8)*100</f>
        <v>80</v>
      </c>
      <c r="O8" s="274" t="s">
        <v>50</v>
      </c>
      <c r="P8" s="274" t="s">
        <v>50</v>
      </c>
      <c r="Q8" s="274" t="s">
        <v>50</v>
      </c>
      <c r="R8" s="275">
        <v>-2</v>
      </c>
      <c r="S8" s="275">
        <v>-2</v>
      </c>
      <c r="T8" s="273" t="s">
        <v>50</v>
      </c>
      <c r="U8" s="273" t="s">
        <v>50</v>
      </c>
      <c r="V8" s="273" t="s">
        <v>50</v>
      </c>
      <c r="W8" s="277">
        <v>39</v>
      </c>
      <c r="X8" s="277">
        <v>52</v>
      </c>
      <c r="Y8" s="276">
        <f>SUM(W8/X8)*100</f>
        <v>75</v>
      </c>
      <c r="Z8" s="77"/>
      <c r="AA8" s="77"/>
      <c r="AB8" s="79"/>
      <c r="AC8" s="77"/>
      <c r="AD8" s="77"/>
      <c r="AE8" s="79"/>
      <c r="AF8" s="274">
        <v>24</v>
      </c>
      <c r="AG8" s="274">
        <v>29</v>
      </c>
      <c r="AH8" s="276">
        <f>SUM(AF8/AG8)*100</f>
        <v>82.758620689655174</v>
      </c>
      <c r="AI8" s="274">
        <v>47</v>
      </c>
      <c r="AJ8" s="274">
        <v>54</v>
      </c>
      <c r="AK8" s="278">
        <f>SUM(AI8/AJ8)*100</f>
        <v>87.037037037037038</v>
      </c>
      <c r="AL8" s="5"/>
    </row>
    <row r="9" spans="1:46" ht="14.95" customHeight="1" thickBot="1" x14ac:dyDescent="0.3">
      <c r="A9" s="270" t="s">
        <v>1161</v>
      </c>
      <c r="B9" s="306">
        <v>0</v>
      </c>
      <c r="C9" s="271">
        <v>1</v>
      </c>
      <c r="D9" s="369">
        <v>0</v>
      </c>
      <c r="E9" s="272">
        <f t="shared" si="0"/>
        <v>1</v>
      </c>
      <c r="F9" s="308" t="s">
        <v>1161</v>
      </c>
      <c r="G9" s="309">
        <v>0</v>
      </c>
      <c r="H9" s="310">
        <v>5</v>
      </c>
      <c r="I9" s="363">
        <v>0</v>
      </c>
      <c r="J9" s="311">
        <f t="shared" si="1"/>
        <v>5</v>
      </c>
      <c r="K9" s="267" t="s">
        <v>1188</v>
      </c>
      <c r="L9" s="274">
        <v>45</v>
      </c>
      <c r="M9" s="275">
        <v>55</v>
      </c>
      <c r="N9" s="278">
        <f>SUM(L9/M9)*100</f>
        <v>81.818181818181827</v>
      </c>
      <c r="O9" s="274">
        <v>2</v>
      </c>
      <c r="P9" s="274">
        <v>3</v>
      </c>
      <c r="Q9" s="278">
        <f t="shared" ref="Q9" si="3">SUM(O9/P9)*100</f>
        <v>66.666666666666657</v>
      </c>
      <c r="R9" s="275">
        <v>2</v>
      </c>
      <c r="S9" s="275">
        <v>2</v>
      </c>
      <c r="T9" s="274" t="s">
        <v>50</v>
      </c>
      <c r="U9" s="275" t="s">
        <v>50</v>
      </c>
      <c r="V9" s="275" t="s">
        <v>50</v>
      </c>
      <c r="W9" s="274" t="s">
        <v>50</v>
      </c>
      <c r="X9" s="275" t="s">
        <v>50</v>
      </c>
      <c r="Y9" s="274" t="s">
        <v>50</v>
      </c>
      <c r="Z9" s="77"/>
      <c r="AA9" s="77"/>
      <c r="AB9" s="77"/>
      <c r="AC9" s="77"/>
      <c r="AD9" s="77"/>
      <c r="AE9" s="77"/>
      <c r="AF9" s="274" t="s">
        <v>50</v>
      </c>
      <c r="AG9" s="275" t="s">
        <v>50</v>
      </c>
      <c r="AH9" s="275" t="s">
        <v>50</v>
      </c>
      <c r="AI9" s="274" t="s">
        <v>50</v>
      </c>
      <c r="AJ9" s="275" t="s">
        <v>50</v>
      </c>
      <c r="AK9" s="275" t="s">
        <v>50</v>
      </c>
    </row>
    <row r="10" spans="1:46" ht="14.95" customHeight="1" thickBot="1" x14ac:dyDescent="0.3">
      <c r="A10" s="270" t="s">
        <v>1840</v>
      </c>
      <c r="B10" s="306">
        <v>0</v>
      </c>
      <c r="C10" s="271">
        <v>0</v>
      </c>
      <c r="D10" s="369">
        <v>0</v>
      </c>
      <c r="E10" s="272">
        <f t="shared" si="0"/>
        <v>0</v>
      </c>
      <c r="F10" s="308" t="s">
        <v>1840</v>
      </c>
      <c r="G10" s="309">
        <v>4</v>
      </c>
      <c r="H10" s="310">
        <v>0</v>
      </c>
      <c r="I10" s="363">
        <v>0</v>
      </c>
      <c r="J10" s="311">
        <f t="shared" si="1"/>
        <v>4</v>
      </c>
      <c r="K10" s="164"/>
      <c r="L10" s="86"/>
      <c r="M10" s="163"/>
      <c r="N10" s="163"/>
      <c r="O10" s="163"/>
      <c r="P10" s="163"/>
      <c r="Q10" s="163"/>
      <c r="R10" s="86"/>
      <c r="S10" s="86"/>
      <c r="T10" s="166"/>
      <c r="U10" s="166"/>
      <c r="V10" s="166"/>
      <c r="W10" s="166"/>
      <c r="X10" s="153"/>
      <c r="Y10" s="153"/>
      <c r="Z10" s="77"/>
      <c r="AA10" s="77"/>
      <c r="AB10" s="77"/>
      <c r="AC10" s="77"/>
      <c r="AD10" s="77"/>
      <c r="AE10" s="77"/>
      <c r="AF10" s="153"/>
      <c r="AG10" s="153"/>
      <c r="AH10" s="153"/>
    </row>
    <row r="11" spans="1:46" ht="14.95" customHeight="1" thickBot="1" x14ac:dyDescent="0.3">
      <c r="A11" s="270" t="s">
        <v>1162</v>
      </c>
      <c r="B11" s="306">
        <v>0</v>
      </c>
      <c r="C11" s="271">
        <v>0</v>
      </c>
      <c r="D11" s="369">
        <v>0</v>
      </c>
      <c r="E11" s="272">
        <f t="shared" si="0"/>
        <v>0</v>
      </c>
      <c r="F11" s="308" t="s">
        <v>1162</v>
      </c>
      <c r="G11" s="309">
        <v>0</v>
      </c>
      <c r="H11" s="310">
        <v>0</v>
      </c>
      <c r="I11" s="363">
        <v>0</v>
      </c>
      <c r="J11" s="311">
        <f t="shared" si="1"/>
        <v>0</v>
      </c>
      <c r="K11" s="507" t="s">
        <v>1834</v>
      </c>
      <c r="L11" s="486" t="s">
        <v>49</v>
      </c>
      <c r="M11" s="487"/>
      <c r="N11" s="488"/>
      <c r="O11" s="457" t="s">
        <v>124</v>
      </c>
      <c r="P11" s="458"/>
      <c r="Q11" s="459"/>
      <c r="R11" s="457" t="s">
        <v>1070</v>
      </c>
      <c r="S11" s="458"/>
      <c r="T11" s="459"/>
      <c r="U11" s="457" t="s">
        <v>598</v>
      </c>
      <c r="V11" s="496"/>
      <c r="W11" s="497"/>
      <c r="X11" s="149"/>
      <c r="Y11" s="335"/>
      <c r="Z11" s="77"/>
      <c r="AA11" s="77"/>
      <c r="AB11" s="77"/>
      <c r="AC11" s="77"/>
      <c r="AD11" s="77"/>
      <c r="AE11" s="77"/>
      <c r="AF11" s="457" t="s">
        <v>254</v>
      </c>
      <c r="AG11" s="496"/>
      <c r="AH11" s="497"/>
      <c r="AI11" s="457" t="s">
        <v>186</v>
      </c>
      <c r="AJ11" s="496"/>
      <c r="AK11" s="497"/>
      <c r="AN11" s="5"/>
      <c r="AO11" s="5"/>
      <c r="AP11" s="5"/>
      <c r="AQ11" s="5"/>
    </row>
    <row r="12" spans="1:46" ht="14.95" customHeight="1" thickBot="1" x14ac:dyDescent="0.3">
      <c r="A12" s="270" t="s">
        <v>1784</v>
      </c>
      <c r="B12" s="306">
        <v>0</v>
      </c>
      <c r="C12" s="271">
        <v>0</v>
      </c>
      <c r="D12" s="369">
        <v>0</v>
      </c>
      <c r="E12" s="272">
        <f t="shared" si="0"/>
        <v>0</v>
      </c>
      <c r="F12" s="308" t="s">
        <v>1784</v>
      </c>
      <c r="G12" s="309">
        <v>0</v>
      </c>
      <c r="H12" s="310">
        <v>0</v>
      </c>
      <c r="I12" s="363">
        <v>2</v>
      </c>
      <c r="J12" s="311">
        <f t="shared" si="1"/>
        <v>2</v>
      </c>
      <c r="K12" s="508"/>
      <c r="L12" s="489"/>
      <c r="M12" s="490"/>
      <c r="N12" s="491"/>
      <c r="O12" s="460"/>
      <c r="P12" s="461"/>
      <c r="Q12" s="462"/>
      <c r="R12" s="460"/>
      <c r="S12" s="461"/>
      <c r="T12" s="462"/>
      <c r="U12" s="498"/>
      <c r="V12" s="499"/>
      <c r="W12" s="500"/>
      <c r="X12" s="337"/>
      <c r="Y12" s="335"/>
      <c r="Z12" s="77"/>
      <c r="AA12" s="77"/>
      <c r="AB12" s="77"/>
      <c r="AC12" s="77"/>
      <c r="AD12" s="77"/>
      <c r="AE12" s="77"/>
      <c r="AF12" s="498"/>
      <c r="AG12" s="499"/>
      <c r="AH12" s="500"/>
      <c r="AI12" s="498"/>
      <c r="AJ12" s="499"/>
      <c r="AK12" s="500"/>
      <c r="AN12" s="5"/>
      <c r="AO12" s="5"/>
      <c r="AP12" s="5"/>
      <c r="AQ12" s="5"/>
    </row>
    <row r="13" spans="1:46" ht="14.95" customHeight="1" thickBot="1" x14ac:dyDescent="0.3">
      <c r="A13" s="270" t="s">
        <v>1163</v>
      </c>
      <c r="B13" s="306">
        <v>1</v>
      </c>
      <c r="C13" s="271">
        <v>5</v>
      </c>
      <c r="D13" s="369">
        <v>3</v>
      </c>
      <c r="E13" s="272">
        <f t="shared" si="0"/>
        <v>9</v>
      </c>
      <c r="F13" s="308" t="s">
        <v>1163</v>
      </c>
      <c r="G13" s="309">
        <v>5</v>
      </c>
      <c r="H13" s="310">
        <v>25</v>
      </c>
      <c r="I13" s="363">
        <v>15</v>
      </c>
      <c r="J13" s="311">
        <f t="shared" si="1"/>
        <v>45</v>
      </c>
      <c r="K13" s="161" t="s">
        <v>87</v>
      </c>
      <c r="L13" s="1" t="s">
        <v>243</v>
      </c>
      <c r="M13" s="1" t="s">
        <v>42</v>
      </c>
      <c r="N13" s="1" t="s">
        <v>43</v>
      </c>
      <c r="O13" s="119" t="s">
        <v>243</v>
      </c>
      <c r="P13" s="119" t="s">
        <v>42</v>
      </c>
      <c r="Q13" s="119" t="s">
        <v>43</v>
      </c>
      <c r="R13" s="119" t="s">
        <v>243</v>
      </c>
      <c r="S13" s="119" t="s">
        <v>42</v>
      </c>
      <c r="T13" s="119" t="s">
        <v>43</v>
      </c>
      <c r="U13" s="119" t="s">
        <v>243</v>
      </c>
      <c r="V13" s="158" t="s">
        <v>42</v>
      </c>
      <c r="W13" s="158" t="s">
        <v>43</v>
      </c>
      <c r="X13" s="150"/>
      <c r="Z13" s="153"/>
      <c r="AA13" s="153"/>
      <c r="AB13" s="153"/>
      <c r="AC13" s="153"/>
      <c r="AD13" s="153"/>
      <c r="AE13" s="153"/>
      <c r="AF13" s="124" t="s">
        <v>243</v>
      </c>
      <c r="AG13" s="119" t="s">
        <v>42</v>
      </c>
      <c r="AH13" s="119" t="s">
        <v>43</v>
      </c>
      <c r="AI13" s="124" t="s">
        <v>243</v>
      </c>
      <c r="AJ13" s="119" t="s">
        <v>42</v>
      </c>
      <c r="AK13" s="119" t="s">
        <v>43</v>
      </c>
    </row>
    <row r="14" spans="1:46" ht="14.95" customHeight="1" thickBot="1" x14ac:dyDescent="0.3">
      <c r="A14" s="270" t="s">
        <v>954</v>
      </c>
      <c r="B14" s="306">
        <v>0</v>
      </c>
      <c r="C14" s="271">
        <v>0</v>
      </c>
      <c r="D14" s="369">
        <v>0</v>
      </c>
      <c r="E14" s="272">
        <f t="shared" si="0"/>
        <v>0</v>
      </c>
      <c r="F14" s="308" t="s">
        <v>954</v>
      </c>
      <c r="G14" s="309">
        <v>0</v>
      </c>
      <c r="H14" s="310">
        <v>0</v>
      </c>
      <c r="I14" s="363">
        <v>0</v>
      </c>
      <c r="J14" s="311">
        <f t="shared" si="1"/>
        <v>0</v>
      </c>
      <c r="K14" s="267" t="s">
        <v>1759</v>
      </c>
      <c r="L14" s="273">
        <v>2</v>
      </c>
      <c r="M14" s="273">
        <v>2</v>
      </c>
      <c r="N14" s="278">
        <f t="shared" ref="N14:N17" si="4">SUM(L14/M14)*100</f>
        <v>100</v>
      </c>
      <c r="O14" s="274" t="s">
        <v>50</v>
      </c>
      <c r="P14" s="274" t="s">
        <v>50</v>
      </c>
      <c r="Q14" s="274" t="s">
        <v>50</v>
      </c>
      <c r="R14" s="277">
        <v>11</v>
      </c>
      <c r="S14" s="277">
        <v>11</v>
      </c>
      <c r="T14" s="278">
        <f>SUM(R14/S14)*100</f>
        <v>100</v>
      </c>
      <c r="U14" s="277">
        <v>7</v>
      </c>
      <c r="V14" s="277">
        <v>8</v>
      </c>
      <c r="W14" s="276">
        <f>SUM(U14/V14)*100</f>
        <v>87.5</v>
      </c>
      <c r="X14" s="150"/>
      <c r="Z14" s="335"/>
      <c r="AF14" s="371">
        <v>41</v>
      </c>
      <c r="AG14" s="277">
        <v>52</v>
      </c>
      <c r="AH14" s="278">
        <f>SUM(AF14/AG14)*100</f>
        <v>78.84615384615384</v>
      </c>
      <c r="AI14" s="277">
        <v>8</v>
      </c>
      <c r="AJ14" s="277">
        <v>11</v>
      </c>
      <c r="AK14" s="278">
        <f t="shared" ref="AK14" si="5">SUM(AI14/AJ14)*100</f>
        <v>72.727272727272734</v>
      </c>
      <c r="AL14" s="77"/>
      <c r="AM14" s="77"/>
      <c r="AN14" s="77"/>
    </row>
    <row r="15" spans="1:46" ht="14.95" customHeight="1" thickBot="1" x14ac:dyDescent="0.3">
      <c r="A15" s="270" t="s">
        <v>1166</v>
      </c>
      <c r="B15" s="306">
        <v>0</v>
      </c>
      <c r="C15" s="271">
        <v>3</v>
      </c>
      <c r="D15" s="369">
        <v>0</v>
      </c>
      <c r="E15" s="272">
        <f t="shared" si="0"/>
        <v>3</v>
      </c>
      <c r="F15" s="308" t="s">
        <v>1166</v>
      </c>
      <c r="G15" s="309">
        <v>0</v>
      </c>
      <c r="H15" s="310">
        <v>15</v>
      </c>
      <c r="I15" s="363">
        <v>0</v>
      </c>
      <c r="J15" s="311">
        <f t="shared" si="1"/>
        <v>15</v>
      </c>
      <c r="K15" s="267" t="s">
        <v>1780</v>
      </c>
      <c r="L15" s="273">
        <v>1</v>
      </c>
      <c r="M15" s="273">
        <v>1</v>
      </c>
      <c r="N15" s="278">
        <f t="shared" si="4"/>
        <v>100</v>
      </c>
      <c r="O15" s="274" t="s">
        <v>50</v>
      </c>
      <c r="P15" s="274" t="s">
        <v>50</v>
      </c>
      <c r="Q15" s="274" t="s">
        <v>50</v>
      </c>
      <c r="R15" s="274" t="s">
        <v>50</v>
      </c>
      <c r="S15" s="274" t="s">
        <v>50</v>
      </c>
      <c r="T15" s="274" t="s">
        <v>50</v>
      </c>
      <c r="U15" s="274" t="s">
        <v>50</v>
      </c>
      <c r="V15" s="274" t="s">
        <v>50</v>
      </c>
      <c r="W15" s="274" t="s">
        <v>50</v>
      </c>
      <c r="X15" s="150"/>
      <c r="Z15" s="335"/>
      <c r="AF15" s="274" t="s">
        <v>50</v>
      </c>
      <c r="AG15" s="274" t="s">
        <v>50</v>
      </c>
      <c r="AH15" s="274" t="s">
        <v>50</v>
      </c>
      <c r="AI15" s="274" t="s">
        <v>50</v>
      </c>
      <c r="AJ15" s="274" t="s">
        <v>50</v>
      </c>
      <c r="AK15" s="274" t="s">
        <v>50</v>
      </c>
      <c r="AL15" s="77"/>
      <c r="AM15" s="77"/>
      <c r="AN15" s="77"/>
    </row>
    <row r="16" spans="1:46" ht="14.95" customHeight="1" thickBot="1" x14ac:dyDescent="0.3">
      <c r="A16" s="270" t="s">
        <v>1823</v>
      </c>
      <c r="B16" s="306">
        <v>0</v>
      </c>
      <c r="C16" s="271">
        <v>2</v>
      </c>
      <c r="D16" s="369">
        <v>0</v>
      </c>
      <c r="E16" s="272">
        <f t="shared" si="0"/>
        <v>2</v>
      </c>
      <c r="F16" s="308" t="s">
        <v>1823</v>
      </c>
      <c r="G16" s="309">
        <v>0</v>
      </c>
      <c r="H16" s="310">
        <v>10</v>
      </c>
      <c r="I16" s="363">
        <v>0</v>
      </c>
      <c r="J16" s="311">
        <f t="shared" si="1"/>
        <v>10</v>
      </c>
      <c r="K16" s="267" t="s">
        <v>1183</v>
      </c>
      <c r="L16" s="273" t="s">
        <v>50</v>
      </c>
      <c r="M16" s="273" t="s">
        <v>50</v>
      </c>
      <c r="N16" s="274" t="s">
        <v>50</v>
      </c>
      <c r="O16" s="274" t="s">
        <v>50</v>
      </c>
      <c r="P16" s="274" t="s">
        <v>50</v>
      </c>
      <c r="Q16" s="274" t="s">
        <v>50</v>
      </c>
      <c r="R16" s="274" t="s">
        <v>50</v>
      </c>
      <c r="S16" s="274" t="s">
        <v>50</v>
      </c>
      <c r="T16" s="274" t="s">
        <v>50</v>
      </c>
      <c r="U16" s="273" t="s">
        <v>50</v>
      </c>
      <c r="V16" s="273" t="s">
        <v>50</v>
      </c>
      <c r="W16" s="274" t="s">
        <v>50</v>
      </c>
      <c r="X16" s="150"/>
      <c r="Z16" s="335"/>
      <c r="AF16" s="372" t="s">
        <v>50</v>
      </c>
      <c r="AG16" s="273" t="s">
        <v>50</v>
      </c>
      <c r="AH16" s="274" t="s">
        <v>50</v>
      </c>
      <c r="AI16" s="273" t="s">
        <v>50</v>
      </c>
      <c r="AJ16" s="273" t="s">
        <v>50</v>
      </c>
      <c r="AK16" s="274" t="s">
        <v>50</v>
      </c>
      <c r="AL16" s="46"/>
      <c r="AM16" s="46"/>
      <c r="AN16" s="46"/>
    </row>
    <row r="17" spans="1:43" ht="14.95" customHeight="1" thickBot="1" x14ac:dyDescent="0.3">
      <c r="A17" s="270" t="s">
        <v>1167</v>
      </c>
      <c r="B17" s="306">
        <v>1</v>
      </c>
      <c r="C17" s="271">
        <v>2</v>
      </c>
      <c r="D17" s="369">
        <v>1</v>
      </c>
      <c r="E17" s="272">
        <f t="shared" si="0"/>
        <v>4</v>
      </c>
      <c r="F17" s="308" t="s">
        <v>1167</v>
      </c>
      <c r="G17" s="309">
        <v>5</v>
      </c>
      <c r="H17" s="310">
        <v>10</v>
      </c>
      <c r="I17" s="363">
        <v>5</v>
      </c>
      <c r="J17" s="311">
        <f t="shared" si="1"/>
        <v>20</v>
      </c>
      <c r="K17" s="267" t="s">
        <v>1188</v>
      </c>
      <c r="L17" s="273">
        <v>26</v>
      </c>
      <c r="M17" s="273">
        <v>45</v>
      </c>
      <c r="N17" s="278">
        <f t="shared" si="4"/>
        <v>57.777777777777771</v>
      </c>
      <c r="O17" s="274" t="s">
        <v>50</v>
      </c>
      <c r="P17" s="274" t="s">
        <v>50</v>
      </c>
      <c r="Q17" s="274" t="s">
        <v>50</v>
      </c>
      <c r="R17" s="274" t="s">
        <v>50</v>
      </c>
      <c r="S17" s="274" t="s">
        <v>50</v>
      </c>
      <c r="T17" s="274" t="s">
        <v>50</v>
      </c>
      <c r="U17" s="273" t="s">
        <v>50</v>
      </c>
      <c r="V17" s="273" t="s">
        <v>50</v>
      </c>
      <c r="W17" s="274" t="s">
        <v>50</v>
      </c>
      <c r="X17" s="150"/>
      <c r="AF17" s="274" t="s">
        <v>50</v>
      </c>
      <c r="AG17" s="275" t="s">
        <v>50</v>
      </c>
      <c r="AH17" s="274" t="s">
        <v>50</v>
      </c>
      <c r="AI17" s="275" t="s">
        <v>50</v>
      </c>
      <c r="AJ17" s="275" t="s">
        <v>50</v>
      </c>
      <c r="AK17" s="274" t="s">
        <v>50</v>
      </c>
      <c r="AL17" s="501"/>
      <c r="AM17" s="501"/>
      <c r="AN17" s="501"/>
    </row>
    <row r="18" spans="1:43" ht="14.95" customHeight="1" thickBot="1" x14ac:dyDescent="0.3">
      <c r="A18" s="270" t="s">
        <v>1168</v>
      </c>
      <c r="B18" s="306">
        <v>0</v>
      </c>
      <c r="C18" s="271">
        <v>1</v>
      </c>
      <c r="D18" s="369">
        <v>1</v>
      </c>
      <c r="E18" s="272">
        <f t="shared" si="0"/>
        <v>2</v>
      </c>
      <c r="F18" s="308" t="s">
        <v>1168</v>
      </c>
      <c r="G18" s="309">
        <v>0</v>
      </c>
      <c r="H18" s="310">
        <v>5</v>
      </c>
      <c r="I18" s="363">
        <v>5</v>
      </c>
      <c r="J18" s="311">
        <f t="shared" si="1"/>
        <v>10</v>
      </c>
      <c r="K18" t="s">
        <v>87</v>
      </c>
      <c r="X18" s="150"/>
      <c r="AI18" s="77"/>
      <c r="AJ18" s="77"/>
      <c r="AK18" s="77"/>
      <c r="AL18" s="501"/>
      <c r="AM18" s="501"/>
      <c r="AN18" s="501"/>
    </row>
    <row r="19" spans="1:43" ht="14.95" customHeight="1" thickBot="1" x14ac:dyDescent="0.3">
      <c r="A19" s="270" t="s">
        <v>88</v>
      </c>
      <c r="B19" s="306">
        <v>0</v>
      </c>
      <c r="C19" s="271">
        <v>0</v>
      </c>
      <c r="D19" s="369">
        <v>0</v>
      </c>
      <c r="E19" s="272">
        <f t="shared" si="0"/>
        <v>0</v>
      </c>
      <c r="F19" s="308" t="s">
        <v>88</v>
      </c>
      <c r="G19" s="309">
        <v>0</v>
      </c>
      <c r="H19" s="310">
        <v>0</v>
      </c>
      <c r="I19" s="363">
        <v>0</v>
      </c>
      <c r="J19" s="311">
        <f t="shared" si="1"/>
        <v>0</v>
      </c>
      <c r="K19" s="474" t="s">
        <v>1198</v>
      </c>
      <c r="L19" s="486" t="s">
        <v>49</v>
      </c>
      <c r="M19" s="487"/>
      <c r="N19" s="488"/>
      <c r="O19" s="457" t="s">
        <v>124</v>
      </c>
      <c r="P19" s="458"/>
      <c r="Q19" s="459"/>
      <c r="R19" s="457" t="s">
        <v>1070</v>
      </c>
      <c r="S19" s="458"/>
      <c r="T19" s="459"/>
      <c r="U19" s="457" t="s">
        <v>254</v>
      </c>
      <c r="V19" s="458"/>
      <c r="W19" s="459"/>
      <c r="AI19" s="77"/>
      <c r="AJ19" s="77"/>
      <c r="AK19" s="77"/>
      <c r="AL19" s="60"/>
      <c r="AM19" s="60"/>
      <c r="AN19" s="60"/>
      <c r="AO19" s="5"/>
    </row>
    <row r="20" spans="1:43" ht="14.95" customHeight="1" thickBot="1" x14ac:dyDescent="0.3">
      <c r="A20" s="270" t="s">
        <v>1169</v>
      </c>
      <c r="B20" s="306">
        <v>2</v>
      </c>
      <c r="C20" s="271">
        <v>0</v>
      </c>
      <c r="D20" s="369">
        <v>0</v>
      </c>
      <c r="E20" s="272">
        <f t="shared" si="0"/>
        <v>2</v>
      </c>
      <c r="F20" s="308" t="s">
        <v>1169</v>
      </c>
      <c r="G20" s="309">
        <v>10</v>
      </c>
      <c r="H20" s="310">
        <v>0</v>
      </c>
      <c r="I20" s="363">
        <v>0</v>
      </c>
      <c r="J20" s="311">
        <f t="shared" si="1"/>
        <v>10</v>
      </c>
      <c r="K20" s="475"/>
      <c r="L20" s="489"/>
      <c r="M20" s="490"/>
      <c r="N20" s="491"/>
      <c r="O20" s="460"/>
      <c r="P20" s="461"/>
      <c r="Q20" s="462"/>
      <c r="R20" s="460"/>
      <c r="S20" s="461"/>
      <c r="T20" s="462"/>
      <c r="U20" s="460"/>
      <c r="V20" s="461"/>
      <c r="W20" s="462"/>
      <c r="X20" s="149"/>
      <c r="Y20" s="127"/>
      <c r="AI20" s="46"/>
      <c r="AJ20" s="46"/>
      <c r="AK20" s="46"/>
      <c r="AL20" s="60"/>
      <c r="AM20" s="60"/>
      <c r="AN20" s="60"/>
    </row>
    <row r="21" spans="1:43" ht="14.95" customHeight="1" thickBot="1" x14ac:dyDescent="0.3">
      <c r="A21" s="270" t="s">
        <v>1170</v>
      </c>
      <c r="B21" s="306">
        <v>0</v>
      </c>
      <c r="C21" s="271">
        <v>0</v>
      </c>
      <c r="D21" s="369">
        <v>0</v>
      </c>
      <c r="E21" s="272">
        <f t="shared" si="0"/>
        <v>0</v>
      </c>
      <c r="F21" s="308" t="s">
        <v>1170</v>
      </c>
      <c r="G21" s="309">
        <v>0</v>
      </c>
      <c r="H21" s="310">
        <v>0</v>
      </c>
      <c r="I21" s="363">
        <v>0</v>
      </c>
      <c r="J21" s="311">
        <f t="shared" si="1"/>
        <v>0</v>
      </c>
      <c r="K21" s="161" t="s">
        <v>87</v>
      </c>
      <c r="L21" s="177" t="s">
        <v>243</v>
      </c>
      <c r="M21" s="177" t="s">
        <v>42</v>
      </c>
      <c r="N21" s="177" t="s">
        <v>43</v>
      </c>
      <c r="O21" s="158" t="s">
        <v>243</v>
      </c>
      <c r="P21" s="158" t="s">
        <v>42</v>
      </c>
      <c r="Q21" s="158" t="s">
        <v>43</v>
      </c>
      <c r="R21" s="119" t="s">
        <v>243</v>
      </c>
      <c r="S21" s="119" t="s">
        <v>42</v>
      </c>
      <c r="T21" s="119" t="s">
        <v>43</v>
      </c>
      <c r="U21" s="119" t="s">
        <v>243</v>
      </c>
      <c r="V21" s="119" t="s">
        <v>42</v>
      </c>
      <c r="W21" s="119" t="s">
        <v>43</v>
      </c>
      <c r="X21" s="149"/>
      <c r="Y21" s="127"/>
      <c r="AI21" s="46"/>
      <c r="AJ21" s="46"/>
      <c r="AK21" s="46"/>
      <c r="AL21" s="77"/>
      <c r="AM21" s="77"/>
      <c r="AN21" s="77"/>
    </row>
    <row r="22" spans="1:43" ht="14.95" customHeight="1" thickBot="1" x14ac:dyDescent="0.3">
      <c r="A22" s="270" t="s">
        <v>1171</v>
      </c>
      <c r="B22" s="306">
        <v>0</v>
      </c>
      <c r="C22" s="271">
        <v>1</v>
      </c>
      <c r="D22" s="369">
        <v>0</v>
      </c>
      <c r="E22" s="272">
        <f t="shared" si="0"/>
        <v>1</v>
      </c>
      <c r="F22" s="308" t="s">
        <v>1171</v>
      </c>
      <c r="G22" s="309">
        <v>0</v>
      </c>
      <c r="H22" s="310">
        <v>5</v>
      </c>
      <c r="I22" s="363">
        <v>0</v>
      </c>
      <c r="J22" s="311">
        <f t="shared" si="1"/>
        <v>5</v>
      </c>
      <c r="K22" s="279" t="s">
        <v>1784</v>
      </c>
      <c r="L22" s="274">
        <v>1</v>
      </c>
      <c r="M22" s="274">
        <v>1</v>
      </c>
      <c r="N22" s="278">
        <f t="shared" ref="N22:N24" si="6">SUM(L22/M22)*100</f>
        <v>100</v>
      </c>
      <c r="O22" s="274" t="s">
        <v>50</v>
      </c>
      <c r="P22" s="274" t="s">
        <v>50</v>
      </c>
      <c r="Q22" s="274" t="s">
        <v>50</v>
      </c>
      <c r="R22" s="274" t="s">
        <v>50</v>
      </c>
      <c r="S22" s="274" t="s">
        <v>50</v>
      </c>
      <c r="T22" s="274" t="s">
        <v>50</v>
      </c>
      <c r="U22" s="274" t="s">
        <v>50</v>
      </c>
      <c r="V22" s="274" t="s">
        <v>50</v>
      </c>
      <c r="W22" s="274" t="s">
        <v>50</v>
      </c>
      <c r="X22" s="149"/>
      <c r="Y22" s="127"/>
      <c r="AI22" s="46"/>
      <c r="AJ22" s="46"/>
      <c r="AK22" s="46"/>
      <c r="AL22" s="77"/>
      <c r="AM22" s="77"/>
      <c r="AN22" s="77"/>
    </row>
    <row r="23" spans="1:43" ht="14.95" customHeight="1" thickBot="1" x14ac:dyDescent="0.3">
      <c r="A23" s="270" t="s">
        <v>1172</v>
      </c>
      <c r="B23" s="306">
        <v>1</v>
      </c>
      <c r="C23" s="271">
        <v>0</v>
      </c>
      <c r="D23" s="369">
        <v>1</v>
      </c>
      <c r="E23" s="272">
        <f t="shared" si="0"/>
        <v>2</v>
      </c>
      <c r="F23" s="308" t="s">
        <v>1172</v>
      </c>
      <c r="G23" s="309">
        <v>5</v>
      </c>
      <c r="H23" s="310">
        <v>0</v>
      </c>
      <c r="I23" s="363">
        <v>5</v>
      </c>
      <c r="J23" s="316">
        <f t="shared" si="1"/>
        <v>10</v>
      </c>
      <c r="K23" s="279" t="s">
        <v>1178</v>
      </c>
      <c r="L23" s="370">
        <v>4</v>
      </c>
      <c r="M23" s="370">
        <v>7</v>
      </c>
      <c r="N23" s="278">
        <f t="shared" si="6"/>
        <v>57.142857142857139</v>
      </c>
      <c r="O23" s="274" t="s">
        <v>50</v>
      </c>
      <c r="P23" s="274" t="s">
        <v>50</v>
      </c>
      <c r="Q23" s="274" t="s">
        <v>50</v>
      </c>
      <c r="R23" s="274" t="s">
        <v>50</v>
      </c>
      <c r="S23" s="274" t="s">
        <v>50</v>
      </c>
      <c r="T23" s="274" t="s">
        <v>50</v>
      </c>
      <c r="U23" s="274" t="s">
        <v>50</v>
      </c>
      <c r="V23" s="274" t="s">
        <v>50</v>
      </c>
      <c r="W23" s="274" t="s">
        <v>50</v>
      </c>
      <c r="X23" s="149"/>
      <c r="Y23" s="127"/>
      <c r="AI23" s="46"/>
      <c r="AJ23" s="46"/>
      <c r="AK23" s="46"/>
      <c r="AL23" s="77"/>
      <c r="AM23" s="77"/>
      <c r="AN23" s="77"/>
      <c r="AO23" s="5"/>
    </row>
    <row r="24" spans="1:43" ht="14.95" customHeight="1" thickBot="1" x14ac:dyDescent="0.3">
      <c r="A24" s="270" t="s">
        <v>1173</v>
      </c>
      <c r="B24" s="306">
        <v>0</v>
      </c>
      <c r="C24" s="271">
        <v>1</v>
      </c>
      <c r="D24" s="369">
        <v>0</v>
      </c>
      <c r="E24" s="272">
        <f t="shared" si="0"/>
        <v>1</v>
      </c>
      <c r="F24" s="308" t="s">
        <v>1173</v>
      </c>
      <c r="G24" s="309">
        <v>0</v>
      </c>
      <c r="H24" s="310">
        <v>5</v>
      </c>
      <c r="I24" s="363">
        <v>0</v>
      </c>
      <c r="J24" s="316">
        <f t="shared" si="1"/>
        <v>5</v>
      </c>
      <c r="K24" s="279" t="s">
        <v>1188</v>
      </c>
      <c r="L24" s="273">
        <v>8</v>
      </c>
      <c r="M24" s="273">
        <v>9</v>
      </c>
      <c r="N24" s="278">
        <f t="shared" si="6"/>
        <v>88.888888888888886</v>
      </c>
      <c r="O24" s="274" t="s">
        <v>50</v>
      </c>
      <c r="P24" s="274" t="s">
        <v>50</v>
      </c>
      <c r="Q24" s="274" t="s">
        <v>50</v>
      </c>
      <c r="R24" s="273">
        <v>1</v>
      </c>
      <c r="S24" s="273">
        <v>1</v>
      </c>
      <c r="T24" s="278">
        <f t="shared" ref="T24" si="7">SUM(R24/S24)*100</f>
        <v>100</v>
      </c>
      <c r="U24" s="273" t="s">
        <v>50</v>
      </c>
      <c r="V24" s="273" t="s">
        <v>50</v>
      </c>
      <c r="W24" s="273" t="s">
        <v>50</v>
      </c>
      <c r="X24" s="152"/>
      <c r="Y24" s="153"/>
      <c r="AI24" s="46"/>
      <c r="AJ24" s="46"/>
      <c r="AK24" s="46"/>
      <c r="AL24" s="77"/>
      <c r="AM24" s="77"/>
      <c r="AN24" s="77"/>
      <c r="AO24" s="5"/>
    </row>
    <row r="25" spans="1:43" ht="14.95" customHeight="1" thickBot="1" x14ac:dyDescent="0.3">
      <c r="A25" s="270" t="s">
        <v>1174</v>
      </c>
      <c r="B25" s="306">
        <v>0</v>
      </c>
      <c r="C25" s="271">
        <v>0</v>
      </c>
      <c r="D25" s="369">
        <v>0</v>
      </c>
      <c r="E25" s="272">
        <f t="shared" si="0"/>
        <v>0</v>
      </c>
      <c r="F25" s="308" t="s">
        <v>1174</v>
      </c>
      <c r="G25" s="309">
        <v>0</v>
      </c>
      <c r="H25" s="310">
        <v>0</v>
      </c>
      <c r="I25" s="363">
        <v>0</v>
      </c>
      <c r="J25" s="316">
        <f t="shared" si="1"/>
        <v>0</v>
      </c>
      <c r="K25" s="503" t="s">
        <v>1835</v>
      </c>
      <c r="L25" s="503"/>
      <c r="M25" s="503"/>
      <c r="N25" s="503"/>
      <c r="O25" s="503"/>
      <c r="P25" s="503"/>
      <c r="Q25" s="503"/>
      <c r="R25" s="503"/>
      <c r="S25" s="503"/>
      <c r="T25" s="503"/>
      <c r="U25" s="503"/>
      <c r="V25" s="503"/>
      <c r="W25" s="503"/>
      <c r="X25" s="503"/>
      <c r="Y25" s="503"/>
      <c r="Z25" s="127"/>
      <c r="AI25" s="46"/>
      <c r="AJ25" s="46"/>
      <c r="AK25" s="46"/>
      <c r="AL25" s="77"/>
      <c r="AM25" s="77"/>
      <c r="AN25" s="77"/>
    </row>
    <row r="26" spans="1:43" ht="14.95" customHeight="1" thickBot="1" x14ac:dyDescent="0.3">
      <c r="A26" s="270" t="s">
        <v>1175</v>
      </c>
      <c r="B26" s="306">
        <v>0</v>
      </c>
      <c r="C26" s="271">
        <v>0</v>
      </c>
      <c r="D26" s="369">
        <v>0</v>
      </c>
      <c r="E26" s="272">
        <f t="shared" si="0"/>
        <v>0</v>
      </c>
      <c r="F26" s="308" t="s">
        <v>1175</v>
      </c>
      <c r="G26" s="309">
        <v>0</v>
      </c>
      <c r="H26" s="310">
        <v>0</v>
      </c>
      <c r="I26" s="363">
        <v>0</v>
      </c>
      <c r="J26" s="316">
        <f t="shared" si="1"/>
        <v>0</v>
      </c>
      <c r="X26" s="153"/>
      <c r="Y26" s="153"/>
      <c r="Z26" s="127"/>
      <c r="AI26" s="46"/>
      <c r="AJ26" s="46"/>
      <c r="AK26" s="46"/>
      <c r="AN26" s="5"/>
    </row>
    <row r="27" spans="1:43" ht="14.95" customHeight="1" thickBot="1" x14ac:dyDescent="0.3">
      <c r="A27" s="270" t="s">
        <v>1176</v>
      </c>
      <c r="B27" s="306">
        <v>7</v>
      </c>
      <c r="C27" s="271">
        <v>1</v>
      </c>
      <c r="D27" s="369">
        <v>0</v>
      </c>
      <c r="E27" s="272">
        <f t="shared" si="0"/>
        <v>8</v>
      </c>
      <c r="F27" s="308" t="s">
        <v>1176</v>
      </c>
      <c r="G27" s="309">
        <v>35</v>
      </c>
      <c r="H27" s="310">
        <v>5</v>
      </c>
      <c r="I27" s="363">
        <v>0</v>
      </c>
      <c r="J27" s="316">
        <f t="shared" si="1"/>
        <v>40</v>
      </c>
      <c r="X27" s="153"/>
      <c r="Y27" s="153"/>
      <c r="Z27" s="153"/>
      <c r="AI27" s="46"/>
      <c r="AJ27" s="46"/>
      <c r="AK27" s="46"/>
      <c r="AP27" s="5"/>
      <c r="AQ27" s="5"/>
    </row>
    <row r="28" spans="1:43" ht="14.95" customHeight="1" thickBot="1" x14ac:dyDescent="0.3">
      <c r="A28" s="270" t="s">
        <v>1058</v>
      </c>
      <c r="B28" s="306">
        <v>0</v>
      </c>
      <c r="C28" s="271">
        <v>1</v>
      </c>
      <c r="D28" s="369">
        <v>1</v>
      </c>
      <c r="E28" s="272">
        <f t="shared" si="0"/>
        <v>2</v>
      </c>
      <c r="F28" s="308" t="s">
        <v>1058</v>
      </c>
      <c r="G28" s="309">
        <v>0</v>
      </c>
      <c r="H28" s="310">
        <v>5</v>
      </c>
      <c r="I28" s="363">
        <v>5</v>
      </c>
      <c r="J28" s="316">
        <f t="shared" si="1"/>
        <v>10</v>
      </c>
      <c r="X28" s="153"/>
      <c r="Y28" s="153"/>
      <c r="Z28" s="153"/>
      <c r="AI28" s="46"/>
      <c r="AJ28" s="46"/>
      <c r="AK28" s="46"/>
    </row>
    <row r="29" spans="1:43" ht="14.95" customHeight="1" thickBot="1" x14ac:dyDescent="0.3">
      <c r="A29" s="270" t="s">
        <v>1177</v>
      </c>
      <c r="B29" s="306">
        <v>2</v>
      </c>
      <c r="C29" s="271">
        <v>1</v>
      </c>
      <c r="D29" s="369">
        <v>0</v>
      </c>
      <c r="E29" s="272">
        <f t="shared" si="0"/>
        <v>3</v>
      </c>
      <c r="F29" s="308" t="s">
        <v>1177</v>
      </c>
      <c r="G29" s="309">
        <v>10</v>
      </c>
      <c r="H29" s="310">
        <v>5</v>
      </c>
      <c r="I29" s="363">
        <v>0</v>
      </c>
      <c r="J29" s="316">
        <f t="shared" si="1"/>
        <v>15</v>
      </c>
      <c r="X29" s="153"/>
      <c r="Y29" s="153"/>
      <c r="Z29" s="153"/>
      <c r="AI29" s="46"/>
      <c r="AJ29" s="46"/>
      <c r="AK29" s="46"/>
    </row>
    <row r="30" spans="1:43" ht="14.95" customHeight="1" thickBot="1" x14ac:dyDescent="0.3">
      <c r="A30" s="270" t="s">
        <v>1178</v>
      </c>
      <c r="B30" s="306">
        <v>0</v>
      </c>
      <c r="C30" s="271">
        <v>0</v>
      </c>
      <c r="D30" s="369">
        <v>0</v>
      </c>
      <c r="E30" s="272">
        <f t="shared" si="0"/>
        <v>0</v>
      </c>
      <c r="F30" s="308" t="s">
        <v>1178</v>
      </c>
      <c r="G30" s="309">
        <v>105</v>
      </c>
      <c r="H30" s="310">
        <v>5</v>
      </c>
      <c r="I30" s="363">
        <v>9</v>
      </c>
      <c r="J30" s="316">
        <f t="shared" si="1"/>
        <v>119</v>
      </c>
      <c r="Z30" s="153"/>
    </row>
    <row r="31" spans="1:43" ht="14.95" customHeight="1" thickBot="1" x14ac:dyDescent="0.3">
      <c r="A31" s="270" t="s">
        <v>194</v>
      </c>
      <c r="B31" s="306">
        <v>0</v>
      </c>
      <c r="C31" s="271">
        <v>0</v>
      </c>
      <c r="D31" s="369">
        <v>1</v>
      </c>
      <c r="E31" s="272">
        <f t="shared" si="0"/>
        <v>1</v>
      </c>
      <c r="F31" s="308" t="s">
        <v>194</v>
      </c>
      <c r="G31" s="309">
        <v>0</v>
      </c>
      <c r="H31" s="310">
        <v>0</v>
      </c>
      <c r="I31" s="363">
        <v>5</v>
      </c>
      <c r="J31" s="311">
        <f t="shared" si="1"/>
        <v>5</v>
      </c>
      <c r="Z31" s="153"/>
    </row>
    <row r="32" spans="1:43" ht="14.95" customHeight="1" thickBot="1" x14ac:dyDescent="0.3">
      <c r="A32" s="270" t="s">
        <v>1179</v>
      </c>
      <c r="B32" s="306">
        <v>6</v>
      </c>
      <c r="C32" s="271">
        <v>0</v>
      </c>
      <c r="D32" s="369">
        <v>0</v>
      </c>
      <c r="E32" s="272">
        <f t="shared" si="0"/>
        <v>6</v>
      </c>
      <c r="F32" s="308" t="s">
        <v>1179</v>
      </c>
      <c r="G32" s="309">
        <v>30</v>
      </c>
      <c r="H32" s="310">
        <v>0</v>
      </c>
      <c r="I32" s="363">
        <v>0</v>
      </c>
      <c r="J32" s="311">
        <f t="shared" si="1"/>
        <v>30</v>
      </c>
      <c r="Z32" s="153"/>
    </row>
    <row r="33" spans="1:38" ht="14.95" customHeight="1" thickBot="1" x14ac:dyDescent="0.3">
      <c r="A33" s="270" t="s">
        <v>1180</v>
      </c>
      <c r="B33" s="306">
        <v>0</v>
      </c>
      <c r="C33" s="271">
        <v>0</v>
      </c>
      <c r="D33" s="369">
        <v>0</v>
      </c>
      <c r="E33" s="272">
        <f t="shared" si="0"/>
        <v>0</v>
      </c>
      <c r="F33" s="308" t="s">
        <v>1180</v>
      </c>
      <c r="G33" s="309">
        <v>0</v>
      </c>
      <c r="H33" s="310">
        <v>0</v>
      </c>
      <c r="I33" s="363">
        <v>0</v>
      </c>
      <c r="J33" s="311">
        <f t="shared" si="1"/>
        <v>0</v>
      </c>
    </row>
    <row r="34" spans="1:38" ht="14.95" customHeight="1" thickBot="1" x14ac:dyDescent="0.3">
      <c r="A34" s="270" t="s">
        <v>1181</v>
      </c>
      <c r="B34" s="306">
        <v>4</v>
      </c>
      <c r="C34" s="271">
        <v>4</v>
      </c>
      <c r="D34" s="369">
        <v>0</v>
      </c>
      <c r="E34" s="272">
        <f t="shared" si="0"/>
        <v>8</v>
      </c>
      <c r="F34" s="308" t="s">
        <v>1181</v>
      </c>
      <c r="G34" s="309">
        <v>20</v>
      </c>
      <c r="H34" s="310">
        <v>20</v>
      </c>
      <c r="I34" s="363">
        <v>0</v>
      </c>
      <c r="J34" s="311">
        <f t="shared" si="1"/>
        <v>40</v>
      </c>
    </row>
    <row r="35" spans="1:38" ht="14.95" customHeight="1" thickBot="1" x14ac:dyDescent="0.3">
      <c r="A35" s="270" t="s">
        <v>7</v>
      </c>
      <c r="B35" s="306">
        <v>2</v>
      </c>
      <c r="C35" s="271">
        <v>0</v>
      </c>
      <c r="D35" s="369">
        <v>0</v>
      </c>
      <c r="E35" s="272">
        <f t="shared" si="0"/>
        <v>2</v>
      </c>
      <c r="F35" s="308" t="s">
        <v>7</v>
      </c>
      <c r="G35" s="309">
        <v>14</v>
      </c>
      <c r="H35" s="310">
        <v>0</v>
      </c>
      <c r="I35" s="363">
        <v>0</v>
      </c>
      <c r="J35" s="311">
        <f t="shared" si="1"/>
        <v>14</v>
      </c>
    </row>
    <row r="36" spans="1:38" ht="14.95" customHeight="1" thickBot="1" x14ac:dyDescent="0.3">
      <c r="A36" s="270" t="s">
        <v>1182</v>
      </c>
      <c r="B36" s="306">
        <v>1</v>
      </c>
      <c r="C36" s="271">
        <v>6</v>
      </c>
      <c r="D36" s="369">
        <v>1</v>
      </c>
      <c r="E36" s="272">
        <f t="shared" si="0"/>
        <v>8</v>
      </c>
      <c r="F36" s="308" t="s">
        <v>1182</v>
      </c>
      <c r="G36" s="309">
        <v>5</v>
      </c>
      <c r="H36" s="310">
        <v>30</v>
      </c>
      <c r="I36" s="363">
        <v>5</v>
      </c>
      <c r="J36" s="311">
        <f t="shared" si="1"/>
        <v>40</v>
      </c>
    </row>
    <row r="37" spans="1:38" ht="14.95" customHeight="1" thickBot="1" x14ac:dyDescent="0.3">
      <c r="A37" s="270" t="s">
        <v>1031</v>
      </c>
      <c r="B37" s="306">
        <v>0</v>
      </c>
      <c r="C37" s="271">
        <v>0</v>
      </c>
      <c r="D37" s="369">
        <v>0</v>
      </c>
      <c r="E37" s="272">
        <f t="shared" si="0"/>
        <v>0</v>
      </c>
      <c r="F37" s="308" t="s">
        <v>1031</v>
      </c>
      <c r="G37" s="309">
        <v>0</v>
      </c>
      <c r="H37" s="310">
        <v>0</v>
      </c>
      <c r="I37" s="363">
        <v>0</v>
      </c>
      <c r="J37" s="311">
        <f t="shared" si="1"/>
        <v>0</v>
      </c>
    </row>
    <row r="38" spans="1:38" ht="14.95" customHeight="1" thickBot="1" x14ac:dyDescent="0.3">
      <c r="A38" s="270" t="s">
        <v>1184</v>
      </c>
      <c r="B38" s="306">
        <v>6</v>
      </c>
      <c r="C38" s="271">
        <v>0</v>
      </c>
      <c r="D38" s="369">
        <v>0</v>
      </c>
      <c r="E38" s="272">
        <f t="shared" si="0"/>
        <v>6</v>
      </c>
      <c r="F38" s="308" t="s">
        <v>1184</v>
      </c>
      <c r="G38" s="309">
        <v>30</v>
      </c>
      <c r="H38" s="310">
        <v>0</v>
      </c>
      <c r="I38" s="363">
        <v>0</v>
      </c>
      <c r="J38" s="311">
        <f t="shared" si="1"/>
        <v>30</v>
      </c>
    </row>
    <row r="39" spans="1:38" ht="14.95" customHeight="1" thickBot="1" x14ac:dyDescent="0.3">
      <c r="A39" s="270" t="s">
        <v>1185</v>
      </c>
      <c r="B39" s="306">
        <v>0</v>
      </c>
      <c r="C39" s="271">
        <v>0</v>
      </c>
      <c r="D39" s="369">
        <v>0</v>
      </c>
      <c r="E39" s="272">
        <f t="shared" si="0"/>
        <v>0</v>
      </c>
      <c r="F39" s="308" t="s">
        <v>1185</v>
      </c>
      <c r="G39" s="309">
        <v>0</v>
      </c>
      <c r="H39" s="310">
        <v>0</v>
      </c>
      <c r="I39" s="363">
        <v>0</v>
      </c>
      <c r="J39" s="311">
        <f t="shared" si="1"/>
        <v>0</v>
      </c>
      <c r="AL39" s="5"/>
    </row>
    <row r="40" spans="1:38" ht="14.95" customHeight="1" thickBot="1" x14ac:dyDescent="0.3">
      <c r="A40" s="270" t="s">
        <v>1818</v>
      </c>
      <c r="B40" s="306">
        <v>0</v>
      </c>
      <c r="C40" s="271">
        <v>1</v>
      </c>
      <c r="D40" s="369">
        <v>0</v>
      </c>
      <c r="E40" s="272">
        <f t="shared" si="0"/>
        <v>1</v>
      </c>
      <c r="F40" s="308" t="s">
        <v>1818</v>
      </c>
      <c r="G40" s="309">
        <v>0</v>
      </c>
      <c r="H40" s="310">
        <v>5</v>
      </c>
      <c r="I40" s="363">
        <v>0</v>
      </c>
      <c r="J40" s="311">
        <f t="shared" si="1"/>
        <v>5</v>
      </c>
    </row>
    <row r="41" spans="1:38" ht="14.95" thickBot="1" x14ac:dyDescent="0.3">
      <c r="A41" s="270" t="s">
        <v>1186</v>
      </c>
      <c r="B41" s="306">
        <v>0</v>
      </c>
      <c r="C41" s="271">
        <v>1</v>
      </c>
      <c r="D41" s="369">
        <v>0</v>
      </c>
      <c r="E41" s="272">
        <f t="shared" si="0"/>
        <v>1</v>
      </c>
      <c r="F41" s="308" t="s">
        <v>1186</v>
      </c>
      <c r="G41" s="309">
        <v>0</v>
      </c>
      <c r="H41" s="310">
        <v>5</v>
      </c>
      <c r="I41" s="363">
        <v>0</v>
      </c>
      <c r="J41" s="311">
        <f t="shared" si="1"/>
        <v>5</v>
      </c>
    </row>
    <row r="42" spans="1:38" ht="14.95" thickBot="1" x14ac:dyDescent="0.3">
      <c r="A42" s="270" t="s">
        <v>1187</v>
      </c>
      <c r="B42" s="306">
        <v>4</v>
      </c>
      <c r="C42" s="271">
        <v>0</v>
      </c>
      <c r="D42" s="369">
        <v>0</v>
      </c>
      <c r="E42" s="272">
        <f t="shared" si="0"/>
        <v>4</v>
      </c>
      <c r="F42" s="308" t="s">
        <v>1187</v>
      </c>
      <c r="G42" s="309">
        <v>20</v>
      </c>
      <c r="H42" s="310">
        <v>0</v>
      </c>
      <c r="I42" s="363">
        <v>0</v>
      </c>
      <c r="J42" s="311">
        <f t="shared" si="1"/>
        <v>20</v>
      </c>
    </row>
    <row r="43" spans="1:38" ht="14.95" thickBot="1" x14ac:dyDescent="0.3">
      <c r="A43" s="270" t="s">
        <v>1188</v>
      </c>
      <c r="B43" s="306">
        <v>3</v>
      </c>
      <c r="C43" s="271">
        <v>0</v>
      </c>
      <c r="D43" s="369">
        <v>0</v>
      </c>
      <c r="E43" s="272">
        <f t="shared" si="0"/>
        <v>3</v>
      </c>
      <c r="F43" s="308" t="s">
        <v>1188</v>
      </c>
      <c r="G43" s="309">
        <v>130</v>
      </c>
      <c r="H43" s="310">
        <v>55</v>
      </c>
      <c r="I43" s="363">
        <v>19</v>
      </c>
      <c r="J43" s="311">
        <f t="shared" si="1"/>
        <v>204</v>
      </c>
      <c r="AI43" s="5"/>
      <c r="AJ43" s="5"/>
      <c r="AK43" s="5"/>
    </row>
    <row r="44" spans="1:38" ht="14.95" thickBot="1" x14ac:dyDescent="0.3">
      <c r="A44" s="270" t="s">
        <v>93</v>
      </c>
      <c r="B44" s="306">
        <v>0</v>
      </c>
      <c r="C44" s="271">
        <v>0</v>
      </c>
      <c r="D44" s="369">
        <v>0</v>
      </c>
      <c r="E44" s="272">
        <f t="shared" si="0"/>
        <v>0</v>
      </c>
      <c r="F44" s="308" t="s">
        <v>93</v>
      </c>
      <c r="G44" s="309">
        <v>0</v>
      </c>
      <c r="H44" s="310">
        <v>0</v>
      </c>
      <c r="I44" s="363">
        <v>0</v>
      </c>
      <c r="J44" s="311">
        <f t="shared" si="1"/>
        <v>0</v>
      </c>
    </row>
    <row r="45" spans="1:38" ht="14.95" thickBot="1" x14ac:dyDescent="0.3">
      <c r="A45" s="270" t="s">
        <v>1189</v>
      </c>
      <c r="B45" s="306">
        <v>0</v>
      </c>
      <c r="C45" s="271">
        <v>0</v>
      </c>
      <c r="D45" s="369">
        <v>0</v>
      </c>
      <c r="E45" s="272">
        <f t="shared" si="0"/>
        <v>0</v>
      </c>
      <c r="F45" s="308" t="s">
        <v>1189</v>
      </c>
      <c r="G45" s="309">
        <v>0</v>
      </c>
      <c r="H45" s="310">
        <v>0</v>
      </c>
      <c r="I45" s="363">
        <v>0</v>
      </c>
      <c r="J45" s="311">
        <f t="shared" si="1"/>
        <v>0</v>
      </c>
      <c r="AL45" s="5"/>
    </row>
    <row r="46" spans="1:38" ht="14.95" thickBot="1" x14ac:dyDescent="0.3">
      <c r="A46" s="270" t="s">
        <v>1190</v>
      </c>
      <c r="B46" s="306">
        <v>7</v>
      </c>
      <c r="C46" s="271">
        <v>1</v>
      </c>
      <c r="D46" s="369">
        <v>0</v>
      </c>
      <c r="E46" s="272">
        <f t="shared" si="0"/>
        <v>8</v>
      </c>
      <c r="F46" s="308" t="s">
        <v>1190</v>
      </c>
      <c r="G46" s="309">
        <v>35</v>
      </c>
      <c r="H46" s="310">
        <v>5</v>
      </c>
      <c r="I46" s="363">
        <v>0</v>
      </c>
      <c r="J46" s="311">
        <f t="shared" si="1"/>
        <v>40</v>
      </c>
    </row>
    <row r="47" spans="1:38" ht="14.95" thickBot="1" x14ac:dyDescent="0.3">
      <c r="A47" s="270" t="s">
        <v>1191</v>
      </c>
      <c r="B47" s="306">
        <v>0</v>
      </c>
      <c r="C47" s="271">
        <v>0</v>
      </c>
      <c r="D47" s="369">
        <v>0</v>
      </c>
      <c r="E47" s="272">
        <f t="shared" si="0"/>
        <v>0</v>
      </c>
      <c r="F47" s="308" t="s">
        <v>1191</v>
      </c>
      <c r="G47" s="309">
        <v>0</v>
      </c>
      <c r="H47" s="310">
        <v>0</v>
      </c>
      <c r="I47" s="363">
        <v>0</v>
      </c>
      <c r="J47" s="311">
        <f t="shared" si="1"/>
        <v>0</v>
      </c>
    </row>
    <row r="48" spans="1:38" ht="14.95" thickBot="1" x14ac:dyDescent="0.3">
      <c r="A48" s="270" t="s">
        <v>1192</v>
      </c>
      <c r="B48" s="306">
        <v>4</v>
      </c>
      <c r="C48" s="271">
        <v>0</v>
      </c>
      <c r="D48" s="369">
        <v>1</v>
      </c>
      <c r="E48" s="272">
        <f t="shared" si="0"/>
        <v>5</v>
      </c>
      <c r="F48" s="308" t="s">
        <v>1192</v>
      </c>
      <c r="G48" s="309">
        <v>20</v>
      </c>
      <c r="H48" s="310">
        <v>0</v>
      </c>
      <c r="I48" s="363">
        <v>5</v>
      </c>
      <c r="J48" s="311">
        <f t="shared" si="1"/>
        <v>25</v>
      </c>
    </row>
    <row r="49" spans="1:37" ht="14.95" thickBot="1" x14ac:dyDescent="0.3">
      <c r="A49" s="270" t="s">
        <v>1194</v>
      </c>
      <c r="B49" s="306">
        <v>1</v>
      </c>
      <c r="C49" s="271">
        <v>1</v>
      </c>
      <c r="D49" s="369">
        <v>0</v>
      </c>
      <c r="E49" s="272">
        <f t="shared" si="0"/>
        <v>2</v>
      </c>
      <c r="F49" s="308" t="s">
        <v>1194</v>
      </c>
      <c r="G49" s="309">
        <v>5</v>
      </c>
      <c r="H49" s="310">
        <v>5</v>
      </c>
      <c r="I49" s="363">
        <v>0</v>
      </c>
      <c r="J49" s="311">
        <f t="shared" si="1"/>
        <v>10</v>
      </c>
      <c r="AI49" s="5"/>
      <c r="AJ49" s="5"/>
      <c r="AK49" s="5"/>
    </row>
    <row r="50" spans="1:37" ht="14.95" thickBot="1" x14ac:dyDescent="0.3">
      <c r="A50" s="270" t="s">
        <v>1195</v>
      </c>
      <c r="B50" s="306">
        <v>0</v>
      </c>
      <c r="C50" s="271">
        <v>0</v>
      </c>
      <c r="D50" s="369">
        <v>0</v>
      </c>
      <c r="E50" s="272">
        <f t="shared" si="0"/>
        <v>0</v>
      </c>
      <c r="F50" s="308" t="s">
        <v>1195</v>
      </c>
      <c r="G50" s="309">
        <v>0</v>
      </c>
      <c r="H50" s="310">
        <v>0</v>
      </c>
      <c r="I50" s="363">
        <v>0</v>
      </c>
      <c r="J50" s="311">
        <f t="shared" si="1"/>
        <v>0</v>
      </c>
    </row>
    <row r="51" spans="1:37" ht="14.95" thickBot="1" x14ac:dyDescent="0.3">
      <c r="A51" s="270" t="s">
        <v>1196</v>
      </c>
      <c r="B51" s="306">
        <v>1</v>
      </c>
      <c r="C51" s="271">
        <v>6</v>
      </c>
      <c r="D51" s="369">
        <v>0</v>
      </c>
      <c r="E51" s="272">
        <f t="shared" si="0"/>
        <v>7</v>
      </c>
      <c r="F51" s="308" t="s">
        <v>1196</v>
      </c>
      <c r="G51" s="309">
        <v>5</v>
      </c>
      <c r="H51" s="310">
        <v>30</v>
      </c>
      <c r="I51" s="363">
        <v>0</v>
      </c>
      <c r="J51" s="311">
        <f t="shared" si="1"/>
        <v>35</v>
      </c>
    </row>
    <row r="52" spans="1:37" ht="14.95" thickBot="1" x14ac:dyDescent="0.3">
      <c r="A52" s="270" t="s">
        <v>1197</v>
      </c>
      <c r="B52" s="306">
        <v>0</v>
      </c>
      <c r="C52" s="271">
        <v>0</v>
      </c>
      <c r="D52" s="369">
        <v>0</v>
      </c>
      <c r="E52" s="272">
        <f t="shared" si="0"/>
        <v>0</v>
      </c>
      <c r="F52" s="308" t="s">
        <v>1197</v>
      </c>
      <c r="G52" s="309">
        <v>0</v>
      </c>
      <c r="H52" s="310">
        <v>0</v>
      </c>
      <c r="I52" s="363">
        <v>0</v>
      </c>
      <c r="J52" s="311">
        <f t="shared" si="1"/>
        <v>0</v>
      </c>
    </row>
    <row r="53" spans="1:37" ht="14.95" thickBot="1" x14ac:dyDescent="0.3">
      <c r="A53" s="270" t="s">
        <v>198</v>
      </c>
      <c r="B53" s="306">
        <v>0</v>
      </c>
      <c r="C53" s="271">
        <v>0</v>
      </c>
      <c r="D53" s="369">
        <v>0</v>
      </c>
      <c r="E53" s="272">
        <f t="shared" si="0"/>
        <v>0</v>
      </c>
      <c r="F53" s="308" t="s">
        <v>198</v>
      </c>
      <c r="G53" s="309">
        <v>0</v>
      </c>
      <c r="H53" s="310">
        <v>0</v>
      </c>
      <c r="I53" s="363">
        <v>0</v>
      </c>
      <c r="J53" s="311">
        <f t="shared" si="1"/>
        <v>0</v>
      </c>
    </row>
    <row r="54" spans="1:37" ht="14.95" thickBot="1" x14ac:dyDescent="0.3">
      <c r="A54" s="270" t="s">
        <v>3</v>
      </c>
      <c r="B54" s="306">
        <f>SUM(B3:B53)</f>
        <v>55</v>
      </c>
      <c r="C54" s="271">
        <f>SUM(C3:C53)</f>
        <v>44</v>
      </c>
      <c r="D54" s="369">
        <f>SUM(D3:D53)</f>
        <v>11</v>
      </c>
      <c r="E54" s="272">
        <f t="shared" ref="E54" si="8">SUM(B54:D54)</f>
        <v>110</v>
      </c>
      <c r="F54" s="308" t="s">
        <v>3</v>
      </c>
      <c r="G54" s="309">
        <f>SUM(G3:G53)</f>
        <v>503</v>
      </c>
      <c r="H54" s="310">
        <f>SUM(H3:H53)</f>
        <v>282</v>
      </c>
      <c r="I54" s="363">
        <f>SUM(I3:I53)</f>
        <v>85</v>
      </c>
      <c r="J54" s="311">
        <f t="shared" ref="J54" si="9">SUM(G54:I54)</f>
        <v>870</v>
      </c>
    </row>
    <row r="55" spans="1:37" x14ac:dyDescent="0.25">
      <c r="B55" s="299"/>
      <c r="F55" s="47"/>
      <c r="G55" s="307"/>
      <c r="H55" s="44"/>
      <c r="I55" s="44"/>
      <c r="J55" s="44"/>
    </row>
    <row r="56" spans="1:37" ht="14.95" thickBot="1" x14ac:dyDescent="0.3">
      <c r="A56" t="s">
        <v>45</v>
      </c>
      <c r="B56" s="299"/>
      <c r="F56" s="43"/>
      <c r="G56" s="303"/>
      <c r="H56" s="46"/>
      <c r="I56" s="46"/>
      <c r="J56" s="46"/>
    </row>
    <row r="57" spans="1:37" ht="14.95" thickBot="1" x14ac:dyDescent="0.3">
      <c r="A57" s="267" t="s">
        <v>0</v>
      </c>
      <c r="B57" s="305" t="s">
        <v>1072</v>
      </c>
      <c r="C57" s="268" t="s">
        <v>127</v>
      </c>
      <c r="D57" s="368" t="s">
        <v>1073</v>
      </c>
      <c r="E57" s="269" t="s">
        <v>1</v>
      </c>
      <c r="F57" s="312" t="s">
        <v>2</v>
      </c>
      <c r="G57" s="313" t="s">
        <v>1072</v>
      </c>
      <c r="H57" s="314" t="s">
        <v>127</v>
      </c>
      <c r="I57" s="362" t="s">
        <v>1073</v>
      </c>
      <c r="J57" s="315" t="s">
        <v>1</v>
      </c>
    </row>
    <row r="58" spans="1:37" ht="14.95" thickBot="1" x14ac:dyDescent="0.3">
      <c r="A58" s="270" t="s">
        <v>1163</v>
      </c>
      <c r="B58" s="306">
        <v>1</v>
      </c>
      <c r="C58" s="271">
        <v>5</v>
      </c>
      <c r="D58" s="369">
        <v>3</v>
      </c>
      <c r="E58" s="272">
        <f t="shared" ref="E58:E89" si="10">SUM(B58:D58)</f>
        <v>9</v>
      </c>
      <c r="F58" s="308" t="s">
        <v>1188</v>
      </c>
      <c r="G58" s="309">
        <v>130</v>
      </c>
      <c r="H58" s="310">
        <v>55</v>
      </c>
      <c r="I58" s="363">
        <v>19</v>
      </c>
      <c r="J58" s="311">
        <f t="shared" ref="J58:J89" si="11">SUM(G58:I58)</f>
        <v>204</v>
      </c>
    </row>
    <row r="59" spans="1:37" ht="14.95" thickBot="1" x14ac:dyDescent="0.3">
      <c r="A59" s="270" t="s">
        <v>1176</v>
      </c>
      <c r="B59" s="306">
        <v>7</v>
      </c>
      <c r="C59" s="271">
        <v>1</v>
      </c>
      <c r="D59" s="369">
        <v>0</v>
      </c>
      <c r="E59" s="272">
        <f t="shared" si="10"/>
        <v>8</v>
      </c>
      <c r="F59" s="308" t="s">
        <v>1178</v>
      </c>
      <c r="G59" s="309">
        <v>105</v>
      </c>
      <c r="H59" s="310">
        <v>5</v>
      </c>
      <c r="I59" s="363">
        <v>9</v>
      </c>
      <c r="J59" s="311">
        <f t="shared" si="11"/>
        <v>119</v>
      </c>
    </row>
    <row r="60" spans="1:37" ht="14.95" thickBot="1" x14ac:dyDescent="0.3">
      <c r="A60" s="270" t="s">
        <v>1181</v>
      </c>
      <c r="B60" s="306">
        <v>4</v>
      </c>
      <c r="C60" s="271">
        <v>4</v>
      </c>
      <c r="D60" s="369">
        <v>0</v>
      </c>
      <c r="E60" s="272">
        <f t="shared" si="10"/>
        <v>8</v>
      </c>
      <c r="F60" s="308" t="s">
        <v>1163</v>
      </c>
      <c r="G60" s="309">
        <v>5</v>
      </c>
      <c r="H60" s="310">
        <v>25</v>
      </c>
      <c r="I60" s="363">
        <v>15</v>
      </c>
      <c r="J60" s="311">
        <f t="shared" si="11"/>
        <v>45</v>
      </c>
    </row>
    <row r="61" spans="1:37" ht="14.95" thickBot="1" x14ac:dyDescent="0.3">
      <c r="A61" s="270" t="s">
        <v>1182</v>
      </c>
      <c r="B61" s="306">
        <v>1</v>
      </c>
      <c r="C61" s="271">
        <v>6</v>
      </c>
      <c r="D61" s="369">
        <v>1</v>
      </c>
      <c r="E61" s="272">
        <f t="shared" si="10"/>
        <v>8</v>
      </c>
      <c r="F61" s="308" t="s">
        <v>1176</v>
      </c>
      <c r="G61" s="309">
        <v>35</v>
      </c>
      <c r="H61" s="310">
        <v>5</v>
      </c>
      <c r="I61" s="363">
        <v>0</v>
      </c>
      <c r="J61" s="311">
        <f t="shared" si="11"/>
        <v>40</v>
      </c>
    </row>
    <row r="62" spans="1:37" ht="14.95" thickBot="1" x14ac:dyDescent="0.3">
      <c r="A62" s="270" t="s">
        <v>1190</v>
      </c>
      <c r="B62" s="306">
        <v>7</v>
      </c>
      <c r="C62" s="271">
        <v>1</v>
      </c>
      <c r="D62" s="369">
        <v>0</v>
      </c>
      <c r="E62" s="272">
        <f t="shared" si="10"/>
        <v>8</v>
      </c>
      <c r="F62" s="308" t="s">
        <v>1181</v>
      </c>
      <c r="G62" s="309">
        <v>20</v>
      </c>
      <c r="H62" s="310">
        <v>20</v>
      </c>
      <c r="I62" s="363">
        <v>0</v>
      </c>
      <c r="J62" s="311">
        <f t="shared" si="11"/>
        <v>40</v>
      </c>
    </row>
    <row r="63" spans="1:37" ht="14.95" thickBot="1" x14ac:dyDescent="0.3">
      <c r="A63" s="270" t="s">
        <v>1196</v>
      </c>
      <c r="B63" s="306">
        <v>1</v>
      </c>
      <c r="C63" s="271">
        <v>6</v>
      </c>
      <c r="D63" s="369">
        <v>0</v>
      </c>
      <c r="E63" s="272">
        <f t="shared" si="10"/>
        <v>7</v>
      </c>
      <c r="F63" s="308" t="s">
        <v>1182</v>
      </c>
      <c r="G63" s="309">
        <v>5</v>
      </c>
      <c r="H63" s="310">
        <v>30</v>
      </c>
      <c r="I63" s="363">
        <v>5</v>
      </c>
      <c r="J63" s="311">
        <f t="shared" si="11"/>
        <v>40</v>
      </c>
    </row>
    <row r="64" spans="1:37" ht="14.95" thickBot="1" x14ac:dyDescent="0.3">
      <c r="A64" s="270" t="s">
        <v>1179</v>
      </c>
      <c r="B64" s="306">
        <v>6</v>
      </c>
      <c r="C64" s="271">
        <v>0</v>
      </c>
      <c r="D64" s="369">
        <v>0</v>
      </c>
      <c r="E64" s="272">
        <f t="shared" si="10"/>
        <v>6</v>
      </c>
      <c r="F64" s="308" t="s">
        <v>1190</v>
      </c>
      <c r="G64" s="309">
        <v>35</v>
      </c>
      <c r="H64" s="310">
        <v>5</v>
      </c>
      <c r="I64" s="363">
        <v>0</v>
      </c>
      <c r="J64" s="311">
        <f t="shared" si="11"/>
        <v>40</v>
      </c>
    </row>
    <row r="65" spans="1:10" ht="14.95" thickBot="1" x14ac:dyDescent="0.3">
      <c r="A65" s="270" t="s">
        <v>1184</v>
      </c>
      <c r="B65" s="306">
        <v>6</v>
      </c>
      <c r="C65" s="271">
        <v>0</v>
      </c>
      <c r="D65" s="369">
        <v>0</v>
      </c>
      <c r="E65" s="272">
        <f t="shared" si="10"/>
        <v>6</v>
      </c>
      <c r="F65" s="308" t="s">
        <v>1196</v>
      </c>
      <c r="G65" s="309">
        <v>5</v>
      </c>
      <c r="H65" s="310">
        <v>30</v>
      </c>
      <c r="I65" s="363">
        <v>0</v>
      </c>
      <c r="J65" s="311">
        <f t="shared" si="11"/>
        <v>35</v>
      </c>
    </row>
    <row r="66" spans="1:10" ht="14.95" thickBot="1" x14ac:dyDescent="0.3">
      <c r="A66" s="270" t="s">
        <v>1160</v>
      </c>
      <c r="B66" s="306">
        <v>1</v>
      </c>
      <c r="C66" s="271">
        <v>3</v>
      </c>
      <c r="D66" s="369">
        <v>1</v>
      </c>
      <c r="E66" s="272">
        <f t="shared" si="10"/>
        <v>5</v>
      </c>
      <c r="F66" s="308" t="s">
        <v>1179</v>
      </c>
      <c r="G66" s="309">
        <v>30</v>
      </c>
      <c r="H66" s="310">
        <v>0</v>
      </c>
      <c r="I66" s="363">
        <v>0</v>
      </c>
      <c r="J66" s="311">
        <f t="shared" si="11"/>
        <v>30</v>
      </c>
    </row>
    <row r="67" spans="1:10" ht="14.95" thickBot="1" x14ac:dyDescent="0.3">
      <c r="A67" s="270" t="s">
        <v>1192</v>
      </c>
      <c r="B67" s="306">
        <v>4</v>
      </c>
      <c r="C67" s="271">
        <v>0</v>
      </c>
      <c r="D67" s="369">
        <v>1</v>
      </c>
      <c r="E67" s="272">
        <f t="shared" si="10"/>
        <v>5</v>
      </c>
      <c r="F67" s="308" t="s">
        <v>1184</v>
      </c>
      <c r="G67" s="309">
        <v>30</v>
      </c>
      <c r="H67" s="310">
        <v>0</v>
      </c>
      <c r="I67" s="363">
        <v>0</v>
      </c>
      <c r="J67" s="311">
        <f t="shared" si="11"/>
        <v>30</v>
      </c>
    </row>
    <row r="68" spans="1:10" ht="14.95" thickBot="1" x14ac:dyDescent="0.3">
      <c r="A68" s="270" t="s">
        <v>1167</v>
      </c>
      <c r="B68" s="306">
        <v>1</v>
      </c>
      <c r="C68" s="271">
        <v>2</v>
      </c>
      <c r="D68" s="369">
        <v>1</v>
      </c>
      <c r="E68" s="272">
        <f t="shared" si="10"/>
        <v>4</v>
      </c>
      <c r="F68" s="308" t="s">
        <v>1160</v>
      </c>
      <c r="G68" s="309">
        <v>5</v>
      </c>
      <c r="H68" s="310">
        <v>15</v>
      </c>
      <c r="I68" s="363">
        <v>5</v>
      </c>
      <c r="J68" s="311">
        <f t="shared" si="11"/>
        <v>25</v>
      </c>
    </row>
    <row r="69" spans="1:10" ht="14.95" thickBot="1" x14ac:dyDescent="0.3">
      <c r="A69" s="270" t="s">
        <v>1187</v>
      </c>
      <c r="B69" s="306">
        <v>4</v>
      </c>
      <c r="C69" s="271">
        <v>0</v>
      </c>
      <c r="D69" s="369">
        <v>0</v>
      </c>
      <c r="E69" s="272">
        <f t="shared" si="10"/>
        <v>4</v>
      </c>
      <c r="F69" s="308" t="s">
        <v>1192</v>
      </c>
      <c r="G69" s="309">
        <v>20</v>
      </c>
      <c r="H69" s="310">
        <v>0</v>
      </c>
      <c r="I69" s="363">
        <v>5</v>
      </c>
      <c r="J69" s="311">
        <f t="shared" si="11"/>
        <v>25</v>
      </c>
    </row>
    <row r="70" spans="1:10" ht="14.95" thickBot="1" x14ac:dyDescent="0.3">
      <c r="A70" s="270" t="s">
        <v>1166</v>
      </c>
      <c r="B70" s="306">
        <v>0</v>
      </c>
      <c r="C70" s="271">
        <v>3</v>
      </c>
      <c r="D70" s="369">
        <v>0</v>
      </c>
      <c r="E70" s="272">
        <f t="shared" si="10"/>
        <v>3</v>
      </c>
      <c r="F70" s="308" t="s">
        <v>1167</v>
      </c>
      <c r="G70" s="309">
        <v>5</v>
      </c>
      <c r="H70" s="310">
        <v>10</v>
      </c>
      <c r="I70" s="363">
        <v>5</v>
      </c>
      <c r="J70" s="311">
        <f t="shared" si="11"/>
        <v>20</v>
      </c>
    </row>
    <row r="71" spans="1:10" ht="14.95" thickBot="1" x14ac:dyDescent="0.3">
      <c r="A71" s="270" t="s">
        <v>1177</v>
      </c>
      <c r="B71" s="306">
        <v>2</v>
      </c>
      <c r="C71" s="271">
        <v>1</v>
      </c>
      <c r="D71" s="369">
        <v>0</v>
      </c>
      <c r="E71" s="272">
        <f t="shared" si="10"/>
        <v>3</v>
      </c>
      <c r="F71" s="308" t="s">
        <v>1187</v>
      </c>
      <c r="G71" s="309">
        <v>20</v>
      </c>
      <c r="H71" s="310">
        <v>0</v>
      </c>
      <c r="I71" s="363">
        <v>0</v>
      </c>
      <c r="J71" s="311">
        <f t="shared" si="11"/>
        <v>20</v>
      </c>
    </row>
    <row r="72" spans="1:10" ht="14.95" thickBot="1" x14ac:dyDescent="0.3">
      <c r="A72" s="270" t="s">
        <v>1188</v>
      </c>
      <c r="B72" s="306">
        <v>3</v>
      </c>
      <c r="C72" s="271">
        <v>0</v>
      </c>
      <c r="D72" s="369">
        <v>0</v>
      </c>
      <c r="E72" s="272">
        <f t="shared" si="10"/>
        <v>3</v>
      </c>
      <c r="F72" s="308" t="s">
        <v>1166</v>
      </c>
      <c r="G72" s="309">
        <v>0</v>
      </c>
      <c r="H72" s="310">
        <v>15</v>
      </c>
      <c r="I72" s="363">
        <v>0</v>
      </c>
      <c r="J72" s="311">
        <f t="shared" si="11"/>
        <v>15</v>
      </c>
    </row>
    <row r="73" spans="1:10" ht="14.95" thickBot="1" x14ac:dyDescent="0.3">
      <c r="A73" s="270" t="s">
        <v>1157</v>
      </c>
      <c r="B73" s="306">
        <v>0</v>
      </c>
      <c r="C73" s="271">
        <v>2</v>
      </c>
      <c r="D73" s="369">
        <v>0</v>
      </c>
      <c r="E73" s="272">
        <f t="shared" si="10"/>
        <v>2</v>
      </c>
      <c r="F73" s="308" t="s">
        <v>1177</v>
      </c>
      <c r="G73" s="309">
        <v>10</v>
      </c>
      <c r="H73" s="310">
        <v>5</v>
      </c>
      <c r="I73" s="363">
        <v>0</v>
      </c>
      <c r="J73" s="311">
        <f t="shared" si="11"/>
        <v>15</v>
      </c>
    </row>
    <row r="74" spans="1:10" ht="14.95" thickBot="1" x14ac:dyDescent="0.3">
      <c r="A74" s="270" t="s">
        <v>1823</v>
      </c>
      <c r="B74" s="306">
        <v>0</v>
      </c>
      <c r="C74" s="271">
        <v>2</v>
      </c>
      <c r="D74" s="369">
        <v>0</v>
      </c>
      <c r="E74" s="272">
        <f t="shared" si="10"/>
        <v>2</v>
      </c>
      <c r="F74" s="308" t="s">
        <v>7</v>
      </c>
      <c r="G74" s="309">
        <v>14</v>
      </c>
      <c r="H74" s="310">
        <v>0</v>
      </c>
      <c r="I74" s="363">
        <v>0</v>
      </c>
      <c r="J74" s="311">
        <f t="shared" si="11"/>
        <v>14</v>
      </c>
    </row>
    <row r="75" spans="1:10" ht="14.95" thickBot="1" x14ac:dyDescent="0.3">
      <c r="A75" s="270" t="s">
        <v>1168</v>
      </c>
      <c r="B75" s="306">
        <v>0</v>
      </c>
      <c r="C75" s="271">
        <v>1</v>
      </c>
      <c r="D75" s="369">
        <v>1</v>
      </c>
      <c r="E75" s="272">
        <f t="shared" si="10"/>
        <v>2</v>
      </c>
      <c r="F75" s="308" t="s">
        <v>1157</v>
      </c>
      <c r="G75" s="309">
        <v>0</v>
      </c>
      <c r="H75" s="310">
        <v>10</v>
      </c>
      <c r="I75" s="363">
        <v>0</v>
      </c>
      <c r="J75" s="311">
        <f t="shared" si="11"/>
        <v>10</v>
      </c>
    </row>
    <row r="76" spans="1:10" ht="14.95" thickBot="1" x14ac:dyDescent="0.3">
      <c r="A76" s="270" t="s">
        <v>1169</v>
      </c>
      <c r="B76" s="306">
        <v>2</v>
      </c>
      <c r="C76" s="271">
        <v>0</v>
      </c>
      <c r="D76" s="369">
        <v>0</v>
      </c>
      <c r="E76" s="272">
        <f t="shared" si="10"/>
        <v>2</v>
      </c>
      <c r="F76" s="308" t="s">
        <v>1823</v>
      </c>
      <c r="G76" s="309">
        <v>0</v>
      </c>
      <c r="H76" s="310">
        <v>10</v>
      </c>
      <c r="I76" s="363">
        <v>0</v>
      </c>
      <c r="J76" s="311">
        <f t="shared" si="11"/>
        <v>10</v>
      </c>
    </row>
    <row r="77" spans="1:10" ht="14.95" thickBot="1" x14ac:dyDescent="0.3">
      <c r="A77" s="270" t="s">
        <v>1172</v>
      </c>
      <c r="B77" s="306">
        <v>1</v>
      </c>
      <c r="C77" s="271">
        <v>0</v>
      </c>
      <c r="D77" s="369">
        <v>1</v>
      </c>
      <c r="E77" s="272">
        <f t="shared" si="10"/>
        <v>2</v>
      </c>
      <c r="F77" s="308" t="s">
        <v>1168</v>
      </c>
      <c r="G77" s="309">
        <v>0</v>
      </c>
      <c r="H77" s="310">
        <v>5</v>
      </c>
      <c r="I77" s="363">
        <v>5</v>
      </c>
      <c r="J77" s="311">
        <f t="shared" si="11"/>
        <v>10</v>
      </c>
    </row>
    <row r="78" spans="1:10" ht="14.95" thickBot="1" x14ac:dyDescent="0.3">
      <c r="A78" s="270" t="s">
        <v>1058</v>
      </c>
      <c r="B78" s="306">
        <v>0</v>
      </c>
      <c r="C78" s="271">
        <v>1</v>
      </c>
      <c r="D78" s="369">
        <v>1</v>
      </c>
      <c r="E78" s="272">
        <f t="shared" si="10"/>
        <v>2</v>
      </c>
      <c r="F78" s="308" t="s">
        <v>1169</v>
      </c>
      <c r="G78" s="309">
        <v>10</v>
      </c>
      <c r="H78" s="310">
        <v>0</v>
      </c>
      <c r="I78" s="363">
        <v>0</v>
      </c>
      <c r="J78" s="316">
        <f t="shared" si="11"/>
        <v>10</v>
      </c>
    </row>
    <row r="79" spans="1:10" ht="14.95" thickBot="1" x14ac:dyDescent="0.3">
      <c r="A79" s="270" t="s">
        <v>7</v>
      </c>
      <c r="B79" s="306">
        <v>2</v>
      </c>
      <c r="C79" s="271">
        <v>0</v>
      </c>
      <c r="D79" s="369">
        <v>0</v>
      </c>
      <c r="E79" s="272">
        <f t="shared" si="10"/>
        <v>2</v>
      </c>
      <c r="F79" s="308" t="s">
        <v>1172</v>
      </c>
      <c r="G79" s="309">
        <v>5</v>
      </c>
      <c r="H79" s="310">
        <v>0</v>
      </c>
      <c r="I79" s="363">
        <v>5</v>
      </c>
      <c r="J79" s="316">
        <f t="shared" si="11"/>
        <v>10</v>
      </c>
    </row>
    <row r="80" spans="1:10" ht="14.95" thickBot="1" x14ac:dyDescent="0.3">
      <c r="A80" s="270" t="s">
        <v>1194</v>
      </c>
      <c r="B80" s="306">
        <v>1</v>
      </c>
      <c r="C80" s="271">
        <v>1</v>
      </c>
      <c r="D80" s="369">
        <v>0</v>
      </c>
      <c r="E80" s="272">
        <f t="shared" si="10"/>
        <v>2</v>
      </c>
      <c r="F80" s="308" t="s">
        <v>1058</v>
      </c>
      <c r="G80" s="309">
        <v>0</v>
      </c>
      <c r="H80" s="310">
        <v>5</v>
      </c>
      <c r="I80" s="363">
        <v>5</v>
      </c>
      <c r="J80" s="316">
        <f t="shared" si="11"/>
        <v>10</v>
      </c>
    </row>
    <row r="81" spans="1:10" ht="14.95" thickBot="1" x14ac:dyDescent="0.3">
      <c r="A81" s="270" t="s">
        <v>1158</v>
      </c>
      <c r="B81" s="306">
        <v>1</v>
      </c>
      <c r="C81" s="271">
        <v>0</v>
      </c>
      <c r="D81" s="369">
        <v>0</v>
      </c>
      <c r="E81" s="272">
        <f t="shared" si="10"/>
        <v>1</v>
      </c>
      <c r="F81" s="308" t="s">
        <v>1194</v>
      </c>
      <c r="G81" s="309">
        <v>5</v>
      </c>
      <c r="H81" s="310">
        <v>5</v>
      </c>
      <c r="I81" s="363">
        <v>0</v>
      </c>
      <c r="J81" s="316">
        <f t="shared" si="11"/>
        <v>10</v>
      </c>
    </row>
    <row r="82" spans="1:10" ht="14.95" thickBot="1" x14ac:dyDescent="0.3">
      <c r="A82" s="270" t="s">
        <v>1161</v>
      </c>
      <c r="B82" s="306">
        <v>0</v>
      </c>
      <c r="C82" s="271">
        <v>1</v>
      </c>
      <c r="D82" s="369">
        <v>0</v>
      </c>
      <c r="E82" s="272">
        <f t="shared" si="10"/>
        <v>1</v>
      </c>
      <c r="F82" s="308" t="s">
        <v>1158</v>
      </c>
      <c r="G82" s="309">
        <v>5</v>
      </c>
      <c r="H82" s="310">
        <v>0</v>
      </c>
      <c r="I82" s="363">
        <v>0</v>
      </c>
      <c r="J82" s="316">
        <f t="shared" si="11"/>
        <v>5</v>
      </c>
    </row>
    <row r="83" spans="1:10" ht="14.95" thickBot="1" x14ac:dyDescent="0.3">
      <c r="A83" s="270" t="s">
        <v>1171</v>
      </c>
      <c r="B83" s="306">
        <v>0</v>
      </c>
      <c r="C83" s="271">
        <v>1</v>
      </c>
      <c r="D83" s="369">
        <v>0</v>
      </c>
      <c r="E83" s="272">
        <f t="shared" si="10"/>
        <v>1</v>
      </c>
      <c r="F83" s="308" t="s">
        <v>1161</v>
      </c>
      <c r="G83" s="309">
        <v>0</v>
      </c>
      <c r="H83" s="310">
        <v>5</v>
      </c>
      <c r="I83" s="363">
        <v>0</v>
      </c>
      <c r="J83" s="316">
        <f t="shared" si="11"/>
        <v>5</v>
      </c>
    </row>
    <row r="84" spans="1:10" ht="14.95" thickBot="1" x14ac:dyDescent="0.3">
      <c r="A84" s="270" t="s">
        <v>1173</v>
      </c>
      <c r="B84" s="306">
        <v>0</v>
      </c>
      <c r="C84" s="271">
        <v>1</v>
      </c>
      <c r="D84" s="369">
        <v>0</v>
      </c>
      <c r="E84" s="272">
        <f t="shared" si="10"/>
        <v>1</v>
      </c>
      <c r="F84" s="308" t="s">
        <v>1171</v>
      </c>
      <c r="G84" s="309">
        <v>0</v>
      </c>
      <c r="H84" s="310">
        <v>5</v>
      </c>
      <c r="I84" s="363">
        <v>0</v>
      </c>
      <c r="J84" s="316">
        <f t="shared" si="11"/>
        <v>5</v>
      </c>
    </row>
    <row r="85" spans="1:10" ht="14.95" thickBot="1" x14ac:dyDescent="0.3">
      <c r="A85" s="270" t="s">
        <v>194</v>
      </c>
      <c r="B85" s="306">
        <v>0</v>
      </c>
      <c r="C85" s="271">
        <v>0</v>
      </c>
      <c r="D85" s="369">
        <v>1</v>
      </c>
      <c r="E85" s="272">
        <f t="shared" si="10"/>
        <v>1</v>
      </c>
      <c r="F85" s="308" t="s">
        <v>1173</v>
      </c>
      <c r="G85" s="309">
        <v>0</v>
      </c>
      <c r="H85" s="310">
        <v>5</v>
      </c>
      <c r="I85" s="363">
        <v>0</v>
      </c>
      <c r="J85" s="316">
        <f t="shared" si="11"/>
        <v>5</v>
      </c>
    </row>
    <row r="86" spans="1:10" ht="14.95" thickBot="1" x14ac:dyDescent="0.3">
      <c r="A86" s="270" t="s">
        <v>1818</v>
      </c>
      <c r="B86" s="306">
        <v>0</v>
      </c>
      <c r="C86" s="271">
        <v>1</v>
      </c>
      <c r="D86" s="369">
        <v>0</v>
      </c>
      <c r="E86" s="272">
        <f t="shared" si="10"/>
        <v>1</v>
      </c>
      <c r="F86" s="308" t="s">
        <v>194</v>
      </c>
      <c r="G86" s="309">
        <v>0</v>
      </c>
      <c r="H86" s="310">
        <v>0</v>
      </c>
      <c r="I86" s="363">
        <v>5</v>
      </c>
      <c r="J86" s="311">
        <f t="shared" si="11"/>
        <v>5</v>
      </c>
    </row>
    <row r="87" spans="1:10" ht="14.95" thickBot="1" x14ac:dyDescent="0.3">
      <c r="A87" s="270" t="s">
        <v>1186</v>
      </c>
      <c r="B87" s="306">
        <v>0</v>
      </c>
      <c r="C87" s="271">
        <v>1</v>
      </c>
      <c r="D87" s="369">
        <v>0</v>
      </c>
      <c r="E87" s="272">
        <f t="shared" si="10"/>
        <v>1</v>
      </c>
      <c r="F87" s="308" t="s">
        <v>1818</v>
      </c>
      <c r="G87" s="309">
        <v>0</v>
      </c>
      <c r="H87" s="310">
        <v>5</v>
      </c>
      <c r="I87" s="363">
        <v>0</v>
      </c>
      <c r="J87" s="311">
        <f t="shared" si="11"/>
        <v>5</v>
      </c>
    </row>
    <row r="88" spans="1:10" ht="14.95" thickBot="1" x14ac:dyDescent="0.3">
      <c r="A88" s="270" t="s">
        <v>141</v>
      </c>
      <c r="B88" s="306">
        <v>0</v>
      </c>
      <c r="C88" s="271">
        <v>0</v>
      </c>
      <c r="D88" s="369">
        <v>0</v>
      </c>
      <c r="E88" s="272">
        <f t="shared" si="10"/>
        <v>0</v>
      </c>
      <c r="F88" s="308" t="s">
        <v>1186</v>
      </c>
      <c r="G88" s="309">
        <v>0</v>
      </c>
      <c r="H88" s="310">
        <v>5</v>
      </c>
      <c r="I88" s="363">
        <v>0</v>
      </c>
      <c r="J88" s="311">
        <f t="shared" si="11"/>
        <v>5</v>
      </c>
    </row>
    <row r="89" spans="1:10" ht="14.95" thickBot="1" x14ac:dyDescent="0.3">
      <c r="A89" s="270" t="s">
        <v>1780</v>
      </c>
      <c r="B89" s="306">
        <v>0</v>
      </c>
      <c r="C89" s="271">
        <v>0</v>
      </c>
      <c r="D89" s="369">
        <v>0</v>
      </c>
      <c r="E89" s="272">
        <f t="shared" si="10"/>
        <v>0</v>
      </c>
      <c r="F89" s="308" t="s">
        <v>1840</v>
      </c>
      <c r="G89" s="309">
        <v>4</v>
      </c>
      <c r="H89" s="310">
        <v>0</v>
      </c>
      <c r="I89" s="363">
        <v>0</v>
      </c>
      <c r="J89" s="311">
        <f t="shared" si="11"/>
        <v>4</v>
      </c>
    </row>
    <row r="90" spans="1:10" ht="14.95" thickBot="1" x14ac:dyDescent="0.3">
      <c r="A90" s="270" t="s">
        <v>1159</v>
      </c>
      <c r="B90" s="306">
        <v>0</v>
      </c>
      <c r="C90" s="271">
        <v>0</v>
      </c>
      <c r="D90" s="369">
        <v>0</v>
      </c>
      <c r="E90" s="272">
        <f t="shared" ref="E90:E108" si="12">SUM(B90:D90)</f>
        <v>0</v>
      </c>
      <c r="F90" s="308" t="s">
        <v>1780</v>
      </c>
      <c r="G90" s="309">
        <v>0</v>
      </c>
      <c r="H90" s="310">
        <v>2</v>
      </c>
      <c r="I90" s="363">
        <v>0</v>
      </c>
      <c r="J90" s="311">
        <f t="shared" ref="J90:J108" si="13">SUM(G90:I90)</f>
        <v>2</v>
      </c>
    </row>
    <row r="91" spans="1:10" ht="14.95" thickBot="1" x14ac:dyDescent="0.3">
      <c r="A91" s="270" t="s">
        <v>1840</v>
      </c>
      <c r="B91" s="306">
        <v>0</v>
      </c>
      <c r="C91" s="271">
        <v>0</v>
      </c>
      <c r="D91" s="369">
        <v>0</v>
      </c>
      <c r="E91" s="272">
        <f t="shared" si="12"/>
        <v>0</v>
      </c>
      <c r="F91" s="308" t="s">
        <v>1784</v>
      </c>
      <c r="G91" s="309">
        <v>0</v>
      </c>
      <c r="H91" s="310">
        <v>0</v>
      </c>
      <c r="I91" s="363">
        <v>2</v>
      </c>
      <c r="J91" s="311">
        <f t="shared" si="13"/>
        <v>2</v>
      </c>
    </row>
    <row r="92" spans="1:10" ht="14.95" thickBot="1" x14ac:dyDescent="0.3">
      <c r="A92" s="270" t="s">
        <v>1162</v>
      </c>
      <c r="B92" s="306">
        <v>0</v>
      </c>
      <c r="C92" s="271">
        <v>0</v>
      </c>
      <c r="D92" s="369">
        <v>0</v>
      </c>
      <c r="E92" s="272">
        <f t="shared" si="12"/>
        <v>0</v>
      </c>
      <c r="F92" s="308" t="s">
        <v>141</v>
      </c>
      <c r="G92" s="309">
        <v>0</v>
      </c>
      <c r="H92" s="310">
        <v>0</v>
      </c>
      <c r="I92" s="363">
        <v>0</v>
      </c>
      <c r="J92" s="311">
        <f t="shared" si="13"/>
        <v>0</v>
      </c>
    </row>
    <row r="93" spans="1:10" ht="14.95" thickBot="1" x14ac:dyDescent="0.3">
      <c r="A93" s="270" t="s">
        <v>1784</v>
      </c>
      <c r="B93" s="306">
        <v>0</v>
      </c>
      <c r="C93" s="271">
        <v>0</v>
      </c>
      <c r="D93" s="369">
        <v>0</v>
      </c>
      <c r="E93" s="272">
        <f t="shared" si="12"/>
        <v>0</v>
      </c>
      <c r="F93" s="308" t="s">
        <v>1159</v>
      </c>
      <c r="G93" s="309">
        <v>0</v>
      </c>
      <c r="H93" s="310">
        <v>0</v>
      </c>
      <c r="I93" s="363">
        <v>0</v>
      </c>
      <c r="J93" s="311">
        <f t="shared" si="13"/>
        <v>0</v>
      </c>
    </row>
    <row r="94" spans="1:10" ht="14.95" thickBot="1" x14ac:dyDescent="0.3">
      <c r="A94" s="270" t="s">
        <v>954</v>
      </c>
      <c r="B94" s="306">
        <v>0</v>
      </c>
      <c r="C94" s="271">
        <v>0</v>
      </c>
      <c r="D94" s="369">
        <v>0</v>
      </c>
      <c r="E94" s="272">
        <f t="shared" si="12"/>
        <v>0</v>
      </c>
      <c r="F94" s="308" t="s">
        <v>1162</v>
      </c>
      <c r="G94" s="309">
        <v>0</v>
      </c>
      <c r="H94" s="310">
        <v>0</v>
      </c>
      <c r="I94" s="363">
        <v>0</v>
      </c>
      <c r="J94" s="311">
        <f t="shared" si="13"/>
        <v>0</v>
      </c>
    </row>
    <row r="95" spans="1:10" ht="14.95" thickBot="1" x14ac:dyDescent="0.3">
      <c r="A95" s="270" t="s">
        <v>88</v>
      </c>
      <c r="B95" s="306">
        <v>0</v>
      </c>
      <c r="C95" s="271">
        <v>0</v>
      </c>
      <c r="D95" s="369">
        <v>0</v>
      </c>
      <c r="E95" s="272">
        <f t="shared" si="12"/>
        <v>0</v>
      </c>
      <c r="F95" s="308" t="s">
        <v>954</v>
      </c>
      <c r="G95" s="309">
        <v>0</v>
      </c>
      <c r="H95" s="310">
        <v>0</v>
      </c>
      <c r="I95" s="363">
        <v>0</v>
      </c>
      <c r="J95" s="311">
        <f t="shared" si="13"/>
        <v>0</v>
      </c>
    </row>
    <row r="96" spans="1:10" ht="14.95" thickBot="1" x14ac:dyDescent="0.3">
      <c r="A96" s="270" t="s">
        <v>1170</v>
      </c>
      <c r="B96" s="306">
        <v>0</v>
      </c>
      <c r="C96" s="271">
        <v>0</v>
      </c>
      <c r="D96" s="369">
        <v>0</v>
      </c>
      <c r="E96" s="272">
        <f t="shared" si="12"/>
        <v>0</v>
      </c>
      <c r="F96" s="308" t="s">
        <v>88</v>
      </c>
      <c r="G96" s="309">
        <v>0</v>
      </c>
      <c r="H96" s="310">
        <v>0</v>
      </c>
      <c r="I96" s="363">
        <v>0</v>
      </c>
      <c r="J96" s="311">
        <f t="shared" si="13"/>
        <v>0</v>
      </c>
    </row>
    <row r="97" spans="1:10" ht="14.95" thickBot="1" x14ac:dyDescent="0.3">
      <c r="A97" s="270" t="s">
        <v>1174</v>
      </c>
      <c r="B97" s="306">
        <v>0</v>
      </c>
      <c r="C97" s="271">
        <v>0</v>
      </c>
      <c r="D97" s="369">
        <v>0</v>
      </c>
      <c r="E97" s="272">
        <f t="shared" si="12"/>
        <v>0</v>
      </c>
      <c r="F97" s="308" t="s">
        <v>1170</v>
      </c>
      <c r="G97" s="309">
        <v>0</v>
      </c>
      <c r="H97" s="310">
        <v>0</v>
      </c>
      <c r="I97" s="363">
        <v>0</v>
      </c>
      <c r="J97" s="311">
        <f t="shared" si="13"/>
        <v>0</v>
      </c>
    </row>
    <row r="98" spans="1:10" ht="14.95" thickBot="1" x14ac:dyDescent="0.3">
      <c r="A98" s="270" t="s">
        <v>1175</v>
      </c>
      <c r="B98" s="306">
        <v>0</v>
      </c>
      <c r="C98" s="271">
        <v>0</v>
      </c>
      <c r="D98" s="369">
        <v>0</v>
      </c>
      <c r="E98" s="272">
        <f t="shared" si="12"/>
        <v>0</v>
      </c>
      <c r="F98" s="308" t="s">
        <v>1174</v>
      </c>
      <c r="G98" s="309">
        <v>0</v>
      </c>
      <c r="H98" s="310">
        <v>0</v>
      </c>
      <c r="I98" s="363">
        <v>0</v>
      </c>
      <c r="J98" s="311">
        <f t="shared" si="13"/>
        <v>0</v>
      </c>
    </row>
    <row r="99" spans="1:10" ht="14.95" thickBot="1" x14ac:dyDescent="0.3">
      <c r="A99" s="270" t="s">
        <v>1178</v>
      </c>
      <c r="B99" s="306">
        <v>0</v>
      </c>
      <c r="C99" s="271">
        <v>0</v>
      </c>
      <c r="D99" s="369">
        <v>0</v>
      </c>
      <c r="E99" s="272">
        <f t="shared" si="12"/>
        <v>0</v>
      </c>
      <c r="F99" s="308" t="s">
        <v>1175</v>
      </c>
      <c r="G99" s="309">
        <v>0</v>
      </c>
      <c r="H99" s="310">
        <v>0</v>
      </c>
      <c r="I99" s="363">
        <v>0</v>
      </c>
      <c r="J99" s="311">
        <f t="shared" si="13"/>
        <v>0</v>
      </c>
    </row>
    <row r="100" spans="1:10" ht="14.95" thickBot="1" x14ac:dyDescent="0.3">
      <c r="A100" s="270" t="s">
        <v>1180</v>
      </c>
      <c r="B100" s="306">
        <v>0</v>
      </c>
      <c r="C100" s="271">
        <v>0</v>
      </c>
      <c r="D100" s="369">
        <v>0</v>
      </c>
      <c r="E100" s="272">
        <f t="shared" si="12"/>
        <v>0</v>
      </c>
      <c r="F100" s="308" t="s">
        <v>1180</v>
      </c>
      <c r="G100" s="309">
        <v>0</v>
      </c>
      <c r="H100" s="310">
        <v>0</v>
      </c>
      <c r="I100" s="363">
        <v>0</v>
      </c>
      <c r="J100" s="311">
        <f t="shared" si="13"/>
        <v>0</v>
      </c>
    </row>
    <row r="101" spans="1:10" ht="14.95" thickBot="1" x14ac:dyDescent="0.3">
      <c r="A101" s="270" t="s">
        <v>1031</v>
      </c>
      <c r="B101" s="306">
        <v>0</v>
      </c>
      <c r="C101" s="271">
        <v>0</v>
      </c>
      <c r="D101" s="369">
        <v>0</v>
      </c>
      <c r="E101" s="272">
        <f t="shared" si="12"/>
        <v>0</v>
      </c>
      <c r="F101" s="308" t="s">
        <v>1031</v>
      </c>
      <c r="G101" s="309">
        <v>0</v>
      </c>
      <c r="H101" s="310">
        <v>0</v>
      </c>
      <c r="I101" s="363">
        <v>0</v>
      </c>
      <c r="J101" s="311">
        <f t="shared" si="13"/>
        <v>0</v>
      </c>
    </row>
    <row r="102" spans="1:10" ht="14.95" thickBot="1" x14ac:dyDescent="0.3">
      <c r="A102" s="270" t="s">
        <v>1185</v>
      </c>
      <c r="B102" s="306">
        <v>0</v>
      </c>
      <c r="C102" s="271">
        <v>0</v>
      </c>
      <c r="D102" s="369">
        <v>0</v>
      </c>
      <c r="E102" s="272">
        <f t="shared" si="12"/>
        <v>0</v>
      </c>
      <c r="F102" s="308" t="s">
        <v>1185</v>
      </c>
      <c r="G102" s="309">
        <v>0</v>
      </c>
      <c r="H102" s="310">
        <v>0</v>
      </c>
      <c r="I102" s="363">
        <v>0</v>
      </c>
      <c r="J102" s="311">
        <f t="shared" si="13"/>
        <v>0</v>
      </c>
    </row>
    <row r="103" spans="1:10" ht="14.95" thickBot="1" x14ac:dyDescent="0.3">
      <c r="A103" s="270" t="s">
        <v>93</v>
      </c>
      <c r="B103" s="306">
        <v>0</v>
      </c>
      <c r="C103" s="271">
        <v>0</v>
      </c>
      <c r="D103" s="369">
        <v>0</v>
      </c>
      <c r="E103" s="272">
        <f t="shared" si="12"/>
        <v>0</v>
      </c>
      <c r="F103" s="308" t="s">
        <v>93</v>
      </c>
      <c r="G103" s="309">
        <v>0</v>
      </c>
      <c r="H103" s="310">
        <v>0</v>
      </c>
      <c r="I103" s="363">
        <v>0</v>
      </c>
      <c r="J103" s="311">
        <f t="shared" si="13"/>
        <v>0</v>
      </c>
    </row>
    <row r="104" spans="1:10" ht="14.95" thickBot="1" x14ac:dyDescent="0.3">
      <c r="A104" s="270" t="s">
        <v>1189</v>
      </c>
      <c r="B104" s="306">
        <v>0</v>
      </c>
      <c r="C104" s="271">
        <v>0</v>
      </c>
      <c r="D104" s="369">
        <v>0</v>
      </c>
      <c r="E104" s="272">
        <f t="shared" si="12"/>
        <v>0</v>
      </c>
      <c r="F104" s="308" t="s">
        <v>1189</v>
      </c>
      <c r="G104" s="309">
        <v>0</v>
      </c>
      <c r="H104" s="310">
        <v>0</v>
      </c>
      <c r="I104" s="363">
        <v>0</v>
      </c>
      <c r="J104" s="311">
        <f t="shared" si="13"/>
        <v>0</v>
      </c>
    </row>
    <row r="105" spans="1:10" ht="14.95" thickBot="1" x14ac:dyDescent="0.3">
      <c r="A105" s="270" t="s">
        <v>1191</v>
      </c>
      <c r="B105" s="306">
        <v>0</v>
      </c>
      <c r="C105" s="271">
        <v>0</v>
      </c>
      <c r="D105" s="369">
        <v>0</v>
      </c>
      <c r="E105" s="272">
        <f t="shared" si="12"/>
        <v>0</v>
      </c>
      <c r="F105" s="308" t="s">
        <v>1191</v>
      </c>
      <c r="G105" s="309">
        <v>0</v>
      </c>
      <c r="H105" s="310">
        <v>0</v>
      </c>
      <c r="I105" s="363">
        <v>0</v>
      </c>
      <c r="J105" s="311">
        <f t="shared" si="13"/>
        <v>0</v>
      </c>
    </row>
    <row r="106" spans="1:10" ht="14.95" thickBot="1" x14ac:dyDescent="0.3">
      <c r="A106" s="270" t="s">
        <v>1195</v>
      </c>
      <c r="B106" s="306">
        <v>0</v>
      </c>
      <c r="C106" s="271">
        <v>0</v>
      </c>
      <c r="D106" s="369">
        <v>0</v>
      </c>
      <c r="E106" s="272">
        <f t="shared" si="12"/>
        <v>0</v>
      </c>
      <c r="F106" s="308" t="s">
        <v>1195</v>
      </c>
      <c r="G106" s="309">
        <v>0</v>
      </c>
      <c r="H106" s="310">
        <v>0</v>
      </c>
      <c r="I106" s="363">
        <v>0</v>
      </c>
      <c r="J106" s="311">
        <f t="shared" si="13"/>
        <v>0</v>
      </c>
    </row>
    <row r="107" spans="1:10" ht="14.95" thickBot="1" x14ac:dyDescent="0.3">
      <c r="A107" s="270" t="s">
        <v>1197</v>
      </c>
      <c r="B107" s="306">
        <v>0</v>
      </c>
      <c r="C107" s="271">
        <v>0</v>
      </c>
      <c r="D107" s="369">
        <v>0</v>
      </c>
      <c r="E107" s="272">
        <f t="shared" si="12"/>
        <v>0</v>
      </c>
      <c r="F107" s="308" t="s">
        <v>1197</v>
      </c>
      <c r="G107" s="309">
        <v>0</v>
      </c>
      <c r="H107" s="310">
        <v>0</v>
      </c>
      <c r="I107" s="363">
        <v>0</v>
      </c>
      <c r="J107" s="311">
        <f t="shared" si="13"/>
        <v>0</v>
      </c>
    </row>
    <row r="108" spans="1:10" ht="14.95" thickBot="1" x14ac:dyDescent="0.3">
      <c r="A108" s="270" t="s">
        <v>198</v>
      </c>
      <c r="B108" s="306">
        <v>0</v>
      </c>
      <c r="C108" s="271">
        <v>0</v>
      </c>
      <c r="D108" s="369">
        <v>0</v>
      </c>
      <c r="E108" s="272">
        <f t="shared" si="12"/>
        <v>0</v>
      </c>
      <c r="F108" s="308" t="s">
        <v>198</v>
      </c>
      <c r="G108" s="309">
        <v>0</v>
      </c>
      <c r="H108" s="310">
        <v>0</v>
      </c>
      <c r="I108" s="363">
        <v>0</v>
      </c>
      <c r="J108" s="311">
        <f t="shared" si="13"/>
        <v>0</v>
      </c>
    </row>
    <row r="109" spans="1:10" ht="14.95" thickBot="1" x14ac:dyDescent="0.3">
      <c r="A109" s="270" t="s">
        <v>3</v>
      </c>
      <c r="B109" s="306">
        <f>SUM(B58:B108)</f>
        <v>55</v>
      </c>
      <c r="C109" s="271">
        <f>SUM(C58:C108)</f>
        <v>44</v>
      </c>
      <c r="D109" s="369">
        <f>SUM(D58:D108)</f>
        <v>11</v>
      </c>
      <c r="E109" s="272">
        <f t="shared" ref="E109" si="14">SUM(B109:D109)</f>
        <v>110</v>
      </c>
      <c r="F109" s="308" t="s">
        <v>3</v>
      </c>
      <c r="G109" s="309">
        <f>SUM(G58:G108)</f>
        <v>503</v>
      </c>
      <c r="H109" s="310">
        <f>SUM(H58:H108)</f>
        <v>282</v>
      </c>
      <c r="I109" s="363">
        <f>SUM(I58:I108)</f>
        <v>85</v>
      </c>
      <c r="J109" s="311">
        <f t="shared" ref="J109" si="15">SUM(G109:I109)</f>
        <v>870</v>
      </c>
    </row>
    <row r="110" spans="1:10" x14ac:dyDescent="0.25">
      <c r="A110" s="65" t="s">
        <v>171</v>
      </c>
    </row>
  </sheetData>
  <sortState xmlns:xlrd2="http://schemas.microsoft.com/office/spreadsheetml/2017/richdata2" ref="F58:J108">
    <sortCondition descending="1" ref="J58:J108"/>
  </sortState>
  <mergeCells count="25">
    <mergeCell ref="K25:Y25"/>
    <mergeCell ref="O19:Q20"/>
    <mergeCell ref="R11:T12"/>
    <mergeCell ref="AC1:AE2"/>
    <mergeCell ref="A1:J1"/>
    <mergeCell ref="R19:T20"/>
    <mergeCell ref="K19:K20"/>
    <mergeCell ref="L19:N20"/>
    <mergeCell ref="R1:S2"/>
    <mergeCell ref="K11:K12"/>
    <mergeCell ref="K1:K2"/>
    <mergeCell ref="L1:N2"/>
    <mergeCell ref="O1:Q2"/>
    <mergeCell ref="L11:N12"/>
    <mergeCell ref="O11:Q12"/>
    <mergeCell ref="AI11:AK12"/>
    <mergeCell ref="AL17:AN18"/>
    <mergeCell ref="AF1:AH2"/>
    <mergeCell ref="AI1:AK2"/>
    <mergeCell ref="U19:W20"/>
    <mergeCell ref="Z1:AB2"/>
    <mergeCell ref="W1:Y2"/>
    <mergeCell ref="U11:W12"/>
    <mergeCell ref="T1:V2"/>
    <mergeCell ref="AF11:AH1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X98"/>
  <sheetViews>
    <sheetView topLeftCell="A55" zoomScaleNormal="100" workbookViewId="0">
      <selection activeCell="B69" sqref="B69"/>
    </sheetView>
  </sheetViews>
  <sheetFormatPr defaultRowHeight="14.3" x14ac:dyDescent="0.25"/>
  <cols>
    <col min="1" max="1" width="16.625" customWidth="1"/>
    <col min="2" max="4" width="3.75" customWidth="1"/>
    <col min="5" max="5" width="4.75" customWidth="1"/>
    <col min="6" max="6" width="16.625" customWidth="1"/>
    <col min="7" max="10" width="5.25" customWidth="1"/>
    <col min="11" max="11" width="16.375" bestFit="1" customWidth="1"/>
    <col min="12" max="18" width="5.625" customWidth="1"/>
    <col min="19" max="19" width="5.75" customWidth="1"/>
    <col min="20" max="31" width="5.625" customWidth="1"/>
    <col min="32" max="40" width="5.75" customWidth="1"/>
    <col min="41" max="41" width="15.75" bestFit="1" customWidth="1"/>
    <col min="43" max="43" width="9.25" bestFit="1" customWidth="1"/>
  </cols>
  <sheetData>
    <row r="1" spans="1:50" ht="14.95" customHeight="1" thickBot="1" x14ac:dyDescent="0.3">
      <c r="A1" s="509" t="s">
        <v>1205</v>
      </c>
      <c r="B1" s="510"/>
      <c r="C1" s="510"/>
      <c r="D1" s="510"/>
      <c r="E1" s="510"/>
      <c r="F1" s="510"/>
      <c r="G1" s="510"/>
      <c r="H1" s="510"/>
      <c r="I1" s="510"/>
      <c r="J1" s="511"/>
      <c r="K1" s="478" t="s">
        <v>1324</v>
      </c>
      <c r="L1" s="463" t="s">
        <v>49</v>
      </c>
      <c r="M1" s="464"/>
      <c r="N1" s="465"/>
      <c r="O1" s="486" t="s">
        <v>202</v>
      </c>
      <c r="P1" s="487"/>
      <c r="Q1" s="488"/>
      <c r="R1" s="492" t="s">
        <v>62</v>
      </c>
      <c r="S1" s="493"/>
      <c r="T1" s="457" t="s">
        <v>124</v>
      </c>
      <c r="U1" s="458"/>
      <c r="V1" s="459"/>
      <c r="W1" s="457" t="s">
        <v>1070</v>
      </c>
      <c r="X1" s="458"/>
      <c r="Y1" s="459"/>
      <c r="Z1" s="127"/>
      <c r="AA1" s="127"/>
      <c r="AB1" s="127"/>
      <c r="AC1" s="457" t="s">
        <v>598</v>
      </c>
      <c r="AD1" s="458"/>
      <c r="AE1" s="459"/>
      <c r="AF1" s="457" t="s">
        <v>254</v>
      </c>
      <c r="AG1" s="458"/>
      <c r="AH1" s="459"/>
      <c r="AI1" s="457" t="s">
        <v>213</v>
      </c>
      <c r="AJ1" s="458"/>
      <c r="AK1" s="459"/>
      <c r="AL1" s="457" t="s">
        <v>242</v>
      </c>
      <c r="AM1" s="458"/>
      <c r="AN1" s="459"/>
      <c r="AP1" s="5" t="s">
        <v>669</v>
      </c>
      <c r="AQ1" s="5"/>
      <c r="AR1" s="5"/>
      <c r="AU1" s="5" t="s">
        <v>673</v>
      </c>
    </row>
    <row r="2" spans="1:50" ht="14.95" customHeight="1" thickBot="1" x14ac:dyDescent="0.3">
      <c r="A2" s="212" t="s">
        <v>0</v>
      </c>
      <c r="B2" s="317" t="s">
        <v>1072</v>
      </c>
      <c r="C2" s="245" t="s">
        <v>123</v>
      </c>
      <c r="D2" s="382" t="s">
        <v>1073</v>
      </c>
      <c r="E2" s="213" t="s">
        <v>1</v>
      </c>
      <c r="F2" s="214" t="s">
        <v>2</v>
      </c>
      <c r="G2" s="300" t="s">
        <v>1072</v>
      </c>
      <c r="H2" s="198" t="s">
        <v>123</v>
      </c>
      <c r="I2" s="384" t="s">
        <v>1073</v>
      </c>
      <c r="J2" s="194" t="s">
        <v>1</v>
      </c>
      <c r="K2" s="479"/>
      <c r="L2" s="466"/>
      <c r="M2" s="467"/>
      <c r="N2" s="468"/>
      <c r="O2" s="489"/>
      <c r="P2" s="490"/>
      <c r="Q2" s="491"/>
      <c r="R2" s="494"/>
      <c r="S2" s="495"/>
      <c r="T2" s="460"/>
      <c r="U2" s="461"/>
      <c r="V2" s="462"/>
      <c r="W2" s="460"/>
      <c r="X2" s="461"/>
      <c r="Y2" s="462"/>
      <c r="Z2" s="127"/>
      <c r="AA2" s="127"/>
      <c r="AB2" s="127"/>
      <c r="AC2" s="460"/>
      <c r="AD2" s="461"/>
      <c r="AE2" s="462"/>
      <c r="AF2" s="460"/>
      <c r="AG2" s="461"/>
      <c r="AH2" s="462"/>
      <c r="AI2" s="460"/>
      <c r="AJ2" s="461"/>
      <c r="AK2" s="462"/>
      <c r="AL2" s="460"/>
      <c r="AM2" s="461"/>
      <c r="AN2" s="462"/>
      <c r="AP2" t="s">
        <v>612</v>
      </c>
      <c r="AQ2" t="s">
        <v>260</v>
      </c>
      <c r="AR2" t="s">
        <v>445</v>
      </c>
      <c r="AS2">
        <v>855</v>
      </c>
      <c r="AU2" t="s">
        <v>501</v>
      </c>
      <c r="AV2" t="s">
        <v>264</v>
      </c>
      <c r="AW2" t="s">
        <v>455</v>
      </c>
      <c r="AX2">
        <v>63</v>
      </c>
    </row>
    <row r="3" spans="1:50" ht="14.95" customHeight="1" thickBot="1" x14ac:dyDescent="0.3">
      <c r="A3" s="56" t="s">
        <v>1017</v>
      </c>
      <c r="B3" s="318">
        <v>6</v>
      </c>
      <c r="C3" s="246">
        <v>0</v>
      </c>
      <c r="D3" s="383">
        <v>0</v>
      </c>
      <c r="E3" s="90">
        <f>SUM(B3:D3)</f>
        <v>6</v>
      </c>
      <c r="F3" s="113" t="s">
        <v>1017</v>
      </c>
      <c r="G3" s="301">
        <v>30</v>
      </c>
      <c r="H3" s="116">
        <v>0</v>
      </c>
      <c r="I3" s="385">
        <v>0</v>
      </c>
      <c r="J3" s="115">
        <f>SUM(G3:I3)</f>
        <v>30</v>
      </c>
      <c r="K3" s="37" t="s">
        <v>87</v>
      </c>
      <c r="L3" s="15" t="s">
        <v>243</v>
      </c>
      <c r="M3" s="15" t="s">
        <v>42</v>
      </c>
      <c r="N3" s="15" t="s">
        <v>43</v>
      </c>
      <c r="O3" s="67" t="s">
        <v>243</v>
      </c>
      <c r="P3" s="1" t="s">
        <v>42</v>
      </c>
      <c r="Q3" s="1" t="s">
        <v>43</v>
      </c>
      <c r="R3" s="4" t="s">
        <v>63</v>
      </c>
      <c r="S3" s="4" t="s">
        <v>957</v>
      </c>
      <c r="T3" s="119" t="s">
        <v>243</v>
      </c>
      <c r="U3" s="119" t="s">
        <v>42</v>
      </c>
      <c r="V3" s="119" t="s">
        <v>43</v>
      </c>
      <c r="W3" s="124" t="s">
        <v>243</v>
      </c>
      <c r="X3" s="119" t="s">
        <v>42</v>
      </c>
      <c r="Y3" s="119" t="s">
        <v>43</v>
      </c>
      <c r="Z3" s="60"/>
      <c r="AA3" s="60"/>
      <c r="AB3" s="60"/>
      <c r="AC3" s="124" t="s">
        <v>243</v>
      </c>
      <c r="AD3" s="119" t="s">
        <v>42</v>
      </c>
      <c r="AE3" s="119" t="s">
        <v>43</v>
      </c>
      <c r="AF3" s="119" t="s">
        <v>243</v>
      </c>
      <c r="AG3" s="119" t="s">
        <v>42</v>
      </c>
      <c r="AH3" s="119" t="s">
        <v>43</v>
      </c>
      <c r="AI3" s="119" t="s">
        <v>243</v>
      </c>
      <c r="AJ3" s="119" t="s">
        <v>42</v>
      </c>
      <c r="AK3" s="119" t="s">
        <v>43</v>
      </c>
      <c r="AL3" s="119" t="s">
        <v>243</v>
      </c>
      <c r="AM3" s="119" t="s">
        <v>42</v>
      </c>
      <c r="AN3" s="119" t="s">
        <v>43</v>
      </c>
      <c r="AP3" t="s">
        <v>640</v>
      </c>
      <c r="AQ3" t="s">
        <v>260</v>
      </c>
      <c r="AR3" t="s">
        <v>563</v>
      </c>
      <c r="AS3">
        <v>678</v>
      </c>
      <c r="AU3" t="s">
        <v>502</v>
      </c>
      <c r="AV3" t="s">
        <v>264</v>
      </c>
      <c r="AW3" t="s">
        <v>436</v>
      </c>
      <c r="AX3">
        <v>37</v>
      </c>
    </row>
    <row r="4" spans="1:50" ht="14.95" customHeight="1" thickBot="1" x14ac:dyDescent="0.3">
      <c r="A4" s="56" t="s">
        <v>138</v>
      </c>
      <c r="B4" s="318">
        <v>4</v>
      </c>
      <c r="C4" s="246">
        <v>0</v>
      </c>
      <c r="D4" s="383">
        <v>0</v>
      </c>
      <c r="E4" s="90">
        <f t="shared" ref="E4:E47" si="0">SUM(B4:D4)</f>
        <v>4</v>
      </c>
      <c r="F4" s="112" t="s">
        <v>138</v>
      </c>
      <c r="G4" s="301">
        <v>20</v>
      </c>
      <c r="H4" s="116">
        <v>0</v>
      </c>
      <c r="I4" s="385">
        <v>0</v>
      </c>
      <c r="J4" s="115">
        <f t="shared" ref="J4:J47" si="1">SUM(G4:I4)</f>
        <v>20</v>
      </c>
      <c r="K4" s="74" t="s">
        <v>1053</v>
      </c>
      <c r="L4" s="17">
        <v>0</v>
      </c>
      <c r="M4" s="17">
        <v>1</v>
      </c>
      <c r="N4" s="17">
        <v>0</v>
      </c>
      <c r="O4" s="17" t="s">
        <v>50</v>
      </c>
      <c r="P4" s="17" t="s">
        <v>50</v>
      </c>
      <c r="Q4" s="17" t="s">
        <v>50</v>
      </c>
      <c r="R4" s="90">
        <v>-1</v>
      </c>
      <c r="S4" s="90">
        <v>-1</v>
      </c>
      <c r="T4" s="17">
        <v>8</v>
      </c>
      <c r="U4" s="17">
        <v>15</v>
      </c>
      <c r="V4" s="29">
        <f>SUM(T4/U4)*100</f>
        <v>53.333333333333336</v>
      </c>
      <c r="W4" s="168">
        <v>43</v>
      </c>
      <c r="X4" s="90">
        <v>56</v>
      </c>
      <c r="Y4" s="29">
        <f>SUM(W4/X4)*100</f>
        <v>76.785714285714292</v>
      </c>
      <c r="Z4" s="64"/>
      <c r="AA4" s="64"/>
      <c r="AB4" s="64"/>
      <c r="AC4" s="168">
        <v>33</v>
      </c>
      <c r="AD4" s="90">
        <v>42</v>
      </c>
      <c r="AE4" s="29">
        <f>SUM(AC4/AD4)*100</f>
        <v>78.571428571428569</v>
      </c>
      <c r="AF4" s="90">
        <v>36</v>
      </c>
      <c r="AG4" s="90">
        <v>46</v>
      </c>
      <c r="AH4" s="29">
        <f>SUM(AF4/AG4)*100</f>
        <v>78.260869565217391</v>
      </c>
      <c r="AI4" s="90">
        <v>51</v>
      </c>
      <c r="AJ4" s="90">
        <v>72</v>
      </c>
      <c r="AK4" s="29">
        <f>SUM(AI4/AJ4)*100</f>
        <v>70.833333333333343</v>
      </c>
      <c r="AL4" s="90" t="s">
        <v>50</v>
      </c>
      <c r="AM4" s="90" t="s">
        <v>50</v>
      </c>
      <c r="AN4" s="90" t="s">
        <v>50</v>
      </c>
      <c r="AP4" t="s">
        <v>392</v>
      </c>
      <c r="AQ4" t="s">
        <v>260</v>
      </c>
      <c r="AR4" t="s">
        <v>346</v>
      </c>
      <c r="AS4">
        <v>540</v>
      </c>
      <c r="AU4" t="s">
        <v>646</v>
      </c>
      <c r="AV4" t="s">
        <v>268</v>
      </c>
      <c r="AW4" t="s">
        <v>319</v>
      </c>
      <c r="AX4">
        <v>35</v>
      </c>
    </row>
    <row r="5" spans="1:50" ht="14.95" customHeight="1" thickBot="1" x14ac:dyDescent="0.3">
      <c r="A5" s="56" t="s">
        <v>154</v>
      </c>
      <c r="B5" s="318">
        <v>1</v>
      </c>
      <c r="C5" s="246">
        <v>1</v>
      </c>
      <c r="D5" s="383">
        <v>0</v>
      </c>
      <c r="E5" s="90">
        <f t="shared" si="0"/>
        <v>2</v>
      </c>
      <c r="F5" s="112" t="s">
        <v>154</v>
      </c>
      <c r="G5" s="301">
        <v>5</v>
      </c>
      <c r="H5" s="116">
        <v>5</v>
      </c>
      <c r="I5" s="385">
        <v>0</v>
      </c>
      <c r="J5" s="115">
        <f t="shared" si="1"/>
        <v>10</v>
      </c>
      <c r="K5" s="74" t="s">
        <v>1771</v>
      </c>
      <c r="L5" s="17" t="s">
        <v>50</v>
      </c>
      <c r="M5" s="17" t="s">
        <v>50</v>
      </c>
      <c r="N5" s="17" t="s">
        <v>50</v>
      </c>
      <c r="O5" s="17" t="s">
        <v>50</v>
      </c>
      <c r="P5" s="17" t="s">
        <v>50</v>
      </c>
      <c r="Q5" s="17" t="s">
        <v>50</v>
      </c>
      <c r="R5" s="17" t="s">
        <v>64</v>
      </c>
      <c r="S5" s="17">
        <v>1</v>
      </c>
      <c r="T5" s="17" t="s">
        <v>50</v>
      </c>
      <c r="U5" s="17" t="s">
        <v>50</v>
      </c>
      <c r="V5" s="17" t="s">
        <v>50</v>
      </c>
      <c r="W5" s="17" t="s">
        <v>50</v>
      </c>
      <c r="X5" s="17" t="s">
        <v>50</v>
      </c>
      <c r="Y5" s="17" t="s">
        <v>50</v>
      </c>
      <c r="Z5" s="64"/>
      <c r="AA5" s="64"/>
      <c r="AB5" s="64"/>
      <c r="AC5" s="17" t="s">
        <v>50</v>
      </c>
      <c r="AD5" s="17" t="s">
        <v>50</v>
      </c>
      <c r="AE5" s="17" t="s">
        <v>50</v>
      </c>
      <c r="AF5" s="17" t="s">
        <v>50</v>
      </c>
      <c r="AG5" s="17" t="s">
        <v>50</v>
      </c>
      <c r="AH5" s="17" t="s">
        <v>50</v>
      </c>
      <c r="AI5" s="17" t="s">
        <v>50</v>
      </c>
      <c r="AJ5" s="17" t="s">
        <v>50</v>
      </c>
      <c r="AK5" s="17" t="s">
        <v>50</v>
      </c>
      <c r="AL5" s="17" t="s">
        <v>50</v>
      </c>
      <c r="AM5" s="17" t="s">
        <v>50</v>
      </c>
      <c r="AN5" s="17" t="s">
        <v>50</v>
      </c>
      <c r="AP5" t="s">
        <v>446</v>
      </c>
      <c r="AQ5" t="s">
        <v>260</v>
      </c>
      <c r="AR5" t="s">
        <v>329</v>
      </c>
      <c r="AS5">
        <v>461</v>
      </c>
      <c r="AU5" t="s">
        <v>647</v>
      </c>
      <c r="AV5" t="s">
        <v>268</v>
      </c>
      <c r="AW5" t="s">
        <v>463</v>
      </c>
      <c r="AX5">
        <v>34</v>
      </c>
    </row>
    <row r="6" spans="1:50" ht="14.95" customHeight="1" thickBot="1" x14ac:dyDescent="0.3">
      <c r="A6" s="56" t="s">
        <v>1204</v>
      </c>
      <c r="B6" s="318">
        <v>6</v>
      </c>
      <c r="C6" s="246">
        <v>0</v>
      </c>
      <c r="D6" s="383">
        <v>1</v>
      </c>
      <c r="E6" s="90">
        <f t="shared" si="0"/>
        <v>7</v>
      </c>
      <c r="F6" s="112" t="s">
        <v>1204</v>
      </c>
      <c r="G6" s="301">
        <v>30</v>
      </c>
      <c r="H6" s="116">
        <v>0</v>
      </c>
      <c r="I6" s="385">
        <v>5</v>
      </c>
      <c r="J6" s="115">
        <f t="shared" si="1"/>
        <v>35</v>
      </c>
      <c r="K6" s="74" t="s">
        <v>253</v>
      </c>
      <c r="L6" s="17">
        <v>5</v>
      </c>
      <c r="M6" s="17">
        <v>7</v>
      </c>
      <c r="N6" s="452">
        <v>71.428571428571431</v>
      </c>
      <c r="O6" s="17" t="s">
        <v>50</v>
      </c>
      <c r="P6" s="17" t="s">
        <v>50</v>
      </c>
      <c r="Q6" s="17" t="s">
        <v>50</v>
      </c>
      <c r="R6" s="17">
        <v>2</v>
      </c>
      <c r="S6" s="17">
        <v>2</v>
      </c>
      <c r="T6" s="17" t="s">
        <v>50</v>
      </c>
      <c r="U6" s="17" t="s">
        <v>50</v>
      </c>
      <c r="V6" s="17" t="s">
        <v>50</v>
      </c>
      <c r="W6" s="125" t="s">
        <v>50</v>
      </c>
      <c r="X6" s="17" t="s">
        <v>50</v>
      </c>
      <c r="Y6" s="17" t="s">
        <v>50</v>
      </c>
      <c r="Z6" s="52"/>
      <c r="AA6" s="52"/>
      <c r="AB6" s="52"/>
      <c r="AC6" s="125" t="s">
        <v>50</v>
      </c>
      <c r="AD6" s="17" t="s">
        <v>50</v>
      </c>
      <c r="AE6" s="17" t="s">
        <v>50</v>
      </c>
      <c r="AF6" s="17" t="s">
        <v>50</v>
      </c>
      <c r="AG6" s="17" t="s">
        <v>50</v>
      </c>
      <c r="AH6" s="17" t="s">
        <v>50</v>
      </c>
      <c r="AI6" s="17" t="s">
        <v>50</v>
      </c>
      <c r="AJ6" s="17" t="s">
        <v>50</v>
      </c>
      <c r="AK6" s="17" t="s">
        <v>50</v>
      </c>
      <c r="AL6" s="17" t="s">
        <v>50</v>
      </c>
      <c r="AM6" s="17" t="s">
        <v>50</v>
      </c>
      <c r="AN6" s="17" t="s">
        <v>50</v>
      </c>
      <c r="AP6" t="s">
        <v>641</v>
      </c>
      <c r="AQ6" t="s">
        <v>268</v>
      </c>
      <c r="AR6" t="s">
        <v>485</v>
      </c>
      <c r="AS6">
        <v>443</v>
      </c>
      <c r="AU6" t="s">
        <v>649</v>
      </c>
      <c r="AV6" t="s">
        <v>276</v>
      </c>
      <c r="AW6" t="s">
        <v>445</v>
      </c>
      <c r="AX6">
        <v>27</v>
      </c>
    </row>
    <row r="7" spans="1:50" ht="14.95" customHeight="1" thickBot="1" x14ac:dyDescent="0.3">
      <c r="A7" s="56" t="s">
        <v>139</v>
      </c>
      <c r="B7" s="318">
        <v>1</v>
      </c>
      <c r="C7" s="246">
        <v>1</v>
      </c>
      <c r="D7" s="383">
        <v>0</v>
      </c>
      <c r="E7" s="90">
        <f t="shared" si="0"/>
        <v>2</v>
      </c>
      <c r="F7" s="112" t="s">
        <v>139</v>
      </c>
      <c r="G7" s="301">
        <v>5</v>
      </c>
      <c r="H7" s="116">
        <v>5</v>
      </c>
      <c r="I7" s="385">
        <v>0</v>
      </c>
      <c r="J7" s="115">
        <f t="shared" si="1"/>
        <v>10</v>
      </c>
      <c r="K7" s="74" t="s">
        <v>1212</v>
      </c>
      <c r="L7" s="17">
        <v>16</v>
      </c>
      <c r="M7" s="17">
        <v>25</v>
      </c>
      <c r="N7" s="29">
        <f>SUM(L7/M7)*100</f>
        <v>64</v>
      </c>
      <c r="O7" s="17" t="s">
        <v>50</v>
      </c>
      <c r="P7" s="17" t="s">
        <v>50</v>
      </c>
      <c r="Q7" s="17" t="s">
        <v>50</v>
      </c>
      <c r="R7" s="90">
        <v>-4</v>
      </c>
      <c r="S7" s="90">
        <v>-1</v>
      </c>
      <c r="T7" s="90">
        <v>31</v>
      </c>
      <c r="U7" s="90">
        <v>41</v>
      </c>
      <c r="V7" s="29">
        <f>SUM(T7/U7)*100</f>
        <v>75.609756097560975</v>
      </c>
      <c r="W7" s="168">
        <v>4</v>
      </c>
      <c r="X7" s="90">
        <v>8</v>
      </c>
      <c r="Y7" s="29">
        <f>SUM(W7/X7)*100</f>
        <v>50</v>
      </c>
      <c r="Z7" s="64"/>
      <c r="AA7" s="64"/>
      <c r="AB7" s="64"/>
      <c r="AC7" s="168">
        <v>64</v>
      </c>
      <c r="AD7" s="90">
        <v>103</v>
      </c>
      <c r="AE7" s="29">
        <f>SUM(AC7/AD7)*100</f>
        <v>62.135922330097081</v>
      </c>
      <c r="AF7" s="90">
        <v>60</v>
      </c>
      <c r="AG7" s="90">
        <v>84</v>
      </c>
      <c r="AH7" s="29">
        <f>SUM(AF7/AG7)*100</f>
        <v>71.428571428571431</v>
      </c>
      <c r="AI7" s="90">
        <v>50</v>
      </c>
      <c r="AJ7" s="90">
        <v>72</v>
      </c>
      <c r="AK7" s="29">
        <f>SUM(AI7/AJ7)*100</f>
        <v>69.444444444444443</v>
      </c>
      <c r="AL7" s="90">
        <v>24</v>
      </c>
      <c r="AM7" s="90">
        <v>38</v>
      </c>
      <c r="AN7" s="90">
        <v>73</v>
      </c>
      <c r="AP7" t="s">
        <v>443</v>
      </c>
      <c r="AQ7" t="s">
        <v>260</v>
      </c>
      <c r="AR7" t="s">
        <v>311</v>
      </c>
      <c r="AS7">
        <v>373</v>
      </c>
      <c r="AU7" t="s">
        <v>651</v>
      </c>
      <c r="AV7" t="s">
        <v>271</v>
      </c>
      <c r="AW7" t="s">
        <v>462</v>
      </c>
      <c r="AX7">
        <v>22</v>
      </c>
    </row>
    <row r="8" spans="1:50" ht="14.95" customHeight="1" thickBot="1" x14ac:dyDescent="0.3">
      <c r="A8" s="56" t="s">
        <v>1771</v>
      </c>
      <c r="B8" s="318">
        <v>0</v>
      </c>
      <c r="C8" s="246">
        <v>0</v>
      </c>
      <c r="D8" s="383">
        <v>0</v>
      </c>
      <c r="E8" s="90">
        <f t="shared" si="0"/>
        <v>0</v>
      </c>
      <c r="F8" s="113" t="s">
        <v>1771</v>
      </c>
      <c r="G8" s="301">
        <v>0</v>
      </c>
      <c r="H8" s="116">
        <v>0</v>
      </c>
      <c r="I8" s="385">
        <v>2</v>
      </c>
      <c r="J8" s="115">
        <f t="shared" si="1"/>
        <v>2</v>
      </c>
      <c r="K8" s="74" t="s">
        <v>40</v>
      </c>
      <c r="L8" s="17">
        <v>70</v>
      </c>
      <c r="M8" s="17">
        <v>88</v>
      </c>
      <c r="N8" s="29">
        <f>SUM(L8/M8)*100</f>
        <v>79.545454545454547</v>
      </c>
      <c r="O8" s="17">
        <v>2</v>
      </c>
      <c r="P8" s="17">
        <v>3</v>
      </c>
      <c r="Q8" s="29">
        <f>SUM(O8/P8)*100</f>
        <v>66.666666666666657</v>
      </c>
      <c r="R8" s="17">
        <v>-1</v>
      </c>
      <c r="S8" s="17">
        <v>-1</v>
      </c>
      <c r="T8" s="17">
        <v>48</v>
      </c>
      <c r="U8" s="17">
        <v>58</v>
      </c>
      <c r="V8" s="29">
        <f>SUM(T8/U8)*100</f>
        <v>82.758620689655174</v>
      </c>
      <c r="W8" s="125">
        <v>11</v>
      </c>
      <c r="X8" s="17">
        <v>15</v>
      </c>
      <c r="Y8" s="29">
        <f>SUM(W8/X8)*100</f>
        <v>73.333333333333329</v>
      </c>
      <c r="Z8" s="64"/>
      <c r="AA8" s="64"/>
      <c r="AB8" s="64"/>
      <c r="AC8" s="125">
        <v>22</v>
      </c>
      <c r="AD8" s="17">
        <v>31</v>
      </c>
      <c r="AE8" s="29">
        <f>SUM(AC8/AD8)*100</f>
        <v>70.967741935483872</v>
      </c>
      <c r="AF8" s="17">
        <v>5</v>
      </c>
      <c r="AG8" s="17">
        <v>13</v>
      </c>
      <c r="AH8" s="29">
        <f>SUM(AF8/AG8)*100</f>
        <v>38.461538461538467</v>
      </c>
      <c r="AI8" s="17">
        <v>23</v>
      </c>
      <c r="AJ8" s="17">
        <v>29</v>
      </c>
      <c r="AK8" s="29">
        <f>SUM(AI8/AJ8)*100</f>
        <v>79.310344827586206</v>
      </c>
      <c r="AL8" s="17">
        <v>8</v>
      </c>
      <c r="AM8" s="17">
        <v>10</v>
      </c>
      <c r="AN8" s="17">
        <v>80</v>
      </c>
      <c r="AP8" t="s">
        <v>642</v>
      </c>
      <c r="AQ8" t="s">
        <v>260</v>
      </c>
      <c r="AR8" t="s">
        <v>404</v>
      </c>
      <c r="AS8">
        <v>353</v>
      </c>
      <c r="AU8" t="s">
        <v>594</v>
      </c>
      <c r="AV8" t="s">
        <v>263</v>
      </c>
      <c r="AW8" t="s">
        <v>487</v>
      </c>
      <c r="AX8">
        <v>22</v>
      </c>
    </row>
    <row r="9" spans="1:50" ht="14.95" customHeight="1" thickBot="1" x14ac:dyDescent="0.3">
      <c r="A9" s="56" t="s">
        <v>425</v>
      </c>
      <c r="B9" s="318">
        <v>3</v>
      </c>
      <c r="C9" s="246">
        <v>0</v>
      </c>
      <c r="D9" s="383">
        <v>0</v>
      </c>
      <c r="E9" s="90">
        <f t="shared" si="0"/>
        <v>3</v>
      </c>
      <c r="F9" s="113" t="s">
        <v>425</v>
      </c>
      <c r="G9" s="301">
        <v>55</v>
      </c>
      <c r="H9" s="116">
        <v>27</v>
      </c>
      <c r="I9" s="385">
        <v>0</v>
      </c>
      <c r="J9" s="115">
        <f t="shared" si="1"/>
        <v>82</v>
      </c>
      <c r="K9" s="126" t="s">
        <v>1054</v>
      </c>
      <c r="L9" s="17" t="s">
        <v>50</v>
      </c>
      <c r="M9" s="17" t="s">
        <v>50</v>
      </c>
      <c r="N9" s="17" t="s">
        <v>50</v>
      </c>
      <c r="O9" s="17" t="s">
        <v>50</v>
      </c>
      <c r="P9" s="17" t="s">
        <v>50</v>
      </c>
      <c r="Q9" s="17" t="s">
        <v>50</v>
      </c>
      <c r="R9" s="17">
        <v>-2</v>
      </c>
      <c r="S9" s="17">
        <v>-2</v>
      </c>
      <c r="T9" s="17" t="s">
        <v>50</v>
      </c>
      <c r="U9" s="17" t="s">
        <v>50</v>
      </c>
      <c r="V9" s="17" t="s">
        <v>50</v>
      </c>
      <c r="W9" s="125">
        <v>25</v>
      </c>
      <c r="X9" s="17">
        <v>36</v>
      </c>
      <c r="Y9" s="29">
        <f>SUM(W9/X9)*100</f>
        <v>69.444444444444443</v>
      </c>
      <c r="Z9" s="64"/>
      <c r="AA9" s="64"/>
      <c r="AB9" s="64"/>
      <c r="AC9" s="125" t="s">
        <v>50</v>
      </c>
      <c r="AD9" s="17" t="s">
        <v>50</v>
      </c>
      <c r="AE9" s="17" t="s">
        <v>50</v>
      </c>
      <c r="AF9" s="17" t="s">
        <v>50</v>
      </c>
      <c r="AG9" s="17" t="s">
        <v>50</v>
      </c>
      <c r="AH9" s="17" t="s">
        <v>50</v>
      </c>
      <c r="AI9" s="17" t="s">
        <v>50</v>
      </c>
      <c r="AJ9" s="17" t="s">
        <v>50</v>
      </c>
      <c r="AK9" s="17" t="s">
        <v>50</v>
      </c>
      <c r="AL9" s="17" t="s">
        <v>50</v>
      </c>
      <c r="AM9" s="17" t="s">
        <v>50</v>
      </c>
      <c r="AN9" s="17" t="s">
        <v>50</v>
      </c>
      <c r="AP9" t="s">
        <v>501</v>
      </c>
      <c r="AQ9" t="s">
        <v>264</v>
      </c>
      <c r="AR9" t="s">
        <v>455</v>
      </c>
      <c r="AS9">
        <v>315</v>
      </c>
      <c r="AU9" t="s">
        <v>534</v>
      </c>
      <c r="AV9" t="s">
        <v>278</v>
      </c>
      <c r="AW9" t="s">
        <v>325</v>
      </c>
      <c r="AX9">
        <v>21</v>
      </c>
    </row>
    <row r="10" spans="1:50" ht="14.95" customHeight="1" thickBot="1" x14ac:dyDescent="0.3">
      <c r="A10" s="56" t="s">
        <v>961</v>
      </c>
      <c r="B10" s="318">
        <v>1</v>
      </c>
      <c r="C10" s="246">
        <v>0</v>
      </c>
      <c r="D10" s="383">
        <v>0</v>
      </c>
      <c r="E10" s="90">
        <f t="shared" si="0"/>
        <v>1</v>
      </c>
      <c r="F10" s="113" t="s">
        <v>961</v>
      </c>
      <c r="G10" s="301">
        <v>5</v>
      </c>
      <c r="H10" s="116">
        <v>0</v>
      </c>
      <c r="I10" s="385">
        <v>0</v>
      </c>
      <c r="J10" s="115">
        <f t="shared" si="1"/>
        <v>5</v>
      </c>
      <c r="K10" s="70"/>
      <c r="L10" s="86"/>
      <c r="AP10" t="s">
        <v>643</v>
      </c>
      <c r="AQ10" t="s">
        <v>296</v>
      </c>
      <c r="AR10" t="s">
        <v>311</v>
      </c>
      <c r="AS10">
        <v>297</v>
      </c>
      <c r="AU10" t="s">
        <v>653</v>
      </c>
      <c r="AV10" t="s">
        <v>276</v>
      </c>
      <c r="AW10" t="s">
        <v>476</v>
      </c>
      <c r="AX10">
        <v>21</v>
      </c>
    </row>
    <row r="11" spans="1:50" ht="14.95" customHeight="1" thickBot="1" x14ac:dyDescent="0.3">
      <c r="A11" s="56" t="s">
        <v>1768</v>
      </c>
      <c r="B11" s="318">
        <v>1</v>
      </c>
      <c r="C11" s="246">
        <v>0</v>
      </c>
      <c r="D11" s="383">
        <v>1</v>
      </c>
      <c r="E11" s="90">
        <f t="shared" si="0"/>
        <v>2</v>
      </c>
      <c r="F11" s="113" t="s">
        <v>1768</v>
      </c>
      <c r="G11" s="301">
        <v>5</v>
      </c>
      <c r="H11" s="116">
        <v>0</v>
      </c>
      <c r="I11" s="385">
        <v>5</v>
      </c>
      <c r="J11" s="115">
        <f t="shared" si="1"/>
        <v>10</v>
      </c>
      <c r="K11" s="476" t="s">
        <v>1325</v>
      </c>
      <c r="L11" s="463" t="s">
        <v>49</v>
      </c>
      <c r="M11" s="464"/>
      <c r="N11" s="465"/>
      <c r="O11" s="457" t="s">
        <v>1215</v>
      </c>
      <c r="P11" s="458"/>
      <c r="Q11" s="459"/>
      <c r="R11" s="457" t="s">
        <v>1216</v>
      </c>
      <c r="S11" s="458"/>
      <c r="T11" s="459"/>
      <c r="U11" s="457" t="s">
        <v>1217</v>
      </c>
      <c r="V11" s="458"/>
      <c r="W11" s="459"/>
      <c r="X11" s="149"/>
      <c r="Y11" s="127"/>
      <c r="Z11" s="127"/>
      <c r="AD11" s="457" t="s">
        <v>1218</v>
      </c>
      <c r="AE11" s="458"/>
      <c r="AF11" s="459"/>
      <c r="AG11" s="457" t="s">
        <v>186</v>
      </c>
      <c r="AH11" s="458"/>
      <c r="AI11" s="459"/>
      <c r="AP11" t="s">
        <v>644</v>
      </c>
      <c r="AQ11" t="s">
        <v>262</v>
      </c>
      <c r="AR11" t="s">
        <v>556</v>
      </c>
      <c r="AS11">
        <v>249</v>
      </c>
      <c r="AU11" t="s">
        <v>568</v>
      </c>
      <c r="AV11" t="s">
        <v>274</v>
      </c>
      <c r="AW11" t="s">
        <v>368</v>
      </c>
      <c r="AX11">
        <v>20</v>
      </c>
    </row>
    <row r="12" spans="1:50" ht="14.95" customHeight="1" thickBot="1" x14ac:dyDescent="0.3">
      <c r="A12" s="56" t="s">
        <v>109</v>
      </c>
      <c r="B12" s="318">
        <v>0</v>
      </c>
      <c r="C12" s="246">
        <v>0</v>
      </c>
      <c r="D12" s="383">
        <v>0</v>
      </c>
      <c r="E12" s="90">
        <f t="shared" si="0"/>
        <v>0</v>
      </c>
      <c r="F12" s="113" t="s">
        <v>109</v>
      </c>
      <c r="G12" s="301">
        <v>0</v>
      </c>
      <c r="H12" s="116">
        <v>0</v>
      </c>
      <c r="I12" s="385">
        <v>0</v>
      </c>
      <c r="J12" s="115">
        <f t="shared" si="1"/>
        <v>0</v>
      </c>
      <c r="K12" s="477"/>
      <c r="L12" s="466"/>
      <c r="M12" s="467"/>
      <c r="N12" s="468"/>
      <c r="O12" s="460"/>
      <c r="P12" s="461"/>
      <c r="Q12" s="462"/>
      <c r="R12" s="460"/>
      <c r="S12" s="461"/>
      <c r="T12" s="462"/>
      <c r="U12" s="460"/>
      <c r="V12" s="461"/>
      <c r="W12" s="462"/>
      <c r="X12" s="149"/>
      <c r="Y12" s="127"/>
      <c r="Z12" s="127"/>
      <c r="AC12" s="190"/>
      <c r="AD12" s="460"/>
      <c r="AE12" s="461"/>
      <c r="AF12" s="462"/>
      <c r="AG12" s="460"/>
      <c r="AH12" s="461"/>
      <c r="AI12" s="462"/>
      <c r="AP12" t="s">
        <v>610</v>
      </c>
      <c r="AQ12" t="s">
        <v>268</v>
      </c>
      <c r="AR12" t="s">
        <v>327</v>
      </c>
      <c r="AS12">
        <v>198</v>
      </c>
      <c r="AU12" t="s">
        <v>605</v>
      </c>
      <c r="AV12" t="s">
        <v>264</v>
      </c>
      <c r="AW12" t="s">
        <v>654</v>
      </c>
      <c r="AX12">
        <v>20</v>
      </c>
    </row>
    <row r="13" spans="1:50" ht="14.95" customHeight="1" thickBot="1" x14ac:dyDescent="0.3">
      <c r="A13" s="56" t="s">
        <v>1206</v>
      </c>
      <c r="B13" s="318">
        <v>1</v>
      </c>
      <c r="C13" s="246">
        <v>0</v>
      </c>
      <c r="D13" s="383">
        <v>0</v>
      </c>
      <c r="E13" s="90">
        <f t="shared" si="0"/>
        <v>1</v>
      </c>
      <c r="F13" s="113" t="s">
        <v>1206</v>
      </c>
      <c r="G13" s="301">
        <v>5</v>
      </c>
      <c r="H13" s="116">
        <v>0</v>
      </c>
      <c r="I13" s="385">
        <v>0</v>
      </c>
      <c r="J13" s="115">
        <f t="shared" si="1"/>
        <v>5</v>
      </c>
      <c r="K13" s="37" t="s">
        <v>87</v>
      </c>
      <c r="L13" s="15" t="s">
        <v>243</v>
      </c>
      <c r="M13" s="15" t="s">
        <v>42</v>
      </c>
      <c r="N13" s="15" t="s">
        <v>43</v>
      </c>
      <c r="O13" s="119" t="s">
        <v>243</v>
      </c>
      <c r="P13" s="119" t="s">
        <v>42</v>
      </c>
      <c r="Q13" s="119" t="s">
        <v>43</v>
      </c>
      <c r="R13" s="119" t="s">
        <v>243</v>
      </c>
      <c r="S13" s="119" t="s">
        <v>42</v>
      </c>
      <c r="T13" s="119" t="s">
        <v>43</v>
      </c>
      <c r="U13" s="124" t="s">
        <v>243</v>
      </c>
      <c r="V13" s="119" t="s">
        <v>42</v>
      </c>
      <c r="W13" s="119" t="s">
        <v>43</v>
      </c>
      <c r="X13" s="152"/>
      <c r="Y13" s="153"/>
      <c r="Z13" s="153"/>
      <c r="AC13" s="190"/>
      <c r="AD13" s="124" t="s">
        <v>243</v>
      </c>
      <c r="AE13" s="119" t="s">
        <v>42</v>
      </c>
      <c r="AF13" s="119" t="s">
        <v>43</v>
      </c>
      <c r="AG13" s="124" t="s">
        <v>44</v>
      </c>
      <c r="AH13" s="119" t="s">
        <v>42</v>
      </c>
      <c r="AI13" s="119" t="s">
        <v>43</v>
      </c>
      <c r="AP13" t="s">
        <v>645</v>
      </c>
      <c r="AQ13" t="s">
        <v>259</v>
      </c>
      <c r="AR13" t="s">
        <v>556</v>
      </c>
      <c r="AS13">
        <v>194</v>
      </c>
      <c r="AU13" t="s">
        <v>504</v>
      </c>
      <c r="AV13" t="s">
        <v>264</v>
      </c>
      <c r="AW13" t="s">
        <v>479</v>
      </c>
      <c r="AX13">
        <v>19</v>
      </c>
    </row>
    <row r="14" spans="1:50" ht="14.95" customHeight="1" thickBot="1" x14ac:dyDescent="0.3">
      <c r="A14" s="56" t="s">
        <v>252</v>
      </c>
      <c r="B14" s="318">
        <v>1</v>
      </c>
      <c r="C14" s="246">
        <v>0</v>
      </c>
      <c r="D14" s="383">
        <v>0</v>
      </c>
      <c r="E14" s="90">
        <f t="shared" si="0"/>
        <v>1</v>
      </c>
      <c r="F14" s="113" t="s">
        <v>252</v>
      </c>
      <c r="G14" s="301">
        <v>5</v>
      </c>
      <c r="H14" s="116">
        <v>0</v>
      </c>
      <c r="I14" s="385">
        <v>0</v>
      </c>
      <c r="J14" s="115">
        <f t="shared" si="1"/>
        <v>5</v>
      </c>
      <c r="K14" s="74" t="s">
        <v>1053</v>
      </c>
      <c r="L14" s="17">
        <v>3</v>
      </c>
      <c r="M14" s="17">
        <v>5</v>
      </c>
      <c r="N14" s="29">
        <f>SUM(L14/M14)*100</f>
        <v>60</v>
      </c>
      <c r="O14" s="17">
        <v>21</v>
      </c>
      <c r="P14" s="17">
        <v>25</v>
      </c>
      <c r="Q14" s="29">
        <f>SUM(O14/P14)*100</f>
        <v>84</v>
      </c>
      <c r="R14" s="90">
        <v>11</v>
      </c>
      <c r="S14" s="90">
        <v>13</v>
      </c>
      <c r="T14" s="29">
        <f>SUM(R14/S14)*100</f>
        <v>84.615384615384613</v>
      </c>
      <c r="U14" s="168">
        <v>11</v>
      </c>
      <c r="V14" s="90">
        <v>18</v>
      </c>
      <c r="W14" s="29">
        <f>SUM(U14/V14)*100</f>
        <v>61.111111111111114</v>
      </c>
      <c r="X14" s="152"/>
      <c r="Y14" s="153"/>
      <c r="Z14" s="153"/>
      <c r="AC14" s="190"/>
      <c r="AD14" s="168">
        <v>13</v>
      </c>
      <c r="AE14" s="90">
        <v>18</v>
      </c>
      <c r="AF14" s="29">
        <f>SUM(AD14/AE14)*100</f>
        <v>72.222222222222214</v>
      </c>
      <c r="AG14" s="168">
        <v>6</v>
      </c>
      <c r="AH14" s="90">
        <v>9</v>
      </c>
      <c r="AI14" s="29">
        <f>SUM(AG14/AH14)*100</f>
        <v>66.666666666666657</v>
      </c>
      <c r="AP14" t="s">
        <v>502</v>
      </c>
      <c r="AQ14" t="s">
        <v>264</v>
      </c>
      <c r="AR14" t="s">
        <v>436</v>
      </c>
      <c r="AS14">
        <v>185</v>
      </c>
      <c r="AU14" t="s">
        <v>655</v>
      </c>
      <c r="AV14" t="s">
        <v>268</v>
      </c>
      <c r="AW14" t="s">
        <v>436</v>
      </c>
      <c r="AX14">
        <v>19</v>
      </c>
    </row>
    <row r="15" spans="1:50" ht="14.95" customHeight="1" thickBot="1" x14ac:dyDescent="0.3">
      <c r="A15" s="56" t="s">
        <v>253</v>
      </c>
      <c r="B15" s="318">
        <v>0</v>
      </c>
      <c r="C15" s="246">
        <v>0</v>
      </c>
      <c r="D15" s="383">
        <v>1</v>
      </c>
      <c r="E15" s="90">
        <f t="shared" si="0"/>
        <v>1</v>
      </c>
      <c r="F15" s="113" t="s">
        <v>253</v>
      </c>
      <c r="G15" s="301">
        <v>11</v>
      </c>
      <c r="H15" s="116">
        <v>0</v>
      </c>
      <c r="I15" s="385">
        <v>9</v>
      </c>
      <c r="J15" s="115">
        <f t="shared" si="1"/>
        <v>20</v>
      </c>
      <c r="K15" s="74" t="s">
        <v>90</v>
      </c>
      <c r="L15" s="17">
        <v>6</v>
      </c>
      <c r="M15" s="17">
        <v>9</v>
      </c>
      <c r="N15" s="29">
        <f>SUM(L15/M15)*100</f>
        <v>66.666666666666657</v>
      </c>
      <c r="O15" s="17">
        <v>22</v>
      </c>
      <c r="P15" s="17">
        <v>27</v>
      </c>
      <c r="Q15" s="29">
        <f>SUM(O15/P15)*100</f>
        <v>81.481481481481481</v>
      </c>
      <c r="R15" s="17">
        <v>6</v>
      </c>
      <c r="S15" s="17">
        <v>8</v>
      </c>
      <c r="T15" s="29">
        <f>SUM(R15/S15)*100</f>
        <v>75</v>
      </c>
      <c r="U15" s="125">
        <v>2</v>
      </c>
      <c r="V15" s="17">
        <v>3</v>
      </c>
      <c r="W15" s="29">
        <f>SUM(U15/V15)*100</f>
        <v>66.666666666666657</v>
      </c>
      <c r="X15" s="152"/>
      <c r="Y15" s="153"/>
      <c r="Z15" s="153"/>
      <c r="AC15" s="190"/>
      <c r="AD15" s="125" t="s">
        <v>50</v>
      </c>
      <c r="AE15" s="17" t="s">
        <v>50</v>
      </c>
      <c r="AF15" s="17" t="s">
        <v>50</v>
      </c>
      <c r="AG15" s="125">
        <v>6</v>
      </c>
      <c r="AH15" s="17">
        <v>9</v>
      </c>
      <c r="AI15" s="29">
        <f>SUM(AG15/AH15)*100</f>
        <v>66.666666666666657</v>
      </c>
      <c r="AP15" t="s">
        <v>646</v>
      </c>
      <c r="AQ15" t="s">
        <v>268</v>
      </c>
      <c r="AR15" t="s">
        <v>319</v>
      </c>
      <c r="AS15">
        <v>180</v>
      </c>
      <c r="AU15" t="s">
        <v>354</v>
      </c>
      <c r="AV15" t="s">
        <v>264</v>
      </c>
      <c r="AW15" t="s">
        <v>298</v>
      </c>
      <c r="AX15">
        <v>17</v>
      </c>
    </row>
    <row r="16" spans="1:50" ht="14.95" customHeight="1" thickBot="1" x14ac:dyDescent="0.3">
      <c r="A16" s="56" t="s">
        <v>142</v>
      </c>
      <c r="B16" s="318">
        <v>0</v>
      </c>
      <c r="C16" s="246">
        <v>0</v>
      </c>
      <c r="D16" s="383">
        <v>0</v>
      </c>
      <c r="E16" s="90">
        <f t="shared" si="0"/>
        <v>0</v>
      </c>
      <c r="F16" s="113" t="s">
        <v>142</v>
      </c>
      <c r="G16" s="301">
        <v>0</v>
      </c>
      <c r="H16" s="116">
        <v>0</v>
      </c>
      <c r="I16" s="385">
        <v>0</v>
      </c>
      <c r="J16" s="115">
        <f t="shared" si="1"/>
        <v>0</v>
      </c>
      <c r="K16" s="74" t="s">
        <v>1213</v>
      </c>
      <c r="L16" s="17" t="s">
        <v>50</v>
      </c>
      <c r="M16" s="17" t="s">
        <v>50</v>
      </c>
      <c r="N16" s="17" t="s">
        <v>50</v>
      </c>
      <c r="O16" s="17" t="s">
        <v>50</v>
      </c>
      <c r="P16" s="17" t="s">
        <v>50</v>
      </c>
      <c r="Q16" s="17" t="s">
        <v>50</v>
      </c>
      <c r="R16" s="17" t="s">
        <v>50</v>
      </c>
      <c r="S16" s="17" t="s">
        <v>50</v>
      </c>
      <c r="T16" s="17" t="s">
        <v>50</v>
      </c>
      <c r="U16" s="125" t="s">
        <v>50</v>
      </c>
      <c r="V16" s="17" t="s">
        <v>50</v>
      </c>
      <c r="W16" s="17" t="s">
        <v>50</v>
      </c>
      <c r="X16" s="152"/>
      <c r="Y16" s="153"/>
      <c r="Z16" s="153"/>
      <c r="AC16" s="190"/>
      <c r="AD16" s="17" t="s">
        <v>50</v>
      </c>
      <c r="AE16" s="17" t="s">
        <v>50</v>
      </c>
      <c r="AF16" s="17" t="s">
        <v>50</v>
      </c>
      <c r="AG16" s="125">
        <v>1</v>
      </c>
      <c r="AH16" s="17">
        <v>1</v>
      </c>
      <c r="AI16" s="29">
        <f>SUM(AG16/AH16)*100</f>
        <v>100</v>
      </c>
      <c r="AJ16" t="s">
        <v>1214</v>
      </c>
      <c r="AP16" t="s">
        <v>647</v>
      </c>
      <c r="AQ16" t="s">
        <v>268</v>
      </c>
      <c r="AR16" t="s">
        <v>463</v>
      </c>
      <c r="AS16">
        <v>170</v>
      </c>
      <c r="AU16" t="s">
        <v>547</v>
      </c>
      <c r="AV16" t="s">
        <v>277</v>
      </c>
      <c r="AW16" t="s">
        <v>439</v>
      </c>
      <c r="AX16">
        <v>17</v>
      </c>
    </row>
    <row r="17" spans="1:50" ht="14.95" customHeight="1" thickBot="1" x14ac:dyDescent="0.3">
      <c r="A17" s="56" t="s">
        <v>1207</v>
      </c>
      <c r="B17" s="318">
        <v>0</v>
      </c>
      <c r="C17" s="246">
        <v>0</v>
      </c>
      <c r="D17" s="383">
        <v>0</v>
      </c>
      <c r="E17" s="90">
        <f t="shared" si="0"/>
        <v>0</v>
      </c>
      <c r="F17" s="113" t="s">
        <v>1207</v>
      </c>
      <c r="G17" s="301">
        <v>0</v>
      </c>
      <c r="H17" s="116">
        <v>0</v>
      </c>
      <c r="I17" s="385">
        <v>0</v>
      </c>
      <c r="J17" s="115">
        <f t="shared" si="1"/>
        <v>0</v>
      </c>
      <c r="K17" s="74" t="s">
        <v>1212</v>
      </c>
      <c r="L17" s="17">
        <v>10</v>
      </c>
      <c r="M17" s="17">
        <v>11</v>
      </c>
      <c r="N17" s="29">
        <f>SUM(L17/M17)*100</f>
        <v>90.909090909090907</v>
      </c>
      <c r="O17" s="90">
        <v>8</v>
      </c>
      <c r="P17" s="90">
        <v>10</v>
      </c>
      <c r="Q17" s="29">
        <f>SUM(O17/P17)*100</f>
        <v>80</v>
      </c>
      <c r="R17" s="90">
        <v>11</v>
      </c>
      <c r="S17" s="90">
        <v>14</v>
      </c>
      <c r="T17" s="29">
        <f>SUM(R17/S17)*100</f>
        <v>78.571428571428569</v>
      </c>
      <c r="U17" s="90">
        <v>13</v>
      </c>
      <c r="V17" s="90">
        <v>18</v>
      </c>
      <c r="W17" s="29">
        <f>SUM(U17/V17)*100</f>
        <v>72.222222222222214</v>
      </c>
      <c r="X17" s="242"/>
      <c r="Y17" s="130"/>
      <c r="Z17" s="131"/>
      <c r="AA17" s="130"/>
      <c r="AB17" s="130"/>
      <c r="AC17" s="131"/>
      <c r="AD17" s="168">
        <v>9</v>
      </c>
      <c r="AE17" s="90">
        <v>9</v>
      </c>
      <c r="AF17" s="29">
        <f>SUM(AD17/AE17)*100</f>
        <v>100</v>
      </c>
      <c r="AG17" s="168">
        <v>15</v>
      </c>
      <c r="AH17" s="90">
        <v>21</v>
      </c>
      <c r="AI17" s="29">
        <f>SUM(AG17/AH17)*100</f>
        <v>71.428571428571431</v>
      </c>
      <c r="AJ17" t="s">
        <v>87</v>
      </c>
      <c r="AP17" t="s">
        <v>648</v>
      </c>
      <c r="AR17" t="s">
        <v>327</v>
      </c>
      <c r="AS17">
        <v>137</v>
      </c>
      <c r="AU17" t="s">
        <v>656</v>
      </c>
      <c r="AV17" t="s">
        <v>268</v>
      </c>
      <c r="AW17" t="s">
        <v>305</v>
      </c>
      <c r="AX17">
        <v>17</v>
      </c>
    </row>
    <row r="18" spans="1:50" ht="14.95" customHeight="1" thickBot="1" x14ac:dyDescent="0.3">
      <c r="A18" s="56" t="s">
        <v>1208</v>
      </c>
      <c r="B18" s="318">
        <v>1</v>
      </c>
      <c r="C18" s="246">
        <v>1</v>
      </c>
      <c r="D18" s="383">
        <v>1</v>
      </c>
      <c r="E18" s="90">
        <f t="shared" si="0"/>
        <v>3</v>
      </c>
      <c r="F18" s="113" t="s">
        <v>1208</v>
      </c>
      <c r="G18" s="301">
        <v>5</v>
      </c>
      <c r="H18" s="116">
        <v>5</v>
      </c>
      <c r="I18" s="385">
        <v>5</v>
      </c>
      <c r="J18" s="115">
        <f t="shared" si="1"/>
        <v>15</v>
      </c>
      <c r="K18" s="74" t="s">
        <v>1054</v>
      </c>
      <c r="L18" s="17" t="s">
        <v>50</v>
      </c>
      <c r="M18" s="17" t="s">
        <v>50</v>
      </c>
      <c r="N18" s="17" t="s">
        <v>50</v>
      </c>
      <c r="O18" s="17" t="s">
        <v>50</v>
      </c>
      <c r="P18" s="17" t="s">
        <v>50</v>
      </c>
      <c r="Q18" s="17" t="s">
        <v>50</v>
      </c>
      <c r="R18" s="169">
        <v>1</v>
      </c>
      <c r="S18" s="169">
        <v>3</v>
      </c>
      <c r="T18" s="170">
        <f>SUM(R18/S18)*100</f>
        <v>33.333333333333329</v>
      </c>
      <c r="U18" s="125" t="s">
        <v>50</v>
      </c>
      <c r="V18" s="17" t="s">
        <v>50</v>
      </c>
      <c r="W18" s="17" t="s">
        <v>50</v>
      </c>
      <c r="X18" s="152"/>
      <c r="Y18" s="153"/>
      <c r="Z18" s="153"/>
      <c r="AC18" s="190"/>
      <c r="AD18" s="17" t="s">
        <v>50</v>
      </c>
      <c r="AE18" s="17" t="s">
        <v>50</v>
      </c>
      <c r="AF18" s="17" t="s">
        <v>50</v>
      </c>
      <c r="AG18" s="125" t="s">
        <v>50</v>
      </c>
      <c r="AH18" s="17" t="s">
        <v>50</v>
      </c>
      <c r="AI18" s="17" t="s">
        <v>50</v>
      </c>
      <c r="AP18" t="s">
        <v>649</v>
      </c>
      <c r="AQ18" t="s">
        <v>276</v>
      </c>
      <c r="AR18" t="s">
        <v>445</v>
      </c>
      <c r="AS18">
        <v>135</v>
      </c>
      <c r="AU18" t="s">
        <v>659</v>
      </c>
      <c r="AV18" t="s">
        <v>276</v>
      </c>
      <c r="AW18" t="s">
        <v>467</v>
      </c>
      <c r="AX18">
        <v>15</v>
      </c>
    </row>
    <row r="19" spans="1:50" ht="14.95" customHeight="1" thickBot="1" x14ac:dyDescent="0.3">
      <c r="A19" s="56" t="s">
        <v>1039</v>
      </c>
      <c r="B19" s="318">
        <v>2</v>
      </c>
      <c r="C19" s="246">
        <v>0</v>
      </c>
      <c r="D19" s="383">
        <v>0</v>
      </c>
      <c r="E19" s="90">
        <f t="shared" si="0"/>
        <v>2</v>
      </c>
      <c r="F19" s="113" t="s">
        <v>1039</v>
      </c>
      <c r="G19" s="301">
        <v>10</v>
      </c>
      <c r="H19" s="116">
        <v>0</v>
      </c>
      <c r="I19" s="385">
        <v>0</v>
      </c>
      <c r="J19" s="115">
        <f t="shared" si="1"/>
        <v>10</v>
      </c>
      <c r="X19" t="s">
        <v>87</v>
      </c>
      <c r="AP19" t="s">
        <v>258</v>
      </c>
      <c r="AQ19" t="s">
        <v>259</v>
      </c>
      <c r="AR19" t="s">
        <v>307</v>
      </c>
      <c r="AS19">
        <v>125</v>
      </c>
      <c r="AU19" t="s">
        <v>590</v>
      </c>
      <c r="AV19" t="s">
        <v>268</v>
      </c>
      <c r="AW19" t="s">
        <v>291</v>
      </c>
      <c r="AX19">
        <v>14</v>
      </c>
    </row>
    <row r="20" spans="1:50" ht="14.95" customHeight="1" thickBot="1" x14ac:dyDescent="0.3">
      <c r="A20" s="56" t="s">
        <v>199</v>
      </c>
      <c r="B20" s="318">
        <v>3</v>
      </c>
      <c r="C20" s="246">
        <v>1</v>
      </c>
      <c r="D20" s="383">
        <v>0</v>
      </c>
      <c r="E20" s="90">
        <f t="shared" si="0"/>
        <v>4</v>
      </c>
      <c r="F20" s="113" t="s">
        <v>199</v>
      </c>
      <c r="G20" s="301">
        <v>15</v>
      </c>
      <c r="H20" s="116">
        <v>5</v>
      </c>
      <c r="I20" s="385">
        <v>0</v>
      </c>
      <c r="J20" s="115">
        <f t="shared" si="1"/>
        <v>20</v>
      </c>
      <c r="K20" s="474" t="s">
        <v>1071</v>
      </c>
      <c r="L20" s="463" t="s">
        <v>49</v>
      </c>
      <c r="M20" s="464"/>
      <c r="N20" s="465"/>
      <c r="O20" s="457" t="s">
        <v>124</v>
      </c>
      <c r="P20" s="458"/>
      <c r="Q20" s="459"/>
      <c r="R20" s="457" t="s">
        <v>1070</v>
      </c>
      <c r="S20" s="458"/>
      <c r="T20" s="459"/>
      <c r="U20" s="457" t="s">
        <v>254</v>
      </c>
      <c r="V20" s="458"/>
      <c r="W20" s="459"/>
      <c r="X20" s="127"/>
      <c r="Y20" s="127"/>
      <c r="Z20" s="127"/>
      <c r="AD20" s="457" t="s">
        <v>186</v>
      </c>
      <c r="AE20" s="458"/>
      <c r="AF20" s="459"/>
      <c r="AP20" t="s">
        <v>650</v>
      </c>
      <c r="AQ20" t="s">
        <v>260</v>
      </c>
      <c r="AR20" t="s">
        <v>637</v>
      </c>
      <c r="AS20">
        <v>114</v>
      </c>
      <c r="AU20" t="s">
        <v>265</v>
      </c>
      <c r="AV20" t="s">
        <v>263</v>
      </c>
      <c r="AW20" t="s">
        <v>311</v>
      </c>
      <c r="AX20">
        <v>14</v>
      </c>
    </row>
    <row r="21" spans="1:50" ht="14.95" customHeight="1" thickBot="1" x14ac:dyDescent="0.3">
      <c r="A21" s="56" t="s">
        <v>417</v>
      </c>
      <c r="B21" s="318">
        <v>1</v>
      </c>
      <c r="C21" s="246">
        <v>0</v>
      </c>
      <c r="D21" s="383">
        <v>0</v>
      </c>
      <c r="E21" s="90">
        <f t="shared" si="0"/>
        <v>1</v>
      </c>
      <c r="F21" s="113" t="s">
        <v>417</v>
      </c>
      <c r="G21" s="301">
        <v>5</v>
      </c>
      <c r="H21" s="116">
        <v>0</v>
      </c>
      <c r="I21" s="385">
        <v>0</v>
      </c>
      <c r="J21" s="115">
        <f t="shared" si="1"/>
        <v>5</v>
      </c>
      <c r="K21" s="475"/>
      <c r="L21" s="466"/>
      <c r="M21" s="467"/>
      <c r="N21" s="468"/>
      <c r="O21" s="460"/>
      <c r="P21" s="461"/>
      <c r="Q21" s="462"/>
      <c r="R21" s="460"/>
      <c r="S21" s="461"/>
      <c r="T21" s="462"/>
      <c r="U21" s="460"/>
      <c r="V21" s="461"/>
      <c r="W21" s="462"/>
      <c r="X21" s="127"/>
      <c r="Y21" s="127"/>
      <c r="Z21" s="127"/>
      <c r="AD21" s="460"/>
      <c r="AE21" s="461"/>
      <c r="AF21" s="462"/>
      <c r="AP21" t="s">
        <v>651</v>
      </c>
      <c r="AQ21" t="s">
        <v>271</v>
      </c>
      <c r="AR21" t="s">
        <v>462</v>
      </c>
      <c r="AS21">
        <v>110</v>
      </c>
      <c r="AU21" t="s">
        <v>660</v>
      </c>
      <c r="AV21" t="s">
        <v>264</v>
      </c>
      <c r="AW21" t="s">
        <v>329</v>
      </c>
      <c r="AX21">
        <v>14</v>
      </c>
    </row>
    <row r="22" spans="1:50" ht="14.95" customHeight="1" thickBot="1" x14ac:dyDescent="0.3">
      <c r="A22" s="56" t="s">
        <v>1024</v>
      </c>
      <c r="B22" s="318">
        <v>0</v>
      </c>
      <c r="C22" s="246">
        <v>1</v>
      </c>
      <c r="D22" s="383">
        <v>0</v>
      </c>
      <c r="E22" s="90">
        <f t="shared" si="0"/>
        <v>1</v>
      </c>
      <c r="F22" s="113" t="s">
        <v>1024</v>
      </c>
      <c r="G22" s="301">
        <v>0</v>
      </c>
      <c r="H22" s="116">
        <v>5</v>
      </c>
      <c r="I22" s="385">
        <v>0</v>
      </c>
      <c r="J22" s="115">
        <f t="shared" si="1"/>
        <v>5</v>
      </c>
      <c r="K22" s="37" t="s">
        <v>87</v>
      </c>
      <c r="L22" s="15" t="s">
        <v>243</v>
      </c>
      <c r="M22" s="15" t="s">
        <v>42</v>
      </c>
      <c r="N22" s="15" t="s">
        <v>43</v>
      </c>
      <c r="O22" s="119" t="s">
        <v>243</v>
      </c>
      <c r="P22" s="119" t="s">
        <v>42</v>
      </c>
      <c r="Q22" s="119" t="s">
        <v>43</v>
      </c>
      <c r="R22" s="119" t="s">
        <v>243</v>
      </c>
      <c r="S22" s="119" t="s">
        <v>42</v>
      </c>
      <c r="T22" s="119" t="s">
        <v>43</v>
      </c>
      <c r="U22" s="119" t="s">
        <v>243</v>
      </c>
      <c r="V22" s="119" t="s">
        <v>42</v>
      </c>
      <c r="W22" s="119" t="s">
        <v>43</v>
      </c>
      <c r="X22" s="60"/>
      <c r="Y22" s="60"/>
      <c r="Z22" s="60"/>
      <c r="AD22" s="124" t="s">
        <v>243</v>
      </c>
      <c r="AE22" s="119" t="s">
        <v>42</v>
      </c>
      <c r="AF22" s="119" t="s">
        <v>43</v>
      </c>
      <c r="AP22" t="s">
        <v>594</v>
      </c>
      <c r="AQ22" t="s">
        <v>263</v>
      </c>
      <c r="AR22" t="s">
        <v>487</v>
      </c>
      <c r="AS22">
        <v>110</v>
      </c>
      <c r="AU22" t="s">
        <v>638</v>
      </c>
      <c r="AV22" t="s">
        <v>271</v>
      </c>
      <c r="AW22" t="s">
        <v>394</v>
      </c>
      <c r="AX22">
        <v>12</v>
      </c>
    </row>
    <row r="23" spans="1:50" ht="14.95" customHeight="1" thickBot="1" x14ac:dyDescent="0.3">
      <c r="A23" s="56" t="s">
        <v>1209</v>
      </c>
      <c r="B23" s="318">
        <v>0</v>
      </c>
      <c r="C23" s="246">
        <v>0</v>
      </c>
      <c r="D23" s="383">
        <v>0</v>
      </c>
      <c r="E23" s="90">
        <f t="shared" si="0"/>
        <v>0</v>
      </c>
      <c r="F23" s="113" t="s">
        <v>1209</v>
      </c>
      <c r="G23" s="301">
        <v>0</v>
      </c>
      <c r="H23" s="116">
        <v>0</v>
      </c>
      <c r="I23" s="385">
        <v>0</v>
      </c>
      <c r="J23" s="115">
        <f t="shared" si="1"/>
        <v>0</v>
      </c>
      <c r="K23" s="159" t="s">
        <v>253</v>
      </c>
      <c r="L23" s="17">
        <v>2</v>
      </c>
      <c r="M23" s="17">
        <v>4</v>
      </c>
      <c r="N23" s="29">
        <f>SUM(L23/M23)*100</f>
        <v>50</v>
      </c>
      <c r="O23" s="17">
        <v>4</v>
      </c>
      <c r="P23" s="17">
        <v>6</v>
      </c>
      <c r="Q23" s="29">
        <f>SUM(O23/P23)*100</f>
        <v>66.666666666666657</v>
      </c>
      <c r="R23" s="90">
        <v>7</v>
      </c>
      <c r="S23" s="90">
        <v>13</v>
      </c>
      <c r="T23" s="29">
        <f>SUM(R23/S23)*100</f>
        <v>53.846153846153847</v>
      </c>
      <c r="U23" s="17" t="s">
        <v>50</v>
      </c>
      <c r="V23" s="17" t="s">
        <v>50</v>
      </c>
      <c r="W23" s="17" t="s">
        <v>50</v>
      </c>
      <c r="X23" s="52"/>
      <c r="Y23" s="52"/>
      <c r="Z23" s="52"/>
      <c r="AD23" s="125" t="s">
        <v>50</v>
      </c>
      <c r="AE23" s="17" t="s">
        <v>50</v>
      </c>
      <c r="AF23" s="17" t="s">
        <v>50</v>
      </c>
      <c r="AP23" t="s">
        <v>652</v>
      </c>
      <c r="AQ23" t="s">
        <v>263</v>
      </c>
      <c r="AR23" t="s">
        <v>299</v>
      </c>
      <c r="AS23">
        <v>106</v>
      </c>
      <c r="AU23" t="s">
        <v>661</v>
      </c>
      <c r="AV23" t="s">
        <v>264</v>
      </c>
      <c r="AW23" t="s">
        <v>565</v>
      </c>
      <c r="AX23">
        <v>11</v>
      </c>
    </row>
    <row r="24" spans="1:50" ht="14.95" customHeight="1" thickBot="1" x14ac:dyDescent="0.3">
      <c r="A24" s="56" t="s">
        <v>249</v>
      </c>
      <c r="B24" s="318">
        <v>3</v>
      </c>
      <c r="C24" s="246">
        <v>0</v>
      </c>
      <c r="D24" s="383">
        <v>0</v>
      </c>
      <c r="E24" s="90">
        <f t="shared" si="0"/>
        <v>3</v>
      </c>
      <c r="F24" s="113" t="s">
        <v>249</v>
      </c>
      <c r="G24" s="301">
        <v>15</v>
      </c>
      <c r="H24" s="116">
        <v>0</v>
      </c>
      <c r="I24" s="385">
        <v>0</v>
      </c>
      <c r="J24" s="115">
        <f t="shared" si="1"/>
        <v>15</v>
      </c>
      <c r="K24" s="159" t="s">
        <v>1771</v>
      </c>
      <c r="L24" s="17">
        <v>1</v>
      </c>
      <c r="M24" s="17">
        <v>1</v>
      </c>
      <c r="N24" s="29">
        <f>SUM(L24/M24)*100</f>
        <v>100</v>
      </c>
      <c r="O24" s="17" t="s">
        <v>50</v>
      </c>
      <c r="P24" s="17" t="s">
        <v>50</v>
      </c>
      <c r="Q24" s="17" t="s">
        <v>50</v>
      </c>
      <c r="R24" s="17" t="s">
        <v>50</v>
      </c>
      <c r="S24" s="17" t="s">
        <v>50</v>
      </c>
      <c r="T24" s="17" t="s">
        <v>50</v>
      </c>
      <c r="U24" s="17" t="s">
        <v>50</v>
      </c>
      <c r="V24" s="17" t="s">
        <v>50</v>
      </c>
      <c r="W24" s="17" t="s">
        <v>50</v>
      </c>
      <c r="X24" s="52"/>
      <c r="Y24" s="52"/>
      <c r="Z24" s="52"/>
      <c r="AD24" s="436" t="s">
        <v>50</v>
      </c>
      <c r="AE24" s="17" t="s">
        <v>50</v>
      </c>
      <c r="AF24" s="17" t="s">
        <v>50</v>
      </c>
      <c r="AP24" t="s">
        <v>534</v>
      </c>
      <c r="AQ24" t="s">
        <v>278</v>
      </c>
      <c r="AR24" t="s">
        <v>325</v>
      </c>
      <c r="AS24">
        <v>105</v>
      </c>
      <c r="AU24" t="s">
        <v>446</v>
      </c>
      <c r="AV24" t="s">
        <v>260</v>
      </c>
      <c r="AW24" t="s">
        <v>329</v>
      </c>
      <c r="AX24">
        <v>11</v>
      </c>
    </row>
    <row r="25" spans="1:50" ht="14.95" customHeight="1" thickBot="1" x14ac:dyDescent="0.3">
      <c r="A25" s="56" t="s">
        <v>1210</v>
      </c>
      <c r="B25" s="318">
        <v>1</v>
      </c>
      <c r="C25" s="246">
        <v>0</v>
      </c>
      <c r="D25" s="383">
        <v>0</v>
      </c>
      <c r="E25" s="90">
        <f t="shared" si="0"/>
        <v>1</v>
      </c>
      <c r="F25" s="113" t="s">
        <v>1210</v>
      </c>
      <c r="G25" s="301">
        <v>5</v>
      </c>
      <c r="H25" s="116">
        <v>0</v>
      </c>
      <c r="I25" s="385">
        <v>0</v>
      </c>
      <c r="J25" s="115">
        <f t="shared" si="1"/>
        <v>5</v>
      </c>
      <c r="K25" s="159" t="s">
        <v>40</v>
      </c>
      <c r="L25" s="17">
        <v>2</v>
      </c>
      <c r="M25" s="17">
        <v>2</v>
      </c>
      <c r="N25" s="29">
        <f>SUM(L25/M25)*100</f>
        <v>100</v>
      </c>
      <c r="O25" s="17">
        <v>4</v>
      </c>
      <c r="P25" s="17">
        <v>4</v>
      </c>
      <c r="Q25" s="29">
        <f>SUM(O25/P25)*100</f>
        <v>100</v>
      </c>
      <c r="R25" s="90" t="s">
        <v>50</v>
      </c>
      <c r="S25" s="90" t="s">
        <v>50</v>
      </c>
      <c r="T25" s="90" t="s">
        <v>50</v>
      </c>
      <c r="U25" s="90" t="s">
        <v>50</v>
      </c>
      <c r="V25" s="90" t="s">
        <v>50</v>
      </c>
      <c r="W25" s="90" t="s">
        <v>50</v>
      </c>
      <c r="X25" s="83"/>
      <c r="Y25" s="83"/>
      <c r="Z25" s="83"/>
      <c r="AD25" s="168" t="s">
        <v>50</v>
      </c>
      <c r="AE25" s="90" t="s">
        <v>50</v>
      </c>
      <c r="AF25" s="90" t="s">
        <v>50</v>
      </c>
      <c r="AP25" t="s">
        <v>653</v>
      </c>
      <c r="AQ25" t="s">
        <v>276</v>
      </c>
      <c r="AR25" t="s">
        <v>476</v>
      </c>
      <c r="AS25">
        <v>105</v>
      </c>
      <c r="AU25" t="s">
        <v>648</v>
      </c>
      <c r="AW25" t="s">
        <v>327</v>
      </c>
      <c r="AX25">
        <v>10</v>
      </c>
    </row>
    <row r="26" spans="1:50" ht="14.95" customHeight="1" thickBot="1" x14ac:dyDescent="0.3">
      <c r="A26" s="56" t="s">
        <v>200</v>
      </c>
      <c r="B26" s="318">
        <v>2</v>
      </c>
      <c r="C26" s="246">
        <v>0</v>
      </c>
      <c r="D26" s="383">
        <v>0</v>
      </c>
      <c r="E26" s="90">
        <f t="shared" si="0"/>
        <v>2</v>
      </c>
      <c r="F26" s="113" t="s">
        <v>200</v>
      </c>
      <c r="G26" s="301">
        <v>10</v>
      </c>
      <c r="H26" s="116">
        <v>0</v>
      </c>
      <c r="I26" s="385">
        <v>0</v>
      </c>
      <c r="J26" s="115">
        <f t="shared" si="1"/>
        <v>10</v>
      </c>
      <c r="K26" s="56" t="s">
        <v>1053</v>
      </c>
      <c r="L26" s="17">
        <v>2</v>
      </c>
      <c r="M26" s="17">
        <v>3</v>
      </c>
      <c r="N26" s="29">
        <f>SUM(L26/M26)*100</f>
        <v>66.666666666666657</v>
      </c>
      <c r="O26" s="90">
        <v>2</v>
      </c>
      <c r="P26" s="90">
        <v>3</v>
      </c>
      <c r="Q26" s="29">
        <f>SUM(O26/P26)*100</f>
        <v>66.666666666666657</v>
      </c>
      <c r="R26" s="90">
        <v>5</v>
      </c>
      <c r="S26" s="90">
        <v>6</v>
      </c>
      <c r="T26" s="29">
        <f>SUM(R26/S26)*100</f>
        <v>83.333333333333343</v>
      </c>
      <c r="U26" s="90">
        <v>7</v>
      </c>
      <c r="V26" s="90">
        <v>8</v>
      </c>
      <c r="W26" s="29">
        <f>SUM(U26/V26)*100</f>
        <v>87.5</v>
      </c>
      <c r="X26" s="64"/>
      <c r="Y26" s="64"/>
      <c r="Z26" s="64"/>
      <c r="AD26" s="168">
        <v>13</v>
      </c>
      <c r="AE26" s="90">
        <v>19</v>
      </c>
      <c r="AF26" s="29">
        <f>SUM(AD26/AE26)*100</f>
        <v>68.421052631578945</v>
      </c>
      <c r="AP26" t="s">
        <v>568</v>
      </c>
      <c r="AQ26" t="s">
        <v>274</v>
      </c>
      <c r="AR26" t="s">
        <v>368</v>
      </c>
      <c r="AS26">
        <v>100</v>
      </c>
      <c r="AU26" t="s">
        <v>470</v>
      </c>
      <c r="AV26" t="s">
        <v>262</v>
      </c>
      <c r="AW26" t="s">
        <v>411</v>
      </c>
      <c r="AX26">
        <v>10</v>
      </c>
    </row>
    <row r="27" spans="1:50" ht="14.95" customHeight="1" thickBot="1" x14ac:dyDescent="0.3">
      <c r="A27" s="56" t="s">
        <v>201</v>
      </c>
      <c r="B27" s="318">
        <v>0</v>
      </c>
      <c r="C27" s="246">
        <v>0</v>
      </c>
      <c r="D27" s="383">
        <v>0</v>
      </c>
      <c r="E27" s="90">
        <f t="shared" si="0"/>
        <v>0</v>
      </c>
      <c r="F27" s="113" t="s">
        <v>201</v>
      </c>
      <c r="G27" s="301">
        <v>0</v>
      </c>
      <c r="H27" s="116">
        <v>0</v>
      </c>
      <c r="I27" s="385">
        <v>0</v>
      </c>
      <c r="J27" s="115">
        <f t="shared" si="1"/>
        <v>0</v>
      </c>
      <c r="K27" s="126" t="s">
        <v>140</v>
      </c>
      <c r="L27" s="17" t="s">
        <v>50</v>
      </c>
      <c r="M27" s="17" t="s">
        <v>50</v>
      </c>
      <c r="N27" s="17" t="s">
        <v>50</v>
      </c>
      <c r="O27" s="17">
        <v>6</v>
      </c>
      <c r="P27" s="17">
        <v>10</v>
      </c>
      <c r="Q27" s="29">
        <f>SUM(O27/P27)*100</f>
        <v>60</v>
      </c>
      <c r="R27" s="17">
        <v>1</v>
      </c>
      <c r="S27" s="17">
        <v>2</v>
      </c>
      <c r="T27" s="29">
        <f>SUM(R27/S27)*100</f>
        <v>50</v>
      </c>
      <c r="U27" s="17">
        <v>4</v>
      </c>
      <c r="V27" s="17">
        <v>5</v>
      </c>
      <c r="W27" s="29">
        <f>SUM(U27/V27)*100</f>
        <v>80</v>
      </c>
      <c r="X27" s="64"/>
      <c r="Y27" s="64"/>
      <c r="Z27" s="64"/>
      <c r="AD27" s="125">
        <v>1</v>
      </c>
      <c r="AE27" s="17">
        <v>2</v>
      </c>
      <c r="AF27" s="29">
        <f>SUM(AD27/AE27)*100</f>
        <v>50</v>
      </c>
      <c r="AP27" t="s">
        <v>605</v>
      </c>
      <c r="AQ27" t="s">
        <v>264</v>
      </c>
      <c r="AR27" t="s">
        <v>654</v>
      </c>
      <c r="AS27">
        <v>100</v>
      </c>
      <c r="AU27" t="s">
        <v>662</v>
      </c>
      <c r="AV27" t="s">
        <v>262</v>
      </c>
      <c r="AW27" t="s">
        <v>552</v>
      </c>
      <c r="AX27">
        <v>10</v>
      </c>
    </row>
    <row r="28" spans="1:50" ht="14.95" customHeight="1" thickBot="1" x14ac:dyDescent="0.3">
      <c r="A28" s="56" t="s">
        <v>107</v>
      </c>
      <c r="B28" s="318">
        <v>5</v>
      </c>
      <c r="C28" s="246">
        <v>2</v>
      </c>
      <c r="D28" s="383">
        <v>0</v>
      </c>
      <c r="E28" s="90">
        <f t="shared" si="0"/>
        <v>7</v>
      </c>
      <c r="F28" s="113" t="s">
        <v>107</v>
      </c>
      <c r="G28" s="301">
        <v>25</v>
      </c>
      <c r="H28" s="116">
        <v>10</v>
      </c>
      <c r="I28" s="385">
        <v>0</v>
      </c>
      <c r="J28" s="115">
        <f t="shared" si="1"/>
        <v>35</v>
      </c>
      <c r="K28" s="512" t="s">
        <v>1742</v>
      </c>
      <c r="L28" s="503"/>
      <c r="M28" s="503"/>
      <c r="N28" s="503"/>
      <c r="O28" s="503"/>
      <c r="P28" s="503"/>
      <c r="Q28" s="503"/>
      <c r="R28" s="503"/>
      <c r="S28" s="503"/>
      <c r="T28" s="503"/>
      <c r="U28" s="503"/>
      <c r="V28" s="503"/>
      <c r="W28" s="503"/>
      <c r="X28" s="503"/>
      <c r="Y28" s="503"/>
      <c r="Z28" s="503"/>
      <c r="AA28" s="503"/>
      <c r="AB28" s="503"/>
      <c r="AC28" s="503"/>
      <c r="AD28" s="503"/>
      <c r="AE28" s="503"/>
      <c r="AF28" s="503"/>
      <c r="AG28" s="503"/>
      <c r="AH28" s="503"/>
      <c r="AP28" t="s">
        <v>504</v>
      </c>
      <c r="AQ28" t="s">
        <v>264</v>
      </c>
      <c r="AR28" t="s">
        <v>479</v>
      </c>
      <c r="AS28">
        <v>95</v>
      </c>
      <c r="AU28" t="s">
        <v>612</v>
      </c>
      <c r="AV28" t="s">
        <v>260</v>
      </c>
      <c r="AW28" t="s">
        <v>445</v>
      </c>
      <c r="AX28">
        <v>10</v>
      </c>
    </row>
    <row r="29" spans="1:50" ht="14.95" customHeight="1" thickBot="1" x14ac:dyDescent="0.3">
      <c r="A29" s="56" t="s">
        <v>1211</v>
      </c>
      <c r="B29" s="318">
        <v>0</v>
      </c>
      <c r="C29" s="246">
        <v>0</v>
      </c>
      <c r="D29" s="383">
        <v>0</v>
      </c>
      <c r="E29" s="90">
        <f t="shared" si="0"/>
        <v>0</v>
      </c>
      <c r="F29" s="113" t="s">
        <v>1211</v>
      </c>
      <c r="G29" s="301">
        <v>0</v>
      </c>
      <c r="H29" s="116">
        <v>0</v>
      </c>
      <c r="I29" s="385">
        <v>0</v>
      </c>
      <c r="J29" s="115">
        <f t="shared" si="1"/>
        <v>0</v>
      </c>
      <c r="K29" s="512" t="s">
        <v>1761</v>
      </c>
      <c r="L29" s="503"/>
      <c r="M29" s="503"/>
      <c r="N29" s="503"/>
      <c r="O29" s="503"/>
      <c r="P29" s="503"/>
      <c r="Q29" s="503"/>
      <c r="R29" s="503"/>
      <c r="S29" s="503"/>
      <c r="T29" s="503"/>
      <c r="U29" s="503"/>
      <c r="V29" s="503"/>
      <c r="W29" s="503"/>
      <c r="AP29" t="s">
        <v>655</v>
      </c>
      <c r="AQ29" t="s">
        <v>268</v>
      </c>
      <c r="AR29" t="s">
        <v>436</v>
      </c>
      <c r="AS29">
        <v>95</v>
      </c>
      <c r="AU29" t="s">
        <v>641</v>
      </c>
      <c r="AV29" t="s">
        <v>268</v>
      </c>
      <c r="AW29" t="s">
        <v>485</v>
      </c>
      <c r="AX29">
        <v>10</v>
      </c>
    </row>
    <row r="30" spans="1:50" ht="14.95" customHeight="1" thickBot="1" x14ac:dyDescent="0.3">
      <c r="A30" s="56" t="s">
        <v>933</v>
      </c>
      <c r="B30" s="318">
        <v>0</v>
      </c>
      <c r="C30" s="246">
        <v>0</v>
      </c>
      <c r="D30" s="383">
        <v>1</v>
      </c>
      <c r="E30" s="90">
        <f t="shared" si="0"/>
        <v>1</v>
      </c>
      <c r="F30" s="113" t="s">
        <v>933</v>
      </c>
      <c r="G30" s="301">
        <v>0</v>
      </c>
      <c r="H30" s="116">
        <v>0</v>
      </c>
      <c r="I30" s="385">
        <v>5</v>
      </c>
      <c r="J30" s="115">
        <f t="shared" si="1"/>
        <v>5</v>
      </c>
      <c r="K30" s="150"/>
      <c r="O30" s="109"/>
      <c r="P30" s="109"/>
      <c r="Q30" s="109"/>
      <c r="R30" s="109"/>
      <c r="S30" s="109"/>
      <c r="T30" s="109"/>
      <c r="U30" s="109"/>
      <c r="V30" s="109"/>
      <c r="W30" s="109"/>
      <c r="AP30" t="s">
        <v>354</v>
      </c>
      <c r="AQ30" t="s">
        <v>264</v>
      </c>
      <c r="AR30" t="s">
        <v>298</v>
      </c>
      <c r="AS30">
        <v>85</v>
      </c>
      <c r="AU30" t="s">
        <v>267</v>
      </c>
      <c r="AV30" t="s">
        <v>268</v>
      </c>
      <c r="AW30" t="s">
        <v>441</v>
      </c>
      <c r="AX30">
        <v>10</v>
      </c>
    </row>
    <row r="31" spans="1:50" ht="14.95" customHeight="1" thickBot="1" x14ac:dyDescent="0.3">
      <c r="A31" s="56" t="s">
        <v>7</v>
      </c>
      <c r="B31" s="318">
        <v>0</v>
      </c>
      <c r="C31" s="246">
        <v>0</v>
      </c>
      <c r="D31" s="383">
        <v>1</v>
      </c>
      <c r="E31" s="90">
        <f t="shared" si="0"/>
        <v>1</v>
      </c>
      <c r="F31" s="113" t="s">
        <v>7</v>
      </c>
      <c r="G31" s="301">
        <v>0</v>
      </c>
      <c r="H31" s="116">
        <v>0</v>
      </c>
      <c r="I31" s="385">
        <v>7</v>
      </c>
      <c r="J31" s="115">
        <f t="shared" si="1"/>
        <v>7</v>
      </c>
      <c r="K31" s="150"/>
      <c r="O31" s="109"/>
      <c r="P31" s="109"/>
      <c r="Q31" s="109"/>
      <c r="R31" s="109"/>
      <c r="S31" s="109"/>
      <c r="T31" s="109"/>
      <c r="U31" s="109"/>
      <c r="V31" s="109"/>
      <c r="W31" s="109"/>
      <c r="AP31" t="s">
        <v>547</v>
      </c>
      <c r="AQ31" t="s">
        <v>277</v>
      </c>
      <c r="AR31" t="s">
        <v>439</v>
      </c>
      <c r="AS31">
        <v>85</v>
      </c>
      <c r="AU31" t="s">
        <v>663</v>
      </c>
      <c r="AV31" t="s">
        <v>264</v>
      </c>
      <c r="AW31" t="s">
        <v>305</v>
      </c>
      <c r="AX31">
        <v>9</v>
      </c>
    </row>
    <row r="32" spans="1:50" ht="14.95" customHeight="1" thickBot="1" x14ac:dyDescent="0.3">
      <c r="A32" s="56" t="s">
        <v>1018</v>
      </c>
      <c r="B32" s="318">
        <v>1</v>
      </c>
      <c r="C32" s="246">
        <v>0</v>
      </c>
      <c r="D32" s="383">
        <v>0</v>
      </c>
      <c r="E32" s="90">
        <f t="shared" si="0"/>
        <v>1</v>
      </c>
      <c r="F32" s="113" t="s">
        <v>1018</v>
      </c>
      <c r="G32" s="301">
        <v>5</v>
      </c>
      <c r="H32" s="116">
        <v>0</v>
      </c>
      <c r="I32" s="385">
        <v>0</v>
      </c>
      <c r="J32" s="115">
        <f t="shared" si="1"/>
        <v>5</v>
      </c>
      <c r="AP32" t="s">
        <v>656</v>
      </c>
      <c r="AQ32" t="s">
        <v>268</v>
      </c>
      <c r="AR32" t="s">
        <v>305</v>
      </c>
      <c r="AS32">
        <v>85</v>
      </c>
      <c r="AU32" t="s">
        <v>664</v>
      </c>
      <c r="AV32" t="s">
        <v>490</v>
      </c>
      <c r="AW32" t="s">
        <v>327</v>
      </c>
      <c r="AX32">
        <v>9</v>
      </c>
    </row>
    <row r="33" spans="1:50" ht="14.95" customHeight="1" thickBot="1" x14ac:dyDescent="0.3">
      <c r="A33" s="56" t="s">
        <v>137</v>
      </c>
      <c r="B33" s="318">
        <v>3</v>
      </c>
      <c r="C33" s="246">
        <v>0</v>
      </c>
      <c r="D33" s="383">
        <v>0</v>
      </c>
      <c r="E33" s="90">
        <f t="shared" si="0"/>
        <v>3</v>
      </c>
      <c r="F33" s="113" t="s">
        <v>137</v>
      </c>
      <c r="G33" s="301">
        <v>15</v>
      </c>
      <c r="H33" s="116">
        <v>0</v>
      </c>
      <c r="I33" s="385">
        <v>0</v>
      </c>
      <c r="J33" s="115">
        <f t="shared" si="1"/>
        <v>15</v>
      </c>
      <c r="AP33" t="s">
        <v>657</v>
      </c>
      <c r="AQ33" t="s">
        <v>270</v>
      </c>
      <c r="AR33" t="s">
        <v>658</v>
      </c>
      <c r="AS33">
        <v>78</v>
      </c>
      <c r="AU33" t="s">
        <v>443</v>
      </c>
      <c r="AV33" t="s">
        <v>260</v>
      </c>
      <c r="AW33" t="s">
        <v>311</v>
      </c>
      <c r="AX33">
        <v>9</v>
      </c>
    </row>
    <row r="34" spans="1:50" ht="14.95" customHeight="1" thickBot="1" x14ac:dyDescent="0.3">
      <c r="A34" s="56" t="s">
        <v>962</v>
      </c>
      <c r="B34" s="318">
        <v>0</v>
      </c>
      <c r="C34" s="246">
        <v>0</v>
      </c>
      <c r="D34" s="383">
        <v>0</v>
      </c>
      <c r="E34" s="90">
        <f t="shared" si="0"/>
        <v>0</v>
      </c>
      <c r="F34" s="113" t="s">
        <v>962</v>
      </c>
      <c r="G34" s="301">
        <v>0</v>
      </c>
      <c r="H34" s="116">
        <v>0</v>
      </c>
      <c r="I34" s="385">
        <v>0</v>
      </c>
      <c r="J34" s="115">
        <f t="shared" si="1"/>
        <v>0</v>
      </c>
      <c r="AP34" t="s">
        <v>659</v>
      </c>
      <c r="AQ34" t="s">
        <v>276</v>
      </c>
      <c r="AR34" t="s">
        <v>467</v>
      </c>
      <c r="AS34">
        <v>75</v>
      </c>
      <c r="AU34" t="s">
        <v>665</v>
      </c>
      <c r="AV34" t="s">
        <v>276</v>
      </c>
      <c r="AW34" t="s">
        <v>465</v>
      </c>
      <c r="AX34">
        <v>9</v>
      </c>
    </row>
    <row r="35" spans="1:50" ht="14.95" customHeight="1" thickBot="1" x14ac:dyDescent="0.3">
      <c r="A35" s="56" t="s">
        <v>1038</v>
      </c>
      <c r="B35" s="318">
        <v>0</v>
      </c>
      <c r="C35" s="246">
        <v>0</v>
      </c>
      <c r="D35" s="383">
        <v>0</v>
      </c>
      <c r="E35" s="90">
        <f t="shared" si="0"/>
        <v>0</v>
      </c>
      <c r="F35" s="113" t="s">
        <v>1038</v>
      </c>
      <c r="G35" s="301">
        <v>0</v>
      </c>
      <c r="H35" s="116">
        <v>0</v>
      </c>
      <c r="I35" s="385">
        <v>0</v>
      </c>
      <c r="J35" s="115">
        <f t="shared" si="1"/>
        <v>0</v>
      </c>
      <c r="AP35" t="s">
        <v>470</v>
      </c>
      <c r="AQ35" t="s">
        <v>262</v>
      </c>
      <c r="AR35" t="s">
        <v>411</v>
      </c>
      <c r="AS35">
        <v>73</v>
      </c>
      <c r="AU35" t="s">
        <v>666</v>
      </c>
      <c r="AV35" t="s">
        <v>262</v>
      </c>
      <c r="AW35" t="s">
        <v>303</v>
      </c>
      <c r="AX35">
        <v>9</v>
      </c>
    </row>
    <row r="36" spans="1:50" ht="14.95" customHeight="1" thickBot="1" x14ac:dyDescent="0.3">
      <c r="A36" s="56" t="s">
        <v>143</v>
      </c>
      <c r="B36" s="318">
        <v>0</v>
      </c>
      <c r="C36" s="246">
        <v>0</v>
      </c>
      <c r="D36" s="383">
        <v>0</v>
      </c>
      <c r="E36" s="90">
        <f t="shared" si="0"/>
        <v>0</v>
      </c>
      <c r="F36" s="113" t="s">
        <v>143</v>
      </c>
      <c r="G36" s="301">
        <v>0</v>
      </c>
      <c r="H36" s="116">
        <v>0</v>
      </c>
      <c r="I36" s="385">
        <v>0</v>
      </c>
      <c r="J36" s="115">
        <f t="shared" si="1"/>
        <v>0</v>
      </c>
      <c r="AP36" t="s">
        <v>590</v>
      </c>
      <c r="AQ36" t="s">
        <v>268</v>
      </c>
      <c r="AR36" t="s">
        <v>291</v>
      </c>
      <c r="AS36">
        <v>70</v>
      </c>
      <c r="AU36" t="s">
        <v>640</v>
      </c>
      <c r="AV36" t="s">
        <v>260</v>
      </c>
      <c r="AW36" t="s">
        <v>563</v>
      </c>
      <c r="AX36">
        <v>8</v>
      </c>
    </row>
    <row r="37" spans="1:50" ht="14.95" customHeight="1" thickBot="1" x14ac:dyDescent="0.3">
      <c r="A37" s="56" t="s">
        <v>1068</v>
      </c>
      <c r="B37" s="318">
        <v>2</v>
      </c>
      <c r="C37" s="246">
        <v>0</v>
      </c>
      <c r="D37" s="383">
        <v>0</v>
      </c>
      <c r="E37" s="90">
        <f t="shared" si="0"/>
        <v>2</v>
      </c>
      <c r="F37" s="113" t="s">
        <v>1068</v>
      </c>
      <c r="G37" s="301">
        <v>10</v>
      </c>
      <c r="H37" s="116">
        <v>0</v>
      </c>
      <c r="I37" s="385">
        <v>0</v>
      </c>
      <c r="J37" s="115">
        <f t="shared" si="1"/>
        <v>10</v>
      </c>
      <c r="AP37" t="s">
        <v>265</v>
      </c>
      <c r="AQ37" t="s">
        <v>263</v>
      </c>
      <c r="AR37" t="s">
        <v>311</v>
      </c>
      <c r="AS37">
        <v>70</v>
      </c>
      <c r="AU37" t="s">
        <v>606</v>
      </c>
      <c r="AV37" t="s">
        <v>262</v>
      </c>
      <c r="AW37" t="s">
        <v>299</v>
      </c>
      <c r="AX37">
        <v>8</v>
      </c>
    </row>
    <row r="38" spans="1:50" ht="14.95" customHeight="1" thickBot="1" x14ac:dyDescent="0.3">
      <c r="A38" s="56" t="s">
        <v>39</v>
      </c>
      <c r="B38" s="318">
        <v>10</v>
      </c>
      <c r="C38" s="246">
        <v>0</v>
      </c>
      <c r="D38" s="383">
        <v>0</v>
      </c>
      <c r="E38" s="90">
        <f t="shared" si="0"/>
        <v>10</v>
      </c>
      <c r="F38" s="113" t="s">
        <v>39</v>
      </c>
      <c r="G38" s="301">
        <v>50</v>
      </c>
      <c r="H38" s="116">
        <v>0</v>
      </c>
      <c r="I38" s="385">
        <v>0</v>
      </c>
      <c r="J38" s="115">
        <f t="shared" si="1"/>
        <v>50</v>
      </c>
      <c r="AP38" t="s">
        <v>660</v>
      </c>
      <c r="AQ38" t="s">
        <v>264</v>
      </c>
      <c r="AR38" t="s">
        <v>329</v>
      </c>
      <c r="AS38">
        <v>70</v>
      </c>
      <c r="AU38" t="s">
        <v>667</v>
      </c>
      <c r="AV38" t="s">
        <v>268</v>
      </c>
      <c r="AW38" t="s">
        <v>587</v>
      </c>
      <c r="AX38">
        <v>8</v>
      </c>
    </row>
    <row r="39" spans="1:50" ht="14.95" customHeight="1" thickBot="1" x14ac:dyDescent="0.3">
      <c r="A39" s="56" t="s">
        <v>27</v>
      </c>
      <c r="B39" s="318">
        <v>4</v>
      </c>
      <c r="C39" s="246">
        <v>0</v>
      </c>
      <c r="D39" s="383">
        <v>0</v>
      </c>
      <c r="E39" s="90">
        <f t="shared" si="0"/>
        <v>4</v>
      </c>
      <c r="F39" s="113" t="s">
        <v>27</v>
      </c>
      <c r="G39" s="301">
        <v>20</v>
      </c>
      <c r="H39" s="116">
        <v>0</v>
      </c>
      <c r="I39" s="385">
        <v>0</v>
      </c>
      <c r="J39" s="115">
        <f t="shared" si="1"/>
        <v>20</v>
      </c>
      <c r="AP39" t="s">
        <v>638</v>
      </c>
      <c r="AQ39" t="s">
        <v>271</v>
      </c>
      <c r="AR39" t="s">
        <v>394</v>
      </c>
      <c r="AS39">
        <v>60</v>
      </c>
      <c r="AU39" t="s">
        <v>273</v>
      </c>
      <c r="AV39" t="s">
        <v>264</v>
      </c>
      <c r="AW39" t="s">
        <v>633</v>
      </c>
      <c r="AX39">
        <v>8</v>
      </c>
    </row>
    <row r="40" spans="1:50" ht="14.95" customHeight="1" thickBot="1" x14ac:dyDescent="0.3">
      <c r="A40" s="56" t="s">
        <v>1767</v>
      </c>
      <c r="B40" s="318">
        <v>0</v>
      </c>
      <c r="C40" s="246">
        <v>0</v>
      </c>
      <c r="D40" s="383">
        <v>1</v>
      </c>
      <c r="E40" s="90">
        <f t="shared" si="0"/>
        <v>1</v>
      </c>
      <c r="F40" s="113" t="s">
        <v>1767</v>
      </c>
      <c r="G40" s="301">
        <v>0</v>
      </c>
      <c r="H40" s="116">
        <v>0</v>
      </c>
      <c r="I40" s="385">
        <v>5</v>
      </c>
      <c r="J40" s="115">
        <f t="shared" si="1"/>
        <v>5</v>
      </c>
      <c r="AP40" t="s">
        <v>267</v>
      </c>
      <c r="AQ40" t="s">
        <v>268</v>
      </c>
      <c r="AR40" t="s">
        <v>441</v>
      </c>
      <c r="AS40">
        <v>60</v>
      </c>
      <c r="AU40" t="s">
        <v>668</v>
      </c>
      <c r="AV40" t="s">
        <v>283</v>
      </c>
      <c r="AW40" t="s">
        <v>464</v>
      </c>
      <c r="AX40">
        <v>8</v>
      </c>
    </row>
    <row r="41" spans="1:50" ht="14.95" customHeight="1" thickBot="1" x14ac:dyDescent="0.3">
      <c r="A41" s="56" t="s">
        <v>251</v>
      </c>
      <c r="B41" s="318">
        <v>5</v>
      </c>
      <c r="C41" s="246">
        <v>1</v>
      </c>
      <c r="D41" s="383">
        <v>0</v>
      </c>
      <c r="E41" s="90">
        <f t="shared" si="0"/>
        <v>6</v>
      </c>
      <c r="F41" s="113" t="s">
        <v>251</v>
      </c>
      <c r="G41" s="301">
        <v>25</v>
      </c>
      <c r="H41" s="116">
        <v>5</v>
      </c>
      <c r="I41" s="385">
        <v>0</v>
      </c>
      <c r="J41" s="115">
        <f t="shared" si="1"/>
        <v>30</v>
      </c>
      <c r="AP41" t="s">
        <v>661</v>
      </c>
      <c r="AQ41" t="s">
        <v>264</v>
      </c>
      <c r="AR41" t="s">
        <v>565</v>
      </c>
      <c r="AS41">
        <v>55</v>
      </c>
      <c r="AU41" t="s">
        <v>670</v>
      </c>
      <c r="AV41" t="s">
        <v>263</v>
      </c>
      <c r="AW41" t="s">
        <v>445</v>
      </c>
      <c r="AX41">
        <v>7</v>
      </c>
    </row>
    <row r="42" spans="1:50" ht="14.95" customHeight="1" thickBot="1" x14ac:dyDescent="0.3">
      <c r="A42" s="56" t="s">
        <v>12</v>
      </c>
      <c r="B42" s="318">
        <v>0</v>
      </c>
      <c r="C42" s="246">
        <v>0</v>
      </c>
      <c r="D42" s="383">
        <v>0</v>
      </c>
      <c r="E42" s="90">
        <f t="shared" si="0"/>
        <v>0</v>
      </c>
      <c r="F42" s="113" t="s">
        <v>12</v>
      </c>
      <c r="G42" s="301">
        <v>0</v>
      </c>
      <c r="H42" s="116">
        <v>0</v>
      </c>
      <c r="I42" s="385">
        <v>0</v>
      </c>
      <c r="J42" s="115">
        <f t="shared" si="1"/>
        <v>0</v>
      </c>
      <c r="AP42" t="s">
        <v>606</v>
      </c>
      <c r="AQ42" t="s">
        <v>262</v>
      </c>
      <c r="AR42" t="s">
        <v>299</v>
      </c>
      <c r="AS42">
        <v>51</v>
      </c>
      <c r="AU42" t="s">
        <v>671</v>
      </c>
      <c r="AV42" t="s">
        <v>276</v>
      </c>
      <c r="AW42" t="s">
        <v>346</v>
      </c>
      <c r="AX42">
        <v>7</v>
      </c>
    </row>
    <row r="43" spans="1:50" ht="14.95" customHeight="1" thickBot="1" x14ac:dyDescent="0.3">
      <c r="A43" s="56" t="s">
        <v>40</v>
      </c>
      <c r="B43" s="318">
        <v>0</v>
      </c>
      <c r="C43" s="246">
        <v>0</v>
      </c>
      <c r="D43" s="383">
        <v>0</v>
      </c>
      <c r="E43" s="90">
        <f t="shared" si="0"/>
        <v>0</v>
      </c>
      <c r="F43" s="113" t="s">
        <v>40</v>
      </c>
      <c r="G43" s="301">
        <v>165</v>
      </c>
      <c r="H43" s="116">
        <v>13</v>
      </c>
      <c r="I43" s="385">
        <v>4</v>
      </c>
      <c r="J43" s="115">
        <f t="shared" si="1"/>
        <v>182</v>
      </c>
      <c r="AP43" t="s">
        <v>662</v>
      </c>
      <c r="AQ43" t="s">
        <v>262</v>
      </c>
      <c r="AR43" t="s">
        <v>552</v>
      </c>
      <c r="AS43">
        <v>50</v>
      </c>
      <c r="AU43" t="s">
        <v>672</v>
      </c>
      <c r="AW43" t="s">
        <v>556</v>
      </c>
      <c r="AX43">
        <v>7</v>
      </c>
    </row>
    <row r="44" spans="1:50" ht="14.95" customHeight="1" thickBot="1" x14ac:dyDescent="0.3">
      <c r="A44" s="56" t="s">
        <v>948</v>
      </c>
      <c r="B44" s="318">
        <v>3</v>
      </c>
      <c r="C44" s="246">
        <v>0</v>
      </c>
      <c r="D44" s="383">
        <v>1</v>
      </c>
      <c r="E44" s="90">
        <f t="shared" si="0"/>
        <v>4</v>
      </c>
      <c r="F44" s="113" t="s">
        <v>948</v>
      </c>
      <c r="G44" s="301">
        <v>15</v>
      </c>
      <c r="H44" s="116">
        <v>0</v>
      </c>
      <c r="I44" s="385">
        <v>5</v>
      </c>
      <c r="J44" s="115">
        <f t="shared" si="1"/>
        <v>20</v>
      </c>
      <c r="AP44" t="s">
        <v>663</v>
      </c>
      <c r="AQ44" t="s">
        <v>264</v>
      </c>
      <c r="AR44" t="s">
        <v>305</v>
      </c>
      <c r="AS44">
        <v>45</v>
      </c>
      <c r="AU44" t="s">
        <v>402</v>
      </c>
      <c r="AV44" t="s">
        <v>272</v>
      </c>
      <c r="AW44" t="s">
        <v>299</v>
      </c>
      <c r="AX44">
        <v>7</v>
      </c>
    </row>
    <row r="45" spans="1:50" ht="15.8" thickBot="1" x14ac:dyDescent="0.3">
      <c r="A45" s="56" t="s">
        <v>1809</v>
      </c>
      <c r="B45" s="318">
        <v>2</v>
      </c>
      <c r="C45" s="246">
        <v>1</v>
      </c>
      <c r="D45" s="383">
        <v>0</v>
      </c>
      <c r="E45" s="90">
        <f t="shared" si="0"/>
        <v>3</v>
      </c>
      <c r="F45" s="113" t="s">
        <v>1809</v>
      </c>
      <c r="G45" s="301">
        <v>10</v>
      </c>
      <c r="H45" s="116">
        <v>5</v>
      </c>
      <c r="I45" s="385">
        <v>0</v>
      </c>
      <c r="J45" s="115">
        <f t="shared" si="1"/>
        <v>15</v>
      </c>
      <c r="AP45" t="s">
        <v>664</v>
      </c>
      <c r="AQ45" t="s">
        <v>490</v>
      </c>
      <c r="AR45" t="s">
        <v>327</v>
      </c>
      <c r="AS45">
        <v>45</v>
      </c>
    </row>
    <row r="46" spans="1:50" ht="15.8" thickBot="1" x14ac:dyDescent="0.3">
      <c r="A46" s="56" t="s">
        <v>9</v>
      </c>
      <c r="B46" s="318">
        <v>0</v>
      </c>
      <c r="C46" s="246">
        <v>0</v>
      </c>
      <c r="D46" s="383">
        <v>0</v>
      </c>
      <c r="E46" s="90">
        <f t="shared" si="0"/>
        <v>0</v>
      </c>
      <c r="F46" s="113" t="s">
        <v>9</v>
      </c>
      <c r="G46" s="301">
        <v>0</v>
      </c>
      <c r="H46" s="116">
        <v>0</v>
      </c>
      <c r="I46" s="385">
        <v>6</v>
      </c>
      <c r="J46" s="115">
        <f t="shared" si="1"/>
        <v>6</v>
      </c>
      <c r="AP46" t="s">
        <v>665</v>
      </c>
      <c r="AQ46" t="s">
        <v>276</v>
      </c>
      <c r="AR46" t="s">
        <v>465</v>
      </c>
      <c r="AS46">
        <v>45</v>
      </c>
    </row>
    <row r="47" spans="1:50" ht="14.95" customHeight="1" thickBot="1" x14ac:dyDescent="0.3">
      <c r="A47" s="56" t="s">
        <v>963</v>
      </c>
      <c r="B47" s="318">
        <v>5</v>
      </c>
      <c r="C47" s="246">
        <v>3</v>
      </c>
      <c r="D47" s="383">
        <v>0</v>
      </c>
      <c r="E47" s="90">
        <f t="shared" si="0"/>
        <v>8</v>
      </c>
      <c r="F47" s="113" t="s">
        <v>963</v>
      </c>
      <c r="G47" s="301">
        <v>25</v>
      </c>
      <c r="H47" s="116">
        <v>15</v>
      </c>
      <c r="I47" s="385">
        <v>0</v>
      </c>
      <c r="J47" s="115">
        <f t="shared" si="1"/>
        <v>40</v>
      </c>
      <c r="AP47" t="s">
        <v>666</v>
      </c>
      <c r="AQ47" t="s">
        <v>262</v>
      </c>
      <c r="AR47" t="s">
        <v>303</v>
      </c>
      <c r="AS47">
        <v>45</v>
      </c>
    </row>
    <row r="48" spans="1:50" ht="14.95" customHeight="1" thickBot="1" x14ac:dyDescent="0.3">
      <c r="A48" s="56" t="s">
        <v>3</v>
      </c>
      <c r="B48" s="318">
        <f>SUM(B3:B47)</f>
        <v>78</v>
      </c>
      <c r="C48" s="246">
        <f t="shared" ref="C48:E48" si="2">SUM(C3:C47)</f>
        <v>12</v>
      </c>
      <c r="D48" s="383">
        <f t="shared" si="2"/>
        <v>8</v>
      </c>
      <c r="E48" s="90">
        <f t="shared" si="2"/>
        <v>98</v>
      </c>
      <c r="F48" s="113" t="s">
        <v>3</v>
      </c>
      <c r="G48" s="301">
        <f t="shared" ref="G48:J48" si="3">SUM(G3:G47)</f>
        <v>606</v>
      </c>
      <c r="H48" s="116">
        <f t="shared" si="3"/>
        <v>100</v>
      </c>
      <c r="I48" s="385">
        <f t="shared" si="3"/>
        <v>58</v>
      </c>
      <c r="J48" s="115">
        <f t="shared" si="3"/>
        <v>764</v>
      </c>
      <c r="AP48" t="s">
        <v>667</v>
      </c>
      <c r="AQ48" t="s">
        <v>268</v>
      </c>
      <c r="AR48" t="s">
        <v>587</v>
      </c>
      <c r="AS48">
        <v>40</v>
      </c>
    </row>
    <row r="49" spans="1:45" ht="14.95" x14ac:dyDescent="0.25">
      <c r="B49" s="299"/>
      <c r="C49" s="111"/>
      <c r="D49" s="111"/>
      <c r="E49" s="63"/>
      <c r="F49" s="47"/>
      <c r="G49" s="307"/>
      <c r="H49" s="47"/>
      <c r="I49" s="47"/>
      <c r="J49" s="47"/>
      <c r="AP49" t="s">
        <v>273</v>
      </c>
      <c r="AQ49" t="s">
        <v>264</v>
      </c>
      <c r="AR49" t="s">
        <v>633</v>
      </c>
      <c r="AS49">
        <v>40</v>
      </c>
    </row>
    <row r="50" spans="1:45" ht="14.95" customHeight="1" thickBot="1" x14ac:dyDescent="0.3">
      <c r="A50" t="s">
        <v>46</v>
      </c>
      <c r="B50" s="299"/>
      <c r="C50" s="111"/>
      <c r="D50" s="111"/>
      <c r="E50" s="63"/>
      <c r="F50" s="43"/>
      <c r="G50" s="303"/>
      <c r="H50" s="43"/>
      <c r="I50" s="43"/>
      <c r="J50" s="43"/>
      <c r="AP50" t="s">
        <v>668</v>
      </c>
      <c r="AQ50" t="s">
        <v>283</v>
      </c>
      <c r="AR50" t="s">
        <v>464</v>
      </c>
      <c r="AS50">
        <v>40</v>
      </c>
    </row>
    <row r="51" spans="1:45" ht="14.95" customHeight="1" thickBot="1" x14ac:dyDescent="0.3">
      <c r="A51" s="212" t="s">
        <v>0</v>
      </c>
      <c r="B51" s="317" t="s">
        <v>1072</v>
      </c>
      <c r="C51" s="245" t="s">
        <v>123</v>
      </c>
      <c r="D51" s="382" t="s">
        <v>1073</v>
      </c>
      <c r="E51" s="213" t="s">
        <v>1</v>
      </c>
      <c r="F51" s="214" t="s">
        <v>2</v>
      </c>
      <c r="G51" s="300" t="s">
        <v>1072</v>
      </c>
      <c r="H51" s="198" t="s">
        <v>123</v>
      </c>
      <c r="I51" s="384" t="s">
        <v>1073</v>
      </c>
      <c r="J51" s="194" t="s">
        <v>1</v>
      </c>
    </row>
    <row r="52" spans="1:45" ht="15.8" thickBot="1" x14ac:dyDescent="0.3">
      <c r="A52" s="56" t="s">
        <v>39</v>
      </c>
      <c r="B52" s="318">
        <v>10</v>
      </c>
      <c r="C52" s="246">
        <v>0</v>
      </c>
      <c r="D52" s="383">
        <v>0</v>
      </c>
      <c r="E52" s="90">
        <f t="shared" ref="E52:E96" si="4">SUM(B52:D52)</f>
        <v>10</v>
      </c>
      <c r="F52" s="113" t="s">
        <v>40</v>
      </c>
      <c r="G52" s="301">
        <v>165</v>
      </c>
      <c r="H52" s="116">
        <v>13</v>
      </c>
      <c r="I52" s="385">
        <v>4</v>
      </c>
      <c r="J52" s="115">
        <f t="shared" ref="J52:J96" si="5">SUM(G52:I52)</f>
        <v>182</v>
      </c>
    </row>
    <row r="53" spans="1:45" ht="15.8" thickBot="1" x14ac:dyDescent="0.3">
      <c r="A53" s="56" t="s">
        <v>963</v>
      </c>
      <c r="B53" s="318">
        <v>5</v>
      </c>
      <c r="C53" s="246">
        <v>3</v>
      </c>
      <c r="D53" s="383">
        <v>0</v>
      </c>
      <c r="E53" s="90">
        <f t="shared" si="4"/>
        <v>8</v>
      </c>
      <c r="F53" s="112" t="s">
        <v>425</v>
      </c>
      <c r="G53" s="301">
        <v>55</v>
      </c>
      <c r="H53" s="116">
        <v>27</v>
      </c>
      <c r="I53" s="385">
        <v>0</v>
      </c>
      <c r="J53" s="115">
        <f t="shared" si="5"/>
        <v>82</v>
      </c>
    </row>
    <row r="54" spans="1:45" ht="15.8" thickBot="1" x14ac:dyDescent="0.3">
      <c r="A54" s="56" t="s">
        <v>1204</v>
      </c>
      <c r="B54" s="318">
        <v>6</v>
      </c>
      <c r="C54" s="246">
        <v>0</v>
      </c>
      <c r="D54" s="383">
        <v>1</v>
      </c>
      <c r="E54" s="90">
        <f t="shared" si="4"/>
        <v>7</v>
      </c>
      <c r="F54" s="112" t="s">
        <v>39</v>
      </c>
      <c r="G54" s="301">
        <v>50</v>
      </c>
      <c r="H54" s="116">
        <v>0</v>
      </c>
      <c r="I54" s="385">
        <v>0</v>
      </c>
      <c r="J54" s="115">
        <f t="shared" si="5"/>
        <v>50</v>
      </c>
    </row>
    <row r="55" spans="1:45" ht="15.8" thickBot="1" x14ac:dyDescent="0.3">
      <c r="A55" s="56" t="s">
        <v>107</v>
      </c>
      <c r="B55" s="318">
        <v>5</v>
      </c>
      <c r="C55" s="246">
        <v>2</v>
      </c>
      <c r="D55" s="383">
        <v>0</v>
      </c>
      <c r="E55" s="90">
        <f t="shared" si="4"/>
        <v>7</v>
      </c>
      <c r="F55" s="112" t="s">
        <v>963</v>
      </c>
      <c r="G55" s="301">
        <v>25</v>
      </c>
      <c r="H55" s="116">
        <v>15</v>
      </c>
      <c r="I55" s="385">
        <v>0</v>
      </c>
      <c r="J55" s="115">
        <f t="shared" si="5"/>
        <v>40</v>
      </c>
    </row>
    <row r="56" spans="1:45" ht="15.8" thickBot="1" x14ac:dyDescent="0.3">
      <c r="A56" s="56" t="s">
        <v>1017</v>
      </c>
      <c r="B56" s="318">
        <v>6</v>
      </c>
      <c r="C56" s="246">
        <v>0</v>
      </c>
      <c r="D56" s="383">
        <v>0</v>
      </c>
      <c r="E56" s="90">
        <f t="shared" si="4"/>
        <v>6</v>
      </c>
      <c r="F56" s="112" t="s">
        <v>1204</v>
      </c>
      <c r="G56" s="301">
        <v>30</v>
      </c>
      <c r="H56" s="116">
        <v>0</v>
      </c>
      <c r="I56" s="385">
        <v>5</v>
      </c>
      <c r="J56" s="115">
        <f t="shared" si="5"/>
        <v>35</v>
      </c>
    </row>
    <row r="57" spans="1:45" ht="15.8" thickBot="1" x14ac:dyDescent="0.3">
      <c r="A57" s="56" t="s">
        <v>251</v>
      </c>
      <c r="B57" s="318">
        <v>5</v>
      </c>
      <c r="C57" s="246">
        <v>1</v>
      </c>
      <c r="D57" s="383">
        <v>0</v>
      </c>
      <c r="E57" s="90">
        <f t="shared" si="4"/>
        <v>6</v>
      </c>
      <c r="F57" s="113" t="s">
        <v>107</v>
      </c>
      <c r="G57" s="301">
        <v>25</v>
      </c>
      <c r="H57" s="116">
        <v>10</v>
      </c>
      <c r="I57" s="385">
        <v>0</v>
      </c>
      <c r="J57" s="115">
        <f t="shared" si="5"/>
        <v>35</v>
      </c>
    </row>
    <row r="58" spans="1:45" ht="15.8" thickBot="1" x14ac:dyDescent="0.3">
      <c r="A58" s="56" t="s">
        <v>138</v>
      </c>
      <c r="B58" s="318">
        <v>4</v>
      </c>
      <c r="C58" s="246">
        <v>0</v>
      </c>
      <c r="D58" s="383">
        <v>0</v>
      </c>
      <c r="E58" s="90">
        <f t="shared" si="4"/>
        <v>4</v>
      </c>
      <c r="F58" s="113" t="s">
        <v>1017</v>
      </c>
      <c r="G58" s="301">
        <v>30</v>
      </c>
      <c r="H58" s="116">
        <v>0</v>
      </c>
      <c r="I58" s="385">
        <v>0</v>
      </c>
      <c r="J58" s="115">
        <f t="shared" si="5"/>
        <v>30</v>
      </c>
    </row>
    <row r="59" spans="1:45" ht="15.8" thickBot="1" x14ac:dyDescent="0.3">
      <c r="A59" s="56" t="s">
        <v>199</v>
      </c>
      <c r="B59" s="318">
        <v>3</v>
      </c>
      <c r="C59" s="246">
        <v>1</v>
      </c>
      <c r="D59" s="383">
        <v>0</v>
      </c>
      <c r="E59" s="90">
        <f t="shared" si="4"/>
        <v>4</v>
      </c>
      <c r="F59" s="113" t="s">
        <v>251</v>
      </c>
      <c r="G59" s="301">
        <v>25</v>
      </c>
      <c r="H59" s="116">
        <v>5</v>
      </c>
      <c r="I59" s="385">
        <v>0</v>
      </c>
      <c r="J59" s="115">
        <f t="shared" si="5"/>
        <v>30</v>
      </c>
    </row>
    <row r="60" spans="1:45" ht="15.8" thickBot="1" x14ac:dyDescent="0.3">
      <c r="A60" s="56" t="s">
        <v>27</v>
      </c>
      <c r="B60" s="318">
        <v>4</v>
      </c>
      <c r="C60" s="246">
        <v>0</v>
      </c>
      <c r="D60" s="383">
        <v>0</v>
      </c>
      <c r="E60" s="90">
        <f t="shared" si="4"/>
        <v>4</v>
      </c>
      <c r="F60" s="113" t="s">
        <v>138</v>
      </c>
      <c r="G60" s="301">
        <v>20</v>
      </c>
      <c r="H60" s="116">
        <v>0</v>
      </c>
      <c r="I60" s="385">
        <v>0</v>
      </c>
      <c r="J60" s="115">
        <f t="shared" si="5"/>
        <v>20</v>
      </c>
    </row>
    <row r="61" spans="1:45" ht="15.8" thickBot="1" x14ac:dyDescent="0.3">
      <c r="A61" s="56" t="s">
        <v>948</v>
      </c>
      <c r="B61" s="318">
        <v>3</v>
      </c>
      <c r="C61" s="246">
        <v>0</v>
      </c>
      <c r="D61" s="383">
        <v>1</v>
      </c>
      <c r="E61" s="90">
        <f t="shared" si="4"/>
        <v>4</v>
      </c>
      <c r="F61" s="113" t="s">
        <v>253</v>
      </c>
      <c r="G61" s="301">
        <v>11</v>
      </c>
      <c r="H61" s="116">
        <v>0</v>
      </c>
      <c r="I61" s="385">
        <v>9</v>
      </c>
      <c r="J61" s="115">
        <f t="shared" si="5"/>
        <v>20</v>
      </c>
    </row>
    <row r="62" spans="1:45" ht="15.8" thickBot="1" x14ac:dyDescent="0.3">
      <c r="A62" s="56" t="s">
        <v>425</v>
      </c>
      <c r="B62" s="318">
        <v>3</v>
      </c>
      <c r="C62" s="246">
        <v>0</v>
      </c>
      <c r="D62" s="383">
        <v>0</v>
      </c>
      <c r="E62" s="90">
        <f t="shared" si="4"/>
        <v>3</v>
      </c>
      <c r="F62" s="113" t="s">
        <v>199</v>
      </c>
      <c r="G62" s="301">
        <v>15</v>
      </c>
      <c r="H62" s="116">
        <v>5</v>
      </c>
      <c r="I62" s="385">
        <v>0</v>
      </c>
      <c r="J62" s="115">
        <f t="shared" si="5"/>
        <v>20</v>
      </c>
    </row>
    <row r="63" spans="1:45" ht="15.8" thickBot="1" x14ac:dyDescent="0.3">
      <c r="A63" s="56" t="s">
        <v>1208</v>
      </c>
      <c r="B63" s="318">
        <v>1</v>
      </c>
      <c r="C63" s="246">
        <v>1</v>
      </c>
      <c r="D63" s="383">
        <v>1</v>
      </c>
      <c r="E63" s="90">
        <f t="shared" si="4"/>
        <v>3</v>
      </c>
      <c r="F63" s="113" t="s">
        <v>27</v>
      </c>
      <c r="G63" s="301">
        <v>20</v>
      </c>
      <c r="H63" s="116">
        <v>0</v>
      </c>
      <c r="I63" s="385">
        <v>0</v>
      </c>
      <c r="J63" s="115">
        <f t="shared" si="5"/>
        <v>20</v>
      </c>
    </row>
    <row r="64" spans="1:45" ht="15.8" thickBot="1" x14ac:dyDescent="0.3">
      <c r="A64" s="56" t="s">
        <v>249</v>
      </c>
      <c r="B64" s="318">
        <v>3</v>
      </c>
      <c r="C64" s="246">
        <v>0</v>
      </c>
      <c r="D64" s="383">
        <v>0</v>
      </c>
      <c r="E64" s="90">
        <f t="shared" si="4"/>
        <v>3</v>
      </c>
      <c r="F64" s="113" t="s">
        <v>948</v>
      </c>
      <c r="G64" s="301">
        <v>15</v>
      </c>
      <c r="H64" s="116">
        <v>0</v>
      </c>
      <c r="I64" s="385">
        <v>5</v>
      </c>
      <c r="J64" s="115">
        <f t="shared" si="5"/>
        <v>20</v>
      </c>
    </row>
    <row r="65" spans="1:10" ht="15.8" thickBot="1" x14ac:dyDescent="0.3">
      <c r="A65" s="56" t="s">
        <v>137</v>
      </c>
      <c r="B65" s="318">
        <v>3</v>
      </c>
      <c r="C65" s="246">
        <v>0</v>
      </c>
      <c r="D65" s="383">
        <v>0</v>
      </c>
      <c r="E65" s="90">
        <f t="shared" si="4"/>
        <v>3</v>
      </c>
      <c r="F65" s="113" t="s">
        <v>1208</v>
      </c>
      <c r="G65" s="301">
        <v>5</v>
      </c>
      <c r="H65" s="116">
        <v>5</v>
      </c>
      <c r="I65" s="385">
        <v>5</v>
      </c>
      <c r="J65" s="115">
        <f t="shared" si="5"/>
        <v>15</v>
      </c>
    </row>
    <row r="66" spans="1:10" ht="15.8" thickBot="1" x14ac:dyDescent="0.3">
      <c r="A66" s="56" t="s">
        <v>1809</v>
      </c>
      <c r="B66" s="318">
        <v>2</v>
      </c>
      <c r="C66" s="246">
        <v>1</v>
      </c>
      <c r="D66" s="383">
        <v>0</v>
      </c>
      <c r="E66" s="90">
        <f t="shared" si="4"/>
        <v>3</v>
      </c>
      <c r="F66" s="113" t="s">
        <v>249</v>
      </c>
      <c r="G66" s="301">
        <v>15</v>
      </c>
      <c r="H66" s="116">
        <v>0</v>
      </c>
      <c r="I66" s="385">
        <v>0</v>
      </c>
      <c r="J66" s="115">
        <f t="shared" si="5"/>
        <v>15</v>
      </c>
    </row>
    <row r="67" spans="1:10" ht="15.8" thickBot="1" x14ac:dyDescent="0.3">
      <c r="A67" s="56" t="s">
        <v>154</v>
      </c>
      <c r="B67" s="318">
        <v>1</v>
      </c>
      <c r="C67" s="246">
        <v>1</v>
      </c>
      <c r="D67" s="383">
        <v>0</v>
      </c>
      <c r="E67" s="90">
        <f t="shared" si="4"/>
        <v>2</v>
      </c>
      <c r="F67" s="113" t="s">
        <v>137</v>
      </c>
      <c r="G67" s="301">
        <v>15</v>
      </c>
      <c r="H67" s="116">
        <v>0</v>
      </c>
      <c r="I67" s="385">
        <v>0</v>
      </c>
      <c r="J67" s="115">
        <f t="shared" si="5"/>
        <v>15</v>
      </c>
    </row>
    <row r="68" spans="1:10" ht="15.8" thickBot="1" x14ac:dyDescent="0.3">
      <c r="A68" s="56" t="s">
        <v>139</v>
      </c>
      <c r="B68" s="318">
        <v>1</v>
      </c>
      <c r="C68" s="246">
        <v>1</v>
      </c>
      <c r="D68" s="383">
        <v>0</v>
      </c>
      <c r="E68" s="90">
        <f t="shared" si="4"/>
        <v>2</v>
      </c>
      <c r="F68" s="113" t="s">
        <v>1809</v>
      </c>
      <c r="G68" s="301">
        <v>10</v>
      </c>
      <c r="H68" s="116">
        <v>5</v>
      </c>
      <c r="I68" s="385">
        <v>0</v>
      </c>
      <c r="J68" s="115">
        <f t="shared" si="5"/>
        <v>15</v>
      </c>
    </row>
    <row r="69" spans="1:10" ht="15.8" thickBot="1" x14ac:dyDescent="0.3">
      <c r="A69" s="56" t="s">
        <v>1768</v>
      </c>
      <c r="B69" s="318">
        <v>1</v>
      </c>
      <c r="C69" s="246">
        <v>0</v>
      </c>
      <c r="D69" s="383">
        <v>1</v>
      </c>
      <c r="E69" s="90">
        <f t="shared" si="4"/>
        <v>2</v>
      </c>
      <c r="F69" s="113" t="s">
        <v>154</v>
      </c>
      <c r="G69" s="301">
        <v>5</v>
      </c>
      <c r="H69" s="116">
        <v>5</v>
      </c>
      <c r="I69" s="385">
        <v>0</v>
      </c>
      <c r="J69" s="115">
        <f t="shared" si="5"/>
        <v>10</v>
      </c>
    </row>
    <row r="70" spans="1:10" ht="15.8" thickBot="1" x14ac:dyDescent="0.3">
      <c r="A70" s="56" t="s">
        <v>1039</v>
      </c>
      <c r="B70" s="318">
        <v>2</v>
      </c>
      <c r="C70" s="246">
        <v>0</v>
      </c>
      <c r="D70" s="383">
        <v>0</v>
      </c>
      <c r="E70" s="90">
        <f t="shared" si="4"/>
        <v>2</v>
      </c>
      <c r="F70" s="113" t="s">
        <v>139</v>
      </c>
      <c r="G70" s="301">
        <v>5</v>
      </c>
      <c r="H70" s="116">
        <v>5</v>
      </c>
      <c r="I70" s="385">
        <v>0</v>
      </c>
      <c r="J70" s="115">
        <f t="shared" si="5"/>
        <v>10</v>
      </c>
    </row>
    <row r="71" spans="1:10" ht="15.8" thickBot="1" x14ac:dyDescent="0.3">
      <c r="A71" s="56" t="s">
        <v>200</v>
      </c>
      <c r="B71" s="318">
        <v>2</v>
      </c>
      <c r="C71" s="246">
        <v>0</v>
      </c>
      <c r="D71" s="383">
        <v>0</v>
      </c>
      <c r="E71" s="90">
        <f t="shared" si="4"/>
        <v>2</v>
      </c>
      <c r="F71" s="113" t="s">
        <v>1768</v>
      </c>
      <c r="G71" s="301">
        <v>5</v>
      </c>
      <c r="H71" s="116">
        <v>0</v>
      </c>
      <c r="I71" s="385">
        <v>5</v>
      </c>
      <c r="J71" s="115">
        <f t="shared" si="5"/>
        <v>10</v>
      </c>
    </row>
    <row r="72" spans="1:10" ht="15.8" thickBot="1" x14ac:dyDescent="0.3">
      <c r="A72" s="56" t="s">
        <v>1068</v>
      </c>
      <c r="B72" s="318">
        <v>2</v>
      </c>
      <c r="C72" s="246">
        <v>0</v>
      </c>
      <c r="D72" s="383">
        <v>0</v>
      </c>
      <c r="E72" s="90">
        <f t="shared" si="4"/>
        <v>2</v>
      </c>
      <c r="F72" s="113" t="s">
        <v>1039</v>
      </c>
      <c r="G72" s="301">
        <v>10</v>
      </c>
      <c r="H72" s="116">
        <v>0</v>
      </c>
      <c r="I72" s="385">
        <v>0</v>
      </c>
      <c r="J72" s="115">
        <f t="shared" si="5"/>
        <v>10</v>
      </c>
    </row>
    <row r="73" spans="1:10" ht="15.8" thickBot="1" x14ac:dyDescent="0.3">
      <c r="A73" s="56" t="s">
        <v>961</v>
      </c>
      <c r="B73" s="318">
        <v>1</v>
      </c>
      <c r="C73" s="246">
        <v>0</v>
      </c>
      <c r="D73" s="383">
        <v>0</v>
      </c>
      <c r="E73" s="90">
        <f t="shared" si="4"/>
        <v>1</v>
      </c>
      <c r="F73" s="113" t="s">
        <v>200</v>
      </c>
      <c r="G73" s="301">
        <v>10</v>
      </c>
      <c r="H73" s="116">
        <v>0</v>
      </c>
      <c r="I73" s="385">
        <v>0</v>
      </c>
      <c r="J73" s="115">
        <f t="shared" si="5"/>
        <v>10</v>
      </c>
    </row>
    <row r="74" spans="1:10" ht="15.8" thickBot="1" x14ac:dyDescent="0.3">
      <c r="A74" s="56" t="s">
        <v>1206</v>
      </c>
      <c r="B74" s="318">
        <v>1</v>
      </c>
      <c r="C74" s="246">
        <v>0</v>
      </c>
      <c r="D74" s="383">
        <v>0</v>
      </c>
      <c r="E74" s="90">
        <f t="shared" si="4"/>
        <v>1</v>
      </c>
      <c r="F74" s="113" t="s">
        <v>1068</v>
      </c>
      <c r="G74" s="301">
        <v>10</v>
      </c>
      <c r="H74" s="116">
        <v>0</v>
      </c>
      <c r="I74" s="385">
        <v>0</v>
      </c>
      <c r="J74" s="115">
        <f t="shared" si="5"/>
        <v>10</v>
      </c>
    </row>
    <row r="75" spans="1:10" ht="15.8" thickBot="1" x14ac:dyDescent="0.3">
      <c r="A75" s="56" t="s">
        <v>252</v>
      </c>
      <c r="B75" s="318">
        <v>1</v>
      </c>
      <c r="C75" s="246">
        <v>0</v>
      </c>
      <c r="D75" s="383">
        <v>0</v>
      </c>
      <c r="E75" s="90">
        <f t="shared" si="4"/>
        <v>1</v>
      </c>
      <c r="F75" s="113" t="s">
        <v>7</v>
      </c>
      <c r="G75" s="301">
        <v>0</v>
      </c>
      <c r="H75" s="116">
        <v>0</v>
      </c>
      <c r="I75" s="385">
        <v>7</v>
      </c>
      <c r="J75" s="115">
        <f t="shared" si="5"/>
        <v>7</v>
      </c>
    </row>
    <row r="76" spans="1:10" ht="15.8" thickBot="1" x14ac:dyDescent="0.3">
      <c r="A76" s="56" t="s">
        <v>253</v>
      </c>
      <c r="B76" s="318">
        <v>0</v>
      </c>
      <c r="C76" s="246">
        <v>0</v>
      </c>
      <c r="D76" s="383">
        <v>1</v>
      </c>
      <c r="E76" s="90">
        <f t="shared" si="4"/>
        <v>1</v>
      </c>
      <c r="F76" s="113" t="s">
        <v>9</v>
      </c>
      <c r="G76" s="301">
        <v>0</v>
      </c>
      <c r="H76" s="116">
        <v>0</v>
      </c>
      <c r="I76" s="385">
        <v>6</v>
      </c>
      <c r="J76" s="115">
        <f t="shared" si="5"/>
        <v>6</v>
      </c>
    </row>
    <row r="77" spans="1:10" ht="15.8" thickBot="1" x14ac:dyDescent="0.3">
      <c r="A77" s="56" t="s">
        <v>417</v>
      </c>
      <c r="B77" s="318">
        <v>1</v>
      </c>
      <c r="C77" s="246">
        <v>0</v>
      </c>
      <c r="D77" s="383">
        <v>0</v>
      </c>
      <c r="E77" s="90">
        <f t="shared" si="4"/>
        <v>1</v>
      </c>
      <c r="F77" s="113" t="s">
        <v>961</v>
      </c>
      <c r="G77" s="301">
        <v>5</v>
      </c>
      <c r="H77" s="116">
        <v>0</v>
      </c>
      <c r="I77" s="385">
        <v>0</v>
      </c>
      <c r="J77" s="115">
        <f t="shared" si="5"/>
        <v>5</v>
      </c>
    </row>
    <row r="78" spans="1:10" ht="15.8" thickBot="1" x14ac:dyDescent="0.3">
      <c r="A78" s="56" t="s">
        <v>1024</v>
      </c>
      <c r="B78" s="318">
        <v>0</v>
      </c>
      <c r="C78" s="246">
        <v>1</v>
      </c>
      <c r="D78" s="383">
        <v>0</v>
      </c>
      <c r="E78" s="90">
        <f t="shared" si="4"/>
        <v>1</v>
      </c>
      <c r="F78" s="113" t="s">
        <v>1206</v>
      </c>
      <c r="G78" s="301">
        <v>5</v>
      </c>
      <c r="H78" s="116">
        <v>0</v>
      </c>
      <c r="I78" s="385">
        <v>0</v>
      </c>
      <c r="J78" s="115">
        <f t="shared" si="5"/>
        <v>5</v>
      </c>
    </row>
    <row r="79" spans="1:10" ht="15.8" thickBot="1" x14ac:dyDescent="0.3">
      <c r="A79" s="56" t="s">
        <v>1210</v>
      </c>
      <c r="B79" s="318">
        <v>1</v>
      </c>
      <c r="C79" s="246">
        <v>0</v>
      </c>
      <c r="D79" s="383">
        <v>0</v>
      </c>
      <c r="E79" s="90">
        <f t="shared" si="4"/>
        <v>1</v>
      </c>
      <c r="F79" s="113" t="s">
        <v>252</v>
      </c>
      <c r="G79" s="301">
        <v>5</v>
      </c>
      <c r="H79" s="116">
        <v>0</v>
      </c>
      <c r="I79" s="385">
        <v>0</v>
      </c>
      <c r="J79" s="115">
        <f t="shared" si="5"/>
        <v>5</v>
      </c>
    </row>
    <row r="80" spans="1:10" ht="15.8" thickBot="1" x14ac:dyDescent="0.3">
      <c r="A80" s="56" t="s">
        <v>933</v>
      </c>
      <c r="B80" s="318">
        <v>0</v>
      </c>
      <c r="C80" s="246">
        <v>0</v>
      </c>
      <c r="D80" s="383">
        <v>1</v>
      </c>
      <c r="E80" s="90">
        <f t="shared" si="4"/>
        <v>1</v>
      </c>
      <c r="F80" s="113" t="s">
        <v>417</v>
      </c>
      <c r="G80" s="301">
        <v>5</v>
      </c>
      <c r="H80" s="116">
        <v>0</v>
      </c>
      <c r="I80" s="385">
        <v>0</v>
      </c>
      <c r="J80" s="115">
        <f t="shared" si="5"/>
        <v>5</v>
      </c>
    </row>
    <row r="81" spans="1:10" ht="15.8" thickBot="1" x14ac:dyDescent="0.3">
      <c r="A81" s="56" t="s">
        <v>7</v>
      </c>
      <c r="B81" s="318">
        <v>0</v>
      </c>
      <c r="C81" s="246">
        <v>0</v>
      </c>
      <c r="D81" s="383">
        <v>1</v>
      </c>
      <c r="E81" s="90">
        <f t="shared" si="4"/>
        <v>1</v>
      </c>
      <c r="F81" s="113" t="s">
        <v>1024</v>
      </c>
      <c r="G81" s="301">
        <v>0</v>
      </c>
      <c r="H81" s="116">
        <v>5</v>
      </c>
      <c r="I81" s="385">
        <v>0</v>
      </c>
      <c r="J81" s="115">
        <f t="shared" si="5"/>
        <v>5</v>
      </c>
    </row>
    <row r="82" spans="1:10" ht="15.8" thickBot="1" x14ac:dyDescent="0.3">
      <c r="A82" s="56" t="s">
        <v>1018</v>
      </c>
      <c r="B82" s="318">
        <v>1</v>
      </c>
      <c r="C82" s="246">
        <v>0</v>
      </c>
      <c r="D82" s="383">
        <v>0</v>
      </c>
      <c r="E82" s="90">
        <f t="shared" si="4"/>
        <v>1</v>
      </c>
      <c r="F82" s="113" t="s">
        <v>1210</v>
      </c>
      <c r="G82" s="301">
        <v>5</v>
      </c>
      <c r="H82" s="116">
        <v>0</v>
      </c>
      <c r="I82" s="385">
        <v>0</v>
      </c>
      <c r="J82" s="115">
        <f t="shared" si="5"/>
        <v>5</v>
      </c>
    </row>
    <row r="83" spans="1:10" ht="15.8" thickBot="1" x14ac:dyDescent="0.3">
      <c r="A83" s="56" t="s">
        <v>1767</v>
      </c>
      <c r="B83" s="318">
        <v>0</v>
      </c>
      <c r="C83" s="246">
        <v>0</v>
      </c>
      <c r="D83" s="383">
        <v>1</v>
      </c>
      <c r="E83" s="90">
        <f t="shared" si="4"/>
        <v>1</v>
      </c>
      <c r="F83" s="113" t="s">
        <v>933</v>
      </c>
      <c r="G83" s="301">
        <v>0</v>
      </c>
      <c r="H83" s="116">
        <v>0</v>
      </c>
      <c r="I83" s="385">
        <v>5</v>
      </c>
      <c r="J83" s="115">
        <f t="shared" si="5"/>
        <v>5</v>
      </c>
    </row>
    <row r="84" spans="1:10" ht="15.8" thickBot="1" x14ac:dyDescent="0.3">
      <c r="A84" s="56" t="s">
        <v>1771</v>
      </c>
      <c r="B84" s="318">
        <v>0</v>
      </c>
      <c r="C84" s="246">
        <v>0</v>
      </c>
      <c r="D84" s="383">
        <v>0</v>
      </c>
      <c r="E84" s="90">
        <f t="shared" si="4"/>
        <v>0</v>
      </c>
      <c r="F84" s="113" t="s">
        <v>1018</v>
      </c>
      <c r="G84" s="301">
        <v>5</v>
      </c>
      <c r="H84" s="116">
        <v>0</v>
      </c>
      <c r="I84" s="385">
        <v>0</v>
      </c>
      <c r="J84" s="115">
        <f t="shared" si="5"/>
        <v>5</v>
      </c>
    </row>
    <row r="85" spans="1:10" ht="14.95" thickBot="1" x14ac:dyDescent="0.3">
      <c r="A85" s="56" t="s">
        <v>109</v>
      </c>
      <c r="B85" s="318">
        <v>0</v>
      </c>
      <c r="C85" s="246">
        <v>0</v>
      </c>
      <c r="D85" s="383">
        <v>0</v>
      </c>
      <c r="E85" s="90">
        <f t="shared" si="4"/>
        <v>0</v>
      </c>
      <c r="F85" s="113" t="s">
        <v>1767</v>
      </c>
      <c r="G85" s="301">
        <v>0</v>
      </c>
      <c r="H85" s="116">
        <v>0</v>
      </c>
      <c r="I85" s="385">
        <v>5</v>
      </c>
      <c r="J85" s="115">
        <f t="shared" si="5"/>
        <v>5</v>
      </c>
    </row>
    <row r="86" spans="1:10" ht="14.95" thickBot="1" x14ac:dyDescent="0.3">
      <c r="A86" s="56" t="s">
        <v>142</v>
      </c>
      <c r="B86" s="318">
        <v>0</v>
      </c>
      <c r="C86" s="246">
        <v>0</v>
      </c>
      <c r="D86" s="383">
        <v>0</v>
      </c>
      <c r="E86" s="90">
        <f t="shared" si="4"/>
        <v>0</v>
      </c>
      <c r="F86" s="113" t="s">
        <v>1771</v>
      </c>
      <c r="G86" s="301">
        <v>0</v>
      </c>
      <c r="H86" s="116">
        <v>0</v>
      </c>
      <c r="I86" s="385">
        <v>2</v>
      </c>
      <c r="J86" s="115">
        <f t="shared" si="5"/>
        <v>2</v>
      </c>
    </row>
    <row r="87" spans="1:10" ht="14.95" thickBot="1" x14ac:dyDescent="0.3">
      <c r="A87" s="56" t="s">
        <v>1207</v>
      </c>
      <c r="B87" s="318">
        <v>0</v>
      </c>
      <c r="C87" s="246">
        <v>0</v>
      </c>
      <c r="D87" s="383">
        <v>0</v>
      </c>
      <c r="E87" s="90">
        <f t="shared" si="4"/>
        <v>0</v>
      </c>
      <c r="F87" s="113" t="s">
        <v>109</v>
      </c>
      <c r="G87" s="301">
        <v>0</v>
      </c>
      <c r="H87" s="116">
        <v>0</v>
      </c>
      <c r="I87" s="385">
        <v>0</v>
      </c>
      <c r="J87" s="115">
        <f t="shared" si="5"/>
        <v>0</v>
      </c>
    </row>
    <row r="88" spans="1:10" ht="14.95" thickBot="1" x14ac:dyDescent="0.3">
      <c r="A88" s="56" t="s">
        <v>1209</v>
      </c>
      <c r="B88" s="318">
        <v>0</v>
      </c>
      <c r="C88" s="246">
        <v>0</v>
      </c>
      <c r="D88" s="383">
        <v>0</v>
      </c>
      <c r="E88" s="90">
        <f t="shared" si="4"/>
        <v>0</v>
      </c>
      <c r="F88" s="113" t="s">
        <v>142</v>
      </c>
      <c r="G88" s="301">
        <v>0</v>
      </c>
      <c r="H88" s="116">
        <v>0</v>
      </c>
      <c r="I88" s="385">
        <v>0</v>
      </c>
      <c r="J88" s="115">
        <f t="shared" si="5"/>
        <v>0</v>
      </c>
    </row>
    <row r="89" spans="1:10" ht="14.95" thickBot="1" x14ac:dyDescent="0.3">
      <c r="A89" s="56" t="s">
        <v>201</v>
      </c>
      <c r="B89" s="318">
        <v>0</v>
      </c>
      <c r="C89" s="246">
        <v>0</v>
      </c>
      <c r="D89" s="383">
        <v>0</v>
      </c>
      <c r="E89" s="90">
        <f t="shared" si="4"/>
        <v>0</v>
      </c>
      <c r="F89" s="113" t="s">
        <v>1207</v>
      </c>
      <c r="G89" s="301">
        <v>0</v>
      </c>
      <c r="H89" s="116">
        <v>0</v>
      </c>
      <c r="I89" s="385">
        <v>0</v>
      </c>
      <c r="J89" s="115">
        <f t="shared" si="5"/>
        <v>0</v>
      </c>
    </row>
    <row r="90" spans="1:10" ht="14.95" thickBot="1" x14ac:dyDescent="0.3">
      <c r="A90" s="56" t="s">
        <v>1211</v>
      </c>
      <c r="B90" s="318">
        <v>0</v>
      </c>
      <c r="C90" s="246">
        <v>0</v>
      </c>
      <c r="D90" s="383">
        <v>0</v>
      </c>
      <c r="E90" s="90">
        <f t="shared" si="4"/>
        <v>0</v>
      </c>
      <c r="F90" s="113" t="s">
        <v>1209</v>
      </c>
      <c r="G90" s="301">
        <v>0</v>
      </c>
      <c r="H90" s="116">
        <v>0</v>
      </c>
      <c r="I90" s="385">
        <v>0</v>
      </c>
      <c r="J90" s="115">
        <f t="shared" si="5"/>
        <v>0</v>
      </c>
    </row>
    <row r="91" spans="1:10" ht="14.95" thickBot="1" x14ac:dyDescent="0.3">
      <c r="A91" s="56" t="s">
        <v>962</v>
      </c>
      <c r="B91" s="318">
        <v>0</v>
      </c>
      <c r="C91" s="246">
        <v>0</v>
      </c>
      <c r="D91" s="383">
        <v>0</v>
      </c>
      <c r="E91" s="90">
        <f t="shared" si="4"/>
        <v>0</v>
      </c>
      <c r="F91" s="113" t="s">
        <v>201</v>
      </c>
      <c r="G91" s="301">
        <v>0</v>
      </c>
      <c r="H91" s="116">
        <v>0</v>
      </c>
      <c r="I91" s="385">
        <v>0</v>
      </c>
      <c r="J91" s="115">
        <f t="shared" si="5"/>
        <v>0</v>
      </c>
    </row>
    <row r="92" spans="1:10" ht="14.95" thickBot="1" x14ac:dyDescent="0.3">
      <c r="A92" s="56" t="s">
        <v>1038</v>
      </c>
      <c r="B92" s="318">
        <v>0</v>
      </c>
      <c r="C92" s="246">
        <v>0</v>
      </c>
      <c r="D92" s="383">
        <v>0</v>
      </c>
      <c r="E92" s="90">
        <f t="shared" si="4"/>
        <v>0</v>
      </c>
      <c r="F92" s="113" t="s">
        <v>1211</v>
      </c>
      <c r="G92" s="301">
        <v>0</v>
      </c>
      <c r="H92" s="116">
        <v>0</v>
      </c>
      <c r="I92" s="385">
        <v>0</v>
      </c>
      <c r="J92" s="115">
        <f t="shared" si="5"/>
        <v>0</v>
      </c>
    </row>
    <row r="93" spans="1:10" ht="14.95" thickBot="1" x14ac:dyDescent="0.3">
      <c r="A93" s="56" t="s">
        <v>143</v>
      </c>
      <c r="B93" s="318">
        <v>0</v>
      </c>
      <c r="C93" s="246">
        <v>0</v>
      </c>
      <c r="D93" s="383">
        <v>0</v>
      </c>
      <c r="E93" s="90">
        <f t="shared" si="4"/>
        <v>0</v>
      </c>
      <c r="F93" s="113" t="s">
        <v>962</v>
      </c>
      <c r="G93" s="301">
        <v>0</v>
      </c>
      <c r="H93" s="116">
        <v>0</v>
      </c>
      <c r="I93" s="385">
        <v>0</v>
      </c>
      <c r="J93" s="115">
        <f t="shared" si="5"/>
        <v>0</v>
      </c>
    </row>
    <row r="94" spans="1:10" ht="14.95" thickBot="1" x14ac:dyDescent="0.3">
      <c r="A94" s="56" t="s">
        <v>12</v>
      </c>
      <c r="B94" s="318">
        <v>0</v>
      </c>
      <c r="C94" s="246">
        <v>0</v>
      </c>
      <c r="D94" s="383">
        <v>0</v>
      </c>
      <c r="E94" s="90">
        <f t="shared" si="4"/>
        <v>0</v>
      </c>
      <c r="F94" s="113" t="s">
        <v>1038</v>
      </c>
      <c r="G94" s="301">
        <v>0</v>
      </c>
      <c r="H94" s="116">
        <v>0</v>
      </c>
      <c r="I94" s="385">
        <v>0</v>
      </c>
      <c r="J94" s="115">
        <f t="shared" si="5"/>
        <v>0</v>
      </c>
    </row>
    <row r="95" spans="1:10" ht="14.95" thickBot="1" x14ac:dyDescent="0.3">
      <c r="A95" s="56" t="s">
        <v>40</v>
      </c>
      <c r="B95" s="318">
        <v>0</v>
      </c>
      <c r="C95" s="246">
        <v>0</v>
      </c>
      <c r="D95" s="383">
        <v>0</v>
      </c>
      <c r="E95" s="90">
        <f t="shared" si="4"/>
        <v>0</v>
      </c>
      <c r="F95" s="113" t="s">
        <v>143</v>
      </c>
      <c r="G95" s="301">
        <v>0</v>
      </c>
      <c r="H95" s="116">
        <v>0</v>
      </c>
      <c r="I95" s="385">
        <v>0</v>
      </c>
      <c r="J95" s="115">
        <f t="shared" si="5"/>
        <v>0</v>
      </c>
    </row>
    <row r="96" spans="1:10" ht="14.95" thickBot="1" x14ac:dyDescent="0.3">
      <c r="A96" s="56" t="s">
        <v>9</v>
      </c>
      <c r="B96" s="318">
        <v>0</v>
      </c>
      <c r="C96" s="246">
        <v>0</v>
      </c>
      <c r="D96" s="383">
        <v>0</v>
      </c>
      <c r="E96" s="90">
        <f t="shared" si="4"/>
        <v>0</v>
      </c>
      <c r="F96" s="113" t="s">
        <v>12</v>
      </c>
      <c r="G96" s="301">
        <v>0</v>
      </c>
      <c r="H96" s="116">
        <v>0</v>
      </c>
      <c r="I96" s="385">
        <v>0</v>
      </c>
      <c r="J96" s="115">
        <f t="shared" si="5"/>
        <v>0</v>
      </c>
    </row>
    <row r="97" spans="1:10" ht="14.95" thickBot="1" x14ac:dyDescent="0.3">
      <c r="A97" s="56" t="s">
        <v>3</v>
      </c>
      <c r="B97" s="318">
        <f>SUM(B52:B96)</f>
        <v>78</v>
      </c>
      <c r="C97" s="246">
        <f t="shared" ref="C97:E97" si="6">SUM(C52:C96)</f>
        <v>12</v>
      </c>
      <c r="D97" s="383">
        <f t="shared" si="6"/>
        <v>8</v>
      </c>
      <c r="E97" s="90">
        <f t="shared" si="6"/>
        <v>98</v>
      </c>
      <c r="F97" s="113" t="s">
        <v>3</v>
      </c>
      <c r="G97" s="301">
        <f t="shared" ref="G97:J97" si="7">SUM(G52:G96)</f>
        <v>606</v>
      </c>
      <c r="H97" s="116">
        <f t="shared" si="7"/>
        <v>100</v>
      </c>
      <c r="I97" s="385">
        <f t="shared" si="7"/>
        <v>58</v>
      </c>
      <c r="J97" s="115">
        <f t="shared" si="7"/>
        <v>764</v>
      </c>
    </row>
    <row r="98" spans="1:10" x14ac:dyDescent="0.25">
      <c r="A98" s="65" t="s">
        <v>171</v>
      </c>
    </row>
  </sheetData>
  <sortState xmlns:xlrd2="http://schemas.microsoft.com/office/spreadsheetml/2017/richdata2" ref="F52:J96">
    <sortCondition descending="1" ref="J52:J96"/>
  </sortState>
  <mergeCells count="26">
    <mergeCell ref="K29:W29"/>
    <mergeCell ref="T1:V2"/>
    <mergeCell ref="O11:Q12"/>
    <mergeCell ref="O20:Q21"/>
    <mergeCell ref="AG11:AI12"/>
    <mergeCell ref="AD20:AF21"/>
    <mergeCell ref="K28:AH28"/>
    <mergeCell ref="AL1:AN2"/>
    <mergeCell ref="AI1:AK2"/>
    <mergeCell ref="W1:Y2"/>
    <mergeCell ref="K20:K21"/>
    <mergeCell ref="L20:N21"/>
    <mergeCell ref="AF1:AH2"/>
    <mergeCell ref="AC1:AE2"/>
    <mergeCell ref="U11:W12"/>
    <mergeCell ref="U20:W21"/>
    <mergeCell ref="AD11:AF12"/>
    <mergeCell ref="R20:T21"/>
    <mergeCell ref="A1:J1"/>
    <mergeCell ref="K11:K12"/>
    <mergeCell ref="K1:K2"/>
    <mergeCell ref="L1:N2"/>
    <mergeCell ref="R11:T12"/>
    <mergeCell ref="R1:S2"/>
    <mergeCell ref="O1:Q2"/>
    <mergeCell ref="L11:N1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104"/>
  <sheetViews>
    <sheetView workbookViewId="0">
      <selection activeCell="P33" sqref="P33"/>
    </sheetView>
  </sheetViews>
  <sheetFormatPr defaultRowHeight="14.3" x14ac:dyDescent="0.25"/>
  <cols>
    <col min="1" max="1" width="16.625" customWidth="1"/>
    <col min="2" max="2" width="3.75" customWidth="1"/>
    <col min="3" max="4" width="5.625" customWidth="1"/>
    <col min="5" max="5" width="4.75" customWidth="1"/>
    <col min="6" max="6" width="16.625" customWidth="1"/>
    <col min="7" max="10" width="5.25" customWidth="1"/>
    <col min="11" max="11" width="16.375" customWidth="1"/>
    <col min="12" max="18" width="5.625" customWidth="1"/>
    <col min="19" max="19" width="5.75" customWidth="1"/>
    <col min="20" max="31" width="5.625" customWidth="1"/>
    <col min="32" max="39" width="5.75" customWidth="1"/>
    <col min="41" max="41" width="14.125" bestFit="1" customWidth="1"/>
    <col min="43" max="43" width="9.25" bestFit="1" customWidth="1"/>
    <col min="46" max="46" width="14.125" bestFit="1" customWidth="1"/>
    <col min="48" max="48" width="9.25" bestFit="1" customWidth="1"/>
  </cols>
  <sheetData>
    <row r="1" spans="1:46" ht="14.95" customHeight="1" thickBot="1" x14ac:dyDescent="0.3">
      <c r="A1" s="140" t="s">
        <v>1201</v>
      </c>
      <c r="B1" s="100"/>
      <c r="C1" s="100"/>
      <c r="D1" s="100"/>
      <c r="E1" s="100"/>
      <c r="F1" s="100"/>
      <c r="G1" s="100"/>
      <c r="H1" s="100"/>
      <c r="I1" s="100"/>
      <c r="J1" s="101"/>
      <c r="K1" s="478" t="s">
        <v>1324</v>
      </c>
      <c r="L1" s="480" t="s">
        <v>241</v>
      </c>
      <c r="M1" s="481"/>
      <c r="N1" s="482"/>
      <c r="O1" s="486" t="s">
        <v>202</v>
      </c>
      <c r="P1" s="487"/>
      <c r="Q1" s="488"/>
      <c r="R1" s="492" t="s">
        <v>62</v>
      </c>
      <c r="S1" s="493"/>
      <c r="T1" s="457" t="s">
        <v>244</v>
      </c>
      <c r="U1" s="458"/>
      <c r="V1" s="459"/>
      <c r="W1" s="457" t="s">
        <v>1070</v>
      </c>
      <c r="X1" s="458"/>
      <c r="Y1" s="459"/>
      <c r="Z1" s="149"/>
      <c r="AA1" s="237"/>
      <c r="AB1" s="237"/>
      <c r="AC1" s="457" t="s">
        <v>598</v>
      </c>
      <c r="AD1" s="458"/>
      <c r="AE1" s="459"/>
      <c r="AF1" s="457" t="s">
        <v>254</v>
      </c>
      <c r="AG1" s="458"/>
      <c r="AH1" s="459"/>
      <c r="AI1" s="457" t="s">
        <v>186</v>
      </c>
      <c r="AJ1" s="458"/>
      <c r="AK1" s="459"/>
      <c r="AL1" s="457" t="s">
        <v>214</v>
      </c>
      <c r="AM1" s="458"/>
      <c r="AN1" s="459"/>
      <c r="AO1" s="5"/>
      <c r="AP1" s="5"/>
      <c r="AQ1" s="5"/>
      <c r="AT1" s="5"/>
    </row>
    <row r="2" spans="1:46" ht="14.95" customHeight="1" thickBot="1" x14ac:dyDescent="0.3">
      <c r="A2" s="195" t="s">
        <v>0</v>
      </c>
      <c r="B2" s="217" t="s">
        <v>1072</v>
      </c>
      <c r="C2" s="196" t="s">
        <v>123</v>
      </c>
      <c r="D2" s="360" t="s">
        <v>1073</v>
      </c>
      <c r="E2" s="197" t="s">
        <v>1</v>
      </c>
      <c r="F2" s="393" t="s">
        <v>2</v>
      </c>
      <c r="G2" s="205" t="s">
        <v>1072</v>
      </c>
      <c r="H2" s="378" t="s">
        <v>123</v>
      </c>
      <c r="I2" s="379" t="s">
        <v>1073</v>
      </c>
      <c r="J2" s="206" t="s">
        <v>1</v>
      </c>
      <c r="K2" s="479"/>
      <c r="L2" s="483"/>
      <c r="M2" s="484"/>
      <c r="N2" s="485"/>
      <c r="O2" s="489"/>
      <c r="P2" s="490"/>
      <c r="Q2" s="491"/>
      <c r="R2" s="494"/>
      <c r="S2" s="495"/>
      <c r="T2" s="460"/>
      <c r="U2" s="461"/>
      <c r="V2" s="462"/>
      <c r="W2" s="460"/>
      <c r="X2" s="461"/>
      <c r="Y2" s="462"/>
      <c r="Z2" s="127"/>
      <c r="AA2" s="127"/>
      <c r="AB2" s="127"/>
      <c r="AC2" s="460"/>
      <c r="AD2" s="461"/>
      <c r="AE2" s="462"/>
      <c r="AF2" s="460"/>
      <c r="AG2" s="461"/>
      <c r="AH2" s="462"/>
      <c r="AI2" s="460"/>
      <c r="AJ2" s="461"/>
      <c r="AK2" s="462"/>
      <c r="AL2" s="460"/>
      <c r="AM2" s="461"/>
      <c r="AN2" s="462"/>
      <c r="AO2" s="5"/>
      <c r="AP2" s="5"/>
      <c r="AQ2" s="5"/>
      <c r="AR2" s="5"/>
      <c r="AS2" s="5"/>
    </row>
    <row r="3" spans="1:46" ht="14.95" customHeight="1" thickBot="1" x14ac:dyDescent="0.3">
      <c r="A3" s="55" t="s">
        <v>96</v>
      </c>
      <c r="B3" s="117">
        <v>4</v>
      </c>
      <c r="C3" s="53">
        <v>3</v>
      </c>
      <c r="D3" s="361">
        <v>0</v>
      </c>
      <c r="E3" s="6">
        <f>SUM(B3:D3)</f>
        <v>7</v>
      </c>
      <c r="F3" s="394" t="s">
        <v>96</v>
      </c>
      <c r="G3" s="118">
        <v>20</v>
      </c>
      <c r="H3" s="374">
        <v>15</v>
      </c>
      <c r="I3" s="375">
        <v>0</v>
      </c>
      <c r="J3" s="98">
        <f>SUM(G3:I3)</f>
        <v>35</v>
      </c>
      <c r="K3" s="37" t="s">
        <v>87</v>
      </c>
      <c r="L3" s="66" t="s">
        <v>243</v>
      </c>
      <c r="M3" s="66" t="s">
        <v>42</v>
      </c>
      <c r="N3" s="66" t="s">
        <v>43</v>
      </c>
      <c r="O3" s="1" t="s">
        <v>243</v>
      </c>
      <c r="P3" s="1" t="s">
        <v>42</v>
      </c>
      <c r="Q3" s="1" t="s">
        <v>43</v>
      </c>
      <c r="R3" s="4" t="s">
        <v>63</v>
      </c>
      <c r="S3" s="4" t="s">
        <v>957</v>
      </c>
      <c r="T3" s="119" t="s">
        <v>243</v>
      </c>
      <c r="U3" s="119" t="s">
        <v>42</v>
      </c>
      <c r="V3" s="119" t="s">
        <v>43</v>
      </c>
      <c r="W3" s="124" t="s">
        <v>243</v>
      </c>
      <c r="X3" s="119" t="s">
        <v>42</v>
      </c>
      <c r="Y3" s="119" t="s">
        <v>43</v>
      </c>
      <c r="Z3" s="60"/>
      <c r="AA3" s="60"/>
      <c r="AB3" s="60"/>
      <c r="AC3" s="158" t="s">
        <v>243</v>
      </c>
      <c r="AD3" s="119" t="s">
        <v>42</v>
      </c>
      <c r="AE3" s="119" t="s">
        <v>43</v>
      </c>
      <c r="AF3" s="119" t="s">
        <v>243</v>
      </c>
      <c r="AG3" s="119" t="s">
        <v>42</v>
      </c>
      <c r="AH3" s="119" t="s">
        <v>43</v>
      </c>
      <c r="AI3" s="119" t="s">
        <v>243</v>
      </c>
      <c r="AJ3" s="119" t="s">
        <v>42</v>
      </c>
      <c r="AK3" s="119" t="s">
        <v>43</v>
      </c>
      <c r="AL3" s="119" t="s">
        <v>243</v>
      </c>
      <c r="AM3" s="119" t="s">
        <v>42</v>
      </c>
      <c r="AN3" s="119" t="s">
        <v>43</v>
      </c>
    </row>
    <row r="4" spans="1:46" ht="14.95" customHeight="1" thickBot="1" x14ac:dyDescent="0.3">
      <c r="A4" s="55" t="s">
        <v>188</v>
      </c>
      <c r="B4" s="117">
        <v>0</v>
      </c>
      <c r="C4" s="53">
        <v>0</v>
      </c>
      <c r="D4" s="361">
        <v>0</v>
      </c>
      <c r="E4" s="6">
        <f t="shared" ref="E4:E50" si="0">SUM(B4:D4)</f>
        <v>0</v>
      </c>
      <c r="F4" s="394" t="s">
        <v>188</v>
      </c>
      <c r="G4" s="118">
        <v>0</v>
      </c>
      <c r="H4" s="374">
        <v>0</v>
      </c>
      <c r="I4" s="375">
        <v>0</v>
      </c>
      <c r="J4" s="98">
        <f>SUM(G4:I4)</f>
        <v>0</v>
      </c>
      <c r="K4" s="18" t="s">
        <v>15</v>
      </c>
      <c r="L4" s="141">
        <v>53</v>
      </c>
      <c r="M4" s="141">
        <v>60</v>
      </c>
      <c r="N4" s="143">
        <f t="shared" ref="N4" si="1">SUM(L4/M4)*100</f>
        <v>88.333333333333329</v>
      </c>
      <c r="O4" s="141" t="s">
        <v>50</v>
      </c>
      <c r="P4" s="141" t="s">
        <v>50</v>
      </c>
      <c r="Q4" s="141" t="s">
        <v>50</v>
      </c>
      <c r="R4" s="141">
        <v>5</v>
      </c>
      <c r="S4" s="141">
        <v>5</v>
      </c>
      <c r="T4" s="141">
        <v>67</v>
      </c>
      <c r="U4" s="141">
        <v>77</v>
      </c>
      <c r="V4" s="143">
        <f t="shared" ref="V4:V6" si="2">SUM(T4/U4)*100</f>
        <v>87.012987012987011</v>
      </c>
      <c r="W4" s="148">
        <v>77</v>
      </c>
      <c r="X4" s="141">
        <v>91</v>
      </c>
      <c r="Y4" s="143">
        <f>SUM(W4/X4)*100</f>
        <v>84.615384615384613</v>
      </c>
      <c r="Z4" s="131"/>
      <c r="AA4" s="131"/>
      <c r="AB4" s="131"/>
      <c r="AC4" s="148">
        <v>97</v>
      </c>
      <c r="AD4" s="141">
        <v>128</v>
      </c>
      <c r="AE4" s="143">
        <f>SUM(AC4/AD4)*100</f>
        <v>75.78125</v>
      </c>
      <c r="AF4" s="141">
        <v>78</v>
      </c>
      <c r="AG4" s="141">
        <v>93</v>
      </c>
      <c r="AH4" s="143">
        <f>SUM(AF4/AG4)*100</f>
        <v>83.870967741935488</v>
      </c>
      <c r="AI4" s="141">
        <v>70</v>
      </c>
      <c r="AJ4" s="141">
        <v>87</v>
      </c>
      <c r="AK4" s="143">
        <f>SUM(AI4/AJ4)*100</f>
        <v>80.459770114942529</v>
      </c>
      <c r="AL4" s="141">
        <v>89</v>
      </c>
      <c r="AM4" s="141">
        <v>111</v>
      </c>
      <c r="AN4" s="141">
        <v>80</v>
      </c>
      <c r="AO4" s="5"/>
      <c r="AP4" s="5"/>
      <c r="AQ4" s="5"/>
      <c r="AR4" s="5"/>
      <c r="AS4" s="5"/>
    </row>
    <row r="5" spans="1:46" ht="14.95" customHeight="1" thickBot="1" x14ac:dyDescent="0.3">
      <c r="A5" s="55" t="s">
        <v>183</v>
      </c>
      <c r="B5" s="117">
        <v>0</v>
      </c>
      <c r="C5" s="53">
        <v>0</v>
      </c>
      <c r="D5" s="361">
        <v>2</v>
      </c>
      <c r="E5" s="6">
        <f t="shared" si="0"/>
        <v>2</v>
      </c>
      <c r="F5" s="394" t="s">
        <v>183</v>
      </c>
      <c r="G5" s="118">
        <v>0</v>
      </c>
      <c r="H5" s="374">
        <v>0</v>
      </c>
      <c r="I5" s="375">
        <v>10</v>
      </c>
      <c r="J5" s="98">
        <f t="shared" ref="J5:J50" si="3">SUM(G5:I5)</f>
        <v>10</v>
      </c>
      <c r="K5" s="18" t="s">
        <v>55</v>
      </c>
      <c r="L5" s="141" t="s">
        <v>50</v>
      </c>
      <c r="M5" s="141" t="s">
        <v>50</v>
      </c>
      <c r="N5" s="141" t="s">
        <v>50</v>
      </c>
      <c r="O5" s="141" t="s">
        <v>50</v>
      </c>
      <c r="P5" s="141" t="s">
        <v>50</v>
      </c>
      <c r="Q5" s="141" t="s">
        <v>50</v>
      </c>
      <c r="R5" s="141">
        <v>-3</v>
      </c>
      <c r="S5" s="141">
        <v>-3</v>
      </c>
      <c r="T5" s="141">
        <v>2</v>
      </c>
      <c r="U5" s="141">
        <v>7</v>
      </c>
      <c r="V5" s="143">
        <f t="shared" si="2"/>
        <v>28.571428571428569</v>
      </c>
      <c r="W5" s="148">
        <v>27</v>
      </c>
      <c r="X5" s="141">
        <v>36</v>
      </c>
      <c r="Y5" s="143">
        <f>SUM(W5/X5)*100</f>
        <v>75</v>
      </c>
      <c r="Z5" s="131"/>
      <c r="AA5" s="131"/>
      <c r="AB5" s="131"/>
      <c r="AC5" s="148">
        <v>3</v>
      </c>
      <c r="AD5" s="141">
        <v>6</v>
      </c>
      <c r="AE5" s="143">
        <f>SUM(AC5/AD5)*100</f>
        <v>50</v>
      </c>
      <c r="AF5" s="141">
        <v>44</v>
      </c>
      <c r="AG5" s="141">
        <v>56</v>
      </c>
      <c r="AH5" s="143">
        <f>SUM(AF5/AG5)*100</f>
        <v>78.571428571428569</v>
      </c>
      <c r="AI5" s="141">
        <v>14</v>
      </c>
      <c r="AJ5" s="141">
        <v>22</v>
      </c>
      <c r="AK5" s="143">
        <f>SUM(AI5/AJ5)*100</f>
        <v>63.636363636363633</v>
      </c>
      <c r="AL5" s="141">
        <v>1</v>
      </c>
      <c r="AM5" s="141">
        <v>1</v>
      </c>
      <c r="AN5" s="141">
        <v>100</v>
      </c>
      <c r="AO5" s="5"/>
      <c r="AP5" s="5"/>
      <c r="AQ5" s="5"/>
      <c r="AR5" s="5"/>
      <c r="AS5" s="5"/>
    </row>
    <row r="6" spans="1:46" ht="14.95" customHeight="1" thickBot="1" x14ac:dyDescent="0.3">
      <c r="A6" s="55" t="s">
        <v>1795</v>
      </c>
      <c r="B6" s="117">
        <v>1</v>
      </c>
      <c r="C6" s="53">
        <v>0</v>
      </c>
      <c r="D6" s="361">
        <v>1</v>
      </c>
      <c r="E6" s="6">
        <f t="shared" si="0"/>
        <v>2</v>
      </c>
      <c r="F6" s="394" t="s">
        <v>1795</v>
      </c>
      <c r="G6" s="118">
        <v>5</v>
      </c>
      <c r="H6" s="374">
        <v>0</v>
      </c>
      <c r="I6" s="375">
        <v>5</v>
      </c>
      <c r="J6" s="98">
        <f t="shared" si="3"/>
        <v>10</v>
      </c>
      <c r="K6" s="144" t="s">
        <v>940</v>
      </c>
      <c r="L6" s="141">
        <v>40</v>
      </c>
      <c r="M6" s="141">
        <v>48</v>
      </c>
      <c r="N6" s="143">
        <f t="shared" ref="N6" si="4">SUM(L6/M6)*100</f>
        <v>83.333333333333343</v>
      </c>
      <c r="O6" s="141">
        <v>4</v>
      </c>
      <c r="P6" s="141">
        <v>6</v>
      </c>
      <c r="Q6" s="143">
        <f t="shared" ref="Q6" si="5">SUM(O6/P6)*100</f>
        <v>66.666666666666657</v>
      </c>
      <c r="R6" s="141">
        <v>1</v>
      </c>
      <c r="S6" s="141">
        <v>1</v>
      </c>
      <c r="T6" s="141">
        <v>32</v>
      </c>
      <c r="U6" s="141">
        <v>38</v>
      </c>
      <c r="V6" s="143">
        <f t="shared" si="2"/>
        <v>84.210526315789465</v>
      </c>
      <c r="W6" s="142">
        <v>7</v>
      </c>
      <c r="X6" s="142">
        <v>8</v>
      </c>
      <c r="Y6" s="143">
        <f>SUM(W6/X6)*100</f>
        <v>87.5</v>
      </c>
      <c r="Z6" s="131"/>
      <c r="AA6" s="131"/>
      <c r="AB6" s="131"/>
      <c r="AC6" s="148" t="s">
        <v>50</v>
      </c>
      <c r="AD6" s="141" t="s">
        <v>50</v>
      </c>
      <c r="AE6" s="141" t="s">
        <v>50</v>
      </c>
      <c r="AF6" s="141" t="s">
        <v>50</v>
      </c>
      <c r="AG6" s="141" t="s">
        <v>50</v>
      </c>
      <c r="AH6" s="141" t="s">
        <v>50</v>
      </c>
      <c r="AI6" s="141" t="s">
        <v>50</v>
      </c>
      <c r="AJ6" s="141" t="s">
        <v>50</v>
      </c>
      <c r="AK6" s="141" t="s">
        <v>50</v>
      </c>
      <c r="AL6" s="141" t="s">
        <v>50</v>
      </c>
      <c r="AM6" s="141" t="s">
        <v>50</v>
      </c>
      <c r="AN6" s="141" t="s">
        <v>50</v>
      </c>
      <c r="AO6" s="5"/>
      <c r="AP6" s="5"/>
      <c r="AQ6" s="5"/>
      <c r="AR6" s="5"/>
      <c r="AS6" s="5"/>
    </row>
    <row r="7" spans="1:46" ht="14.95" customHeight="1" thickBot="1" x14ac:dyDescent="0.3">
      <c r="A7" s="55" t="s">
        <v>1202</v>
      </c>
      <c r="B7" s="117">
        <v>9</v>
      </c>
      <c r="C7" s="53">
        <v>1</v>
      </c>
      <c r="D7" s="361">
        <v>0</v>
      </c>
      <c r="E7" s="6">
        <f t="shared" si="0"/>
        <v>10</v>
      </c>
      <c r="F7" s="394" t="s">
        <v>1202</v>
      </c>
      <c r="G7" s="118">
        <v>45</v>
      </c>
      <c r="H7" s="374">
        <v>5</v>
      </c>
      <c r="I7" s="375">
        <v>0</v>
      </c>
      <c r="J7" s="98">
        <f t="shared" si="3"/>
        <v>50</v>
      </c>
      <c r="K7" s="144" t="s">
        <v>1779</v>
      </c>
      <c r="L7" s="141" t="s">
        <v>50</v>
      </c>
      <c r="M7" s="141" t="s">
        <v>50</v>
      </c>
      <c r="N7" s="141" t="s">
        <v>50</v>
      </c>
      <c r="O7" s="141" t="s">
        <v>50</v>
      </c>
      <c r="P7" s="141" t="s">
        <v>50</v>
      </c>
      <c r="Q7" s="141" t="s">
        <v>50</v>
      </c>
      <c r="R7" s="141" t="s">
        <v>64</v>
      </c>
      <c r="S7" s="141">
        <v>-1</v>
      </c>
      <c r="T7" s="141" t="s">
        <v>50</v>
      </c>
      <c r="U7" s="141" t="s">
        <v>50</v>
      </c>
      <c r="V7" s="141" t="s">
        <v>50</v>
      </c>
      <c r="W7" s="141" t="s">
        <v>50</v>
      </c>
      <c r="X7" s="141" t="s">
        <v>50</v>
      </c>
      <c r="Y7" s="141" t="s">
        <v>50</v>
      </c>
      <c r="Z7" s="131"/>
      <c r="AA7" s="131"/>
      <c r="AB7" s="131"/>
      <c r="AC7" s="148" t="s">
        <v>50</v>
      </c>
      <c r="AD7" s="141" t="s">
        <v>50</v>
      </c>
      <c r="AE7" s="141" t="s">
        <v>50</v>
      </c>
      <c r="AF7" s="141" t="s">
        <v>50</v>
      </c>
      <c r="AG7" s="141" t="s">
        <v>50</v>
      </c>
      <c r="AH7" s="141" t="s">
        <v>50</v>
      </c>
      <c r="AI7" s="141" t="s">
        <v>50</v>
      </c>
      <c r="AJ7" s="141" t="s">
        <v>50</v>
      </c>
      <c r="AK7" s="141" t="s">
        <v>50</v>
      </c>
      <c r="AL7" s="141" t="s">
        <v>50</v>
      </c>
      <c r="AM7" s="141" t="s">
        <v>50</v>
      </c>
      <c r="AN7" s="141" t="s">
        <v>50</v>
      </c>
      <c r="AO7" s="5"/>
      <c r="AP7" s="5"/>
      <c r="AQ7" s="5"/>
      <c r="AR7" s="5"/>
      <c r="AS7" s="5"/>
    </row>
    <row r="8" spans="1:46" ht="14.95" customHeight="1" thickBot="1" x14ac:dyDescent="0.3">
      <c r="A8" s="55" t="s">
        <v>130</v>
      </c>
      <c r="B8" s="117">
        <v>3</v>
      </c>
      <c r="C8" s="53">
        <v>2</v>
      </c>
      <c r="D8" s="361">
        <v>0</v>
      </c>
      <c r="E8" s="6">
        <f t="shared" si="0"/>
        <v>5</v>
      </c>
      <c r="F8" s="394" t="s">
        <v>130</v>
      </c>
      <c r="G8" s="118">
        <v>15</v>
      </c>
      <c r="H8" s="374">
        <v>10</v>
      </c>
      <c r="I8" s="375">
        <v>0</v>
      </c>
      <c r="J8" s="98">
        <f t="shared" si="3"/>
        <v>25</v>
      </c>
      <c r="K8" s="145" t="s">
        <v>68</v>
      </c>
      <c r="L8" s="141" t="s">
        <v>50</v>
      </c>
      <c r="M8" s="141" t="s">
        <v>50</v>
      </c>
      <c r="N8" s="141" t="s">
        <v>50</v>
      </c>
      <c r="O8" s="141" t="s">
        <v>50</v>
      </c>
      <c r="P8" s="141" t="s">
        <v>50</v>
      </c>
      <c r="Q8" s="141" t="s">
        <v>50</v>
      </c>
      <c r="R8" s="141">
        <v>1</v>
      </c>
      <c r="S8" s="141" t="s">
        <v>50</v>
      </c>
      <c r="T8" s="141" t="s">
        <v>50</v>
      </c>
      <c r="U8" s="141" t="s">
        <v>50</v>
      </c>
      <c r="V8" s="141" t="s">
        <v>50</v>
      </c>
      <c r="W8" s="148" t="s">
        <v>50</v>
      </c>
      <c r="X8" s="141" t="s">
        <v>50</v>
      </c>
      <c r="Y8" s="141" t="s">
        <v>50</v>
      </c>
      <c r="Z8" s="130"/>
      <c r="AA8" s="130"/>
      <c r="AB8" s="130"/>
      <c r="AC8" s="148" t="s">
        <v>50</v>
      </c>
      <c r="AD8" s="141" t="s">
        <v>50</v>
      </c>
      <c r="AE8" s="141" t="s">
        <v>50</v>
      </c>
      <c r="AF8" s="141" t="s">
        <v>50</v>
      </c>
      <c r="AG8" s="141" t="s">
        <v>50</v>
      </c>
      <c r="AH8" s="141" t="s">
        <v>50</v>
      </c>
      <c r="AI8" s="146">
        <v>1</v>
      </c>
      <c r="AJ8" s="146">
        <v>1</v>
      </c>
      <c r="AK8" s="147">
        <f>SUM(AI8/AJ8)*100</f>
        <v>100</v>
      </c>
      <c r="AL8" s="142" t="s">
        <v>50</v>
      </c>
      <c r="AM8" s="142" t="s">
        <v>50</v>
      </c>
      <c r="AN8" s="142" t="s">
        <v>50</v>
      </c>
      <c r="AO8" s="5"/>
      <c r="AP8" s="5"/>
      <c r="AQ8" s="5"/>
      <c r="AR8" s="5"/>
      <c r="AS8" s="5"/>
    </row>
    <row r="9" spans="1:46" ht="14.95" customHeight="1" thickBot="1" x14ac:dyDescent="0.3">
      <c r="A9" s="55" t="s">
        <v>1203</v>
      </c>
      <c r="B9" s="117">
        <v>2</v>
      </c>
      <c r="C9" s="53">
        <v>0</v>
      </c>
      <c r="D9" s="361">
        <v>0</v>
      </c>
      <c r="E9" s="6">
        <f t="shared" si="0"/>
        <v>2</v>
      </c>
      <c r="F9" s="394" t="s">
        <v>1203</v>
      </c>
      <c r="G9" s="118">
        <v>10</v>
      </c>
      <c r="H9" s="374">
        <v>0</v>
      </c>
      <c r="I9" s="375">
        <v>0</v>
      </c>
      <c r="J9" s="98">
        <f t="shared" si="3"/>
        <v>10</v>
      </c>
      <c r="K9" s="86"/>
    </row>
    <row r="10" spans="1:46" ht="14.95" customHeight="1" thickBot="1" x14ac:dyDescent="0.3">
      <c r="A10" s="55" t="s">
        <v>1023</v>
      </c>
      <c r="B10" s="117">
        <v>0</v>
      </c>
      <c r="C10" s="53">
        <v>0</v>
      </c>
      <c r="D10" s="361">
        <v>0</v>
      </c>
      <c r="E10" s="6">
        <f t="shared" si="0"/>
        <v>0</v>
      </c>
      <c r="F10" s="394" t="s">
        <v>1023</v>
      </c>
      <c r="G10" s="118">
        <v>0</v>
      </c>
      <c r="H10" s="374">
        <v>0</v>
      </c>
      <c r="I10" s="375">
        <v>0</v>
      </c>
      <c r="J10" s="98">
        <f t="shared" si="3"/>
        <v>0</v>
      </c>
      <c r="K10" s="476" t="s">
        <v>1325</v>
      </c>
      <c r="L10" s="463" t="s">
        <v>49</v>
      </c>
      <c r="M10" s="464"/>
      <c r="N10" s="465"/>
      <c r="O10" s="457" t="s">
        <v>124</v>
      </c>
      <c r="P10" s="458"/>
      <c r="Q10" s="459"/>
      <c r="R10" s="457" t="s">
        <v>1070</v>
      </c>
      <c r="S10" s="458"/>
      <c r="T10" s="459"/>
      <c r="U10" s="457" t="s">
        <v>598</v>
      </c>
      <c r="V10" s="458"/>
      <c r="W10" s="459"/>
      <c r="X10" s="127"/>
      <c r="Y10" s="127"/>
      <c r="Z10" s="127"/>
      <c r="AA10" s="127"/>
      <c r="AB10" s="457" t="s">
        <v>1012</v>
      </c>
      <c r="AC10" s="458"/>
      <c r="AD10" s="459"/>
      <c r="AE10" s="457" t="s">
        <v>213</v>
      </c>
      <c r="AF10" s="458"/>
      <c r="AG10" s="459"/>
      <c r="AO10" s="5"/>
      <c r="AP10" s="5"/>
      <c r="AQ10" s="5"/>
      <c r="AR10" s="5"/>
      <c r="AS10" s="5"/>
    </row>
    <row r="11" spans="1:46" ht="14.95" customHeight="1" thickBot="1" x14ac:dyDescent="0.3">
      <c r="A11" s="55" t="s">
        <v>415</v>
      </c>
      <c r="B11" s="117">
        <v>2</v>
      </c>
      <c r="C11" s="53">
        <v>0</v>
      </c>
      <c r="D11" s="361">
        <v>0</v>
      </c>
      <c r="E11" s="6">
        <f t="shared" si="0"/>
        <v>2</v>
      </c>
      <c r="F11" s="394" t="s">
        <v>415</v>
      </c>
      <c r="G11" s="118">
        <v>10</v>
      </c>
      <c r="H11" s="374">
        <v>0</v>
      </c>
      <c r="I11" s="375">
        <v>0</v>
      </c>
      <c r="J11" s="98">
        <f t="shared" si="3"/>
        <v>10</v>
      </c>
      <c r="K11" s="477"/>
      <c r="L11" s="466"/>
      <c r="M11" s="467"/>
      <c r="N11" s="468"/>
      <c r="O11" s="460"/>
      <c r="P11" s="461"/>
      <c r="Q11" s="462"/>
      <c r="R11" s="460"/>
      <c r="S11" s="461"/>
      <c r="T11" s="462"/>
      <c r="U11" s="460"/>
      <c r="V11" s="461"/>
      <c r="W11" s="462"/>
      <c r="X11" s="127"/>
      <c r="Y11" s="127"/>
      <c r="Z11" s="127"/>
      <c r="AA11" s="127"/>
      <c r="AB11" s="460"/>
      <c r="AC11" s="461"/>
      <c r="AD11" s="462"/>
      <c r="AE11" s="460"/>
      <c r="AF11" s="461"/>
      <c r="AG11" s="462"/>
    </row>
    <row r="12" spans="1:46" ht="14.95" customHeight="1" thickBot="1" x14ac:dyDescent="0.3">
      <c r="A12" s="55" t="s">
        <v>416</v>
      </c>
      <c r="B12" s="117">
        <v>5</v>
      </c>
      <c r="C12" s="53">
        <v>0</v>
      </c>
      <c r="D12" s="361">
        <v>1</v>
      </c>
      <c r="E12" s="6">
        <f t="shared" si="0"/>
        <v>6</v>
      </c>
      <c r="F12" s="394" t="s">
        <v>416</v>
      </c>
      <c r="G12" s="118">
        <v>25</v>
      </c>
      <c r="H12" s="374">
        <v>0</v>
      </c>
      <c r="I12" s="375">
        <v>5</v>
      </c>
      <c r="J12" s="98">
        <f t="shared" si="3"/>
        <v>30</v>
      </c>
      <c r="K12" s="37" t="s">
        <v>87</v>
      </c>
      <c r="L12" s="15" t="s">
        <v>243</v>
      </c>
      <c r="M12" s="15" t="s">
        <v>42</v>
      </c>
      <c r="N12" s="15" t="s">
        <v>43</v>
      </c>
      <c r="O12" s="119" t="s">
        <v>243</v>
      </c>
      <c r="P12" s="119" t="s">
        <v>42</v>
      </c>
      <c r="Q12" s="119" t="s">
        <v>43</v>
      </c>
      <c r="R12" s="119" t="s">
        <v>243</v>
      </c>
      <c r="S12" s="119" t="s">
        <v>42</v>
      </c>
      <c r="T12" s="119" t="s">
        <v>43</v>
      </c>
      <c r="U12" s="119" t="s">
        <v>243</v>
      </c>
      <c r="V12" s="119" t="s">
        <v>42</v>
      </c>
      <c r="W12" s="119" t="s">
        <v>43</v>
      </c>
      <c r="AA12" s="60"/>
      <c r="AB12" s="124" t="s">
        <v>243</v>
      </c>
      <c r="AC12" s="119" t="s">
        <v>42</v>
      </c>
      <c r="AD12" s="119" t="s">
        <v>43</v>
      </c>
      <c r="AE12" s="124" t="s">
        <v>243</v>
      </c>
      <c r="AF12" s="119" t="s">
        <v>42</v>
      </c>
      <c r="AG12" s="119" t="s">
        <v>43</v>
      </c>
      <c r="AO12" s="5"/>
      <c r="AP12" s="5"/>
      <c r="AQ12" s="5"/>
      <c r="AR12" s="5"/>
      <c r="AS12" s="5"/>
    </row>
    <row r="13" spans="1:46" ht="14.95" customHeight="1" thickBot="1" x14ac:dyDescent="0.3">
      <c r="A13" s="55" t="s">
        <v>68</v>
      </c>
      <c r="B13" s="117">
        <v>0</v>
      </c>
      <c r="C13" s="53">
        <v>0</v>
      </c>
      <c r="D13" s="361">
        <v>0</v>
      </c>
      <c r="E13" s="6">
        <f t="shared" si="0"/>
        <v>0</v>
      </c>
      <c r="F13" s="394" t="s">
        <v>68</v>
      </c>
      <c r="G13" s="118">
        <v>0</v>
      </c>
      <c r="H13" s="374">
        <v>0</v>
      </c>
      <c r="I13" s="375">
        <v>0</v>
      </c>
      <c r="J13" s="98">
        <f t="shared" si="3"/>
        <v>0</v>
      </c>
      <c r="K13" s="18" t="s">
        <v>15</v>
      </c>
      <c r="L13" s="141">
        <v>12</v>
      </c>
      <c r="M13" s="141">
        <v>15</v>
      </c>
      <c r="N13" s="143">
        <f t="shared" ref="N13" si="6">SUM(L13/M13)*100</f>
        <v>80</v>
      </c>
      <c r="O13" s="141">
        <v>19</v>
      </c>
      <c r="P13" s="141">
        <v>23</v>
      </c>
      <c r="Q13" s="143">
        <f t="shared" ref="Q13" si="7">SUM(O13/P13)*100</f>
        <v>82.608695652173907</v>
      </c>
      <c r="R13" s="141">
        <v>12</v>
      </c>
      <c r="S13" s="141">
        <v>15</v>
      </c>
      <c r="T13" s="143">
        <f>SUM(R13/S13)*100</f>
        <v>80</v>
      </c>
      <c r="U13" s="141">
        <v>16</v>
      </c>
      <c r="V13" s="141">
        <v>19</v>
      </c>
      <c r="W13" s="143">
        <f>SUM(U13/V13)*100</f>
        <v>84.210526315789465</v>
      </c>
      <c r="AA13" s="58"/>
      <c r="AB13" s="148">
        <v>16</v>
      </c>
      <c r="AC13" s="141">
        <v>19</v>
      </c>
      <c r="AD13" s="143">
        <f>SUM(AB13/AC13)*100</f>
        <v>84.210526315789465</v>
      </c>
      <c r="AE13" s="148">
        <v>15</v>
      </c>
      <c r="AF13" s="141">
        <v>17</v>
      </c>
      <c r="AG13" s="143">
        <f>SUM(AE13/AF13)*100</f>
        <v>88.235294117647058</v>
      </c>
      <c r="AO13" s="5"/>
      <c r="AP13" s="5"/>
      <c r="AQ13" s="5"/>
      <c r="AR13" s="5"/>
      <c r="AS13" s="5"/>
    </row>
    <row r="14" spans="1:46" ht="14.95" customHeight="1" thickBot="1" x14ac:dyDescent="0.3">
      <c r="A14" s="55" t="s">
        <v>65</v>
      </c>
      <c r="B14" s="117">
        <v>3</v>
      </c>
      <c r="C14" s="53">
        <v>0</v>
      </c>
      <c r="D14" s="361">
        <v>0</v>
      </c>
      <c r="E14" s="6">
        <f t="shared" si="0"/>
        <v>3</v>
      </c>
      <c r="F14" s="394" t="s">
        <v>65</v>
      </c>
      <c r="G14" s="118">
        <v>15</v>
      </c>
      <c r="H14" s="374">
        <v>0</v>
      </c>
      <c r="I14" s="375">
        <v>0</v>
      </c>
      <c r="J14" s="98">
        <f t="shared" si="3"/>
        <v>15</v>
      </c>
      <c r="K14" s="18" t="s">
        <v>55</v>
      </c>
      <c r="L14" s="141" t="s">
        <v>50</v>
      </c>
      <c r="M14" s="141" t="s">
        <v>50</v>
      </c>
      <c r="N14" s="141" t="s">
        <v>50</v>
      </c>
      <c r="O14" s="141" t="s">
        <v>50</v>
      </c>
      <c r="P14" s="141" t="s">
        <v>50</v>
      </c>
      <c r="Q14" s="141" t="s">
        <v>50</v>
      </c>
      <c r="R14" s="141">
        <v>4</v>
      </c>
      <c r="S14" s="141">
        <v>5</v>
      </c>
      <c r="T14" s="143">
        <f>SUM(R14/S14)*100</f>
        <v>80</v>
      </c>
      <c r="U14" s="141">
        <v>5</v>
      </c>
      <c r="V14" s="141">
        <v>8</v>
      </c>
      <c r="W14" s="143">
        <f>SUM(U14/V14)*100</f>
        <v>62.5</v>
      </c>
      <c r="AA14" s="58"/>
      <c r="AB14" s="148">
        <v>20</v>
      </c>
      <c r="AC14" s="141">
        <v>25</v>
      </c>
      <c r="AD14" s="143">
        <f>SUM(AB14/AC14)*100</f>
        <v>80</v>
      </c>
      <c r="AE14" s="148">
        <v>8</v>
      </c>
      <c r="AF14" s="141">
        <v>9</v>
      </c>
      <c r="AG14" s="143">
        <f>SUM(AE14/AF14)*100</f>
        <v>88.888888888888886</v>
      </c>
      <c r="AO14" s="5"/>
      <c r="AP14" s="5"/>
      <c r="AQ14" s="5"/>
      <c r="AR14" s="5"/>
      <c r="AS14" s="5"/>
    </row>
    <row r="15" spans="1:46" ht="14.95" customHeight="1" thickBot="1" x14ac:dyDescent="0.3">
      <c r="A15" s="55" t="s">
        <v>131</v>
      </c>
      <c r="B15" s="117">
        <v>0</v>
      </c>
      <c r="C15" s="53">
        <v>0</v>
      </c>
      <c r="D15" s="361">
        <v>0</v>
      </c>
      <c r="E15" s="6">
        <f t="shared" si="0"/>
        <v>0</v>
      </c>
      <c r="F15" s="394" t="s">
        <v>131</v>
      </c>
      <c r="G15" s="118">
        <v>0</v>
      </c>
      <c r="H15" s="374">
        <v>0</v>
      </c>
      <c r="I15" s="375">
        <v>0</v>
      </c>
      <c r="J15" s="98">
        <f t="shared" si="3"/>
        <v>0</v>
      </c>
      <c r="K15" s="244" t="s">
        <v>1154</v>
      </c>
      <c r="L15" s="141" t="s">
        <v>50</v>
      </c>
      <c r="M15" s="141" t="s">
        <v>50</v>
      </c>
      <c r="N15" s="141" t="s">
        <v>50</v>
      </c>
      <c r="O15" s="53" t="s">
        <v>50</v>
      </c>
      <c r="P15" s="53" t="s">
        <v>50</v>
      </c>
      <c r="Q15" s="53" t="s">
        <v>50</v>
      </c>
      <c r="R15" s="53" t="s">
        <v>50</v>
      </c>
      <c r="S15" s="53" t="s">
        <v>50</v>
      </c>
      <c r="T15" s="53" t="s">
        <v>50</v>
      </c>
      <c r="U15" s="53" t="s">
        <v>50</v>
      </c>
      <c r="V15" s="53" t="s">
        <v>50</v>
      </c>
      <c r="W15" s="53" t="s">
        <v>50</v>
      </c>
      <c r="AA15" s="130"/>
      <c r="AB15" s="53">
        <v>1</v>
      </c>
      <c r="AC15" s="53">
        <v>1</v>
      </c>
      <c r="AD15" s="54">
        <f>SUM(AB15/AC15)*100</f>
        <v>100</v>
      </c>
      <c r="AE15" s="53" t="s">
        <v>50</v>
      </c>
      <c r="AF15" s="53" t="s">
        <v>50</v>
      </c>
      <c r="AG15" s="53" t="s">
        <v>50</v>
      </c>
      <c r="AH15" s="242"/>
      <c r="AI15" s="130"/>
      <c r="AJ15" s="130"/>
      <c r="AK15" s="130"/>
      <c r="AL15" s="130"/>
      <c r="AM15" s="130"/>
      <c r="AN15" s="130"/>
      <c r="AO15" s="5"/>
      <c r="AP15" s="5"/>
      <c r="AQ15" s="5"/>
      <c r="AR15" s="5"/>
      <c r="AS15" s="5"/>
    </row>
    <row r="16" spans="1:46" ht="14.95" customHeight="1" thickBot="1" x14ac:dyDescent="0.3">
      <c r="A16" s="55" t="s">
        <v>964</v>
      </c>
      <c r="B16" s="117">
        <v>0</v>
      </c>
      <c r="C16" s="53">
        <v>0</v>
      </c>
      <c r="D16" s="361">
        <v>0</v>
      </c>
      <c r="E16" s="6">
        <f t="shared" si="0"/>
        <v>0</v>
      </c>
      <c r="F16" s="394" t="s">
        <v>964</v>
      </c>
      <c r="G16" s="118">
        <v>0</v>
      </c>
      <c r="H16" s="374">
        <v>0</v>
      </c>
      <c r="I16" s="375">
        <v>0</v>
      </c>
      <c r="J16" s="98">
        <f t="shared" si="3"/>
        <v>0</v>
      </c>
      <c r="K16" s="18" t="s">
        <v>940</v>
      </c>
      <c r="L16" s="141">
        <v>3</v>
      </c>
      <c r="M16" s="141">
        <v>7</v>
      </c>
      <c r="N16" s="143">
        <f t="shared" ref="N16" si="8">SUM(L16/M16)*100</f>
        <v>42.857142857142854</v>
      </c>
      <c r="O16" s="141">
        <v>2</v>
      </c>
      <c r="P16" s="141">
        <v>2</v>
      </c>
      <c r="Q16" s="143">
        <f t="shared" ref="Q16" si="9">SUM(O16/P16)*100</f>
        <v>100</v>
      </c>
      <c r="R16" s="141">
        <v>1</v>
      </c>
      <c r="S16" s="141">
        <v>2</v>
      </c>
      <c r="T16" s="143">
        <f>SUM(R16/S16)*100</f>
        <v>50</v>
      </c>
      <c r="U16" s="141" t="s">
        <v>50</v>
      </c>
      <c r="V16" s="141" t="s">
        <v>50</v>
      </c>
      <c r="W16" s="141" t="s">
        <v>50</v>
      </c>
      <c r="AA16" s="58"/>
      <c r="AB16" s="141" t="s">
        <v>50</v>
      </c>
      <c r="AC16" s="141" t="s">
        <v>50</v>
      </c>
      <c r="AD16" s="141" t="s">
        <v>50</v>
      </c>
      <c r="AE16" s="148" t="s">
        <v>50</v>
      </c>
      <c r="AF16" s="141" t="s">
        <v>50</v>
      </c>
      <c r="AG16" s="141" t="s">
        <v>50</v>
      </c>
    </row>
    <row r="17" spans="1:45" ht="14.95" customHeight="1" thickBot="1" x14ac:dyDescent="0.3">
      <c r="A17" s="55" t="s">
        <v>190</v>
      </c>
      <c r="B17" s="117">
        <v>0</v>
      </c>
      <c r="C17" s="53">
        <v>0</v>
      </c>
      <c r="D17" s="361">
        <v>0</v>
      </c>
      <c r="E17" s="6">
        <f t="shared" si="0"/>
        <v>0</v>
      </c>
      <c r="F17" s="394" t="s">
        <v>190</v>
      </c>
      <c r="G17" s="118">
        <v>0</v>
      </c>
      <c r="H17" s="374">
        <v>0</v>
      </c>
      <c r="I17" s="375">
        <v>0</v>
      </c>
      <c r="J17" s="98">
        <f t="shared" si="3"/>
        <v>0</v>
      </c>
      <c r="K17" s="87"/>
      <c r="L17" s="88"/>
      <c r="M17" s="88"/>
      <c r="N17" s="89"/>
      <c r="O17" s="88"/>
      <c r="P17" s="88"/>
      <c r="Q17" s="88"/>
      <c r="AO17" s="5"/>
      <c r="AP17" s="5"/>
      <c r="AQ17" s="5"/>
      <c r="AR17" s="5"/>
      <c r="AS17" s="5"/>
    </row>
    <row r="18" spans="1:45" ht="14.95" customHeight="1" thickBot="1" x14ac:dyDescent="0.3">
      <c r="A18" s="55" t="s">
        <v>158</v>
      </c>
      <c r="B18" s="117">
        <v>0</v>
      </c>
      <c r="C18" s="53">
        <v>0</v>
      </c>
      <c r="D18" s="361">
        <v>0</v>
      </c>
      <c r="E18" s="6">
        <f t="shared" si="0"/>
        <v>0</v>
      </c>
      <c r="F18" s="394" t="s">
        <v>158</v>
      </c>
      <c r="G18" s="118">
        <v>0</v>
      </c>
      <c r="H18" s="374">
        <v>0</v>
      </c>
      <c r="I18" s="375">
        <v>0</v>
      </c>
      <c r="J18" s="98">
        <f t="shared" si="3"/>
        <v>0</v>
      </c>
      <c r="K18" s="474" t="s">
        <v>1071</v>
      </c>
      <c r="L18" s="463" t="s">
        <v>49</v>
      </c>
      <c r="M18" s="464"/>
      <c r="N18" s="465"/>
      <c r="O18" s="457" t="s">
        <v>124</v>
      </c>
      <c r="P18" s="458"/>
      <c r="Q18" s="459"/>
      <c r="R18" s="457" t="s">
        <v>1070</v>
      </c>
      <c r="S18" s="458"/>
      <c r="T18" s="459"/>
      <c r="U18" s="457" t="s">
        <v>254</v>
      </c>
      <c r="V18" s="458"/>
      <c r="W18" s="459"/>
      <c r="AB18" s="457" t="s">
        <v>186</v>
      </c>
      <c r="AC18" s="458"/>
      <c r="AD18" s="459"/>
    </row>
    <row r="19" spans="1:45" ht="14.95" customHeight="1" thickBot="1" x14ac:dyDescent="0.3">
      <c r="A19" s="55" t="s">
        <v>191</v>
      </c>
      <c r="B19" s="117">
        <v>2</v>
      </c>
      <c r="C19" s="53">
        <v>1</v>
      </c>
      <c r="D19" s="361">
        <v>0</v>
      </c>
      <c r="E19" s="6">
        <f t="shared" si="0"/>
        <v>3</v>
      </c>
      <c r="F19" s="394" t="s">
        <v>191</v>
      </c>
      <c r="G19" s="118">
        <v>10</v>
      </c>
      <c r="H19" s="374">
        <v>5</v>
      </c>
      <c r="I19" s="375">
        <v>0</v>
      </c>
      <c r="J19" s="98">
        <f t="shared" si="3"/>
        <v>15</v>
      </c>
      <c r="K19" s="475"/>
      <c r="L19" s="466"/>
      <c r="M19" s="467"/>
      <c r="N19" s="468"/>
      <c r="O19" s="460"/>
      <c r="P19" s="461"/>
      <c r="Q19" s="462"/>
      <c r="R19" s="460"/>
      <c r="S19" s="461"/>
      <c r="T19" s="462"/>
      <c r="U19" s="460"/>
      <c r="V19" s="461"/>
      <c r="W19" s="462"/>
      <c r="AB19" s="460"/>
      <c r="AC19" s="461"/>
      <c r="AD19" s="462"/>
    </row>
    <row r="20" spans="1:45" ht="14.95" customHeight="1" thickBot="1" x14ac:dyDescent="0.3">
      <c r="A20" s="55" t="s">
        <v>192</v>
      </c>
      <c r="B20" s="117">
        <v>2</v>
      </c>
      <c r="C20" s="53">
        <v>0</v>
      </c>
      <c r="D20" s="361">
        <v>0</v>
      </c>
      <c r="E20" s="6">
        <f t="shared" si="0"/>
        <v>2</v>
      </c>
      <c r="F20" s="394" t="s">
        <v>192</v>
      </c>
      <c r="G20" s="118">
        <v>10</v>
      </c>
      <c r="H20" s="374">
        <v>0</v>
      </c>
      <c r="I20" s="375">
        <v>0</v>
      </c>
      <c r="J20" s="98">
        <f t="shared" si="3"/>
        <v>10</v>
      </c>
      <c r="K20" s="37" t="s">
        <v>87</v>
      </c>
      <c r="L20" s="15" t="s">
        <v>243</v>
      </c>
      <c r="M20" s="15" t="s">
        <v>42</v>
      </c>
      <c r="N20" s="15" t="s">
        <v>43</v>
      </c>
      <c r="O20" s="119" t="s">
        <v>243</v>
      </c>
      <c r="P20" s="119" t="s">
        <v>42</v>
      </c>
      <c r="Q20" s="119" t="s">
        <v>43</v>
      </c>
      <c r="R20" s="119" t="s">
        <v>243</v>
      </c>
      <c r="S20" s="119" t="s">
        <v>42</v>
      </c>
      <c r="T20" s="119" t="s">
        <v>43</v>
      </c>
      <c r="U20" s="119" t="s">
        <v>243</v>
      </c>
      <c r="V20" s="119" t="s">
        <v>42</v>
      </c>
      <c r="W20" s="119" t="s">
        <v>43</v>
      </c>
      <c r="AB20" s="158" t="s">
        <v>243</v>
      </c>
      <c r="AC20" s="119" t="s">
        <v>42</v>
      </c>
      <c r="AD20" s="119" t="s">
        <v>43</v>
      </c>
      <c r="AO20" s="5"/>
      <c r="AP20" s="5"/>
      <c r="AQ20" s="5"/>
      <c r="AR20" s="5"/>
      <c r="AS20" s="5"/>
    </row>
    <row r="21" spans="1:45" ht="14.95" customHeight="1" thickBot="1" x14ac:dyDescent="0.3">
      <c r="A21" s="55" t="s">
        <v>88</v>
      </c>
      <c r="B21" s="117">
        <v>1</v>
      </c>
      <c r="C21" s="53">
        <v>0</v>
      </c>
      <c r="D21" s="361">
        <v>1</v>
      </c>
      <c r="E21" s="6">
        <f t="shared" si="0"/>
        <v>2</v>
      </c>
      <c r="F21" s="394" t="s">
        <v>88</v>
      </c>
      <c r="G21" s="118">
        <v>5</v>
      </c>
      <c r="H21" s="374">
        <v>0</v>
      </c>
      <c r="I21" s="375">
        <v>5</v>
      </c>
      <c r="J21" s="98">
        <f t="shared" si="3"/>
        <v>10</v>
      </c>
      <c r="K21" s="18" t="s">
        <v>15</v>
      </c>
      <c r="L21" s="141" t="s">
        <v>50</v>
      </c>
      <c r="M21" s="141" t="s">
        <v>50</v>
      </c>
      <c r="N21" s="141" t="s">
        <v>50</v>
      </c>
      <c r="O21" s="141" t="s">
        <v>50</v>
      </c>
      <c r="P21" s="141" t="s">
        <v>50</v>
      </c>
      <c r="Q21" s="141" t="s">
        <v>50</v>
      </c>
      <c r="R21" s="141" t="s">
        <v>50</v>
      </c>
      <c r="S21" s="141" t="s">
        <v>50</v>
      </c>
      <c r="T21" s="141" t="s">
        <v>50</v>
      </c>
      <c r="U21" s="141">
        <v>5</v>
      </c>
      <c r="V21" s="141">
        <v>6</v>
      </c>
      <c r="W21" s="143">
        <f>SUM(U21/V21)*100</f>
        <v>83.333333333333343</v>
      </c>
      <c r="AB21" s="141">
        <v>7</v>
      </c>
      <c r="AC21" s="141">
        <v>9</v>
      </c>
      <c r="AD21" s="143">
        <f>SUM(AB21/AC21)*100</f>
        <v>77.777777777777786</v>
      </c>
    </row>
    <row r="22" spans="1:45" ht="14.95" customHeight="1" thickBot="1" x14ac:dyDescent="0.3">
      <c r="A22" s="55" t="s">
        <v>193</v>
      </c>
      <c r="B22" s="117">
        <v>0</v>
      </c>
      <c r="C22" s="53">
        <v>0</v>
      </c>
      <c r="D22" s="361">
        <v>0</v>
      </c>
      <c r="E22" s="6">
        <f t="shared" si="0"/>
        <v>0</v>
      </c>
      <c r="F22" s="395" t="s">
        <v>193</v>
      </c>
      <c r="G22" s="118">
        <v>0</v>
      </c>
      <c r="H22" s="374">
        <v>0</v>
      </c>
      <c r="I22" s="375">
        <v>0</v>
      </c>
      <c r="J22" s="98">
        <f t="shared" si="3"/>
        <v>0</v>
      </c>
      <c r="K22" s="18" t="s">
        <v>940</v>
      </c>
      <c r="L22" s="141">
        <v>5</v>
      </c>
      <c r="M22" s="141">
        <v>9</v>
      </c>
      <c r="N22" s="143">
        <f>SUM(L22/M22)*100</f>
        <v>55.555555555555557</v>
      </c>
      <c r="O22" s="141">
        <v>22</v>
      </c>
      <c r="P22" s="141">
        <v>30</v>
      </c>
      <c r="Q22" s="143">
        <f t="shared" ref="Q22" si="10">SUM(O22/P22)*100</f>
        <v>73.333333333333329</v>
      </c>
      <c r="R22" s="142">
        <v>21</v>
      </c>
      <c r="S22" s="142">
        <v>32</v>
      </c>
      <c r="T22" s="143">
        <f>SUM(R22/S22)*100</f>
        <v>65.625</v>
      </c>
      <c r="U22" s="142" t="s">
        <v>50</v>
      </c>
      <c r="V22" s="142" t="s">
        <v>50</v>
      </c>
      <c r="W22" s="142" t="s">
        <v>50</v>
      </c>
      <c r="AB22" s="142" t="s">
        <v>50</v>
      </c>
      <c r="AC22" s="142" t="s">
        <v>50</v>
      </c>
      <c r="AD22" s="142" t="s">
        <v>50</v>
      </c>
    </row>
    <row r="23" spans="1:45" ht="14.95" customHeight="1" thickBot="1" x14ac:dyDescent="0.3">
      <c r="A23" s="55" t="s">
        <v>1797</v>
      </c>
      <c r="B23" s="117">
        <v>0</v>
      </c>
      <c r="C23" s="53">
        <v>0</v>
      </c>
      <c r="D23" s="361">
        <v>1</v>
      </c>
      <c r="E23" s="6">
        <f t="shared" si="0"/>
        <v>1</v>
      </c>
      <c r="F23" s="394" t="s">
        <v>1797</v>
      </c>
      <c r="G23" s="118">
        <v>0</v>
      </c>
      <c r="H23" s="374">
        <v>0</v>
      </c>
      <c r="I23" s="375">
        <v>5</v>
      </c>
      <c r="J23" s="98">
        <f t="shared" si="3"/>
        <v>5</v>
      </c>
      <c r="K23" s="18" t="s">
        <v>1779</v>
      </c>
      <c r="L23" s="141">
        <v>4</v>
      </c>
      <c r="M23" s="141">
        <v>6</v>
      </c>
      <c r="N23" s="143">
        <f>SUM(L23/M23)*100</f>
        <v>66.666666666666657</v>
      </c>
      <c r="O23" s="141" t="s">
        <v>50</v>
      </c>
      <c r="P23" s="141" t="s">
        <v>50</v>
      </c>
      <c r="Q23" s="141" t="s">
        <v>50</v>
      </c>
      <c r="R23" s="141" t="s">
        <v>50</v>
      </c>
      <c r="S23" s="141" t="s">
        <v>50</v>
      </c>
      <c r="T23" s="141" t="s">
        <v>50</v>
      </c>
      <c r="U23" s="141" t="s">
        <v>50</v>
      </c>
      <c r="V23" s="141" t="s">
        <v>50</v>
      </c>
      <c r="W23" s="141" t="s">
        <v>50</v>
      </c>
      <c r="AB23" s="141" t="s">
        <v>50</v>
      </c>
      <c r="AC23" s="141" t="s">
        <v>50</v>
      </c>
      <c r="AD23" s="141" t="s">
        <v>50</v>
      </c>
      <c r="AO23" s="5"/>
      <c r="AP23" s="5"/>
      <c r="AQ23" s="5"/>
      <c r="AR23" s="5"/>
      <c r="AS23" s="5"/>
    </row>
    <row r="24" spans="1:45" ht="14.95" customHeight="1" thickBot="1" x14ac:dyDescent="0.3">
      <c r="A24" s="55" t="s">
        <v>111</v>
      </c>
      <c r="B24" s="117">
        <v>8</v>
      </c>
      <c r="C24" s="53">
        <v>1</v>
      </c>
      <c r="D24" s="361">
        <v>0</v>
      </c>
      <c r="E24" s="6">
        <f t="shared" si="0"/>
        <v>9</v>
      </c>
      <c r="F24" s="394" t="s">
        <v>111</v>
      </c>
      <c r="G24" s="118">
        <v>40</v>
      </c>
      <c r="H24" s="374">
        <v>5</v>
      </c>
      <c r="I24" s="375">
        <v>0</v>
      </c>
      <c r="J24" s="98">
        <f t="shared" si="3"/>
        <v>45</v>
      </c>
      <c r="K24" s="18" t="s">
        <v>55</v>
      </c>
      <c r="L24" s="141" t="s">
        <v>50</v>
      </c>
      <c r="M24" s="141" t="s">
        <v>50</v>
      </c>
      <c r="N24" s="141" t="s">
        <v>50</v>
      </c>
      <c r="O24" s="141" t="s">
        <v>50</v>
      </c>
      <c r="P24" s="141" t="s">
        <v>50</v>
      </c>
      <c r="Q24" s="141" t="s">
        <v>50</v>
      </c>
      <c r="R24" s="141" t="s">
        <v>50</v>
      </c>
      <c r="S24" s="141" t="s">
        <v>50</v>
      </c>
      <c r="T24" s="141" t="s">
        <v>50</v>
      </c>
      <c r="U24" s="141" t="s">
        <v>50</v>
      </c>
      <c r="V24" s="141" t="s">
        <v>50</v>
      </c>
      <c r="W24" s="141" t="s">
        <v>50</v>
      </c>
      <c r="AB24" s="141">
        <v>6</v>
      </c>
      <c r="AC24" s="141">
        <v>14</v>
      </c>
      <c r="AD24" s="143">
        <f>SUM(AB24/AC24)*100</f>
        <v>42.857142857142854</v>
      </c>
      <c r="AO24" s="5"/>
      <c r="AP24" s="5"/>
      <c r="AQ24" s="5"/>
      <c r="AR24" s="5"/>
      <c r="AS24" s="5"/>
    </row>
    <row r="25" spans="1:45" ht="14.95" customHeight="1" thickBot="1" x14ac:dyDescent="0.3">
      <c r="A25" s="55" t="s">
        <v>1050</v>
      </c>
      <c r="B25" s="117">
        <v>2</v>
      </c>
      <c r="C25" s="53">
        <v>1</v>
      </c>
      <c r="D25" s="361">
        <v>1</v>
      </c>
      <c r="E25" s="6">
        <f t="shared" si="0"/>
        <v>4</v>
      </c>
      <c r="F25" s="394" t="s">
        <v>1050</v>
      </c>
      <c r="G25" s="118">
        <v>10</v>
      </c>
      <c r="H25" s="374">
        <v>5</v>
      </c>
      <c r="I25" s="375">
        <v>5</v>
      </c>
      <c r="J25" s="98">
        <f t="shared" si="3"/>
        <v>20</v>
      </c>
      <c r="K25" s="513" t="s">
        <v>1155</v>
      </c>
      <c r="L25" s="514"/>
      <c r="M25" s="514"/>
      <c r="N25" s="514"/>
      <c r="O25" s="514"/>
      <c r="P25" s="514"/>
      <c r="Q25" s="514"/>
      <c r="R25" s="514"/>
      <c r="S25" s="514"/>
      <c r="T25" s="514"/>
      <c r="U25" s="514"/>
      <c r="V25" s="514"/>
      <c r="W25" s="514"/>
      <c r="AO25" s="5"/>
      <c r="AP25" s="5"/>
      <c r="AQ25" s="5"/>
      <c r="AR25" s="5"/>
      <c r="AS25" s="5"/>
    </row>
    <row r="26" spans="1:45" ht="14.95" customHeight="1" thickBot="1" x14ac:dyDescent="0.3">
      <c r="A26" s="55" t="s">
        <v>133</v>
      </c>
      <c r="B26" s="117">
        <v>0</v>
      </c>
      <c r="C26" s="53">
        <v>0</v>
      </c>
      <c r="D26" s="361">
        <v>0</v>
      </c>
      <c r="E26" s="6">
        <f t="shared" si="0"/>
        <v>0</v>
      </c>
      <c r="F26" s="394" t="s">
        <v>133</v>
      </c>
      <c r="G26" s="118">
        <v>0</v>
      </c>
      <c r="H26" s="374">
        <v>0</v>
      </c>
      <c r="I26" s="375">
        <v>0</v>
      </c>
      <c r="J26" s="98">
        <f t="shared" si="3"/>
        <v>0</v>
      </c>
      <c r="AO26" s="5"/>
      <c r="AP26" s="5"/>
      <c r="AQ26" s="5"/>
      <c r="AR26" s="5"/>
      <c r="AS26" s="5"/>
    </row>
    <row r="27" spans="1:45" ht="14.95" customHeight="1" thickBot="1" x14ac:dyDescent="0.3">
      <c r="A27" s="55" t="s">
        <v>1820</v>
      </c>
      <c r="B27" s="117">
        <v>2</v>
      </c>
      <c r="C27" s="53">
        <v>0</v>
      </c>
      <c r="D27" s="361">
        <v>0</v>
      </c>
      <c r="E27" s="6">
        <f t="shared" si="0"/>
        <v>2</v>
      </c>
      <c r="F27" s="394" t="s">
        <v>1820</v>
      </c>
      <c r="G27" s="118">
        <v>10</v>
      </c>
      <c r="H27" s="374">
        <v>0</v>
      </c>
      <c r="I27" s="375">
        <v>0</v>
      </c>
      <c r="J27" s="98">
        <f t="shared" si="3"/>
        <v>10</v>
      </c>
      <c r="AO27" s="5"/>
      <c r="AP27" s="5"/>
      <c r="AQ27" s="5"/>
      <c r="AR27" s="5"/>
      <c r="AS27" s="5"/>
    </row>
    <row r="28" spans="1:45" ht="14.95" customHeight="1" thickBot="1" x14ac:dyDescent="0.3">
      <c r="A28" s="55" t="s">
        <v>13</v>
      </c>
      <c r="B28" s="117">
        <v>1</v>
      </c>
      <c r="C28" s="53">
        <v>0</v>
      </c>
      <c r="D28" s="361">
        <v>0</v>
      </c>
      <c r="E28" s="6">
        <f t="shared" si="0"/>
        <v>1</v>
      </c>
      <c r="F28" s="394" t="s">
        <v>13</v>
      </c>
      <c r="G28" s="118">
        <v>5</v>
      </c>
      <c r="H28" s="374">
        <v>0</v>
      </c>
      <c r="I28" s="375">
        <v>0</v>
      </c>
      <c r="J28" s="98">
        <f t="shared" si="3"/>
        <v>5</v>
      </c>
    </row>
    <row r="29" spans="1:45" ht="14.95" customHeight="1" thickBot="1" x14ac:dyDescent="0.3">
      <c r="A29" s="55" t="s">
        <v>195</v>
      </c>
      <c r="B29" s="117">
        <v>1</v>
      </c>
      <c r="C29" s="53">
        <v>0</v>
      </c>
      <c r="D29" s="361">
        <v>0</v>
      </c>
      <c r="E29" s="6">
        <f t="shared" si="0"/>
        <v>1</v>
      </c>
      <c r="F29" s="394" t="s">
        <v>195</v>
      </c>
      <c r="G29" s="118">
        <v>5</v>
      </c>
      <c r="H29" s="374">
        <v>0</v>
      </c>
      <c r="I29" s="375">
        <v>0</v>
      </c>
      <c r="J29" s="98">
        <f t="shared" si="3"/>
        <v>5</v>
      </c>
    </row>
    <row r="30" spans="1:45" ht="14.95" customHeight="1" thickBot="1" x14ac:dyDescent="0.3">
      <c r="A30" s="55" t="s">
        <v>196</v>
      </c>
      <c r="B30" s="117">
        <v>2</v>
      </c>
      <c r="C30" s="53">
        <v>0</v>
      </c>
      <c r="D30" s="361">
        <v>0</v>
      </c>
      <c r="E30" s="6">
        <f t="shared" si="0"/>
        <v>2</v>
      </c>
      <c r="F30" s="394" t="s">
        <v>196</v>
      </c>
      <c r="G30" s="118">
        <v>10</v>
      </c>
      <c r="H30" s="374">
        <v>0</v>
      </c>
      <c r="I30" s="375">
        <v>0</v>
      </c>
      <c r="J30" s="98">
        <f t="shared" si="3"/>
        <v>10</v>
      </c>
    </row>
    <row r="31" spans="1:45" ht="14.95" customHeight="1" thickBot="1" x14ac:dyDescent="0.3">
      <c r="A31" s="55" t="s">
        <v>134</v>
      </c>
      <c r="B31" s="117">
        <v>3</v>
      </c>
      <c r="C31" s="53">
        <v>1</v>
      </c>
      <c r="D31" s="361">
        <v>0</v>
      </c>
      <c r="E31" s="6">
        <f t="shared" si="0"/>
        <v>4</v>
      </c>
      <c r="F31" s="394" t="s">
        <v>134</v>
      </c>
      <c r="G31" s="118">
        <v>15</v>
      </c>
      <c r="H31" s="374">
        <v>5</v>
      </c>
      <c r="I31" s="375">
        <v>0</v>
      </c>
      <c r="J31" s="98">
        <f t="shared" si="3"/>
        <v>20</v>
      </c>
    </row>
    <row r="32" spans="1:45" ht="14.95" customHeight="1" thickBot="1" x14ac:dyDescent="0.3">
      <c r="A32" s="55" t="s">
        <v>965</v>
      </c>
      <c r="B32" s="117">
        <v>3</v>
      </c>
      <c r="C32" s="53">
        <v>1</v>
      </c>
      <c r="D32" s="361">
        <v>2</v>
      </c>
      <c r="E32" s="6">
        <f t="shared" si="0"/>
        <v>6</v>
      </c>
      <c r="F32" s="394" t="s">
        <v>965</v>
      </c>
      <c r="G32" s="118">
        <v>15</v>
      </c>
      <c r="H32" s="374">
        <v>5</v>
      </c>
      <c r="I32" s="375">
        <v>10</v>
      </c>
      <c r="J32" s="98">
        <f t="shared" si="3"/>
        <v>30</v>
      </c>
      <c r="AO32" s="5"/>
      <c r="AP32" s="5"/>
      <c r="AQ32" s="5"/>
      <c r="AR32" s="5"/>
      <c r="AS32" s="5"/>
    </row>
    <row r="33" spans="1:45" ht="14.95" customHeight="1" thickBot="1" x14ac:dyDescent="0.3">
      <c r="A33" s="55" t="s">
        <v>7</v>
      </c>
      <c r="B33" s="117">
        <v>4</v>
      </c>
      <c r="C33" s="53">
        <v>0</v>
      </c>
      <c r="D33" s="361">
        <v>1</v>
      </c>
      <c r="E33" s="6">
        <f t="shared" si="0"/>
        <v>5</v>
      </c>
      <c r="F33" s="394" t="s">
        <v>7</v>
      </c>
      <c r="G33" s="118">
        <v>28</v>
      </c>
      <c r="H33" s="374">
        <v>0</v>
      </c>
      <c r="I33" s="375">
        <v>7</v>
      </c>
      <c r="J33" s="98">
        <f t="shared" si="3"/>
        <v>35</v>
      </c>
    </row>
    <row r="34" spans="1:45" ht="14.95" customHeight="1" thickBot="1" x14ac:dyDescent="0.3">
      <c r="A34" s="55" t="s">
        <v>966</v>
      </c>
      <c r="B34" s="117">
        <v>0</v>
      </c>
      <c r="C34" s="53">
        <v>0</v>
      </c>
      <c r="D34" s="361">
        <v>0</v>
      </c>
      <c r="E34" s="6">
        <f t="shared" si="0"/>
        <v>0</v>
      </c>
      <c r="F34" s="394" t="s">
        <v>966</v>
      </c>
      <c r="G34" s="118">
        <v>0</v>
      </c>
      <c r="H34" s="374">
        <v>0</v>
      </c>
      <c r="I34" s="375">
        <v>0</v>
      </c>
      <c r="J34" s="98">
        <f t="shared" si="3"/>
        <v>0</v>
      </c>
    </row>
    <row r="35" spans="1:45" ht="14.95" customHeight="1" thickBot="1" x14ac:dyDescent="0.3">
      <c r="A35" s="55" t="s">
        <v>197</v>
      </c>
      <c r="B35" s="117">
        <v>0</v>
      </c>
      <c r="C35" s="53">
        <v>0</v>
      </c>
      <c r="D35" s="361">
        <v>2</v>
      </c>
      <c r="E35" s="6">
        <f t="shared" si="0"/>
        <v>2</v>
      </c>
      <c r="F35" s="394" t="s">
        <v>197</v>
      </c>
      <c r="G35" s="118">
        <v>0</v>
      </c>
      <c r="H35" s="374">
        <v>0</v>
      </c>
      <c r="I35" s="375">
        <v>10</v>
      </c>
      <c r="J35" s="98">
        <f t="shared" si="3"/>
        <v>10</v>
      </c>
    </row>
    <row r="36" spans="1:45" ht="14.95" customHeight="1" thickBot="1" x14ac:dyDescent="0.3">
      <c r="A36" s="55" t="s">
        <v>940</v>
      </c>
      <c r="B36" s="117">
        <v>1</v>
      </c>
      <c r="C36" s="53">
        <v>1</v>
      </c>
      <c r="D36" s="361">
        <v>1</v>
      </c>
      <c r="E36" s="6">
        <f t="shared" si="0"/>
        <v>3</v>
      </c>
      <c r="F36" s="394" t="s">
        <v>940</v>
      </c>
      <c r="G36" s="118">
        <v>90</v>
      </c>
      <c r="H36" s="374">
        <v>11</v>
      </c>
      <c r="I36" s="375">
        <v>16</v>
      </c>
      <c r="J36" s="98">
        <f t="shared" si="3"/>
        <v>117</v>
      </c>
      <c r="AO36" s="5"/>
      <c r="AP36" s="5"/>
      <c r="AQ36" s="5"/>
      <c r="AR36" s="5"/>
      <c r="AS36" s="5"/>
    </row>
    <row r="37" spans="1:45" ht="14.95" customHeight="1" thickBot="1" x14ac:dyDescent="0.3">
      <c r="A37" s="55" t="s">
        <v>941</v>
      </c>
      <c r="B37" s="117">
        <v>6</v>
      </c>
      <c r="C37" s="53">
        <v>0</v>
      </c>
      <c r="D37" s="361">
        <v>0</v>
      </c>
      <c r="E37" s="6">
        <f t="shared" si="0"/>
        <v>6</v>
      </c>
      <c r="F37" s="394" t="s">
        <v>941</v>
      </c>
      <c r="G37" s="118">
        <v>30</v>
      </c>
      <c r="H37" s="374">
        <v>0</v>
      </c>
      <c r="I37" s="375">
        <v>0</v>
      </c>
      <c r="J37" s="98">
        <f t="shared" si="3"/>
        <v>30</v>
      </c>
      <c r="AO37" s="5"/>
      <c r="AP37" s="5"/>
      <c r="AQ37" s="5"/>
      <c r="AR37" s="5"/>
      <c r="AS37" s="5"/>
    </row>
    <row r="38" spans="1:45" ht="14.95" customHeight="1" thickBot="1" x14ac:dyDescent="0.3">
      <c r="A38" s="55" t="s">
        <v>1779</v>
      </c>
      <c r="B38" s="117">
        <v>0</v>
      </c>
      <c r="C38" s="53">
        <v>0</v>
      </c>
      <c r="D38" s="361">
        <v>0</v>
      </c>
      <c r="E38" s="6">
        <f t="shared" si="0"/>
        <v>0</v>
      </c>
      <c r="F38" s="394" t="s">
        <v>1779</v>
      </c>
      <c r="G38" s="118">
        <v>0</v>
      </c>
      <c r="H38" s="374">
        <v>0</v>
      </c>
      <c r="I38" s="375">
        <v>10</v>
      </c>
      <c r="J38" s="98">
        <f t="shared" si="3"/>
        <v>10</v>
      </c>
    </row>
    <row r="39" spans="1:45" ht="14.95" customHeight="1" thickBot="1" x14ac:dyDescent="0.3">
      <c r="A39" s="55" t="s">
        <v>1639</v>
      </c>
      <c r="B39" s="117">
        <v>0</v>
      </c>
      <c r="C39" s="53">
        <v>1</v>
      </c>
      <c r="D39" s="361">
        <v>0</v>
      </c>
      <c r="E39" s="6">
        <f t="shared" si="0"/>
        <v>1</v>
      </c>
      <c r="F39" s="394" t="s">
        <v>1639</v>
      </c>
      <c r="G39" s="118">
        <v>0</v>
      </c>
      <c r="H39" s="374">
        <v>5</v>
      </c>
      <c r="I39" s="375">
        <v>0</v>
      </c>
      <c r="J39" s="98">
        <f t="shared" si="3"/>
        <v>5</v>
      </c>
      <c r="AO39" s="5"/>
      <c r="AP39" s="5"/>
      <c r="AQ39" s="5"/>
      <c r="AR39" s="5"/>
      <c r="AS39" s="5"/>
    </row>
    <row r="40" spans="1:45" ht="14.95" customHeight="1" thickBot="1" x14ac:dyDescent="0.3">
      <c r="A40" s="55" t="s">
        <v>55</v>
      </c>
      <c r="B40" s="117">
        <v>6</v>
      </c>
      <c r="C40" s="53">
        <v>1</v>
      </c>
      <c r="D40" s="361">
        <v>0</v>
      </c>
      <c r="E40" s="6">
        <f t="shared" si="0"/>
        <v>7</v>
      </c>
      <c r="F40" s="394" t="s">
        <v>55</v>
      </c>
      <c r="G40" s="118">
        <v>30</v>
      </c>
      <c r="H40" s="374">
        <v>5</v>
      </c>
      <c r="I40" s="375">
        <v>0</v>
      </c>
      <c r="J40" s="98">
        <f t="shared" si="3"/>
        <v>35</v>
      </c>
      <c r="AO40" s="5"/>
      <c r="AP40" s="5"/>
      <c r="AQ40" s="5"/>
      <c r="AR40" s="5"/>
      <c r="AS40" s="5"/>
    </row>
    <row r="41" spans="1:45" ht="14.95" customHeight="1" thickBot="1" x14ac:dyDescent="0.3">
      <c r="A41" s="55" t="s">
        <v>15</v>
      </c>
      <c r="B41" s="117">
        <v>0</v>
      </c>
      <c r="C41" s="53">
        <v>1</v>
      </c>
      <c r="D41" s="361">
        <v>0</v>
      </c>
      <c r="E41" s="6">
        <f t="shared" si="0"/>
        <v>1</v>
      </c>
      <c r="F41" s="394" t="s">
        <v>15</v>
      </c>
      <c r="G41" s="118">
        <v>113</v>
      </c>
      <c r="H41" s="374">
        <v>33</v>
      </c>
      <c r="I41" s="375">
        <v>0</v>
      </c>
      <c r="J41" s="98">
        <f t="shared" si="3"/>
        <v>146</v>
      </c>
    </row>
    <row r="42" spans="1:45" ht="14.95" customHeight="1" thickBot="1" x14ac:dyDescent="0.3">
      <c r="A42" s="55" t="s">
        <v>1051</v>
      </c>
      <c r="B42" s="117">
        <v>0</v>
      </c>
      <c r="C42" s="53">
        <v>0</v>
      </c>
      <c r="D42" s="361">
        <v>0</v>
      </c>
      <c r="E42" s="6">
        <f t="shared" si="0"/>
        <v>0</v>
      </c>
      <c r="F42" s="394" t="s">
        <v>1051</v>
      </c>
      <c r="G42" s="118">
        <v>0</v>
      </c>
      <c r="H42" s="374">
        <v>0</v>
      </c>
      <c r="I42" s="375">
        <v>0</v>
      </c>
      <c r="J42" s="98">
        <f t="shared" si="3"/>
        <v>0</v>
      </c>
    </row>
    <row r="43" spans="1:45" ht="14.95" customHeight="1" thickBot="1" x14ac:dyDescent="0.3">
      <c r="A43" s="55" t="s">
        <v>132</v>
      </c>
      <c r="B43" s="117">
        <v>0</v>
      </c>
      <c r="C43" s="53">
        <v>0</v>
      </c>
      <c r="D43" s="361">
        <v>0</v>
      </c>
      <c r="E43" s="6">
        <f t="shared" si="0"/>
        <v>0</v>
      </c>
      <c r="F43" s="394" t="s">
        <v>132</v>
      </c>
      <c r="G43" s="118">
        <v>0</v>
      </c>
      <c r="H43" s="374">
        <v>0</v>
      </c>
      <c r="I43" s="375">
        <v>0</v>
      </c>
      <c r="J43" s="98">
        <f t="shared" si="3"/>
        <v>0</v>
      </c>
    </row>
    <row r="44" spans="1:45" ht="14.95" customHeight="1" thickBot="1" x14ac:dyDescent="0.3">
      <c r="A44" s="55" t="s">
        <v>136</v>
      </c>
      <c r="B44" s="117">
        <v>1</v>
      </c>
      <c r="C44" s="53">
        <v>0</v>
      </c>
      <c r="D44" s="361">
        <v>0</v>
      </c>
      <c r="E44" s="6">
        <f t="shared" si="0"/>
        <v>1</v>
      </c>
      <c r="F44" s="394" t="s">
        <v>136</v>
      </c>
      <c r="G44" s="118">
        <v>5</v>
      </c>
      <c r="H44" s="374">
        <v>0</v>
      </c>
      <c r="I44" s="375">
        <v>0</v>
      </c>
      <c r="J44" s="98">
        <f t="shared" si="3"/>
        <v>5</v>
      </c>
    </row>
    <row r="45" spans="1:45" ht="14.95" customHeight="1" thickBot="1" x14ac:dyDescent="0.3">
      <c r="A45" s="55" t="s">
        <v>990</v>
      </c>
      <c r="B45" s="117">
        <v>0</v>
      </c>
      <c r="C45" s="53">
        <v>0</v>
      </c>
      <c r="D45" s="361">
        <v>0</v>
      </c>
      <c r="E45" s="6">
        <f t="shared" si="0"/>
        <v>0</v>
      </c>
      <c r="F45" s="394" t="s">
        <v>990</v>
      </c>
      <c r="G45" s="118">
        <v>0</v>
      </c>
      <c r="H45" s="374">
        <v>0</v>
      </c>
      <c r="I45" s="375">
        <v>0</v>
      </c>
      <c r="J45" s="98">
        <f t="shared" si="3"/>
        <v>0</v>
      </c>
    </row>
    <row r="46" spans="1:45" ht="14.95" customHeight="1" thickBot="1" x14ac:dyDescent="0.3">
      <c r="A46" s="55" t="s">
        <v>1033</v>
      </c>
      <c r="B46" s="117">
        <v>6</v>
      </c>
      <c r="C46" s="53">
        <v>1</v>
      </c>
      <c r="D46" s="361">
        <v>0</v>
      </c>
      <c r="E46" s="6">
        <f t="shared" si="0"/>
        <v>7</v>
      </c>
      <c r="F46" s="394" t="s">
        <v>1033</v>
      </c>
      <c r="G46" s="118">
        <v>30</v>
      </c>
      <c r="H46" s="374">
        <v>5</v>
      </c>
      <c r="I46" s="375">
        <v>0</v>
      </c>
      <c r="J46" s="98">
        <f t="shared" si="3"/>
        <v>35</v>
      </c>
    </row>
    <row r="47" spans="1:45" ht="14.95" customHeight="1" thickBot="1" x14ac:dyDescent="0.3">
      <c r="A47" s="55" t="s">
        <v>54</v>
      </c>
      <c r="B47" s="117">
        <v>3</v>
      </c>
      <c r="C47" s="53">
        <v>0</v>
      </c>
      <c r="D47" s="361">
        <v>0</v>
      </c>
      <c r="E47" s="6">
        <f t="shared" si="0"/>
        <v>3</v>
      </c>
      <c r="F47" s="394" t="s">
        <v>54</v>
      </c>
      <c r="G47" s="118">
        <v>15</v>
      </c>
      <c r="H47" s="374">
        <v>0</v>
      </c>
      <c r="I47" s="375">
        <v>0</v>
      </c>
      <c r="J47" s="98">
        <f t="shared" si="3"/>
        <v>15</v>
      </c>
    </row>
    <row r="48" spans="1:45" ht="14.95" customHeight="1" thickBot="1" x14ac:dyDescent="0.3">
      <c r="A48" s="55" t="s">
        <v>9</v>
      </c>
      <c r="B48" s="117">
        <v>5</v>
      </c>
      <c r="C48" s="53">
        <v>1</v>
      </c>
      <c r="D48" s="361">
        <v>0</v>
      </c>
      <c r="E48" s="6">
        <f t="shared" si="0"/>
        <v>6</v>
      </c>
      <c r="F48" s="394" t="s">
        <v>9</v>
      </c>
      <c r="G48" s="118">
        <v>25</v>
      </c>
      <c r="H48" s="374">
        <v>5</v>
      </c>
      <c r="I48" s="375">
        <v>0</v>
      </c>
      <c r="J48" s="98">
        <f t="shared" si="3"/>
        <v>30</v>
      </c>
    </row>
    <row r="49" spans="1:10" ht="14.95" customHeight="1" thickBot="1" x14ac:dyDescent="0.3">
      <c r="A49" s="55" t="s">
        <v>101</v>
      </c>
      <c r="B49" s="117">
        <v>5</v>
      </c>
      <c r="C49" s="53">
        <v>0</v>
      </c>
      <c r="D49" s="361">
        <v>0</v>
      </c>
      <c r="E49" s="6">
        <f t="shared" si="0"/>
        <v>5</v>
      </c>
      <c r="F49" s="394" t="s">
        <v>101</v>
      </c>
      <c r="G49" s="118">
        <v>25</v>
      </c>
      <c r="H49" s="374">
        <v>0</v>
      </c>
      <c r="I49" s="375">
        <v>0</v>
      </c>
      <c r="J49" s="98">
        <f t="shared" si="3"/>
        <v>25</v>
      </c>
    </row>
    <row r="50" spans="1:10" ht="14.95" customHeight="1" thickBot="1" x14ac:dyDescent="0.3">
      <c r="A50" s="55" t="s">
        <v>117</v>
      </c>
      <c r="B50" s="117">
        <v>7</v>
      </c>
      <c r="C50" s="53">
        <v>1</v>
      </c>
      <c r="D50" s="361">
        <v>0</v>
      </c>
      <c r="E50" s="6">
        <f t="shared" si="0"/>
        <v>8</v>
      </c>
      <c r="F50" s="394" t="s">
        <v>117</v>
      </c>
      <c r="G50" s="118">
        <v>35</v>
      </c>
      <c r="H50" s="374">
        <v>5</v>
      </c>
      <c r="I50" s="375">
        <v>0</v>
      </c>
      <c r="J50" s="98">
        <f t="shared" si="3"/>
        <v>40</v>
      </c>
    </row>
    <row r="51" spans="1:10" ht="14.95" customHeight="1" thickBot="1" x14ac:dyDescent="0.3">
      <c r="A51" s="55" t="s">
        <v>3</v>
      </c>
      <c r="B51" s="117">
        <f>SUM(B3:B50)</f>
        <v>100</v>
      </c>
      <c r="C51" s="53">
        <f>SUM(C3:C50)</f>
        <v>18</v>
      </c>
      <c r="D51" s="361">
        <f>SUM(D3:D50)</f>
        <v>13</v>
      </c>
      <c r="E51" s="6">
        <f>SUM(E3:E50)</f>
        <v>131</v>
      </c>
      <c r="F51" s="394" t="s">
        <v>3</v>
      </c>
      <c r="G51" s="118">
        <f>SUM(G3:G50)</f>
        <v>706</v>
      </c>
      <c r="H51" s="374">
        <f>SUM(H3:H50)</f>
        <v>124</v>
      </c>
      <c r="I51" s="375">
        <f>SUM(I3:I50)</f>
        <v>88</v>
      </c>
      <c r="J51" s="98">
        <f>SUM(J3:J50)</f>
        <v>918</v>
      </c>
    </row>
    <row r="52" spans="1:10" ht="14.95" customHeight="1" x14ac:dyDescent="0.25">
      <c r="B52" s="299"/>
      <c r="F52" s="49"/>
      <c r="G52" s="302"/>
      <c r="H52" s="50"/>
      <c r="I52" s="50"/>
      <c r="J52" s="51"/>
    </row>
    <row r="53" spans="1:10" ht="14.95" customHeight="1" thickBot="1" x14ac:dyDescent="0.3">
      <c r="A53" t="s">
        <v>45</v>
      </c>
      <c r="B53" s="299"/>
      <c r="F53" s="110"/>
      <c r="G53" s="303"/>
      <c r="H53" s="110"/>
      <c r="I53" s="110"/>
      <c r="J53" s="110"/>
    </row>
    <row r="54" spans="1:10" ht="14.95" thickBot="1" x14ac:dyDescent="0.3">
      <c r="A54" s="195" t="s">
        <v>0</v>
      </c>
      <c r="B54" s="217" t="s">
        <v>1072</v>
      </c>
      <c r="C54" s="196" t="s">
        <v>123</v>
      </c>
      <c r="D54" s="360" t="s">
        <v>1073</v>
      </c>
      <c r="E54" s="197" t="s">
        <v>1</v>
      </c>
      <c r="F54" s="393" t="s">
        <v>2</v>
      </c>
      <c r="G54" s="205" t="s">
        <v>1072</v>
      </c>
      <c r="H54" s="378" t="s">
        <v>123</v>
      </c>
      <c r="I54" s="379" t="s">
        <v>1073</v>
      </c>
      <c r="J54" s="206" t="s">
        <v>1</v>
      </c>
    </row>
    <row r="55" spans="1:10" ht="14.95" thickBot="1" x14ac:dyDescent="0.3">
      <c r="A55" s="55" t="s">
        <v>1202</v>
      </c>
      <c r="B55" s="117">
        <v>9</v>
      </c>
      <c r="C55" s="53">
        <v>1</v>
      </c>
      <c r="D55" s="361">
        <v>0</v>
      </c>
      <c r="E55" s="6">
        <f t="shared" ref="E55:E102" si="11">SUM(B55:D55)</f>
        <v>10</v>
      </c>
      <c r="F55" s="394" t="s">
        <v>15</v>
      </c>
      <c r="G55" s="118">
        <v>113</v>
      </c>
      <c r="H55" s="374">
        <v>33</v>
      </c>
      <c r="I55" s="375">
        <v>0</v>
      </c>
      <c r="J55" s="98">
        <f t="shared" ref="J55:J102" si="12">SUM(G55:I55)</f>
        <v>146</v>
      </c>
    </row>
    <row r="56" spans="1:10" ht="14.95" thickBot="1" x14ac:dyDescent="0.3">
      <c r="A56" s="55" t="s">
        <v>111</v>
      </c>
      <c r="B56" s="117">
        <v>8</v>
      </c>
      <c r="C56" s="53">
        <v>1</v>
      </c>
      <c r="D56" s="361">
        <v>0</v>
      </c>
      <c r="E56" s="6">
        <f t="shared" si="11"/>
        <v>9</v>
      </c>
      <c r="F56" s="394" t="s">
        <v>940</v>
      </c>
      <c r="G56" s="118">
        <v>90</v>
      </c>
      <c r="H56" s="374">
        <v>11</v>
      </c>
      <c r="I56" s="375">
        <v>16</v>
      </c>
      <c r="J56" s="98">
        <f t="shared" si="12"/>
        <v>117</v>
      </c>
    </row>
    <row r="57" spans="1:10" ht="14.95" thickBot="1" x14ac:dyDescent="0.3">
      <c r="A57" s="55" t="s">
        <v>117</v>
      </c>
      <c r="B57" s="117">
        <v>7</v>
      </c>
      <c r="C57" s="53">
        <v>1</v>
      </c>
      <c r="D57" s="361">
        <v>0</v>
      </c>
      <c r="E57" s="6">
        <f t="shared" si="11"/>
        <v>8</v>
      </c>
      <c r="F57" s="394" t="s">
        <v>1202</v>
      </c>
      <c r="G57" s="118">
        <v>45</v>
      </c>
      <c r="H57" s="374">
        <v>5</v>
      </c>
      <c r="I57" s="375">
        <v>0</v>
      </c>
      <c r="J57" s="98">
        <f t="shared" si="12"/>
        <v>50</v>
      </c>
    </row>
    <row r="58" spans="1:10" ht="14.95" thickBot="1" x14ac:dyDescent="0.3">
      <c r="A58" s="55" t="s">
        <v>96</v>
      </c>
      <c r="B58" s="117">
        <v>4</v>
      </c>
      <c r="C58" s="53">
        <v>3</v>
      </c>
      <c r="D58" s="361">
        <v>0</v>
      </c>
      <c r="E58" s="6">
        <f t="shared" si="11"/>
        <v>7</v>
      </c>
      <c r="F58" s="394" t="s">
        <v>111</v>
      </c>
      <c r="G58" s="118">
        <v>40</v>
      </c>
      <c r="H58" s="374">
        <v>5</v>
      </c>
      <c r="I58" s="375">
        <v>0</v>
      </c>
      <c r="J58" s="98">
        <f t="shared" si="12"/>
        <v>45</v>
      </c>
    </row>
    <row r="59" spans="1:10" ht="14.95" thickBot="1" x14ac:dyDescent="0.3">
      <c r="A59" s="55" t="s">
        <v>55</v>
      </c>
      <c r="B59" s="117">
        <v>6</v>
      </c>
      <c r="C59" s="53">
        <v>1</v>
      </c>
      <c r="D59" s="361">
        <v>0</v>
      </c>
      <c r="E59" s="6">
        <f t="shared" si="11"/>
        <v>7</v>
      </c>
      <c r="F59" s="394" t="s">
        <v>117</v>
      </c>
      <c r="G59" s="118">
        <v>35</v>
      </c>
      <c r="H59" s="374">
        <v>5</v>
      </c>
      <c r="I59" s="375">
        <v>0</v>
      </c>
      <c r="J59" s="98">
        <f t="shared" si="12"/>
        <v>40</v>
      </c>
    </row>
    <row r="60" spans="1:10" ht="14.95" thickBot="1" x14ac:dyDescent="0.3">
      <c r="A60" s="55" t="s">
        <v>1033</v>
      </c>
      <c r="B60" s="117">
        <v>6</v>
      </c>
      <c r="C60" s="53">
        <v>1</v>
      </c>
      <c r="D60" s="361">
        <v>0</v>
      </c>
      <c r="E60" s="6">
        <f t="shared" si="11"/>
        <v>7</v>
      </c>
      <c r="F60" s="394" t="s">
        <v>96</v>
      </c>
      <c r="G60" s="118">
        <v>20</v>
      </c>
      <c r="H60" s="374">
        <v>15</v>
      </c>
      <c r="I60" s="375">
        <v>0</v>
      </c>
      <c r="J60" s="98">
        <f t="shared" si="12"/>
        <v>35</v>
      </c>
    </row>
    <row r="61" spans="1:10" ht="14.95" thickBot="1" x14ac:dyDescent="0.3">
      <c r="A61" s="55" t="s">
        <v>416</v>
      </c>
      <c r="B61" s="117">
        <v>5</v>
      </c>
      <c r="C61" s="53">
        <v>0</v>
      </c>
      <c r="D61" s="361">
        <v>1</v>
      </c>
      <c r="E61" s="6">
        <f t="shared" si="11"/>
        <v>6</v>
      </c>
      <c r="F61" s="394" t="s">
        <v>7</v>
      </c>
      <c r="G61" s="118">
        <v>28</v>
      </c>
      <c r="H61" s="374">
        <v>0</v>
      </c>
      <c r="I61" s="375">
        <v>7</v>
      </c>
      <c r="J61" s="98">
        <f t="shared" si="12"/>
        <v>35</v>
      </c>
    </row>
    <row r="62" spans="1:10" ht="14.95" thickBot="1" x14ac:dyDescent="0.3">
      <c r="A62" s="55" t="s">
        <v>965</v>
      </c>
      <c r="B62" s="117">
        <v>3</v>
      </c>
      <c r="C62" s="53">
        <v>1</v>
      </c>
      <c r="D62" s="361">
        <v>2</v>
      </c>
      <c r="E62" s="6">
        <f t="shared" si="11"/>
        <v>6</v>
      </c>
      <c r="F62" s="394" t="s">
        <v>55</v>
      </c>
      <c r="G62" s="118">
        <v>30</v>
      </c>
      <c r="H62" s="374">
        <v>5</v>
      </c>
      <c r="I62" s="375">
        <v>0</v>
      </c>
      <c r="J62" s="98">
        <f t="shared" si="12"/>
        <v>35</v>
      </c>
    </row>
    <row r="63" spans="1:10" ht="14.95" thickBot="1" x14ac:dyDescent="0.3">
      <c r="A63" s="55" t="s">
        <v>941</v>
      </c>
      <c r="B63" s="117">
        <v>6</v>
      </c>
      <c r="C63" s="53">
        <v>0</v>
      </c>
      <c r="D63" s="361">
        <v>0</v>
      </c>
      <c r="E63" s="6">
        <f t="shared" si="11"/>
        <v>6</v>
      </c>
      <c r="F63" s="394" t="s">
        <v>1033</v>
      </c>
      <c r="G63" s="118">
        <v>30</v>
      </c>
      <c r="H63" s="374">
        <v>5</v>
      </c>
      <c r="I63" s="375">
        <v>0</v>
      </c>
      <c r="J63" s="98">
        <f t="shared" si="12"/>
        <v>35</v>
      </c>
    </row>
    <row r="64" spans="1:10" ht="14.95" thickBot="1" x14ac:dyDescent="0.3">
      <c r="A64" s="55" t="s">
        <v>9</v>
      </c>
      <c r="B64" s="117">
        <v>5</v>
      </c>
      <c r="C64" s="53">
        <v>1</v>
      </c>
      <c r="D64" s="361">
        <v>0</v>
      </c>
      <c r="E64" s="6">
        <f t="shared" si="11"/>
        <v>6</v>
      </c>
      <c r="F64" s="394" t="s">
        <v>416</v>
      </c>
      <c r="G64" s="118">
        <v>25</v>
      </c>
      <c r="H64" s="374">
        <v>0</v>
      </c>
      <c r="I64" s="375">
        <v>5</v>
      </c>
      <c r="J64" s="98">
        <f t="shared" si="12"/>
        <v>30</v>
      </c>
    </row>
    <row r="65" spans="1:10" ht="14.95" thickBot="1" x14ac:dyDescent="0.3">
      <c r="A65" s="55" t="s">
        <v>130</v>
      </c>
      <c r="B65" s="117">
        <v>3</v>
      </c>
      <c r="C65" s="53">
        <v>2</v>
      </c>
      <c r="D65" s="361">
        <v>0</v>
      </c>
      <c r="E65" s="6">
        <f t="shared" si="11"/>
        <v>5</v>
      </c>
      <c r="F65" s="394" t="s">
        <v>965</v>
      </c>
      <c r="G65" s="118">
        <v>15</v>
      </c>
      <c r="H65" s="374">
        <v>5</v>
      </c>
      <c r="I65" s="375">
        <v>10</v>
      </c>
      <c r="J65" s="98">
        <f t="shared" si="12"/>
        <v>30</v>
      </c>
    </row>
    <row r="66" spans="1:10" ht="14.95" thickBot="1" x14ac:dyDescent="0.3">
      <c r="A66" s="55" t="s">
        <v>7</v>
      </c>
      <c r="B66" s="117">
        <v>4</v>
      </c>
      <c r="C66" s="53">
        <v>0</v>
      </c>
      <c r="D66" s="361">
        <v>1</v>
      </c>
      <c r="E66" s="6">
        <f t="shared" si="11"/>
        <v>5</v>
      </c>
      <c r="F66" s="394" t="s">
        <v>941</v>
      </c>
      <c r="G66" s="118">
        <v>30</v>
      </c>
      <c r="H66" s="374">
        <v>0</v>
      </c>
      <c r="I66" s="375">
        <v>0</v>
      </c>
      <c r="J66" s="98">
        <f t="shared" si="12"/>
        <v>30</v>
      </c>
    </row>
    <row r="67" spans="1:10" ht="14.95" thickBot="1" x14ac:dyDescent="0.3">
      <c r="A67" s="55" t="s">
        <v>101</v>
      </c>
      <c r="B67" s="117">
        <v>5</v>
      </c>
      <c r="C67" s="53">
        <v>0</v>
      </c>
      <c r="D67" s="361">
        <v>0</v>
      </c>
      <c r="E67" s="6">
        <f t="shared" si="11"/>
        <v>5</v>
      </c>
      <c r="F67" s="394" t="s">
        <v>9</v>
      </c>
      <c r="G67" s="118">
        <v>25</v>
      </c>
      <c r="H67" s="374">
        <v>5</v>
      </c>
      <c r="I67" s="375">
        <v>0</v>
      </c>
      <c r="J67" s="98">
        <f t="shared" si="12"/>
        <v>30</v>
      </c>
    </row>
    <row r="68" spans="1:10" ht="14.95" thickBot="1" x14ac:dyDescent="0.3">
      <c r="A68" s="55" t="s">
        <v>1050</v>
      </c>
      <c r="B68" s="117">
        <v>2</v>
      </c>
      <c r="C68" s="53">
        <v>1</v>
      </c>
      <c r="D68" s="361">
        <v>1</v>
      </c>
      <c r="E68" s="6">
        <f t="shared" si="11"/>
        <v>4</v>
      </c>
      <c r="F68" s="394" t="s">
        <v>130</v>
      </c>
      <c r="G68" s="118">
        <v>15</v>
      </c>
      <c r="H68" s="374">
        <v>10</v>
      </c>
      <c r="I68" s="375">
        <v>0</v>
      </c>
      <c r="J68" s="98">
        <f t="shared" si="12"/>
        <v>25</v>
      </c>
    </row>
    <row r="69" spans="1:10" ht="14.95" thickBot="1" x14ac:dyDescent="0.3">
      <c r="A69" s="55" t="s">
        <v>134</v>
      </c>
      <c r="B69" s="117">
        <v>3</v>
      </c>
      <c r="C69" s="53">
        <v>1</v>
      </c>
      <c r="D69" s="361">
        <v>0</v>
      </c>
      <c r="E69" s="6">
        <f t="shared" si="11"/>
        <v>4</v>
      </c>
      <c r="F69" s="394" t="s">
        <v>101</v>
      </c>
      <c r="G69" s="118">
        <v>25</v>
      </c>
      <c r="H69" s="374">
        <v>0</v>
      </c>
      <c r="I69" s="375">
        <v>0</v>
      </c>
      <c r="J69" s="98">
        <f t="shared" si="12"/>
        <v>25</v>
      </c>
    </row>
    <row r="70" spans="1:10" ht="14.95" thickBot="1" x14ac:dyDescent="0.3">
      <c r="A70" s="55" t="s">
        <v>65</v>
      </c>
      <c r="B70" s="117">
        <v>3</v>
      </c>
      <c r="C70" s="53">
        <v>0</v>
      </c>
      <c r="D70" s="361">
        <v>0</v>
      </c>
      <c r="E70" s="6">
        <f t="shared" si="11"/>
        <v>3</v>
      </c>
      <c r="F70" s="394" t="s">
        <v>1050</v>
      </c>
      <c r="G70" s="118">
        <v>10</v>
      </c>
      <c r="H70" s="374">
        <v>5</v>
      </c>
      <c r="I70" s="375">
        <v>5</v>
      </c>
      <c r="J70" s="98">
        <f t="shared" si="12"/>
        <v>20</v>
      </c>
    </row>
    <row r="71" spans="1:10" ht="14.95" thickBot="1" x14ac:dyDescent="0.3">
      <c r="A71" s="55" t="s">
        <v>191</v>
      </c>
      <c r="B71" s="117">
        <v>2</v>
      </c>
      <c r="C71" s="53">
        <v>1</v>
      </c>
      <c r="D71" s="361">
        <v>0</v>
      </c>
      <c r="E71" s="6">
        <f t="shared" si="11"/>
        <v>3</v>
      </c>
      <c r="F71" s="394" t="s">
        <v>134</v>
      </c>
      <c r="G71" s="118">
        <v>15</v>
      </c>
      <c r="H71" s="374">
        <v>5</v>
      </c>
      <c r="I71" s="375">
        <v>0</v>
      </c>
      <c r="J71" s="98">
        <f t="shared" si="12"/>
        <v>20</v>
      </c>
    </row>
    <row r="72" spans="1:10" ht="14.95" thickBot="1" x14ac:dyDescent="0.3">
      <c r="A72" s="55" t="s">
        <v>940</v>
      </c>
      <c r="B72" s="117">
        <v>1</v>
      </c>
      <c r="C72" s="53">
        <v>1</v>
      </c>
      <c r="D72" s="361">
        <v>1</v>
      </c>
      <c r="E72" s="6">
        <f t="shared" si="11"/>
        <v>3</v>
      </c>
      <c r="F72" s="394" t="s">
        <v>65</v>
      </c>
      <c r="G72" s="118">
        <v>15</v>
      </c>
      <c r="H72" s="374">
        <v>0</v>
      </c>
      <c r="I72" s="375">
        <v>0</v>
      </c>
      <c r="J72" s="98">
        <f t="shared" si="12"/>
        <v>15</v>
      </c>
    </row>
    <row r="73" spans="1:10" ht="14.95" thickBot="1" x14ac:dyDescent="0.3">
      <c r="A73" s="55" t="s">
        <v>54</v>
      </c>
      <c r="B73" s="117">
        <v>3</v>
      </c>
      <c r="C73" s="53">
        <v>0</v>
      </c>
      <c r="D73" s="361">
        <v>0</v>
      </c>
      <c r="E73" s="6">
        <f t="shared" si="11"/>
        <v>3</v>
      </c>
      <c r="F73" s="394" t="s">
        <v>191</v>
      </c>
      <c r="G73" s="118">
        <v>10</v>
      </c>
      <c r="H73" s="374">
        <v>5</v>
      </c>
      <c r="I73" s="375">
        <v>0</v>
      </c>
      <c r="J73" s="98">
        <f t="shared" si="12"/>
        <v>15</v>
      </c>
    </row>
    <row r="74" spans="1:10" ht="14.95" thickBot="1" x14ac:dyDescent="0.3">
      <c r="A74" s="55" t="s">
        <v>183</v>
      </c>
      <c r="B74" s="117">
        <v>0</v>
      </c>
      <c r="C74" s="53">
        <v>0</v>
      </c>
      <c r="D74" s="361">
        <v>2</v>
      </c>
      <c r="E74" s="6">
        <f t="shared" si="11"/>
        <v>2</v>
      </c>
      <c r="F74" s="395" t="s">
        <v>54</v>
      </c>
      <c r="G74" s="118">
        <v>15</v>
      </c>
      <c r="H74" s="374">
        <v>0</v>
      </c>
      <c r="I74" s="375">
        <v>0</v>
      </c>
      <c r="J74" s="98">
        <f t="shared" si="12"/>
        <v>15</v>
      </c>
    </row>
    <row r="75" spans="1:10" ht="14.95" thickBot="1" x14ac:dyDescent="0.3">
      <c r="A75" s="55" t="s">
        <v>1795</v>
      </c>
      <c r="B75" s="117">
        <v>1</v>
      </c>
      <c r="C75" s="53">
        <v>0</v>
      </c>
      <c r="D75" s="361">
        <v>1</v>
      </c>
      <c r="E75" s="6">
        <f t="shared" si="11"/>
        <v>2</v>
      </c>
      <c r="F75" s="394" t="s">
        <v>183</v>
      </c>
      <c r="G75" s="118">
        <v>0</v>
      </c>
      <c r="H75" s="374">
        <v>0</v>
      </c>
      <c r="I75" s="375">
        <v>10</v>
      </c>
      <c r="J75" s="98">
        <f t="shared" si="12"/>
        <v>10</v>
      </c>
    </row>
    <row r="76" spans="1:10" ht="14.95" thickBot="1" x14ac:dyDescent="0.3">
      <c r="A76" s="55" t="s">
        <v>1203</v>
      </c>
      <c r="B76" s="117">
        <v>2</v>
      </c>
      <c r="C76" s="53">
        <v>0</v>
      </c>
      <c r="D76" s="361">
        <v>0</v>
      </c>
      <c r="E76" s="6">
        <f t="shared" si="11"/>
        <v>2</v>
      </c>
      <c r="F76" s="394" t="s">
        <v>1795</v>
      </c>
      <c r="G76" s="118">
        <v>5</v>
      </c>
      <c r="H76" s="374">
        <v>0</v>
      </c>
      <c r="I76" s="375">
        <v>5</v>
      </c>
      <c r="J76" s="98">
        <f t="shared" si="12"/>
        <v>10</v>
      </c>
    </row>
    <row r="77" spans="1:10" ht="14.95" thickBot="1" x14ac:dyDescent="0.3">
      <c r="A77" s="55" t="s">
        <v>415</v>
      </c>
      <c r="B77" s="117">
        <v>2</v>
      </c>
      <c r="C77" s="53">
        <v>0</v>
      </c>
      <c r="D77" s="361">
        <v>0</v>
      </c>
      <c r="E77" s="6">
        <f t="shared" si="11"/>
        <v>2</v>
      </c>
      <c r="F77" s="394" t="s">
        <v>1203</v>
      </c>
      <c r="G77" s="118">
        <v>10</v>
      </c>
      <c r="H77" s="374">
        <v>0</v>
      </c>
      <c r="I77" s="375">
        <v>0</v>
      </c>
      <c r="J77" s="98">
        <f t="shared" si="12"/>
        <v>10</v>
      </c>
    </row>
    <row r="78" spans="1:10" ht="14.95" thickBot="1" x14ac:dyDescent="0.3">
      <c r="A78" s="55" t="s">
        <v>192</v>
      </c>
      <c r="B78" s="117">
        <v>2</v>
      </c>
      <c r="C78" s="53">
        <v>0</v>
      </c>
      <c r="D78" s="361">
        <v>0</v>
      </c>
      <c r="E78" s="6">
        <f t="shared" si="11"/>
        <v>2</v>
      </c>
      <c r="F78" s="394" t="s">
        <v>415</v>
      </c>
      <c r="G78" s="118">
        <v>10</v>
      </c>
      <c r="H78" s="374">
        <v>0</v>
      </c>
      <c r="I78" s="375">
        <v>0</v>
      </c>
      <c r="J78" s="98">
        <f t="shared" si="12"/>
        <v>10</v>
      </c>
    </row>
    <row r="79" spans="1:10" ht="14.95" thickBot="1" x14ac:dyDescent="0.3">
      <c r="A79" s="55" t="s">
        <v>88</v>
      </c>
      <c r="B79" s="117">
        <v>1</v>
      </c>
      <c r="C79" s="53">
        <v>0</v>
      </c>
      <c r="D79" s="361">
        <v>1</v>
      </c>
      <c r="E79" s="6">
        <f t="shared" si="11"/>
        <v>2</v>
      </c>
      <c r="F79" s="394" t="s">
        <v>192</v>
      </c>
      <c r="G79" s="118">
        <v>10</v>
      </c>
      <c r="H79" s="374">
        <v>0</v>
      </c>
      <c r="I79" s="375">
        <v>0</v>
      </c>
      <c r="J79" s="98">
        <f t="shared" si="12"/>
        <v>10</v>
      </c>
    </row>
    <row r="80" spans="1:10" ht="14.95" thickBot="1" x14ac:dyDescent="0.3">
      <c r="A80" s="55" t="s">
        <v>1820</v>
      </c>
      <c r="B80" s="117">
        <v>2</v>
      </c>
      <c r="C80" s="53">
        <v>0</v>
      </c>
      <c r="D80" s="361">
        <v>0</v>
      </c>
      <c r="E80" s="6">
        <f t="shared" si="11"/>
        <v>2</v>
      </c>
      <c r="F80" s="394" t="s">
        <v>88</v>
      </c>
      <c r="G80" s="118">
        <v>5</v>
      </c>
      <c r="H80" s="374">
        <v>0</v>
      </c>
      <c r="I80" s="375">
        <v>5</v>
      </c>
      <c r="J80" s="98">
        <f t="shared" si="12"/>
        <v>10</v>
      </c>
    </row>
    <row r="81" spans="1:10" ht="14.95" thickBot="1" x14ac:dyDescent="0.3">
      <c r="A81" s="55" t="s">
        <v>196</v>
      </c>
      <c r="B81" s="117">
        <v>2</v>
      </c>
      <c r="C81" s="53">
        <v>0</v>
      </c>
      <c r="D81" s="361">
        <v>0</v>
      </c>
      <c r="E81" s="6">
        <f t="shared" si="11"/>
        <v>2</v>
      </c>
      <c r="F81" s="394" t="s">
        <v>1820</v>
      </c>
      <c r="G81" s="118">
        <v>10</v>
      </c>
      <c r="H81" s="374">
        <v>0</v>
      </c>
      <c r="I81" s="375">
        <v>0</v>
      </c>
      <c r="J81" s="98">
        <f t="shared" si="12"/>
        <v>10</v>
      </c>
    </row>
    <row r="82" spans="1:10" ht="14.95" thickBot="1" x14ac:dyDescent="0.3">
      <c r="A82" s="55" t="s">
        <v>197</v>
      </c>
      <c r="B82" s="117">
        <v>0</v>
      </c>
      <c r="C82" s="53">
        <v>0</v>
      </c>
      <c r="D82" s="361">
        <v>2</v>
      </c>
      <c r="E82" s="6">
        <f t="shared" si="11"/>
        <v>2</v>
      </c>
      <c r="F82" s="394" t="s">
        <v>196</v>
      </c>
      <c r="G82" s="118">
        <v>10</v>
      </c>
      <c r="H82" s="374">
        <v>0</v>
      </c>
      <c r="I82" s="375">
        <v>0</v>
      </c>
      <c r="J82" s="98">
        <f t="shared" si="12"/>
        <v>10</v>
      </c>
    </row>
    <row r="83" spans="1:10" ht="14.95" thickBot="1" x14ac:dyDescent="0.3">
      <c r="A83" s="55" t="s">
        <v>1797</v>
      </c>
      <c r="B83" s="117">
        <v>0</v>
      </c>
      <c r="C83" s="53">
        <v>0</v>
      </c>
      <c r="D83" s="361">
        <v>1</v>
      </c>
      <c r="E83" s="6">
        <f t="shared" si="11"/>
        <v>1</v>
      </c>
      <c r="F83" s="394" t="s">
        <v>197</v>
      </c>
      <c r="G83" s="118">
        <v>0</v>
      </c>
      <c r="H83" s="374">
        <v>0</v>
      </c>
      <c r="I83" s="375">
        <v>10</v>
      </c>
      <c r="J83" s="98">
        <f t="shared" si="12"/>
        <v>10</v>
      </c>
    </row>
    <row r="84" spans="1:10" ht="14.95" thickBot="1" x14ac:dyDescent="0.3">
      <c r="A84" s="55" t="s">
        <v>13</v>
      </c>
      <c r="B84" s="117">
        <v>1</v>
      </c>
      <c r="C84" s="53">
        <v>0</v>
      </c>
      <c r="D84" s="361">
        <v>0</v>
      </c>
      <c r="E84" s="6">
        <f t="shared" si="11"/>
        <v>1</v>
      </c>
      <c r="F84" s="394" t="s">
        <v>1779</v>
      </c>
      <c r="G84" s="118">
        <v>0</v>
      </c>
      <c r="H84" s="374">
        <v>0</v>
      </c>
      <c r="I84" s="375">
        <v>10</v>
      </c>
      <c r="J84" s="98">
        <f t="shared" si="12"/>
        <v>10</v>
      </c>
    </row>
    <row r="85" spans="1:10" ht="14.95" thickBot="1" x14ac:dyDescent="0.3">
      <c r="A85" s="55" t="s">
        <v>195</v>
      </c>
      <c r="B85" s="117">
        <v>1</v>
      </c>
      <c r="C85" s="53">
        <v>0</v>
      </c>
      <c r="D85" s="361">
        <v>0</v>
      </c>
      <c r="E85" s="6">
        <f t="shared" si="11"/>
        <v>1</v>
      </c>
      <c r="F85" s="394" t="s">
        <v>1797</v>
      </c>
      <c r="G85" s="118">
        <v>0</v>
      </c>
      <c r="H85" s="374">
        <v>0</v>
      </c>
      <c r="I85" s="375">
        <v>5</v>
      </c>
      <c r="J85" s="98">
        <f t="shared" si="12"/>
        <v>5</v>
      </c>
    </row>
    <row r="86" spans="1:10" ht="14.95" thickBot="1" x14ac:dyDescent="0.3">
      <c r="A86" s="55" t="s">
        <v>1639</v>
      </c>
      <c r="B86" s="117">
        <v>0</v>
      </c>
      <c r="C86" s="53">
        <v>1</v>
      </c>
      <c r="D86" s="361">
        <v>0</v>
      </c>
      <c r="E86" s="6">
        <f t="shared" si="11"/>
        <v>1</v>
      </c>
      <c r="F86" s="394" t="s">
        <v>13</v>
      </c>
      <c r="G86" s="118">
        <v>5</v>
      </c>
      <c r="H86" s="374">
        <v>0</v>
      </c>
      <c r="I86" s="375">
        <v>0</v>
      </c>
      <c r="J86" s="98">
        <f t="shared" si="12"/>
        <v>5</v>
      </c>
    </row>
    <row r="87" spans="1:10" ht="14.95" thickBot="1" x14ac:dyDescent="0.3">
      <c r="A87" s="55" t="s">
        <v>15</v>
      </c>
      <c r="B87" s="117">
        <v>0</v>
      </c>
      <c r="C87" s="53">
        <v>1</v>
      </c>
      <c r="D87" s="361">
        <v>0</v>
      </c>
      <c r="E87" s="6">
        <f t="shared" si="11"/>
        <v>1</v>
      </c>
      <c r="F87" s="394" t="s">
        <v>195</v>
      </c>
      <c r="G87" s="118">
        <v>5</v>
      </c>
      <c r="H87" s="374">
        <v>0</v>
      </c>
      <c r="I87" s="375">
        <v>0</v>
      </c>
      <c r="J87" s="98">
        <f t="shared" si="12"/>
        <v>5</v>
      </c>
    </row>
    <row r="88" spans="1:10" ht="14.95" thickBot="1" x14ac:dyDescent="0.3">
      <c r="A88" s="55" t="s">
        <v>136</v>
      </c>
      <c r="B88" s="117">
        <v>1</v>
      </c>
      <c r="C88" s="53">
        <v>0</v>
      </c>
      <c r="D88" s="361">
        <v>0</v>
      </c>
      <c r="E88" s="6">
        <f t="shared" si="11"/>
        <v>1</v>
      </c>
      <c r="F88" s="394" t="s">
        <v>1639</v>
      </c>
      <c r="G88" s="118">
        <v>0</v>
      </c>
      <c r="H88" s="374">
        <v>5</v>
      </c>
      <c r="I88" s="375">
        <v>0</v>
      </c>
      <c r="J88" s="98">
        <f t="shared" si="12"/>
        <v>5</v>
      </c>
    </row>
    <row r="89" spans="1:10" ht="14.95" thickBot="1" x14ac:dyDescent="0.3">
      <c r="A89" s="55" t="s">
        <v>188</v>
      </c>
      <c r="B89" s="117">
        <v>0</v>
      </c>
      <c r="C89" s="53">
        <v>0</v>
      </c>
      <c r="D89" s="361">
        <v>0</v>
      </c>
      <c r="E89" s="6">
        <f t="shared" si="11"/>
        <v>0</v>
      </c>
      <c r="F89" s="394" t="s">
        <v>136</v>
      </c>
      <c r="G89" s="118">
        <v>5</v>
      </c>
      <c r="H89" s="374">
        <v>0</v>
      </c>
      <c r="I89" s="375">
        <v>0</v>
      </c>
      <c r="J89" s="98">
        <f t="shared" si="12"/>
        <v>5</v>
      </c>
    </row>
    <row r="90" spans="1:10" ht="14.95" thickBot="1" x14ac:dyDescent="0.3">
      <c r="A90" s="55" t="s">
        <v>1023</v>
      </c>
      <c r="B90" s="117">
        <v>0</v>
      </c>
      <c r="C90" s="53">
        <v>0</v>
      </c>
      <c r="D90" s="361">
        <v>0</v>
      </c>
      <c r="E90" s="6">
        <f t="shared" si="11"/>
        <v>0</v>
      </c>
      <c r="F90" s="394" t="s">
        <v>188</v>
      </c>
      <c r="G90" s="118">
        <v>0</v>
      </c>
      <c r="H90" s="374">
        <v>0</v>
      </c>
      <c r="I90" s="375">
        <v>0</v>
      </c>
      <c r="J90" s="98">
        <f t="shared" si="12"/>
        <v>0</v>
      </c>
    </row>
    <row r="91" spans="1:10" ht="14.95" thickBot="1" x14ac:dyDescent="0.3">
      <c r="A91" s="55" t="s">
        <v>68</v>
      </c>
      <c r="B91" s="117">
        <v>0</v>
      </c>
      <c r="C91" s="53">
        <v>0</v>
      </c>
      <c r="D91" s="361">
        <v>0</v>
      </c>
      <c r="E91" s="6">
        <f t="shared" si="11"/>
        <v>0</v>
      </c>
      <c r="F91" s="394" t="s">
        <v>1023</v>
      </c>
      <c r="G91" s="118">
        <v>0</v>
      </c>
      <c r="H91" s="374">
        <v>0</v>
      </c>
      <c r="I91" s="375">
        <v>0</v>
      </c>
      <c r="J91" s="98">
        <f t="shared" si="12"/>
        <v>0</v>
      </c>
    </row>
    <row r="92" spans="1:10" ht="14.95" thickBot="1" x14ac:dyDescent="0.3">
      <c r="A92" s="55" t="s">
        <v>131</v>
      </c>
      <c r="B92" s="117">
        <v>0</v>
      </c>
      <c r="C92" s="53">
        <v>0</v>
      </c>
      <c r="D92" s="361">
        <v>0</v>
      </c>
      <c r="E92" s="6">
        <f t="shared" si="11"/>
        <v>0</v>
      </c>
      <c r="F92" s="394" t="s">
        <v>68</v>
      </c>
      <c r="G92" s="118">
        <v>0</v>
      </c>
      <c r="H92" s="374">
        <v>0</v>
      </c>
      <c r="I92" s="375">
        <v>0</v>
      </c>
      <c r="J92" s="98">
        <f t="shared" si="12"/>
        <v>0</v>
      </c>
    </row>
    <row r="93" spans="1:10" ht="14.95" thickBot="1" x14ac:dyDescent="0.3">
      <c r="A93" s="55" t="s">
        <v>964</v>
      </c>
      <c r="B93" s="117">
        <v>0</v>
      </c>
      <c r="C93" s="53">
        <v>0</v>
      </c>
      <c r="D93" s="361">
        <v>0</v>
      </c>
      <c r="E93" s="6">
        <f t="shared" si="11"/>
        <v>0</v>
      </c>
      <c r="F93" s="394" t="s">
        <v>131</v>
      </c>
      <c r="G93" s="118">
        <v>0</v>
      </c>
      <c r="H93" s="374">
        <v>0</v>
      </c>
      <c r="I93" s="375">
        <v>0</v>
      </c>
      <c r="J93" s="98">
        <f t="shared" si="12"/>
        <v>0</v>
      </c>
    </row>
    <row r="94" spans="1:10" ht="14.95" thickBot="1" x14ac:dyDescent="0.3">
      <c r="A94" s="55" t="s">
        <v>190</v>
      </c>
      <c r="B94" s="117">
        <v>0</v>
      </c>
      <c r="C94" s="53">
        <v>0</v>
      </c>
      <c r="D94" s="361">
        <v>0</v>
      </c>
      <c r="E94" s="6">
        <f t="shared" si="11"/>
        <v>0</v>
      </c>
      <c r="F94" s="394" t="s">
        <v>964</v>
      </c>
      <c r="G94" s="118">
        <v>0</v>
      </c>
      <c r="H94" s="374">
        <v>0</v>
      </c>
      <c r="I94" s="375">
        <v>0</v>
      </c>
      <c r="J94" s="98">
        <f t="shared" si="12"/>
        <v>0</v>
      </c>
    </row>
    <row r="95" spans="1:10" ht="14.95" thickBot="1" x14ac:dyDescent="0.3">
      <c r="A95" s="55" t="s">
        <v>158</v>
      </c>
      <c r="B95" s="117">
        <v>0</v>
      </c>
      <c r="C95" s="53">
        <v>0</v>
      </c>
      <c r="D95" s="361">
        <v>0</v>
      </c>
      <c r="E95" s="6">
        <f t="shared" si="11"/>
        <v>0</v>
      </c>
      <c r="F95" s="394" t="s">
        <v>190</v>
      </c>
      <c r="G95" s="118">
        <v>0</v>
      </c>
      <c r="H95" s="374">
        <v>0</v>
      </c>
      <c r="I95" s="375">
        <v>0</v>
      </c>
      <c r="J95" s="98">
        <f t="shared" si="12"/>
        <v>0</v>
      </c>
    </row>
    <row r="96" spans="1:10" ht="14.95" thickBot="1" x14ac:dyDescent="0.3">
      <c r="A96" s="55" t="s">
        <v>193</v>
      </c>
      <c r="B96" s="117">
        <v>0</v>
      </c>
      <c r="C96" s="53">
        <v>0</v>
      </c>
      <c r="D96" s="361">
        <v>0</v>
      </c>
      <c r="E96" s="6">
        <f t="shared" si="11"/>
        <v>0</v>
      </c>
      <c r="F96" s="394" t="s">
        <v>158</v>
      </c>
      <c r="G96" s="118">
        <v>0</v>
      </c>
      <c r="H96" s="374">
        <v>0</v>
      </c>
      <c r="I96" s="375">
        <v>0</v>
      </c>
      <c r="J96" s="98">
        <f t="shared" si="12"/>
        <v>0</v>
      </c>
    </row>
    <row r="97" spans="1:10" ht="14.95" thickBot="1" x14ac:dyDescent="0.3">
      <c r="A97" s="55" t="s">
        <v>133</v>
      </c>
      <c r="B97" s="117">
        <v>0</v>
      </c>
      <c r="C97" s="53">
        <v>0</v>
      </c>
      <c r="D97" s="361">
        <v>0</v>
      </c>
      <c r="E97" s="6">
        <f t="shared" si="11"/>
        <v>0</v>
      </c>
      <c r="F97" s="394" t="s">
        <v>193</v>
      </c>
      <c r="G97" s="118">
        <v>0</v>
      </c>
      <c r="H97" s="374">
        <v>0</v>
      </c>
      <c r="I97" s="375">
        <v>0</v>
      </c>
      <c r="J97" s="98">
        <f t="shared" si="12"/>
        <v>0</v>
      </c>
    </row>
    <row r="98" spans="1:10" ht="14.95" thickBot="1" x14ac:dyDescent="0.3">
      <c r="A98" s="55" t="s">
        <v>966</v>
      </c>
      <c r="B98" s="117">
        <v>0</v>
      </c>
      <c r="C98" s="53">
        <v>0</v>
      </c>
      <c r="D98" s="361">
        <v>0</v>
      </c>
      <c r="E98" s="6">
        <f t="shared" si="11"/>
        <v>0</v>
      </c>
      <c r="F98" s="394" t="s">
        <v>133</v>
      </c>
      <c r="G98" s="118">
        <v>0</v>
      </c>
      <c r="H98" s="374">
        <v>0</v>
      </c>
      <c r="I98" s="375">
        <v>0</v>
      </c>
      <c r="J98" s="98">
        <f t="shared" si="12"/>
        <v>0</v>
      </c>
    </row>
    <row r="99" spans="1:10" ht="14.95" thickBot="1" x14ac:dyDescent="0.3">
      <c r="A99" s="55" t="s">
        <v>1779</v>
      </c>
      <c r="B99" s="117">
        <v>0</v>
      </c>
      <c r="C99" s="53">
        <v>0</v>
      </c>
      <c r="D99" s="361">
        <v>0</v>
      </c>
      <c r="E99" s="6">
        <f t="shared" si="11"/>
        <v>0</v>
      </c>
      <c r="F99" s="394" t="s">
        <v>966</v>
      </c>
      <c r="G99" s="118">
        <v>0</v>
      </c>
      <c r="H99" s="374">
        <v>0</v>
      </c>
      <c r="I99" s="375">
        <v>0</v>
      </c>
      <c r="J99" s="98">
        <f t="shared" si="12"/>
        <v>0</v>
      </c>
    </row>
    <row r="100" spans="1:10" ht="14.95" thickBot="1" x14ac:dyDescent="0.3">
      <c r="A100" s="55" t="s">
        <v>1051</v>
      </c>
      <c r="B100" s="117">
        <v>0</v>
      </c>
      <c r="C100" s="53">
        <v>0</v>
      </c>
      <c r="D100" s="361">
        <v>0</v>
      </c>
      <c r="E100" s="6">
        <f t="shared" si="11"/>
        <v>0</v>
      </c>
      <c r="F100" s="394" t="s">
        <v>1051</v>
      </c>
      <c r="G100" s="118">
        <v>0</v>
      </c>
      <c r="H100" s="374">
        <v>0</v>
      </c>
      <c r="I100" s="375">
        <v>0</v>
      </c>
      <c r="J100" s="98">
        <f t="shared" si="12"/>
        <v>0</v>
      </c>
    </row>
    <row r="101" spans="1:10" ht="14.95" thickBot="1" x14ac:dyDescent="0.3">
      <c r="A101" s="55" t="s">
        <v>132</v>
      </c>
      <c r="B101" s="117">
        <v>0</v>
      </c>
      <c r="C101" s="53">
        <v>0</v>
      </c>
      <c r="D101" s="361">
        <v>0</v>
      </c>
      <c r="E101" s="6">
        <f t="shared" si="11"/>
        <v>0</v>
      </c>
      <c r="F101" s="394" t="s">
        <v>132</v>
      </c>
      <c r="G101" s="118">
        <v>0</v>
      </c>
      <c r="H101" s="374">
        <v>0</v>
      </c>
      <c r="I101" s="375">
        <v>0</v>
      </c>
      <c r="J101" s="98">
        <f t="shared" si="12"/>
        <v>0</v>
      </c>
    </row>
    <row r="102" spans="1:10" ht="14.95" thickBot="1" x14ac:dyDescent="0.3">
      <c r="A102" s="55" t="s">
        <v>990</v>
      </c>
      <c r="B102" s="117">
        <v>0</v>
      </c>
      <c r="C102" s="53">
        <v>0</v>
      </c>
      <c r="D102" s="361">
        <v>0</v>
      </c>
      <c r="E102" s="6">
        <f t="shared" si="11"/>
        <v>0</v>
      </c>
      <c r="F102" s="394" t="s">
        <v>990</v>
      </c>
      <c r="G102" s="118">
        <v>0</v>
      </c>
      <c r="H102" s="374">
        <v>0</v>
      </c>
      <c r="I102" s="375">
        <v>0</v>
      </c>
      <c r="J102" s="98">
        <f t="shared" si="12"/>
        <v>0</v>
      </c>
    </row>
    <row r="103" spans="1:10" ht="14.95" thickBot="1" x14ac:dyDescent="0.3">
      <c r="A103" s="55" t="s">
        <v>3</v>
      </c>
      <c r="B103" s="117">
        <f>SUM(B55:B102)</f>
        <v>100</v>
      </c>
      <c r="C103" s="53">
        <f>SUM(C55:C102)</f>
        <v>18</v>
      </c>
      <c r="D103" s="361">
        <f>SUM(D55:D102)</f>
        <v>13</v>
      </c>
      <c r="E103" s="6">
        <f>SUM(E55:E102)</f>
        <v>131</v>
      </c>
      <c r="F103" s="394" t="s">
        <v>3</v>
      </c>
      <c r="G103" s="118">
        <f>SUM(G55:G102)</f>
        <v>706</v>
      </c>
      <c r="H103" s="374">
        <f>SUM(H55:H102)</f>
        <v>124</v>
      </c>
      <c r="I103" s="375">
        <f>SUM(I55:I102)</f>
        <v>88</v>
      </c>
      <c r="J103" s="98">
        <f>SUM(J55:J102)</f>
        <v>918</v>
      </c>
    </row>
    <row r="104" spans="1:10" x14ac:dyDescent="0.25">
      <c r="A104" s="65" t="s">
        <v>171</v>
      </c>
    </row>
  </sheetData>
  <sortState xmlns:xlrd2="http://schemas.microsoft.com/office/spreadsheetml/2017/richdata2" ref="F55:J102">
    <sortCondition descending="1" ref="J55:J102"/>
  </sortState>
  <mergeCells count="24">
    <mergeCell ref="AB18:AD19"/>
    <mergeCell ref="AC1:AE2"/>
    <mergeCell ref="U10:W11"/>
    <mergeCell ref="W1:Y2"/>
    <mergeCell ref="R10:T11"/>
    <mergeCell ref="U18:W19"/>
    <mergeCell ref="T1:V2"/>
    <mergeCell ref="AE10:AG11"/>
    <mergeCell ref="AL1:AN2"/>
    <mergeCell ref="K25:W25"/>
    <mergeCell ref="K18:K19"/>
    <mergeCell ref="L18:N19"/>
    <mergeCell ref="AI1:AK2"/>
    <mergeCell ref="R1:S2"/>
    <mergeCell ref="K10:K11"/>
    <mergeCell ref="L10:N11"/>
    <mergeCell ref="K1:K2"/>
    <mergeCell ref="L1:N2"/>
    <mergeCell ref="O1:Q2"/>
    <mergeCell ref="AF1:AH2"/>
    <mergeCell ref="R18:T19"/>
    <mergeCell ref="O10:Q11"/>
    <mergeCell ref="O18:Q19"/>
    <mergeCell ref="AB10:AD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U110"/>
  <sheetViews>
    <sheetView zoomScaleNormal="100" workbookViewId="0">
      <selection activeCell="N7" sqref="N7"/>
    </sheetView>
  </sheetViews>
  <sheetFormatPr defaultRowHeight="14.3" x14ac:dyDescent="0.25"/>
  <cols>
    <col min="1" max="1" width="16.625" customWidth="1"/>
    <col min="2" max="2" width="3.75" customWidth="1"/>
    <col min="3" max="3" width="4.125" customWidth="1"/>
    <col min="4" max="5" width="4.75" customWidth="1"/>
    <col min="6" max="6" width="16.625" customWidth="1"/>
    <col min="7" max="10" width="5.25" customWidth="1"/>
    <col min="11" max="11" width="15.625" bestFit="1" customWidth="1"/>
    <col min="12" max="17" width="5.625" customWidth="1"/>
    <col min="18" max="37" width="5.75" customWidth="1"/>
    <col min="38" max="38" width="9.25" bestFit="1" customWidth="1"/>
    <col min="41" max="41" width="14.25" bestFit="1" customWidth="1"/>
    <col min="43" max="43" width="9.25" bestFit="1" customWidth="1"/>
  </cols>
  <sheetData>
    <row r="1" spans="1:47" ht="14.95" customHeight="1" thickBot="1" x14ac:dyDescent="0.3">
      <c r="A1" s="515" t="s">
        <v>1219</v>
      </c>
      <c r="B1" s="516"/>
      <c r="C1" s="516"/>
      <c r="D1" s="516"/>
      <c r="E1" s="516"/>
      <c r="F1" s="516"/>
      <c r="G1" s="516"/>
      <c r="H1" s="516"/>
      <c r="I1" s="516"/>
      <c r="J1" s="517"/>
      <c r="K1" s="478" t="s">
        <v>1324</v>
      </c>
      <c r="L1" s="486" t="s">
        <v>49</v>
      </c>
      <c r="M1" s="487"/>
      <c r="N1" s="488"/>
      <c r="O1" s="486" t="s">
        <v>202</v>
      </c>
      <c r="P1" s="487"/>
      <c r="Q1" s="488"/>
      <c r="R1" s="492" t="s">
        <v>62</v>
      </c>
      <c r="S1" s="493"/>
      <c r="T1" s="457" t="s">
        <v>124</v>
      </c>
      <c r="U1" s="458"/>
      <c r="V1" s="459"/>
      <c r="W1" s="457" t="s">
        <v>1070</v>
      </c>
      <c r="X1" s="458"/>
      <c r="Y1" s="459"/>
      <c r="Z1" s="127"/>
      <c r="AA1" s="127"/>
      <c r="AB1" s="237"/>
      <c r="AC1" s="457" t="s">
        <v>598</v>
      </c>
      <c r="AD1" s="458"/>
      <c r="AE1" s="459"/>
      <c r="AF1" s="457" t="s">
        <v>254</v>
      </c>
      <c r="AG1" s="458"/>
      <c r="AH1" s="459"/>
      <c r="AI1" s="457" t="s">
        <v>213</v>
      </c>
      <c r="AJ1" s="458"/>
      <c r="AK1" s="459"/>
      <c r="AM1" s="5" t="s">
        <v>708</v>
      </c>
      <c r="AN1" s="5"/>
      <c r="AO1" s="5"/>
      <c r="AR1" s="5" t="s">
        <v>717</v>
      </c>
    </row>
    <row r="2" spans="1:47" ht="14.95" customHeight="1" thickBot="1" x14ac:dyDescent="0.3">
      <c r="A2" s="438" t="s">
        <v>0</v>
      </c>
      <c r="B2" s="439" t="s">
        <v>1072</v>
      </c>
      <c r="C2" s="440" t="s">
        <v>127</v>
      </c>
      <c r="D2" s="441" t="s">
        <v>1073</v>
      </c>
      <c r="E2" s="442" t="s">
        <v>1</v>
      </c>
      <c r="F2" s="338" t="s">
        <v>2</v>
      </c>
      <c r="G2" s="205" t="s">
        <v>1072</v>
      </c>
      <c r="H2" s="249" t="s">
        <v>127</v>
      </c>
      <c r="I2" s="379" t="s">
        <v>1073</v>
      </c>
      <c r="J2" s="340" t="s">
        <v>1</v>
      </c>
      <c r="K2" s="479"/>
      <c r="L2" s="489"/>
      <c r="M2" s="490"/>
      <c r="N2" s="491"/>
      <c r="O2" s="489"/>
      <c r="P2" s="490"/>
      <c r="Q2" s="491"/>
      <c r="R2" s="494"/>
      <c r="S2" s="495"/>
      <c r="T2" s="460"/>
      <c r="U2" s="461"/>
      <c r="V2" s="462"/>
      <c r="W2" s="460"/>
      <c r="X2" s="461"/>
      <c r="Y2" s="462"/>
      <c r="Z2" s="127"/>
      <c r="AA2" s="127"/>
      <c r="AB2" s="127"/>
      <c r="AC2" s="460"/>
      <c r="AD2" s="461"/>
      <c r="AE2" s="462"/>
      <c r="AF2" s="460"/>
      <c r="AG2" s="461"/>
      <c r="AH2" s="462"/>
      <c r="AI2" s="460"/>
      <c r="AJ2" s="461"/>
      <c r="AK2" s="462"/>
      <c r="AM2" t="s">
        <v>539</v>
      </c>
      <c r="AN2" t="s">
        <v>260</v>
      </c>
      <c r="AO2" t="s">
        <v>436</v>
      </c>
      <c r="AP2">
        <v>1541</v>
      </c>
      <c r="AR2" t="s">
        <v>675</v>
      </c>
      <c r="AS2" t="s">
        <v>264</v>
      </c>
      <c r="AT2" t="s">
        <v>459</v>
      </c>
      <c r="AU2">
        <v>52</v>
      </c>
    </row>
    <row r="3" spans="1:47" ht="14.95" customHeight="1" thickBot="1" x14ac:dyDescent="0.3">
      <c r="A3" s="443" t="s">
        <v>919</v>
      </c>
      <c r="B3" s="444">
        <v>0</v>
      </c>
      <c r="C3" s="445">
        <v>0</v>
      </c>
      <c r="D3" s="446">
        <v>0</v>
      </c>
      <c r="E3" s="447">
        <f>SUM(B3:D3)</f>
        <v>0</v>
      </c>
      <c r="F3" s="339" t="s">
        <v>919</v>
      </c>
      <c r="G3" s="118">
        <v>0</v>
      </c>
      <c r="H3" s="250">
        <v>0</v>
      </c>
      <c r="I3" s="375">
        <v>0</v>
      </c>
      <c r="J3" s="341">
        <f>SUM(G3:I3)</f>
        <v>0</v>
      </c>
      <c r="K3" s="37" t="s">
        <v>87</v>
      </c>
      <c r="L3" s="1" t="s">
        <v>243</v>
      </c>
      <c r="M3" s="1" t="s">
        <v>42</v>
      </c>
      <c r="N3" s="1" t="s">
        <v>43</v>
      </c>
      <c r="O3" s="1" t="s">
        <v>243</v>
      </c>
      <c r="P3" s="1" t="s">
        <v>42</v>
      </c>
      <c r="Q3" s="1" t="s">
        <v>43</v>
      </c>
      <c r="R3" s="4" t="s">
        <v>63</v>
      </c>
      <c r="S3" s="4" t="s">
        <v>957</v>
      </c>
      <c r="T3" s="119" t="s">
        <v>243</v>
      </c>
      <c r="U3" s="119" t="s">
        <v>42</v>
      </c>
      <c r="V3" s="119" t="s">
        <v>43</v>
      </c>
      <c r="W3" s="124" t="s">
        <v>243</v>
      </c>
      <c r="X3" s="119" t="s">
        <v>42</v>
      </c>
      <c r="Y3" s="119" t="s">
        <v>43</v>
      </c>
      <c r="Z3" s="60"/>
      <c r="AA3" s="60"/>
      <c r="AB3" s="60"/>
      <c r="AC3" s="124" t="s">
        <v>243</v>
      </c>
      <c r="AD3" s="119" t="s">
        <v>42</v>
      </c>
      <c r="AE3" s="119" t="s">
        <v>43</v>
      </c>
      <c r="AF3" s="119" t="s">
        <v>243</v>
      </c>
      <c r="AG3" s="119" t="s">
        <v>42</v>
      </c>
      <c r="AH3" s="119" t="s">
        <v>43</v>
      </c>
      <c r="AI3" s="119" t="s">
        <v>243</v>
      </c>
      <c r="AJ3" s="119" t="s">
        <v>42</v>
      </c>
      <c r="AK3" s="119" t="s">
        <v>43</v>
      </c>
      <c r="AM3" t="s">
        <v>292</v>
      </c>
      <c r="AN3" t="s">
        <v>260</v>
      </c>
      <c r="AO3" t="s">
        <v>368</v>
      </c>
      <c r="AP3">
        <v>707</v>
      </c>
      <c r="AR3" t="s">
        <v>516</v>
      </c>
      <c r="AS3" t="s">
        <v>271</v>
      </c>
      <c r="AT3" t="s">
        <v>438</v>
      </c>
      <c r="AU3">
        <v>50</v>
      </c>
    </row>
    <row r="4" spans="1:47" ht="14.95" customHeight="1" thickBot="1" x14ac:dyDescent="0.3">
      <c r="A4" s="443" t="s">
        <v>1220</v>
      </c>
      <c r="B4" s="444">
        <v>0</v>
      </c>
      <c r="C4" s="445">
        <v>0</v>
      </c>
      <c r="D4" s="446">
        <v>0</v>
      </c>
      <c r="E4" s="447">
        <f>SUM(B4:D4)</f>
        <v>0</v>
      </c>
      <c r="F4" s="339" t="s">
        <v>1220</v>
      </c>
      <c r="G4" s="118">
        <v>0</v>
      </c>
      <c r="H4" s="250">
        <v>0</v>
      </c>
      <c r="I4" s="375">
        <v>0</v>
      </c>
      <c r="J4" s="341">
        <f>SUM(G4:I4)</f>
        <v>0</v>
      </c>
      <c r="K4" s="443" t="s">
        <v>1040</v>
      </c>
      <c r="L4" s="447">
        <v>2</v>
      </c>
      <c r="M4" s="447">
        <v>2</v>
      </c>
      <c r="N4" s="447">
        <v>100</v>
      </c>
      <c r="O4" s="447" t="s">
        <v>50</v>
      </c>
      <c r="P4" s="447" t="s">
        <v>50</v>
      </c>
      <c r="Q4" s="447" t="s">
        <v>50</v>
      </c>
      <c r="R4" s="447">
        <v>5</v>
      </c>
      <c r="S4" s="447">
        <v>5</v>
      </c>
      <c r="T4" s="447">
        <v>8</v>
      </c>
      <c r="U4" s="447">
        <v>10</v>
      </c>
      <c r="V4" s="448">
        <f t="shared" ref="V4:V6" si="0">SUM(T4/U4)*100</f>
        <v>80</v>
      </c>
      <c r="W4" s="449">
        <v>46</v>
      </c>
      <c r="X4" s="447">
        <v>52</v>
      </c>
      <c r="Y4" s="448">
        <f t="shared" ref="Y4" si="1">SUM(W4/X4)*100</f>
        <v>88.461538461538453</v>
      </c>
      <c r="Z4" s="351"/>
      <c r="AA4" s="351"/>
      <c r="AB4" s="351"/>
      <c r="AC4" s="449">
        <v>68</v>
      </c>
      <c r="AD4" s="447">
        <v>84</v>
      </c>
      <c r="AE4" s="448">
        <f t="shared" ref="AE4" si="2">SUM(AC4/AD4)*100</f>
        <v>80.952380952380949</v>
      </c>
      <c r="AF4" s="447">
        <v>17</v>
      </c>
      <c r="AG4" s="447">
        <v>20</v>
      </c>
      <c r="AH4" s="448">
        <f t="shared" ref="AH4" si="3">SUM(AF4/AG4)*100</f>
        <v>85</v>
      </c>
      <c r="AI4" s="447" t="s">
        <v>50</v>
      </c>
      <c r="AJ4" s="447" t="s">
        <v>50</v>
      </c>
      <c r="AK4" s="447" t="s">
        <v>50</v>
      </c>
      <c r="AM4" t="s">
        <v>551</v>
      </c>
      <c r="AN4" t="s">
        <v>268</v>
      </c>
      <c r="AO4" t="s">
        <v>400</v>
      </c>
      <c r="AP4">
        <v>353</v>
      </c>
      <c r="AR4" t="s">
        <v>506</v>
      </c>
      <c r="AS4" t="s">
        <v>262</v>
      </c>
      <c r="AT4" t="s">
        <v>438</v>
      </c>
      <c r="AU4">
        <v>42</v>
      </c>
    </row>
    <row r="5" spans="1:47" ht="14.95" customHeight="1" thickBot="1" x14ac:dyDescent="0.3">
      <c r="A5" s="443" t="s">
        <v>968</v>
      </c>
      <c r="B5" s="444">
        <v>0</v>
      </c>
      <c r="C5" s="445">
        <v>0</v>
      </c>
      <c r="D5" s="446">
        <v>0</v>
      </c>
      <c r="E5" s="447">
        <f t="shared" ref="E5:E6" si="4">SUM(B5:D5)</f>
        <v>0</v>
      </c>
      <c r="F5" s="339" t="s">
        <v>968</v>
      </c>
      <c r="G5" s="118">
        <v>0</v>
      </c>
      <c r="H5" s="250">
        <v>0</v>
      </c>
      <c r="I5" s="375">
        <v>0</v>
      </c>
      <c r="J5" s="341">
        <f t="shared" ref="J5:J6" si="5">SUM(G5:I5)</f>
        <v>0</v>
      </c>
      <c r="K5" s="443" t="s">
        <v>93</v>
      </c>
      <c r="L5" s="447">
        <v>62</v>
      </c>
      <c r="M5" s="447">
        <v>78</v>
      </c>
      <c r="N5" s="448">
        <f t="shared" ref="N5:N6" si="6">SUM(L5/M5)*100</f>
        <v>79.487179487179489</v>
      </c>
      <c r="O5" s="447">
        <v>1</v>
      </c>
      <c r="P5" s="447">
        <v>3</v>
      </c>
      <c r="Q5" s="448">
        <f t="shared" ref="Q5:Q6" si="7">SUM(O5/P5)*100</f>
        <v>33.333333333333329</v>
      </c>
      <c r="R5" s="447">
        <v>-2</v>
      </c>
      <c r="S5" s="447">
        <v>-2</v>
      </c>
      <c r="T5" s="447">
        <v>63</v>
      </c>
      <c r="U5" s="447">
        <v>84</v>
      </c>
      <c r="V5" s="448">
        <f t="shared" si="0"/>
        <v>75</v>
      </c>
      <c r="W5" s="449" t="s">
        <v>50</v>
      </c>
      <c r="X5" s="447" t="s">
        <v>50</v>
      </c>
      <c r="Y5" s="447" t="s">
        <v>50</v>
      </c>
      <c r="Z5" s="350"/>
      <c r="AA5" s="350"/>
      <c r="AB5" s="350"/>
      <c r="AC5" s="449" t="s">
        <v>50</v>
      </c>
      <c r="AD5" s="447" t="s">
        <v>50</v>
      </c>
      <c r="AE5" s="447" t="s">
        <v>50</v>
      </c>
      <c r="AF5" s="447" t="s">
        <v>50</v>
      </c>
      <c r="AG5" s="447" t="s">
        <v>50</v>
      </c>
      <c r="AH5" s="447" t="s">
        <v>50</v>
      </c>
      <c r="AI5" s="447" t="s">
        <v>50</v>
      </c>
      <c r="AJ5" s="447" t="s">
        <v>50</v>
      </c>
      <c r="AK5" s="447" t="s">
        <v>50</v>
      </c>
      <c r="AM5" t="s">
        <v>306</v>
      </c>
      <c r="AN5" t="s">
        <v>260</v>
      </c>
      <c r="AO5" t="s">
        <v>565</v>
      </c>
      <c r="AP5">
        <v>298</v>
      </c>
      <c r="AR5" t="s">
        <v>679</v>
      </c>
      <c r="AS5" t="s">
        <v>271</v>
      </c>
      <c r="AT5" t="s">
        <v>453</v>
      </c>
      <c r="AU5">
        <v>27</v>
      </c>
    </row>
    <row r="6" spans="1:47" ht="14.95" customHeight="1" thickBot="1" x14ac:dyDescent="0.3">
      <c r="A6" s="443" t="s">
        <v>969</v>
      </c>
      <c r="B6" s="444">
        <v>0</v>
      </c>
      <c r="C6" s="445">
        <v>1</v>
      </c>
      <c r="D6" s="446">
        <v>1</v>
      </c>
      <c r="E6" s="447">
        <f t="shared" si="4"/>
        <v>2</v>
      </c>
      <c r="F6" s="339" t="s">
        <v>969</v>
      </c>
      <c r="G6" s="118">
        <v>0</v>
      </c>
      <c r="H6" s="250">
        <v>5</v>
      </c>
      <c r="I6" s="375">
        <v>5</v>
      </c>
      <c r="J6" s="341">
        <f t="shared" si="5"/>
        <v>10</v>
      </c>
      <c r="K6" s="443" t="s">
        <v>936</v>
      </c>
      <c r="L6" s="447">
        <v>29</v>
      </c>
      <c r="M6" s="447">
        <v>37</v>
      </c>
      <c r="N6" s="448">
        <f t="shared" si="6"/>
        <v>78.378378378378372</v>
      </c>
      <c r="O6" s="447">
        <v>3</v>
      </c>
      <c r="P6" s="447">
        <v>4</v>
      </c>
      <c r="Q6" s="448">
        <f t="shared" si="7"/>
        <v>75</v>
      </c>
      <c r="R6" s="447">
        <v>-1</v>
      </c>
      <c r="S6" s="447">
        <v>-1</v>
      </c>
      <c r="T6" s="447">
        <v>4</v>
      </c>
      <c r="U6" s="447">
        <v>6</v>
      </c>
      <c r="V6" s="448">
        <f t="shared" si="0"/>
        <v>66.666666666666657</v>
      </c>
      <c r="W6" s="449">
        <v>2</v>
      </c>
      <c r="X6" s="447">
        <v>3</v>
      </c>
      <c r="Y6" s="448">
        <f>SUM(W6/X6)*100</f>
        <v>66.666666666666657</v>
      </c>
      <c r="Z6" s="351"/>
      <c r="AA6" s="351"/>
      <c r="AB6" s="351"/>
      <c r="AC6" s="449" t="s">
        <v>50</v>
      </c>
      <c r="AD6" s="447" t="s">
        <v>50</v>
      </c>
      <c r="AE6" s="447" t="s">
        <v>50</v>
      </c>
      <c r="AF6" s="447" t="s">
        <v>50</v>
      </c>
      <c r="AG6" s="447" t="s">
        <v>50</v>
      </c>
      <c r="AH6" s="447" t="s">
        <v>50</v>
      </c>
      <c r="AI6" s="447" t="s">
        <v>50</v>
      </c>
      <c r="AJ6" s="447" t="s">
        <v>50</v>
      </c>
      <c r="AK6" s="447" t="s">
        <v>50</v>
      </c>
      <c r="AM6" t="s">
        <v>674</v>
      </c>
      <c r="AN6" t="s">
        <v>260</v>
      </c>
      <c r="AO6" t="s">
        <v>327</v>
      </c>
      <c r="AP6">
        <v>292</v>
      </c>
      <c r="AR6" t="s">
        <v>525</v>
      </c>
      <c r="AS6" t="s">
        <v>276</v>
      </c>
      <c r="AT6" t="s">
        <v>466</v>
      </c>
      <c r="AU6">
        <v>24</v>
      </c>
    </row>
    <row r="7" spans="1:47" ht="15.8" thickBot="1" x14ac:dyDescent="0.3">
      <c r="A7" s="443" t="s">
        <v>19</v>
      </c>
      <c r="B7" s="444">
        <v>3</v>
      </c>
      <c r="C7" s="445">
        <v>3</v>
      </c>
      <c r="D7" s="446">
        <v>0</v>
      </c>
      <c r="E7" s="447">
        <f t="shared" ref="E7:E53" si="8">SUM(B7:D7)</f>
        <v>6</v>
      </c>
      <c r="F7" s="339" t="s">
        <v>19</v>
      </c>
      <c r="G7" s="118">
        <v>15</v>
      </c>
      <c r="H7" s="250">
        <v>15</v>
      </c>
      <c r="I7" s="375">
        <v>0</v>
      </c>
      <c r="J7" s="341">
        <f t="shared" ref="J7:J53" si="9">SUM(G7:I7)</f>
        <v>30</v>
      </c>
      <c r="K7" s="443" t="s">
        <v>144</v>
      </c>
      <c r="L7" s="447" t="s">
        <v>50</v>
      </c>
      <c r="M7" s="447" t="s">
        <v>50</v>
      </c>
      <c r="N7" s="447" t="s">
        <v>50</v>
      </c>
      <c r="O7" s="447" t="s">
        <v>50</v>
      </c>
      <c r="P7" s="447" t="s">
        <v>50</v>
      </c>
      <c r="Q7" s="447" t="s">
        <v>50</v>
      </c>
      <c r="R7" s="447">
        <v>-1</v>
      </c>
      <c r="S7" s="447">
        <v>-1</v>
      </c>
      <c r="T7" s="447" t="s">
        <v>50</v>
      </c>
      <c r="U7" s="447" t="s">
        <v>50</v>
      </c>
      <c r="V7" s="447" t="s">
        <v>50</v>
      </c>
      <c r="W7" s="449">
        <v>0</v>
      </c>
      <c r="X7" s="447">
        <v>1</v>
      </c>
      <c r="Y7" s="448">
        <f>SUM(W7/X7)*100</f>
        <v>0</v>
      </c>
      <c r="Z7" s="351"/>
      <c r="AA7" s="351"/>
      <c r="AB7" s="351"/>
      <c r="AC7" s="449" t="s">
        <v>50</v>
      </c>
      <c r="AD7" s="447" t="s">
        <v>50</v>
      </c>
      <c r="AE7" s="447" t="s">
        <v>50</v>
      </c>
      <c r="AF7" s="447" t="s">
        <v>50</v>
      </c>
      <c r="AG7" s="447" t="s">
        <v>50</v>
      </c>
      <c r="AH7" s="447" t="s">
        <v>50</v>
      </c>
      <c r="AI7" s="447" t="s">
        <v>50</v>
      </c>
      <c r="AJ7" s="447" t="s">
        <v>50</v>
      </c>
      <c r="AK7" s="447" t="s">
        <v>50</v>
      </c>
      <c r="AM7" t="s">
        <v>675</v>
      </c>
      <c r="AN7" t="s">
        <v>264</v>
      </c>
      <c r="AO7" t="s">
        <v>459</v>
      </c>
      <c r="AP7">
        <v>260</v>
      </c>
      <c r="AR7" t="s">
        <v>681</v>
      </c>
      <c r="AS7" t="s">
        <v>264</v>
      </c>
      <c r="AT7" t="s">
        <v>462</v>
      </c>
      <c r="AU7">
        <v>24</v>
      </c>
    </row>
    <row r="8" spans="1:47" ht="14.95" customHeight="1" thickBot="1" x14ac:dyDescent="0.3">
      <c r="A8" s="443" t="s">
        <v>20</v>
      </c>
      <c r="B8" s="444">
        <v>0</v>
      </c>
      <c r="C8" s="445">
        <v>0</v>
      </c>
      <c r="D8" s="446">
        <v>0</v>
      </c>
      <c r="E8" s="447">
        <f t="shared" si="8"/>
        <v>0</v>
      </c>
      <c r="F8" s="339" t="s">
        <v>20</v>
      </c>
      <c r="G8" s="118">
        <v>0</v>
      </c>
      <c r="H8" s="250">
        <v>0</v>
      </c>
      <c r="I8" s="375">
        <v>0</v>
      </c>
      <c r="J8" s="341">
        <f t="shared" si="9"/>
        <v>0</v>
      </c>
      <c r="K8" s="443" t="s">
        <v>1153</v>
      </c>
      <c r="L8" s="447" t="s">
        <v>50</v>
      </c>
      <c r="M8" s="447" t="s">
        <v>50</v>
      </c>
      <c r="N8" s="447" t="s">
        <v>50</v>
      </c>
      <c r="O8" s="447" t="s">
        <v>50</v>
      </c>
      <c r="P8" s="447" t="s">
        <v>50</v>
      </c>
      <c r="Q8" s="447" t="s">
        <v>50</v>
      </c>
      <c r="R8" s="447" t="s">
        <v>64</v>
      </c>
      <c r="S8" s="447">
        <v>1</v>
      </c>
      <c r="T8" s="447" t="s">
        <v>50</v>
      </c>
      <c r="U8" s="447" t="s">
        <v>50</v>
      </c>
      <c r="V8" s="447" t="s">
        <v>50</v>
      </c>
      <c r="W8" s="449" t="s">
        <v>50</v>
      </c>
      <c r="X8" s="447" t="s">
        <v>50</v>
      </c>
      <c r="Y8" s="447" t="s">
        <v>50</v>
      </c>
      <c r="Z8" s="350"/>
      <c r="AA8" s="350"/>
      <c r="AB8" s="350"/>
      <c r="AC8" s="449" t="s">
        <v>50</v>
      </c>
      <c r="AD8" s="447" t="s">
        <v>50</v>
      </c>
      <c r="AE8" s="447" t="s">
        <v>50</v>
      </c>
      <c r="AF8" s="447" t="s">
        <v>50</v>
      </c>
      <c r="AG8" s="447" t="s">
        <v>50</v>
      </c>
      <c r="AH8" s="447" t="s">
        <v>50</v>
      </c>
      <c r="AI8" s="447" t="s">
        <v>50</v>
      </c>
      <c r="AJ8" s="447" t="s">
        <v>50</v>
      </c>
      <c r="AK8" s="447" t="s">
        <v>50</v>
      </c>
      <c r="AM8" t="s">
        <v>516</v>
      </c>
      <c r="AN8" t="s">
        <v>271</v>
      </c>
      <c r="AO8" t="s">
        <v>438</v>
      </c>
      <c r="AP8">
        <v>254</v>
      </c>
      <c r="AR8" t="s">
        <v>680</v>
      </c>
      <c r="AS8" t="s">
        <v>264</v>
      </c>
      <c r="AT8" t="s">
        <v>350</v>
      </c>
      <c r="AU8">
        <v>24</v>
      </c>
    </row>
    <row r="9" spans="1:47" ht="14.95" customHeight="1" thickBot="1" x14ac:dyDescent="0.3">
      <c r="A9" s="443" t="s">
        <v>21</v>
      </c>
      <c r="B9" s="444">
        <v>8</v>
      </c>
      <c r="C9" s="445">
        <v>1</v>
      </c>
      <c r="D9" s="446">
        <v>0</v>
      </c>
      <c r="E9" s="447">
        <f t="shared" si="8"/>
        <v>9</v>
      </c>
      <c r="F9" s="339" t="s">
        <v>21</v>
      </c>
      <c r="G9" s="118">
        <v>40</v>
      </c>
      <c r="H9" s="250">
        <v>5</v>
      </c>
      <c r="I9" s="375">
        <v>0</v>
      </c>
      <c r="J9" s="341">
        <f t="shared" si="9"/>
        <v>45</v>
      </c>
      <c r="K9" s="75"/>
      <c r="L9" s="76"/>
      <c r="M9" s="76"/>
      <c r="N9" s="76"/>
      <c r="O9" s="84"/>
      <c r="P9" s="75"/>
      <c r="Q9" s="85"/>
      <c r="R9" s="76"/>
      <c r="S9" s="76"/>
      <c r="T9" s="76"/>
      <c r="U9" s="76"/>
      <c r="V9" s="76"/>
      <c r="W9" s="76"/>
      <c r="X9" s="76"/>
      <c r="Y9" s="76"/>
      <c r="AF9" s="127"/>
      <c r="AI9" s="127"/>
      <c r="AJ9" s="127"/>
      <c r="AK9" s="127"/>
      <c r="AL9" s="127"/>
      <c r="AM9" t="s">
        <v>608</v>
      </c>
      <c r="AN9" t="s">
        <v>260</v>
      </c>
      <c r="AO9" t="s">
        <v>329</v>
      </c>
      <c r="AP9">
        <v>237</v>
      </c>
      <c r="AR9" t="s">
        <v>682</v>
      </c>
      <c r="AS9" t="s">
        <v>310</v>
      </c>
      <c r="AT9" t="s">
        <v>384</v>
      </c>
      <c r="AU9">
        <v>23</v>
      </c>
    </row>
    <row r="10" spans="1:47" ht="17" thickBot="1" x14ac:dyDescent="0.3">
      <c r="A10" s="443" t="s">
        <v>967</v>
      </c>
      <c r="B10" s="444">
        <v>0</v>
      </c>
      <c r="C10" s="445">
        <v>0</v>
      </c>
      <c r="D10" s="446">
        <v>0</v>
      </c>
      <c r="E10" s="447">
        <f t="shared" si="8"/>
        <v>0</v>
      </c>
      <c r="F10" s="339" t="s">
        <v>967</v>
      </c>
      <c r="G10" s="118">
        <v>4</v>
      </c>
      <c r="H10" s="250">
        <v>9</v>
      </c>
      <c r="I10" s="375">
        <v>25</v>
      </c>
      <c r="J10" s="341">
        <f t="shared" si="9"/>
        <v>38</v>
      </c>
      <c r="K10" s="507" t="s">
        <v>1323</v>
      </c>
      <c r="L10" s="486" t="s">
        <v>49</v>
      </c>
      <c r="M10" s="487"/>
      <c r="N10" s="488"/>
      <c r="O10" s="457" t="s">
        <v>1224</v>
      </c>
      <c r="P10" s="458"/>
      <c r="Q10" s="459"/>
      <c r="R10" s="457" t="s">
        <v>1791</v>
      </c>
      <c r="S10" s="458"/>
      <c r="T10" s="459"/>
      <c r="U10" s="457" t="s">
        <v>959</v>
      </c>
      <c r="V10" s="458"/>
      <c r="W10" s="459"/>
      <c r="X10" s="127"/>
      <c r="Y10" s="127"/>
      <c r="Z10" s="127"/>
      <c r="AA10" s="127"/>
      <c r="AB10" s="127"/>
      <c r="AC10" s="457" t="s">
        <v>958</v>
      </c>
      <c r="AD10" s="458"/>
      <c r="AE10" s="459"/>
      <c r="AF10" s="457" t="s">
        <v>213</v>
      </c>
      <c r="AG10" s="458"/>
      <c r="AH10" s="459"/>
      <c r="AI10" s="457" t="s">
        <v>937</v>
      </c>
      <c r="AJ10" s="458"/>
      <c r="AK10" s="459"/>
      <c r="AL10" s="127"/>
      <c r="AM10" t="s">
        <v>506</v>
      </c>
      <c r="AN10" t="s">
        <v>262</v>
      </c>
      <c r="AO10" t="s">
        <v>438</v>
      </c>
      <c r="AP10">
        <v>228</v>
      </c>
      <c r="AR10" t="s">
        <v>539</v>
      </c>
      <c r="AS10" t="s">
        <v>260</v>
      </c>
      <c r="AT10" t="s">
        <v>436</v>
      </c>
      <c r="AU10">
        <v>21</v>
      </c>
    </row>
    <row r="11" spans="1:47" ht="16.5" customHeight="1" thickBot="1" x14ac:dyDescent="0.3">
      <c r="A11" s="443" t="s">
        <v>1036</v>
      </c>
      <c r="B11" s="444">
        <v>0</v>
      </c>
      <c r="C11" s="445">
        <v>0</v>
      </c>
      <c r="D11" s="446">
        <v>0</v>
      </c>
      <c r="E11" s="447">
        <f t="shared" si="8"/>
        <v>0</v>
      </c>
      <c r="F11" s="339" t="s">
        <v>1036</v>
      </c>
      <c r="G11" s="118">
        <v>0</v>
      </c>
      <c r="H11" s="250">
        <v>0</v>
      </c>
      <c r="I11" s="375">
        <v>0</v>
      </c>
      <c r="J11" s="341">
        <f t="shared" si="9"/>
        <v>0</v>
      </c>
      <c r="K11" s="508"/>
      <c r="L11" s="489"/>
      <c r="M11" s="490"/>
      <c r="N11" s="491"/>
      <c r="O11" s="460"/>
      <c r="P11" s="461"/>
      <c r="Q11" s="462"/>
      <c r="R11" s="460"/>
      <c r="S11" s="461"/>
      <c r="T11" s="462"/>
      <c r="U11" s="460"/>
      <c r="V11" s="461"/>
      <c r="W11" s="462"/>
      <c r="X11" s="127"/>
      <c r="Y11" s="127"/>
      <c r="Z11" s="127"/>
      <c r="AA11" s="127"/>
      <c r="AB11" s="127"/>
      <c r="AC11" s="460"/>
      <c r="AD11" s="461"/>
      <c r="AE11" s="462"/>
      <c r="AF11" s="460"/>
      <c r="AG11" s="461"/>
      <c r="AH11" s="462"/>
      <c r="AI11" s="460"/>
      <c r="AJ11" s="461"/>
      <c r="AK11" s="462"/>
      <c r="AL11" s="127"/>
      <c r="AM11" t="s">
        <v>676</v>
      </c>
      <c r="AN11" t="s">
        <v>260</v>
      </c>
      <c r="AO11" t="s">
        <v>362</v>
      </c>
      <c r="AP11">
        <v>186</v>
      </c>
      <c r="AR11" t="s">
        <v>683</v>
      </c>
      <c r="AS11" t="s">
        <v>268</v>
      </c>
      <c r="AT11" t="s">
        <v>411</v>
      </c>
      <c r="AU11">
        <v>20</v>
      </c>
    </row>
    <row r="12" spans="1:47" ht="15.8" thickBot="1" x14ac:dyDescent="0.3">
      <c r="A12" s="443" t="s">
        <v>926</v>
      </c>
      <c r="B12" s="444">
        <v>1</v>
      </c>
      <c r="C12" s="445">
        <v>0</v>
      </c>
      <c r="D12" s="446">
        <v>0</v>
      </c>
      <c r="E12" s="447">
        <f t="shared" si="8"/>
        <v>1</v>
      </c>
      <c r="F12" s="339" t="s">
        <v>926</v>
      </c>
      <c r="G12" s="118">
        <v>5</v>
      </c>
      <c r="H12" s="250">
        <v>0</v>
      </c>
      <c r="I12" s="375">
        <v>0</v>
      </c>
      <c r="J12" s="341">
        <f t="shared" si="9"/>
        <v>5</v>
      </c>
      <c r="K12" s="37" t="s">
        <v>87</v>
      </c>
      <c r="L12" s="1" t="s">
        <v>243</v>
      </c>
      <c r="M12" s="1" t="s">
        <v>42</v>
      </c>
      <c r="N12" s="1" t="s">
        <v>43</v>
      </c>
      <c r="O12" s="119" t="s">
        <v>243</v>
      </c>
      <c r="P12" s="119" t="s">
        <v>42</v>
      </c>
      <c r="Q12" s="119" t="s">
        <v>43</v>
      </c>
      <c r="R12" s="119" t="s">
        <v>243</v>
      </c>
      <c r="S12" s="119" t="s">
        <v>42</v>
      </c>
      <c r="T12" s="119" t="s">
        <v>43</v>
      </c>
      <c r="U12" s="124" t="s">
        <v>243</v>
      </c>
      <c r="V12" s="119" t="s">
        <v>42</v>
      </c>
      <c r="W12" s="119" t="s">
        <v>43</v>
      </c>
      <c r="X12" s="60"/>
      <c r="Y12" s="60"/>
      <c r="Z12" s="60"/>
      <c r="AA12" s="60"/>
      <c r="AB12" s="60"/>
      <c r="AC12" s="124" t="s">
        <v>243</v>
      </c>
      <c r="AD12" s="119" t="s">
        <v>42</v>
      </c>
      <c r="AE12" s="119" t="s">
        <v>43</v>
      </c>
      <c r="AF12" s="124" t="s">
        <v>243</v>
      </c>
      <c r="AG12" s="119" t="s">
        <v>42</v>
      </c>
      <c r="AH12" s="119" t="s">
        <v>43</v>
      </c>
      <c r="AI12" s="119" t="s">
        <v>243</v>
      </c>
      <c r="AJ12" s="119" t="s">
        <v>42</v>
      </c>
      <c r="AK12" s="119" t="s">
        <v>43</v>
      </c>
      <c r="AL12" s="60"/>
      <c r="AM12" t="s">
        <v>261</v>
      </c>
      <c r="AN12" t="s">
        <v>260</v>
      </c>
      <c r="AO12" t="s">
        <v>294</v>
      </c>
      <c r="AP12">
        <v>180</v>
      </c>
      <c r="AR12" t="s">
        <v>684</v>
      </c>
      <c r="AS12" t="s">
        <v>264</v>
      </c>
      <c r="AT12" t="s">
        <v>375</v>
      </c>
      <c r="AU12">
        <v>20</v>
      </c>
    </row>
    <row r="13" spans="1:47" ht="15.8" thickBot="1" x14ac:dyDescent="0.3">
      <c r="A13" s="443" t="s">
        <v>144</v>
      </c>
      <c r="B13" s="444">
        <v>1</v>
      </c>
      <c r="C13" s="445">
        <v>0</v>
      </c>
      <c r="D13" s="446">
        <v>0</v>
      </c>
      <c r="E13" s="447">
        <f t="shared" si="8"/>
        <v>1</v>
      </c>
      <c r="F13" s="339" t="s">
        <v>144</v>
      </c>
      <c r="G13" s="118">
        <v>5</v>
      </c>
      <c r="H13" s="250">
        <v>0</v>
      </c>
      <c r="I13" s="375">
        <v>0</v>
      </c>
      <c r="J13" s="341">
        <f t="shared" si="9"/>
        <v>5</v>
      </c>
      <c r="K13" s="443" t="s">
        <v>1040</v>
      </c>
      <c r="L13" s="447">
        <v>4</v>
      </c>
      <c r="M13" s="447">
        <v>4</v>
      </c>
      <c r="N13" s="448">
        <f t="shared" ref="N13:N15" si="10">SUM(L13/M13)*100</f>
        <v>100</v>
      </c>
      <c r="O13" s="447" t="s">
        <v>50</v>
      </c>
      <c r="P13" s="447" t="s">
        <v>50</v>
      </c>
      <c r="Q13" s="447" t="s">
        <v>50</v>
      </c>
      <c r="R13" s="447">
        <v>6</v>
      </c>
      <c r="S13" s="447">
        <v>11</v>
      </c>
      <c r="T13" s="448">
        <f>SUM(R13/S13)*100</f>
        <v>54.54545454545454</v>
      </c>
      <c r="U13" s="449">
        <v>31</v>
      </c>
      <c r="V13" s="447">
        <v>36</v>
      </c>
      <c r="W13" s="448">
        <f t="shared" ref="W13" si="11">SUM(U13/V13)*100</f>
        <v>86.111111111111114</v>
      </c>
      <c r="X13" s="248"/>
      <c r="Y13" s="248"/>
      <c r="Z13" s="248"/>
      <c r="AA13" s="248"/>
      <c r="AB13" s="248"/>
      <c r="AC13" s="449" t="s">
        <v>50</v>
      </c>
      <c r="AD13" s="447" t="s">
        <v>50</v>
      </c>
      <c r="AE13" s="447" t="s">
        <v>50</v>
      </c>
      <c r="AF13" s="449" t="s">
        <v>50</v>
      </c>
      <c r="AG13" s="447" t="s">
        <v>50</v>
      </c>
      <c r="AH13" s="447" t="s">
        <v>50</v>
      </c>
      <c r="AI13" s="449" t="s">
        <v>50</v>
      </c>
      <c r="AJ13" s="447" t="s">
        <v>50</v>
      </c>
      <c r="AK13" s="447" t="s">
        <v>50</v>
      </c>
      <c r="AL13" s="350"/>
      <c r="AM13" t="s">
        <v>677</v>
      </c>
      <c r="AN13" t="s">
        <v>260</v>
      </c>
      <c r="AO13" t="s">
        <v>305</v>
      </c>
      <c r="AP13">
        <v>177</v>
      </c>
      <c r="AR13" t="s">
        <v>530</v>
      </c>
      <c r="AS13" t="s">
        <v>278</v>
      </c>
      <c r="AT13" t="s">
        <v>439</v>
      </c>
      <c r="AU13">
        <v>15</v>
      </c>
    </row>
    <row r="14" spans="1:47" ht="15.8" thickBot="1" x14ac:dyDescent="0.3">
      <c r="A14" s="443" t="s">
        <v>72</v>
      </c>
      <c r="B14" s="444">
        <v>4</v>
      </c>
      <c r="C14" s="445">
        <v>1</v>
      </c>
      <c r="D14" s="446">
        <v>0</v>
      </c>
      <c r="E14" s="447">
        <f t="shared" si="8"/>
        <v>5</v>
      </c>
      <c r="F14" s="339" t="s">
        <v>72</v>
      </c>
      <c r="G14" s="118">
        <v>20</v>
      </c>
      <c r="H14" s="250">
        <v>5</v>
      </c>
      <c r="I14" s="375">
        <v>0</v>
      </c>
      <c r="J14" s="341">
        <f t="shared" si="9"/>
        <v>25</v>
      </c>
      <c r="K14" s="443" t="s">
        <v>93</v>
      </c>
      <c r="L14" s="447">
        <v>23</v>
      </c>
      <c r="M14" s="447">
        <v>28</v>
      </c>
      <c r="N14" s="448">
        <f t="shared" si="10"/>
        <v>82.142857142857139</v>
      </c>
      <c r="O14" s="447">
        <v>13</v>
      </c>
      <c r="P14" s="447">
        <v>16</v>
      </c>
      <c r="Q14" s="448">
        <f t="shared" ref="Q14:Q15" si="12">SUM(O14/P14)*100</f>
        <v>81.25</v>
      </c>
      <c r="R14" s="449" t="s">
        <v>50</v>
      </c>
      <c r="S14" s="447" t="s">
        <v>50</v>
      </c>
      <c r="T14" s="447" t="s">
        <v>50</v>
      </c>
      <c r="U14" s="449" t="s">
        <v>50</v>
      </c>
      <c r="V14" s="447" t="s">
        <v>50</v>
      </c>
      <c r="W14" s="447" t="s">
        <v>50</v>
      </c>
      <c r="X14" s="247"/>
      <c r="Y14" s="247"/>
      <c r="Z14" s="247"/>
      <c r="AA14" s="247"/>
      <c r="AB14" s="247"/>
      <c r="AC14" s="449" t="s">
        <v>50</v>
      </c>
      <c r="AD14" s="447" t="s">
        <v>50</v>
      </c>
      <c r="AE14" s="447" t="s">
        <v>50</v>
      </c>
      <c r="AF14" s="449" t="s">
        <v>50</v>
      </c>
      <c r="AG14" s="447" t="s">
        <v>50</v>
      </c>
      <c r="AH14" s="447" t="s">
        <v>50</v>
      </c>
      <c r="AI14" s="449" t="s">
        <v>50</v>
      </c>
      <c r="AJ14" s="447" t="s">
        <v>50</v>
      </c>
      <c r="AK14" s="447" t="s">
        <v>50</v>
      </c>
      <c r="AL14" s="350"/>
      <c r="AM14" t="s">
        <v>505</v>
      </c>
      <c r="AN14" t="s">
        <v>260</v>
      </c>
      <c r="AO14" t="s">
        <v>449</v>
      </c>
      <c r="AP14">
        <v>146</v>
      </c>
      <c r="AR14" t="s">
        <v>685</v>
      </c>
      <c r="AS14" t="s">
        <v>260</v>
      </c>
      <c r="AT14" t="s">
        <v>298</v>
      </c>
      <c r="AU14">
        <v>15</v>
      </c>
    </row>
    <row r="15" spans="1:47" ht="15.8" thickBot="1" x14ac:dyDescent="0.3">
      <c r="A15" s="443" t="s">
        <v>147</v>
      </c>
      <c r="B15" s="444">
        <v>0</v>
      </c>
      <c r="C15" s="445">
        <v>0</v>
      </c>
      <c r="D15" s="446">
        <v>0</v>
      </c>
      <c r="E15" s="447">
        <f t="shared" si="8"/>
        <v>0</v>
      </c>
      <c r="F15" s="339" t="s">
        <v>147</v>
      </c>
      <c r="G15" s="118">
        <v>0</v>
      </c>
      <c r="H15" s="250">
        <v>0</v>
      </c>
      <c r="I15" s="375">
        <v>0</v>
      </c>
      <c r="J15" s="341">
        <f t="shared" si="9"/>
        <v>0</v>
      </c>
      <c r="K15" s="443" t="s">
        <v>936</v>
      </c>
      <c r="L15" s="447">
        <v>6</v>
      </c>
      <c r="M15" s="447">
        <v>7</v>
      </c>
      <c r="N15" s="448">
        <f t="shared" si="10"/>
        <v>85.714285714285708</v>
      </c>
      <c r="O15" s="447">
        <v>1</v>
      </c>
      <c r="P15" s="447">
        <v>2</v>
      </c>
      <c r="Q15" s="448">
        <f t="shared" si="12"/>
        <v>50</v>
      </c>
      <c r="R15" s="449" t="s">
        <v>50</v>
      </c>
      <c r="S15" s="447" t="s">
        <v>50</v>
      </c>
      <c r="T15" s="447" t="s">
        <v>50</v>
      </c>
      <c r="U15" s="449" t="s">
        <v>50</v>
      </c>
      <c r="V15" s="447" t="s">
        <v>50</v>
      </c>
      <c r="W15" s="447" t="s">
        <v>50</v>
      </c>
      <c r="X15" s="247"/>
      <c r="Y15" s="247"/>
      <c r="Z15" s="247"/>
      <c r="AA15" s="247"/>
      <c r="AB15" s="247"/>
      <c r="AC15" s="449" t="s">
        <v>50</v>
      </c>
      <c r="AD15" s="447" t="s">
        <v>50</v>
      </c>
      <c r="AE15" s="447" t="s">
        <v>50</v>
      </c>
      <c r="AF15" s="449" t="s">
        <v>50</v>
      </c>
      <c r="AG15" s="447" t="s">
        <v>50</v>
      </c>
      <c r="AH15" s="447" t="s">
        <v>50</v>
      </c>
      <c r="AI15" s="449" t="s">
        <v>50</v>
      </c>
      <c r="AJ15" s="447" t="s">
        <v>50</v>
      </c>
      <c r="AK15" s="447" t="s">
        <v>50</v>
      </c>
      <c r="AL15" s="350"/>
      <c r="AM15" t="s">
        <v>678</v>
      </c>
      <c r="AN15" t="s">
        <v>260</v>
      </c>
      <c r="AO15" t="s">
        <v>658</v>
      </c>
      <c r="AP15">
        <v>144</v>
      </c>
      <c r="AR15" t="s">
        <v>510</v>
      </c>
      <c r="AS15" t="s">
        <v>276</v>
      </c>
      <c r="AT15" t="s">
        <v>461</v>
      </c>
      <c r="AU15">
        <v>14</v>
      </c>
    </row>
    <row r="16" spans="1:47" ht="15.8" thickBot="1" x14ac:dyDescent="0.3">
      <c r="A16" s="443" t="s">
        <v>1221</v>
      </c>
      <c r="B16" s="444">
        <v>2</v>
      </c>
      <c r="C16" s="445">
        <v>2</v>
      </c>
      <c r="D16" s="446">
        <v>0</v>
      </c>
      <c r="E16" s="447">
        <f t="shared" si="8"/>
        <v>4</v>
      </c>
      <c r="F16" s="339" t="s">
        <v>1221</v>
      </c>
      <c r="G16" s="118">
        <v>10</v>
      </c>
      <c r="H16" s="250">
        <v>10</v>
      </c>
      <c r="I16" s="375">
        <v>0</v>
      </c>
      <c r="J16" s="341">
        <f t="shared" si="9"/>
        <v>20</v>
      </c>
      <c r="K16" s="443" t="s">
        <v>1153</v>
      </c>
      <c r="L16" s="449" t="s">
        <v>50</v>
      </c>
      <c r="M16" s="447" t="s">
        <v>50</v>
      </c>
      <c r="N16" s="447" t="s">
        <v>50</v>
      </c>
      <c r="O16" s="449" t="s">
        <v>50</v>
      </c>
      <c r="P16" s="447" t="s">
        <v>50</v>
      </c>
      <c r="Q16" s="447" t="s">
        <v>50</v>
      </c>
      <c r="R16" s="449" t="s">
        <v>50</v>
      </c>
      <c r="S16" s="447" t="s">
        <v>50</v>
      </c>
      <c r="T16" s="447" t="s">
        <v>50</v>
      </c>
      <c r="U16" s="449">
        <v>1</v>
      </c>
      <c r="V16" s="447">
        <v>1</v>
      </c>
      <c r="W16" s="448">
        <f>SUM(U16/V16)*100</f>
        <v>100</v>
      </c>
      <c r="X16" s="248"/>
      <c r="Y16" s="248"/>
      <c r="Z16" s="248"/>
      <c r="AA16" s="248"/>
      <c r="AB16" s="248"/>
      <c r="AC16" s="449" t="s">
        <v>50</v>
      </c>
      <c r="AD16" s="447" t="s">
        <v>50</v>
      </c>
      <c r="AE16" s="447" t="s">
        <v>50</v>
      </c>
      <c r="AF16" s="449" t="s">
        <v>50</v>
      </c>
      <c r="AG16" s="447" t="s">
        <v>50</v>
      </c>
      <c r="AH16" s="447" t="s">
        <v>50</v>
      </c>
      <c r="AI16" s="449" t="s">
        <v>50</v>
      </c>
      <c r="AJ16" s="447" t="s">
        <v>50</v>
      </c>
      <c r="AK16" s="447" t="s">
        <v>50</v>
      </c>
      <c r="AL16" s="350"/>
      <c r="AM16" t="s">
        <v>679</v>
      </c>
      <c r="AN16" t="s">
        <v>271</v>
      </c>
      <c r="AO16" t="s">
        <v>453</v>
      </c>
      <c r="AP16">
        <v>135</v>
      </c>
      <c r="AR16" t="s">
        <v>621</v>
      </c>
      <c r="AS16" t="s">
        <v>264</v>
      </c>
      <c r="AT16" t="s">
        <v>340</v>
      </c>
      <c r="AU16">
        <v>14</v>
      </c>
    </row>
    <row r="17" spans="1:47" ht="15.8" thickBot="1" x14ac:dyDescent="0.3">
      <c r="A17" s="443" t="s">
        <v>1222</v>
      </c>
      <c r="B17" s="444">
        <v>5</v>
      </c>
      <c r="C17" s="445">
        <v>4</v>
      </c>
      <c r="D17" s="446">
        <v>2</v>
      </c>
      <c r="E17" s="447">
        <f t="shared" si="8"/>
        <v>11</v>
      </c>
      <c r="F17" s="339" t="s">
        <v>1222</v>
      </c>
      <c r="G17" s="118">
        <v>25</v>
      </c>
      <c r="H17" s="250">
        <v>20</v>
      </c>
      <c r="I17" s="375">
        <v>10</v>
      </c>
      <c r="J17" s="341">
        <f t="shared" si="9"/>
        <v>55</v>
      </c>
      <c r="AM17" t="s">
        <v>680</v>
      </c>
      <c r="AN17" t="s">
        <v>264</v>
      </c>
      <c r="AO17" t="s">
        <v>350</v>
      </c>
      <c r="AP17">
        <v>123</v>
      </c>
      <c r="AR17" t="s">
        <v>689</v>
      </c>
      <c r="AT17" t="s">
        <v>366</v>
      </c>
      <c r="AU17">
        <v>14</v>
      </c>
    </row>
    <row r="18" spans="1:47" ht="17" thickBot="1" x14ac:dyDescent="0.3">
      <c r="A18" s="443" t="s">
        <v>83</v>
      </c>
      <c r="B18" s="444">
        <v>9</v>
      </c>
      <c r="C18" s="445">
        <v>2</v>
      </c>
      <c r="D18" s="446">
        <v>0</v>
      </c>
      <c r="E18" s="447">
        <f t="shared" si="8"/>
        <v>11</v>
      </c>
      <c r="F18" s="339" t="s">
        <v>83</v>
      </c>
      <c r="G18" s="118">
        <v>45</v>
      </c>
      <c r="H18" s="250">
        <v>10</v>
      </c>
      <c r="I18" s="375">
        <v>0</v>
      </c>
      <c r="J18" s="341">
        <f t="shared" si="9"/>
        <v>55</v>
      </c>
      <c r="K18" s="474" t="s">
        <v>1071</v>
      </c>
      <c r="L18" s="486" t="s">
        <v>49</v>
      </c>
      <c r="M18" s="487"/>
      <c r="N18" s="488"/>
      <c r="O18" s="457" t="s">
        <v>124</v>
      </c>
      <c r="P18" s="458"/>
      <c r="Q18" s="459"/>
      <c r="R18" s="457" t="s">
        <v>1070</v>
      </c>
      <c r="S18" s="458"/>
      <c r="T18" s="459"/>
      <c r="U18" s="457" t="s">
        <v>254</v>
      </c>
      <c r="V18" s="458"/>
      <c r="W18" s="459"/>
      <c r="X18" s="127"/>
      <c r="Y18" s="127"/>
      <c r="Z18" s="127"/>
      <c r="AA18" s="127"/>
      <c r="AB18" s="127"/>
      <c r="AC18" s="457" t="s">
        <v>186</v>
      </c>
      <c r="AD18" s="458"/>
      <c r="AE18" s="459"/>
      <c r="AF18" s="501"/>
      <c r="AG18" s="501"/>
      <c r="AH18" s="501"/>
      <c r="AI18" s="46"/>
      <c r="AM18" t="s">
        <v>525</v>
      </c>
      <c r="AN18" t="s">
        <v>276</v>
      </c>
      <c r="AO18" t="s">
        <v>466</v>
      </c>
      <c r="AP18">
        <v>120</v>
      </c>
      <c r="AR18" t="s">
        <v>690</v>
      </c>
      <c r="AS18" t="s">
        <v>283</v>
      </c>
      <c r="AT18" t="s">
        <v>632</v>
      </c>
      <c r="AU18">
        <v>13</v>
      </c>
    </row>
    <row r="19" spans="1:47" ht="17" thickBot="1" x14ac:dyDescent="0.3">
      <c r="A19" s="443" t="s">
        <v>1021</v>
      </c>
      <c r="B19" s="444">
        <v>1</v>
      </c>
      <c r="C19" s="445">
        <v>0</v>
      </c>
      <c r="D19" s="446">
        <v>1</v>
      </c>
      <c r="E19" s="447">
        <f t="shared" si="8"/>
        <v>2</v>
      </c>
      <c r="F19" s="339" t="s">
        <v>1021</v>
      </c>
      <c r="G19" s="118">
        <v>5</v>
      </c>
      <c r="H19" s="250">
        <v>0</v>
      </c>
      <c r="I19" s="375">
        <v>5</v>
      </c>
      <c r="J19" s="341">
        <f t="shared" si="9"/>
        <v>10</v>
      </c>
      <c r="K19" s="475"/>
      <c r="L19" s="489"/>
      <c r="M19" s="490"/>
      <c r="N19" s="491"/>
      <c r="O19" s="460"/>
      <c r="P19" s="461"/>
      <c r="Q19" s="462"/>
      <c r="R19" s="460"/>
      <c r="S19" s="461"/>
      <c r="T19" s="462"/>
      <c r="U19" s="460"/>
      <c r="V19" s="461"/>
      <c r="W19" s="462"/>
      <c r="X19" s="127"/>
      <c r="Y19" s="127"/>
      <c r="Z19" s="127"/>
      <c r="AA19" s="127"/>
      <c r="AB19" s="127"/>
      <c r="AC19" s="460"/>
      <c r="AD19" s="461"/>
      <c r="AE19" s="462"/>
      <c r="AF19" s="501"/>
      <c r="AG19" s="501"/>
      <c r="AH19" s="501"/>
      <c r="AI19" s="46"/>
      <c r="AM19" t="s">
        <v>681</v>
      </c>
      <c r="AN19" t="s">
        <v>264</v>
      </c>
      <c r="AO19" t="s">
        <v>462</v>
      </c>
      <c r="AP19">
        <v>120</v>
      </c>
      <c r="AR19" t="s">
        <v>691</v>
      </c>
      <c r="AS19" t="s">
        <v>264</v>
      </c>
      <c r="AT19" t="s">
        <v>353</v>
      </c>
      <c r="AU19">
        <v>13</v>
      </c>
    </row>
    <row r="20" spans="1:47" ht="15.8" thickBot="1" x14ac:dyDescent="0.3">
      <c r="A20" s="443" t="s">
        <v>970</v>
      </c>
      <c r="B20" s="444">
        <v>0</v>
      </c>
      <c r="C20" s="445">
        <v>0</v>
      </c>
      <c r="D20" s="446">
        <v>0</v>
      </c>
      <c r="E20" s="447">
        <f t="shared" si="8"/>
        <v>0</v>
      </c>
      <c r="F20" s="339" t="s">
        <v>970</v>
      </c>
      <c r="G20" s="118">
        <v>0</v>
      </c>
      <c r="H20" s="250">
        <v>0</v>
      </c>
      <c r="I20" s="375">
        <v>0</v>
      </c>
      <c r="J20" s="341">
        <f t="shared" si="9"/>
        <v>0</v>
      </c>
      <c r="K20" s="37" t="s">
        <v>87</v>
      </c>
      <c r="L20" s="1" t="s">
        <v>243</v>
      </c>
      <c r="M20" s="1" t="s">
        <v>42</v>
      </c>
      <c r="N20" s="1" t="s">
        <v>43</v>
      </c>
      <c r="O20" s="119" t="s">
        <v>243</v>
      </c>
      <c r="P20" s="119" t="s">
        <v>42</v>
      </c>
      <c r="Q20" s="119" t="s">
        <v>43</v>
      </c>
      <c r="R20" s="119" t="s">
        <v>243</v>
      </c>
      <c r="S20" s="119" t="s">
        <v>42</v>
      </c>
      <c r="T20" s="119" t="s">
        <v>43</v>
      </c>
      <c r="U20" s="119" t="s">
        <v>243</v>
      </c>
      <c r="V20" s="119" t="s">
        <v>42</v>
      </c>
      <c r="W20" s="119" t="s">
        <v>43</v>
      </c>
      <c r="X20" s="60"/>
      <c r="Y20" s="60"/>
      <c r="Z20" s="60"/>
      <c r="AA20" s="60"/>
      <c r="AB20" s="60"/>
      <c r="AC20" s="158" t="s">
        <v>243</v>
      </c>
      <c r="AD20" s="119" t="s">
        <v>42</v>
      </c>
      <c r="AE20" s="119" t="s">
        <v>43</v>
      </c>
      <c r="AF20" s="60"/>
      <c r="AG20" s="60"/>
      <c r="AH20" s="60"/>
      <c r="AI20" s="46"/>
      <c r="AM20" t="s">
        <v>682</v>
      </c>
      <c r="AN20" t="s">
        <v>310</v>
      </c>
      <c r="AO20" t="s">
        <v>384</v>
      </c>
      <c r="AP20">
        <v>115</v>
      </c>
      <c r="AR20" t="s">
        <v>692</v>
      </c>
      <c r="AS20" t="s">
        <v>276</v>
      </c>
      <c r="AT20" t="s">
        <v>474</v>
      </c>
      <c r="AU20">
        <v>12</v>
      </c>
    </row>
    <row r="21" spans="1:47" ht="15.8" thickBot="1" x14ac:dyDescent="0.3">
      <c r="A21" s="443" t="s">
        <v>1850</v>
      </c>
      <c r="B21" s="444">
        <v>1</v>
      </c>
      <c r="C21" s="445">
        <v>0</v>
      </c>
      <c r="D21" s="446">
        <v>0</v>
      </c>
      <c r="E21" s="447">
        <f t="shared" si="8"/>
        <v>1</v>
      </c>
      <c r="F21" s="339" t="s">
        <v>1850</v>
      </c>
      <c r="G21" s="118">
        <v>5</v>
      </c>
      <c r="H21" s="250">
        <v>0</v>
      </c>
      <c r="I21" s="375">
        <v>0</v>
      </c>
      <c r="J21" s="341">
        <f t="shared" si="9"/>
        <v>5</v>
      </c>
      <c r="K21" s="443" t="s">
        <v>967</v>
      </c>
      <c r="L21" s="447">
        <v>9</v>
      </c>
      <c r="M21" s="447">
        <v>12</v>
      </c>
      <c r="N21" s="448">
        <f t="shared" ref="N21:N23" si="13">SUM(L21/M21)*100</f>
        <v>75</v>
      </c>
      <c r="O21" s="447" t="s">
        <v>50</v>
      </c>
      <c r="P21" s="447" t="s">
        <v>50</v>
      </c>
      <c r="Q21" s="447" t="s">
        <v>50</v>
      </c>
      <c r="R21" s="447" t="s">
        <v>50</v>
      </c>
      <c r="S21" s="447" t="s">
        <v>50</v>
      </c>
      <c r="T21" s="447" t="s">
        <v>50</v>
      </c>
      <c r="U21" s="447" t="s">
        <v>50</v>
      </c>
      <c r="V21" s="447" t="s">
        <v>50</v>
      </c>
      <c r="W21" s="447" t="s">
        <v>50</v>
      </c>
      <c r="X21" s="247"/>
      <c r="Y21" s="247"/>
      <c r="Z21" s="247"/>
      <c r="AA21" s="247"/>
      <c r="AB21" s="247"/>
      <c r="AC21" s="449" t="s">
        <v>50</v>
      </c>
      <c r="AD21" s="447" t="s">
        <v>50</v>
      </c>
      <c r="AE21" s="447" t="s">
        <v>50</v>
      </c>
      <c r="AF21" s="247"/>
      <c r="AG21" s="247"/>
      <c r="AH21" s="247"/>
      <c r="AI21" s="46"/>
      <c r="AM21" t="s">
        <v>683</v>
      </c>
      <c r="AN21" t="s">
        <v>268</v>
      </c>
      <c r="AO21" t="s">
        <v>411</v>
      </c>
      <c r="AP21">
        <v>103</v>
      </c>
      <c r="AR21" t="s">
        <v>693</v>
      </c>
      <c r="AS21" t="s">
        <v>264</v>
      </c>
      <c r="AT21" t="s">
        <v>305</v>
      </c>
      <c r="AU21">
        <v>12</v>
      </c>
    </row>
    <row r="22" spans="1:47" ht="15.8" customHeight="1" thickBot="1" x14ac:dyDescent="0.3">
      <c r="A22" s="443" t="s">
        <v>203</v>
      </c>
      <c r="B22" s="444">
        <v>0</v>
      </c>
      <c r="C22" s="445">
        <v>0</v>
      </c>
      <c r="D22" s="446">
        <v>0</v>
      </c>
      <c r="E22" s="447">
        <f t="shared" si="8"/>
        <v>0</v>
      </c>
      <c r="F22" s="339" t="s">
        <v>203</v>
      </c>
      <c r="G22" s="118">
        <v>0</v>
      </c>
      <c r="H22" s="250">
        <v>0</v>
      </c>
      <c r="I22" s="375">
        <v>0</v>
      </c>
      <c r="J22" s="341">
        <f t="shared" si="9"/>
        <v>0</v>
      </c>
      <c r="K22" s="443" t="s">
        <v>93</v>
      </c>
      <c r="L22" s="447">
        <v>3</v>
      </c>
      <c r="M22" s="447">
        <v>4</v>
      </c>
      <c r="N22" s="448">
        <f t="shared" si="13"/>
        <v>75</v>
      </c>
      <c r="O22" s="447" t="s">
        <v>50</v>
      </c>
      <c r="P22" s="447" t="s">
        <v>50</v>
      </c>
      <c r="Q22" s="447" t="s">
        <v>50</v>
      </c>
      <c r="R22" s="447" t="s">
        <v>50</v>
      </c>
      <c r="S22" s="447" t="s">
        <v>50</v>
      </c>
      <c r="T22" s="447" t="s">
        <v>50</v>
      </c>
      <c r="U22" s="447" t="s">
        <v>50</v>
      </c>
      <c r="V22" s="447" t="s">
        <v>50</v>
      </c>
      <c r="W22" s="447" t="s">
        <v>50</v>
      </c>
      <c r="X22" s="247"/>
      <c r="Y22" s="247"/>
      <c r="Z22" s="247"/>
      <c r="AA22" s="247"/>
      <c r="AB22" s="247"/>
      <c r="AC22" s="447" t="s">
        <v>50</v>
      </c>
      <c r="AD22" s="447" t="s">
        <v>50</v>
      </c>
      <c r="AE22" s="447" t="s">
        <v>50</v>
      </c>
      <c r="AF22" s="247"/>
      <c r="AG22" s="247"/>
      <c r="AH22" s="247"/>
      <c r="AI22" s="46"/>
      <c r="AM22" t="s">
        <v>684</v>
      </c>
      <c r="AN22" t="s">
        <v>264</v>
      </c>
      <c r="AO22" t="s">
        <v>375</v>
      </c>
      <c r="AP22">
        <v>100</v>
      </c>
      <c r="AR22" t="s">
        <v>589</v>
      </c>
      <c r="AS22" t="s">
        <v>268</v>
      </c>
      <c r="AT22" t="s">
        <v>474</v>
      </c>
      <c r="AU22">
        <v>12</v>
      </c>
    </row>
    <row r="23" spans="1:47" ht="15.8" customHeight="1" thickBot="1" x14ac:dyDescent="0.3">
      <c r="A23" s="443" t="s">
        <v>1037</v>
      </c>
      <c r="B23" s="444">
        <v>2</v>
      </c>
      <c r="C23" s="445">
        <v>1</v>
      </c>
      <c r="D23" s="446">
        <v>0</v>
      </c>
      <c r="E23" s="447">
        <f t="shared" si="8"/>
        <v>3</v>
      </c>
      <c r="F23" s="339" t="s">
        <v>1037</v>
      </c>
      <c r="G23" s="118">
        <v>10</v>
      </c>
      <c r="H23" s="250">
        <v>5</v>
      </c>
      <c r="I23" s="375">
        <v>0</v>
      </c>
      <c r="J23" s="341">
        <f t="shared" si="9"/>
        <v>15</v>
      </c>
      <c r="K23" s="443" t="s">
        <v>936</v>
      </c>
      <c r="L23" s="447">
        <v>2</v>
      </c>
      <c r="M23" s="447">
        <v>4</v>
      </c>
      <c r="N23" s="448">
        <f t="shared" si="13"/>
        <v>50</v>
      </c>
      <c r="O23" s="447">
        <v>14</v>
      </c>
      <c r="P23" s="447">
        <v>20</v>
      </c>
      <c r="Q23" s="448">
        <f t="shared" ref="Q23" si="14">SUM(O23/P23)*100</f>
        <v>70</v>
      </c>
      <c r="R23" s="447">
        <v>1</v>
      </c>
      <c r="S23" s="447">
        <v>3</v>
      </c>
      <c r="T23" s="448">
        <f>SUM(R23/S23)*100</f>
        <v>33.333333333333329</v>
      </c>
      <c r="U23" s="447" t="s">
        <v>50</v>
      </c>
      <c r="V23" s="447" t="s">
        <v>50</v>
      </c>
      <c r="W23" s="447" t="s">
        <v>50</v>
      </c>
      <c r="X23" s="247"/>
      <c r="Y23" s="247"/>
      <c r="Z23" s="247"/>
      <c r="AA23" s="247"/>
      <c r="AB23" s="247"/>
      <c r="AC23" s="449" t="s">
        <v>50</v>
      </c>
      <c r="AD23" s="447" t="s">
        <v>50</v>
      </c>
      <c r="AE23" s="447" t="s">
        <v>50</v>
      </c>
      <c r="AF23" s="247"/>
      <c r="AG23" s="247"/>
      <c r="AH23" s="247"/>
      <c r="AI23" s="46"/>
      <c r="AM23" t="s">
        <v>685</v>
      </c>
      <c r="AN23" t="s">
        <v>260</v>
      </c>
      <c r="AO23" t="s">
        <v>298</v>
      </c>
      <c r="AP23">
        <v>99</v>
      </c>
      <c r="AR23" t="s">
        <v>694</v>
      </c>
      <c r="AS23" t="s">
        <v>264</v>
      </c>
      <c r="AT23" t="s">
        <v>556</v>
      </c>
      <c r="AU23">
        <v>11</v>
      </c>
    </row>
    <row r="24" spans="1:47" ht="15.8" thickBot="1" x14ac:dyDescent="0.3">
      <c r="A24" s="443" t="s">
        <v>1022</v>
      </c>
      <c r="B24" s="444">
        <v>0</v>
      </c>
      <c r="C24" s="445">
        <v>0</v>
      </c>
      <c r="D24" s="446">
        <v>1</v>
      </c>
      <c r="E24" s="447">
        <f t="shared" si="8"/>
        <v>1</v>
      </c>
      <c r="F24" s="339" t="s">
        <v>1022</v>
      </c>
      <c r="G24" s="118">
        <v>0</v>
      </c>
      <c r="H24" s="250">
        <v>0</v>
      </c>
      <c r="I24" s="375">
        <v>5</v>
      </c>
      <c r="J24" s="341">
        <f t="shared" si="9"/>
        <v>5</v>
      </c>
      <c r="K24" s="97" t="s">
        <v>1013</v>
      </c>
      <c r="L24" s="97"/>
      <c r="M24" s="97"/>
      <c r="N24" s="171"/>
      <c r="O24" s="172"/>
      <c r="P24" s="173"/>
      <c r="Q24" s="91"/>
      <c r="AM24" t="s">
        <v>686</v>
      </c>
      <c r="AN24" t="s">
        <v>260</v>
      </c>
      <c r="AO24" t="s">
        <v>687</v>
      </c>
      <c r="AP24">
        <v>82</v>
      </c>
      <c r="AR24" t="s">
        <v>281</v>
      </c>
      <c r="AS24" t="s">
        <v>264</v>
      </c>
      <c r="AT24" t="s">
        <v>299</v>
      </c>
      <c r="AU24">
        <v>10</v>
      </c>
    </row>
    <row r="25" spans="1:47" ht="15.8" thickBot="1" x14ac:dyDescent="0.3">
      <c r="A25" s="443" t="s">
        <v>1782</v>
      </c>
      <c r="B25" s="444">
        <v>1</v>
      </c>
      <c r="C25" s="445">
        <v>2</v>
      </c>
      <c r="D25" s="446">
        <v>0</v>
      </c>
      <c r="E25" s="447">
        <f t="shared" si="8"/>
        <v>3</v>
      </c>
      <c r="F25" s="339" t="s">
        <v>1782</v>
      </c>
      <c r="G25" s="118">
        <v>5</v>
      </c>
      <c r="H25" s="250">
        <v>10</v>
      </c>
      <c r="I25" s="375">
        <v>0</v>
      </c>
      <c r="J25" s="341">
        <f t="shared" si="9"/>
        <v>15</v>
      </c>
      <c r="K25" s="518" t="s">
        <v>1152</v>
      </c>
      <c r="L25" s="503"/>
      <c r="M25" s="503"/>
      <c r="N25" s="503"/>
      <c r="O25" s="503"/>
      <c r="P25" s="503"/>
      <c r="Q25" s="503"/>
      <c r="R25" s="503"/>
      <c r="S25" s="503"/>
      <c r="T25" s="503"/>
      <c r="U25" s="503"/>
      <c r="V25" s="503"/>
      <c r="W25" s="503"/>
      <c r="AM25" t="s">
        <v>530</v>
      </c>
      <c r="AN25" t="s">
        <v>278</v>
      </c>
      <c r="AO25" t="s">
        <v>439</v>
      </c>
      <c r="AP25">
        <v>75</v>
      </c>
      <c r="AR25" t="s">
        <v>349</v>
      </c>
      <c r="AS25" t="s">
        <v>264</v>
      </c>
      <c r="AT25" t="s">
        <v>587</v>
      </c>
      <c r="AU25">
        <v>10</v>
      </c>
    </row>
    <row r="26" spans="1:47" ht="15.8" thickBot="1" x14ac:dyDescent="0.3">
      <c r="A26" s="443" t="s">
        <v>1035</v>
      </c>
      <c r="B26" s="444">
        <v>0</v>
      </c>
      <c r="C26" s="445">
        <v>0</v>
      </c>
      <c r="D26" s="446">
        <v>0</v>
      </c>
      <c r="E26" s="447">
        <f t="shared" si="8"/>
        <v>0</v>
      </c>
      <c r="F26" s="339" t="s">
        <v>1035</v>
      </c>
      <c r="G26" s="118">
        <v>0</v>
      </c>
      <c r="H26" s="250">
        <v>0</v>
      </c>
      <c r="I26" s="375">
        <v>0</v>
      </c>
      <c r="J26" s="341">
        <f t="shared" si="9"/>
        <v>0</v>
      </c>
      <c r="K26" s="152"/>
      <c r="L26" s="153"/>
      <c r="M26" s="153"/>
      <c r="N26" s="153"/>
      <c r="O26" s="153"/>
      <c r="P26" s="153"/>
      <c r="Q26" s="153"/>
      <c r="AM26" t="s">
        <v>688</v>
      </c>
      <c r="AN26" t="s">
        <v>263</v>
      </c>
      <c r="AO26" t="s">
        <v>289</v>
      </c>
      <c r="AP26">
        <v>72</v>
      </c>
      <c r="AR26" t="s">
        <v>412</v>
      </c>
      <c r="AS26" t="s">
        <v>276</v>
      </c>
      <c r="AT26" t="s">
        <v>695</v>
      </c>
      <c r="AU26">
        <v>10</v>
      </c>
    </row>
    <row r="27" spans="1:47" ht="15.8" thickBot="1" x14ac:dyDescent="0.3">
      <c r="A27" s="443" t="s">
        <v>145</v>
      </c>
      <c r="B27" s="444">
        <v>0</v>
      </c>
      <c r="C27" s="445">
        <v>0</v>
      </c>
      <c r="D27" s="446">
        <v>0</v>
      </c>
      <c r="E27" s="447">
        <f t="shared" si="8"/>
        <v>0</v>
      </c>
      <c r="F27" s="339" t="s">
        <v>145</v>
      </c>
      <c r="G27" s="118">
        <v>0</v>
      </c>
      <c r="H27" s="250">
        <v>0</v>
      </c>
      <c r="I27" s="375">
        <v>0</v>
      </c>
      <c r="J27" s="341">
        <f t="shared" si="9"/>
        <v>0</v>
      </c>
      <c r="K27" s="152"/>
      <c r="L27" s="153"/>
      <c r="M27" s="153"/>
      <c r="N27" s="153"/>
      <c r="O27" s="153"/>
      <c r="P27" s="153"/>
      <c r="Q27" s="153"/>
      <c r="AM27" t="s">
        <v>510</v>
      </c>
      <c r="AN27" t="s">
        <v>276</v>
      </c>
      <c r="AO27" t="s">
        <v>461</v>
      </c>
      <c r="AP27">
        <v>70</v>
      </c>
      <c r="AR27" t="s">
        <v>696</v>
      </c>
      <c r="AS27" t="s">
        <v>296</v>
      </c>
      <c r="AT27" t="s">
        <v>350</v>
      </c>
      <c r="AU27">
        <v>10</v>
      </c>
    </row>
    <row r="28" spans="1:47" ht="15.8" thickBot="1" x14ac:dyDescent="0.3">
      <c r="A28" s="443" t="s">
        <v>936</v>
      </c>
      <c r="B28" s="444">
        <v>2</v>
      </c>
      <c r="C28" s="445">
        <v>1</v>
      </c>
      <c r="D28" s="446">
        <v>0</v>
      </c>
      <c r="E28" s="447">
        <f t="shared" si="8"/>
        <v>3</v>
      </c>
      <c r="F28" s="339" t="s">
        <v>936</v>
      </c>
      <c r="G28" s="118">
        <v>80</v>
      </c>
      <c r="H28" s="250">
        <v>19</v>
      </c>
      <c r="I28" s="375">
        <v>5</v>
      </c>
      <c r="J28" s="341">
        <f t="shared" si="9"/>
        <v>104</v>
      </c>
      <c r="K28" s="152"/>
      <c r="L28" s="153"/>
      <c r="M28" s="153"/>
      <c r="N28" s="153"/>
      <c r="O28" s="153"/>
      <c r="P28" s="153"/>
      <c r="Q28" s="153"/>
      <c r="AM28" t="s">
        <v>621</v>
      </c>
      <c r="AN28" t="s">
        <v>264</v>
      </c>
      <c r="AO28" t="s">
        <v>340</v>
      </c>
      <c r="AP28">
        <v>70</v>
      </c>
      <c r="AR28" t="s">
        <v>699</v>
      </c>
      <c r="AS28" t="s">
        <v>263</v>
      </c>
      <c r="AT28" t="s">
        <v>360</v>
      </c>
      <c r="AU28">
        <v>9</v>
      </c>
    </row>
    <row r="29" spans="1:47" ht="15.8" thickBot="1" x14ac:dyDescent="0.3">
      <c r="A29" s="443" t="s">
        <v>1327</v>
      </c>
      <c r="B29" s="444">
        <v>0</v>
      </c>
      <c r="C29" s="445">
        <v>0</v>
      </c>
      <c r="D29" s="446">
        <v>0</v>
      </c>
      <c r="E29" s="447">
        <f t="shared" si="8"/>
        <v>0</v>
      </c>
      <c r="F29" s="339" t="s">
        <v>1327</v>
      </c>
      <c r="G29" s="118">
        <v>0</v>
      </c>
      <c r="H29" s="250">
        <v>0</v>
      </c>
      <c r="I29" s="375">
        <v>0</v>
      </c>
      <c r="J29" s="341">
        <f t="shared" si="9"/>
        <v>0</v>
      </c>
      <c r="K29" s="152"/>
      <c r="L29" s="153"/>
      <c r="M29" s="153"/>
      <c r="N29" s="153"/>
      <c r="O29" s="153"/>
      <c r="P29" s="153"/>
      <c r="Q29" s="153"/>
      <c r="AM29" t="s">
        <v>689</v>
      </c>
      <c r="AO29" t="s">
        <v>366</v>
      </c>
      <c r="AP29">
        <v>70</v>
      </c>
      <c r="AR29" t="s">
        <v>700</v>
      </c>
      <c r="AT29" t="s">
        <v>351</v>
      </c>
      <c r="AU29">
        <v>9</v>
      </c>
    </row>
    <row r="30" spans="1:47" ht="15.8" thickBot="1" x14ac:dyDescent="0.3">
      <c r="A30" s="443" t="s">
        <v>104</v>
      </c>
      <c r="B30" s="444">
        <v>0</v>
      </c>
      <c r="C30" s="445">
        <v>0</v>
      </c>
      <c r="D30" s="446">
        <v>0</v>
      </c>
      <c r="E30" s="447">
        <f t="shared" si="8"/>
        <v>0</v>
      </c>
      <c r="F30" s="339" t="s">
        <v>104</v>
      </c>
      <c r="G30" s="118">
        <v>0</v>
      </c>
      <c r="H30" s="250">
        <v>0</v>
      </c>
      <c r="I30" s="375">
        <v>0</v>
      </c>
      <c r="J30" s="341">
        <f t="shared" si="9"/>
        <v>0</v>
      </c>
      <c r="AM30" t="s">
        <v>690</v>
      </c>
      <c r="AN30" t="s">
        <v>283</v>
      </c>
      <c r="AO30" t="s">
        <v>632</v>
      </c>
      <c r="AP30">
        <v>65</v>
      </c>
      <c r="AR30" t="s">
        <v>701</v>
      </c>
      <c r="AS30" t="s">
        <v>275</v>
      </c>
      <c r="AT30" t="s">
        <v>486</v>
      </c>
      <c r="AU30">
        <v>9</v>
      </c>
    </row>
    <row r="31" spans="1:47" ht="14.95" thickBot="1" x14ac:dyDescent="0.3">
      <c r="A31" s="443" t="s">
        <v>204</v>
      </c>
      <c r="B31" s="444">
        <v>0</v>
      </c>
      <c r="C31" s="445">
        <v>0</v>
      </c>
      <c r="D31" s="446">
        <v>0</v>
      </c>
      <c r="E31" s="447">
        <f t="shared" si="8"/>
        <v>0</v>
      </c>
      <c r="F31" s="339" t="s">
        <v>204</v>
      </c>
      <c r="G31" s="118">
        <v>0</v>
      </c>
      <c r="H31" s="250">
        <v>0</v>
      </c>
      <c r="I31" s="375">
        <v>0</v>
      </c>
      <c r="J31" s="341">
        <f t="shared" si="9"/>
        <v>0</v>
      </c>
      <c r="AM31" t="s">
        <v>691</v>
      </c>
      <c r="AN31" t="s">
        <v>264</v>
      </c>
      <c r="AO31" t="s">
        <v>353</v>
      </c>
      <c r="AP31">
        <v>65</v>
      </c>
      <c r="AR31" t="s">
        <v>702</v>
      </c>
      <c r="AS31" t="s">
        <v>268</v>
      </c>
      <c r="AT31" t="s">
        <v>297</v>
      </c>
      <c r="AU31">
        <v>9</v>
      </c>
    </row>
    <row r="32" spans="1:47" ht="14.95" thickBot="1" x14ac:dyDescent="0.3">
      <c r="A32" s="443" t="s">
        <v>971</v>
      </c>
      <c r="B32" s="444">
        <v>0</v>
      </c>
      <c r="C32" s="445">
        <v>0</v>
      </c>
      <c r="D32" s="446">
        <v>0</v>
      </c>
      <c r="E32" s="447">
        <f t="shared" si="8"/>
        <v>0</v>
      </c>
      <c r="F32" s="339" t="s">
        <v>971</v>
      </c>
      <c r="G32" s="118">
        <v>0</v>
      </c>
      <c r="H32" s="250">
        <v>0</v>
      </c>
      <c r="I32" s="375">
        <v>0</v>
      </c>
      <c r="J32" s="341">
        <f t="shared" si="9"/>
        <v>0</v>
      </c>
      <c r="AM32" t="s">
        <v>692</v>
      </c>
      <c r="AN32" t="s">
        <v>276</v>
      </c>
      <c r="AO32" t="s">
        <v>474</v>
      </c>
      <c r="AP32">
        <v>60</v>
      </c>
      <c r="AR32" t="s">
        <v>703</v>
      </c>
      <c r="AS32" t="s">
        <v>284</v>
      </c>
      <c r="AT32" t="s">
        <v>484</v>
      </c>
      <c r="AU32">
        <v>9</v>
      </c>
    </row>
    <row r="33" spans="1:47" ht="14.95" thickBot="1" x14ac:dyDescent="0.3">
      <c r="A33" s="443" t="s">
        <v>250</v>
      </c>
      <c r="B33" s="444">
        <v>11</v>
      </c>
      <c r="C33" s="445">
        <v>3</v>
      </c>
      <c r="D33" s="446">
        <v>0</v>
      </c>
      <c r="E33" s="447">
        <f t="shared" si="8"/>
        <v>14</v>
      </c>
      <c r="F33" s="339" t="s">
        <v>250</v>
      </c>
      <c r="G33" s="118">
        <v>55</v>
      </c>
      <c r="H33" s="250">
        <v>15</v>
      </c>
      <c r="I33" s="375">
        <v>0</v>
      </c>
      <c r="J33" s="341">
        <f t="shared" si="9"/>
        <v>70</v>
      </c>
      <c r="AM33" t="s">
        <v>693</v>
      </c>
      <c r="AN33" t="s">
        <v>264</v>
      </c>
      <c r="AO33" t="s">
        <v>305</v>
      </c>
      <c r="AP33">
        <v>60</v>
      </c>
      <c r="AR33" t="s">
        <v>574</v>
      </c>
      <c r="AS33" t="s">
        <v>264</v>
      </c>
      <c r="AT33" t="s">
        <v>562</v>
      </c>
      <c r="AU33">
        <v>9</v>
      </c>
    </row>
    <row r="34" spans="1:47" ht="14.95" thickBot="1" x14ac:dyDescent="0.3">
      <c r="A34" s="443" t="s">
        <v>18</v>
      </c>
      <c r="B34" s="444">
        <v>1</v>
      </c>
      <c r="C34" s="445">
        <v>0</v>
      </c>
      <c r="D34" s="446">
        <v>0</v>
      </c>
      <c r="E34" s="447">
        <f t="shared" si="8"/>
        <v>1</v>
      </c>
      <c r="F34" s="339" t="s">
        <v>18</v>
      </c>
      <c r="G34" s="118">
        <v>5</v>
      </c>
      <c r="H34" s="250">
        <v>0</v>
      </c>
      <c r="I34" s="375">
        <v>0</v>
      </c>
      <c r="J34" s="341">
        <f t="shared" si="9"/>
        <v>5</v>
      </c>
      <c r="AM34" t="s">
        <v>589</v>
      </c>
      <c r="AN34" t="s">
        <v>268</v>
      </c>
      <c r="AO34" t="s">
        <v>474</v>
      </c>
      <c r="AP34">
        <v>60</v>
      </c>
      <c r="AR34" t="s">
        <v>704</v>
      </c>
      <c r="AS34" t="s">
        <v>276</v>
      </c>
      <c r="AT34" t="s">
        <v>360</v>
      </c>
      <c r="AU34">
        <v>9</v>
      </c>
    </row>
    <row r="35" spans="1:47" ht="14.95" thickBot="1" x14ac:dyDescent="0.3">
      <c r="A35" s="443" t="s">
        <v>149</v>
      </c>
      <c r="B35" s="444">
        <v>0</v>
      </c>
      <c r="C35" s="445">
        <v>1</v>
      </c>
      <c r="D35" s="446">
        <v>0</v>
      </c>
      <c r="E35" s="447">
        <f t="shared" si="8"/>
        <v>1</v>
      </c>
      <c r="F35" s="339" t="s">
        <v>149</v>
      </c>
      <c r="G35" s="118">
        <v>0</v>
      </c>
      <c r="H35" s="250">
        <v>5</v>
      </c>
      <c r="I35" s="375">
        <v>0</v>
      </c>
      <c r="J35" s="341">
        <f t="shared" si="9"/>
        <v>5</v>
      </c>
      <c r="AM35" t="s">
        <v>600</v>
      </c>
      <c r="AN35" t="s">
        <v>264</v>
      </c>
      <c r="AO35" t="s">
        <v>301</v>
      </c>
      <c r="AP35">
        <v>59</v>
      </c>
      <c r="AR35" t="s">
        <v>697</v>
      </c>
      <c r="AS35" t="s">
        <v>278</v>
      </c>
      <c r="AT35" t="s">
        <v>316</v>
      </c>
      <c r="AU35">
        <v>9</v>
      </c>
    </row>
    <row r="36" spans="1:47" ht="14.95" thickBot="1" x14ac:dyDescent="0.3">
      <c r="A36" s="443" t="s">
        <v>106</v>
      </c>
      <c r="B36" s="444">
        <v>0</v>
      </c>
      <c r="C36" s="445">
        <v>0</v>
      </c>
      <c r="D36" s="446">
        <v>0</v>
      </c>
      <c r="E36" s="447">
        <f t="shared" si="8"/>
        <v>0</v>
      </c>
      <c r="F36" s="339" t="s">
        <v>106</v>
      </c>
      <c r="G36" s="118">
        <v>0</v>
      </c>
      <c r="H36" s="250">
        <v>0</v>
      </c>
      <c r="I36" s="375">
        <v>0</v>
      </c>
      <c r="J36" s="341">
        <f t="shared" si="9"/>
        <v>0</v>
      </c>
      <c r="AM36" t="s">
        <v>694</v>
      </c>
      <c r="AN36" t="s">
        <v>264</v>
      </c>
      <c r="AO36" t="s">
        <v>556</v>
      </c>
      <c r="AP36">
        <v>55</v>
      </c>
      <c r="AR36" t="s">
        <v>705</v>
      </c>
      <c r="AT36" t="s">
        <v>366</v>
      </c>
      <c r="AU36">
        <v>8</v>
      </c>
    </row>
    <row r="37" spans="1:47" ht="14.95" thickBot="1" x14ac:dyDescent="0.3">
      <c r="A37" s="443" t="s">
        <v>56</v>
      </c>
      <c r="B37" s="444">
        <v>1</v>
      </c>
      <c r="C37" s="445">
        <v>1</v>
      </c>
      <c r="D37" s="446">
        <v>0</v>
      </c>
      <c r="E37" s="447">
        <f t="shared" si="8"/>
        <v>2</v>
      </c>
      <c r="F37" s="339" t="s">
        <v>56</v>
      </c>
      <c r="G37" s="118">
        <v>5</v>
      </c>
      <c r="H37" s="250">
        <v>5</v>
      </c>
      <c r="I37" s="375">
        <v>0</v>
      </c>
      <c r="J37" s="341">
        <f t="shared" si="9"/>
        <v>10</v>
      </c>
      <c r="AM37" t="s">
        <v>281</v>
      </c>
      <c r="AN37" t="s">
        <v>264</v>
      </c>
      <c r="AO37" t="s">
        <v>299</v>
      </c>
      <c r="AP37">
        <v>50</v>
      </c>
      <c r="AR37" t="s">
        <v>709</v>
      </c>
      <c r="AS37" t="s">
        <v>262</v>
      </c>
      <c r="AT37" t="s">
        <v>375</v>
      </c>
      <c r="AU37">
        <v>7</v>
      </c>
    </row>
    <row r="38" spans="1:47" ht="14.95" thickBot="1" x14ac:dyDescent="0.3">
      <c r="A38" s="443" t="s">
        <v>1816</v>
      </c>
      <c r="B38" s="444">
        <v>1</v>
      </c>
      <c r="C38" s="445">
        <v>2</v>
      </c>
      <c r="D38" s="446">
        <v>0</v>
      </c>
      <c r="E38" s="447">
        <f t="shared" si="8"/>
        <v>3</v>
      </c>
      <c r="F38" s="339" t="s">
        <v>1816</v>
      </c>
      <c r="G38" s="118">
        <v>5</v>
      </c>
      <c r="H38" s="250">
        <v>10</v>
      </c>
      <c r="I38" s="375">
        <v>0</v>
      </c>
      <c r="J38" s="341">
        <f t="shared" si="9"/>
        <v>15</v>
      </c>
      <c r="AM38" t="s">
        <v>349</v>
      </c>
      <c r="AN38" t="s">
        <v>264</v>
      </c>
      <c r="AO38" t="s">
        <v>587</v>
      </c>
      <c r="AP38">
        <v>50</v>
      </c>
      <c r="AR38" t="s">
        <v>710</v>
      </c>
      <c r="AS38" t="s">
        <v>284</v>
      </c>
      <c r="AT38" t="s">
        <v>318</v>
      </c>
      <c r="AU38">
        <v>7</v>
      </c>
    </row>
    <row r="39" spans="1:47" ht="14.95" thickBot="1" x14ac:dyDescent="0.3">
      <c r="A39" s="443" t="s">
        <v>7</v>
      </c>
      <c r="B39" s="444">
        <v>0</v>
      </c>
      <c r="C39" s="445">
        <v>1</v>
      </c>
      <c r="D39" s="446">
        <v>0</v>
      </c>
      <c r="E39" s="447">
        <f t="shared" si="8"/>
        <v>1</v>
      </c>
      <c r="F39" s="339" t="s">
        <v>7</v>
      </c>
      <c r="G39" s="118">
        <v>0</v>
      </c>
      <c r="H39" s="250">
        <v>7</v>
      </c>
      <c r="I39" s="375">
        <v>0</v>
      </c>
      <c r="J39" s="341">
        <f t="shared" si="9"/>
        <v>7</v>
      </c>
      <c r="AM39" t="s">
        <v>412</v>
      </c>
      <c r="AN39" t="s">
        <v>276</v>
      </c>
      <c r="AO39" t="s">
        <v>695</v>
      </c>
      <c r="AP39">
        <v>50</v>
      </c>
      <c r="AR39" t="s">
        <v>608</v>
      </c>
      <c r="AS39" t="s">
        <v>260</v>
      </c>
      <c r="AT39" t="s">
        <v>329</v>
      </c>
      <c r="AU39">
        <v>7</v>
      </c>
    </row>
    <row r="40" spans="1:47" ht="14.95" thickBot="1" x14ac:dyDescent="0.3">
      <c r="A40" s="443" t="s">
        <v>151</v>
      </c>
      <c r="B40" s="444">
        <v>1</v>
      </c>
      <c r="C40" s="445">
        <v>1</v>
      </c>
      <c r="D40" s="446">
        <v>0</v>
      </c>
      <c r="E40" s="447">
        <f t="shared" si="8"/>
        <v>2</v>
      </c>
      <c r="F40" s="339" t="s">
        <v>151</v>
      </c>
      <c r="G40" s="118">
        <v>5</v>
      </c>
      <c r="H40" s="250">
        <v>5</v>
      </c>
      <c r="I40" s="375">
        <v>0</v>
      </c>
      <c r="J40" s="341">
        <f t="shared" si="9"/>
        <v>10</v>
      </c>
      <c r="AM40" t="s">
        <v>696</v>
      </c>
      <c r="AN40" t="s">
        <v>296</v>
      </c>
      <c r="AO40" t="s">
        <v>350</v>
      </c>
      <c r="AP40">
        <v>50</v>
      </c>
      <c r="AR40" t="s">
        <v>711</v>
      </c>
      <c r="AS40" t="s">
        <v>284</v>
      </c>
      <c r="AT40" t="s">
        <v>331</v>
      </c>
      <c r="AU40">
        <v>7</v>
      </c>
    </row>
    <row r="41" spans="1:47" ht="14.95" thickBot="1" x14ac:dyDescent="0.3">
      <c r="A41" s="443" t="s">
        <v>972</v>
      </c>
      <c r="B41" s="444">
        <v>1</v>
      </c>
      <c r="C41" s="445">
        <v>0</v>
      </c>
      <c r="D41" s="446">
        <v>0</v>
      </c>
      <c r="E41" s="447">
        <f t="shared" si="8"/>
        <v>1</v>
      </c>
      <c r="F41" s="339" t="s">
        <v>972</v>
      </c>
      <c r="G41" s="118">
        <v>5</v>
      </c>
      <c r="H41" s="250">
        <v>0</v>
      </c>
      <c r="I41" s="375">
        <v>0</v>
      </c>
      <c r="J41" s="341">
        <f t="shared" si="9"/>
        <v>5</v>
      </c>
      <c r="AM41" t="s">
        <v>697</v>
      </c>
      <c r="AN41" t="s">
        <v>278</v>
      </c>
      <c r="AO41" t="s">
        <v>316</v>
      </c>
      <c r="AP41">
        <v>48</v>
      </c>
      <c r="AR41" t="s">
        <v>712</v>
      </c>
      <c r="AS41" t="s">
        <v>264</v>
      </c>
      <c r="AT41" t="s">
        <v>713</v>
      </c>
      <c r="AU41">
        <v>6</v>
      </c>
    </row>
    <row r="42" spans="1:47" ht="14.95" thickBot="1" x14ac:dyDescent="0.3">
      <c r="A42" s="443" t="s">
        <v>146</v>
      </c>
      <c r="B42" s="444">
        <v>0</v>
      </c>
      <c r="C42" s="445">
        <v>0</v>
      </c>
      <c r="D42" s="446">
        <v>0</v>
      </c>
      <c r="E42" s="447">
        <f t="shared" si="8"/>
        <v>0</v>
      </c>
      <c r="F42" s="339" t="s">
        <v>146</v>
      </c>
      <c r="G42" s="118">
        <v>0</v>
      </c>
      <c r="H42" s="250">
        <v>0</v>
      </c>
      <c r="I42" s="375">
        <v>0</v>
      </c>
      <c r="J42" s="341">
        <f t="shared" si="9"/>
        <v>0</v>
      </c>
      <c r="AM42" t="s">
        <v>698</v>
      </c>
      <c r="AN42" t="s">
        <v>263</v>
      </c>
      <c r="AO42" t="s">
        <v>304</v>
      </c>
      <c r="AP42">
        <v>46</v>
      </c>
      <c r="AR42" t="s">
        <v>714</v>
      </c>
      <c r="AS42" t="s">
        <v>262</v>
      </c>
      <c r="AT42" t="s">
        <v>305</v>
      </c>
      <c r="AU42">
        <v>6</v>
      </c>
    </row>
    <row r="43" spans="1:47" ht="14.95" thickBot="1" x14ac:dyDescent="0.3">
      <c r="A43" s="443" t="s">
        <v>93</v>
      </c>
      <c r="B43" s="444">
        <v>3</v>
      </c>
      <c r="C43" s="445">
        <v>1</v>
      </c>
      <c r="D43" s="446">
        <v>0</v>
      </c>
      <c r="E43" s="447">
        <f t="shared" si="8"/>
        <v>4</v>
      </c>
      <c r="F43" s="339" t="s">
        <v>93</v>
      </c>
      <c r="G43" s="118">
        <v>170</v>
      </c>
      <c r="H43" s="250">
        <v>59</v>
      </c>
      <c r="I43" s="375">
        <v>8</v>
      </c>
      <c r="J43" s="341">
        <f t="shared" si="9"/>
        <v>237</v>
      </c>
      <c r="AM43" t="s">
        <v>699</v>
      </c>
      <c r="AN43" t="s">
        <v>263</v>
      </c>
      <c r="AO43" t="s">
        <v>360</v>
      </c>
      <c r="AP43">
        <v>45</v>
      </c>
      <c r="AR43" t="s">
        <v>715</v>
      </c>
      <c r="AS43" t="s">
        <v>276</v>
      </c>
      <c r="AT43" t="s">
        <v>305</v>
      </c>
      <c r="AU43">
        <v>6</v>
      </c>
    </row>
    <row r="44" spans="1:47" ht="14.95" thickBot="1" x14ac:dyDescent="0.3">
      <c r="A44" s="443" t="s">
        <v>157</v>
      </c>
      <c r="B44" s="444">
        <v>0</v>
      </c>
      <c r="C44" s="445">
        <v>0</v>
      </c>
      <c r="D44" s="446">
        <v>0</v>
      </c>
      <c r="E44" s="447">
        <f t="shared" si="8"/>
        <v>0</v>
      </c>
      <c r="F44" s="339" t="s">
        <v>157</v>
      </c>
      <c r="G44" s="118">
        <v>0</v>
      </c>
      <c r="H44" s="250">
        <v>0</v>
      </c>
      <c r="I44" s="375">
        <v>0</v>
      </c>
      <c r="J44" s="341">
        <f t="shared" si="9"/>
        <v>0</v>
      </c>
      <c r="AM44" t="s">
        <v>700</v>
      </c>
      <c r="AO44" t="s">
        <v>351</v>
      </c>
      <c r="AP44">
        <v>45</v>
      </c>
      <c r="AR44" t="s">
        <v>551</v>
      </c>
      <c r="AS44" t="s">
        <v>268</v>
      </c>
      <c r="AT44" t="s">
        <v>400</v>
      </c>
      <c r="AU44">
        <v>6</v>
      </c>
    </row>
    <row r="45" spans="1:47" ht="14.95" thickBot="1" x14ac:dyDescent="0.3">
      <c r="A45" s="443" t="s">
        <v>210</v>
      </c>
      <c r="B45" s="444">
        <v>0</v>
      </c>
      <c r="C45" s="445">
        <v>0</v>
      </c>
      <c r="D45" s="446">
        <v>0</v>
      </c>
      <c r="E45" s="447">
        <f t="shared" si="8"/>
        <v>0</v>
      </c>
      <c r="F45" s="339" t="s">
        <v>210</v>
      </c>
      <c r="G45" s="118">
        <v>0</v>
      </c>
      <c r="H45" s="250">
        <v>0</v>
      </c>
      <c r="I45" s="375">
        <v>0</v>
      </c>
      <c r="J45" s="341">
        <f t="shared" si="9"/>
        <v>0</v>
      </c>
      <c r="AM45" t="s">
        <v>701</v>
      </c>
      <c r="AN45" t="s">
        <v>275</v>
      </c>
      <c r="AO45" t="s">
        <v>486</v>
      </c>
      <c r="AP45">
        <v>45</v>
      </c>
      <c r="AR45" t="s">
        <v>716</v>
      </c>
      <c r="AS45" t="s">
        <v>262</v>
      </c>
      <c r="AT45" t="s">
        <v>440</v>
      </c>
      <c r="AU45">
        <v>6</v>
      </c>
    </row>
    <row r="46" spans="1:47" ht="14.95" thickBot="1" x14ac:dyDescent="0.3">
      <c r="A46" s="443" t="s">
        <v>928</v>
      </c>
      <c r="B46" s="444">
        <v>3</v>
      </c>
      <c r="C46" s="445">
        <v>1</v>
      </c>
      <c r="D46" s="446">
        <v>0</v>
      </c>
      <c r="E46" s="447">
        <f t="shared" si="8"/>
        <v>4</v>
      </c>
      <c r="F46" s="339" t="s">
        <v>928</v>
      </c>
      <c r="G46" s="118">
        <v>15</v>
      </c>
      <c r="H46" s="250">
        <v>5</v>
      </c>
      <c r="I46" s="375">
        <v>0</v>
      </c>
      <c r="J46" s="341">
        <f t="shared" si="9"/>
        <v>20</v>
      </c>
      <c r="AM46" t="s">
        <v>702</v>
      </c>
      <c r="AN46" t="s">
        <v>268</v>
      </c>
      <c r="AO46" t="s">
        <v>297</v>
      </c>
      <c r="AP46">
        <v>45</v>
      </c>
    </row>
    <row r="47" spans="1:47" ht="14.95" thickBot="1" x14ac:dyDescent="0.3">
      <c r="A47" s="443" t="s">
        <v>150</v>
      </c>
      <c r="B47" s="444">
        <v>0</v>
      </c>
      <c r="C47" s="445">
        <v>0</v>
      </c>
      <c r="D47" s="446">
        <v>0</v>
      </c>
      <c r="E47" s="447">
        <f t="shared" si="8"/>
        <v>0</v>
      </c>
      <c r="F47" s="339" t="s">
        <v>150</v>
      </c>
      <c r="G47" s="118">
        <v>0</v>
      </c>
      <c r="H47" s="250">
        <v>0</v>
      </c>
      <c r="I47" s="375">
        <v>0</v>
      </c>
      <c r="J47" s="341">
        <f t="shared" si="9"/>
        <v>0</v>
      </c>
      <c r="AM47" t="s">
        <v>703</v>
      </c>
      <c r="AN47" t="s">
        <v>284</v>
      </c>
      <c r="AO47" t="s">
        <v>484</v>
      </c>
      <c r="AP47">
        <v>45</v>
      </c>
    </row>
    <row r="48" spans="1:47" ht="14.95" thickBot="1" x14ac:dyDescent="0.3">
      <c r="A48" s="443" t="s">
        <v>205</v>
      </c>
      <c r="B48" s="444">
        <v>0</v>
      </c>
      <c r="C48" s="445">
        <v>0</v>
      </c>
      <c r="D48" s="446">
        <v>0</v>
      </c>
      <c r="E48" s="447">
        <f t="shared" si="8"/>
        <v>0</v>
      </c>
      <c r="F48" s="339" t="s">
        <v>205</v>
      </c>
      <c r="G48" s="118">
        <v>0</v>
      </c>
      <c r="H48" s="250">
        <v>0</v>
      </c>
      <c r="I48" s="375">
        <v>0</v>
      </c>
      <c r="J48" s="341">
        <f t="shared" si="9"/>
        <v>0</v>
      </c>
      <c r="AM48" t="s">
        <v>574</v>
      </c>
      <c r="AN48" t="s">
        <v>264</v>
      </c>
      <c r="AO48" t="s">
        <v>562</v>
      </c>
      <c r="AP48">
        <v>45</v>
      </c>
    </row>
    <row r="49" spans="1:42" ht="14.95" thickBot="1" x14ac:dyDescent="0.3">
      <c r="A49" s="443" t="s">
        <v>78</v>
      </c>
      <c r="B49" s="444">
        <v>1</v>
      </c>
      <c r="C49" s="445">
        <v>0</v>
      </c>
      <c r="D49" s="446">
        <v>1</v>
      </c>
      <c r="E49" s="447">
        <f t="shared" si="8"/>
        <v>2</v>
      </c>
      <c r="F49" s="339" t="s">
        <v>78</v>
      </c>
      <c r="G49" s="118">
        <v>5</v>
      </c>
      <c r="H49" s="250">
        <v>0</v>
      </c>
      <c r="I49" s="375">
        <v>5</v>
      </c>
      <c r="J49" s="341">
        <f t="shared" si="9"/>
        <v>10</v>
      </c>
      <c r="AM49" t="s">
        <v>704</v>
      </c>
      <c r="AN49" t="s">
        <v>276</v>
      </c>
      <c r="AO49" t="s">
        <v>360</v>
      </c>
      <c r="AP49">
        <v>45</v>
      </c>
    </row>
    <row r="50" spans="1:42" ht="14.95" customHeight="1" thickBot="1" x14ac:dyDescent="0.3">
      <c r="A50" s="443" t="s">
        <v>71</v>
      </c>
      <c r="B50" s="444">
        <v>0</v>
      </c>
      <c r="C50" s="445">
        <v>0</v>
      </c>
      <c r="D50" s="446">
        <v>0</v>
      </c>
      <c r="E50" s="447">
        <f t="shared" si="8"/>
        <v>0</v>
      </c>
      <c r="F50" s="339" t="s">
        <v>71</v>
      </c>
      <c r="G50" s="118">
        <v>0</v>
      </c>
      <c r="H50" s="250">
        <v>0</v>
      </c>
      <c r="I50" s="375">
        <v>0</v>
      </c>
      <c r="J50" s="341">
        <f t="shared" si="9"/>
        <v>0</v>
      </c>
      <c r="AM50" t="s">
        <v>705</v>
      </c>
      <c r="AO50" t="s">
        <v>366</v>
      </c>
      <c r="AP50">
        <v>40</v>
      </c>
    </row>
    <row r="51" spans="1:42" ht="14.95" thickBot="1" x14ac:dyDescent="0.3">
      <c r="A51" s="443" t="s">
        <v>112</v>
      </c>
      <c r="B51" s="444">
        <v>0</v>
      </c>
      <c r="C51" s="445">
        <v>0</v>
      </c>
      <c r="D51" s="446">
        <v>1</v>
      </c>
      <c r="E51" s="447">
        <f t="shared" si="8"/>
        <v>1</v>
      </c>
      <c r="F51" s="339" t="s">
        <v>112</v>
      </c>
      <c r="G51" s="118">
        <v>0</v>
      </c>
      <c r="H51" s="250">
        <v>0</v>
      </c>
      <c r="I51" s="375">
        <v>5</v>
      </c>
      <c r="J51" s="341">
        <f t="shared" si="9"/>
        <v>5</v>
      </c>
      <c r="AM51" t="s">
        <v>706</v>
      </c>
      <c r="AN51" t="s">
        <v>260</v>
      </c>
      <c r="AO51" t="s">
        <v>707</v>
      </c>
      <c r="AP51">
        <v>40</v>
      </c>
    </row>
    <row r="52" spans="1:42" ht="14.95" thickBot="1" x14ac:dyDescent="0.3">
      <c r="A52" s="443" t="s">
        <v>953</v>
      </c>
      <c r="B52" s="444">
        <v>0</v>
      </c>
      <c r="C52" s="445">
        <v>0</v>
      </c>
      <c r="D52" s="446">
        <v>0</v>
      </c>
      <c r="E52" s="447">
        <f t="shared" si="8"/>
        <v>0</v>
      </c>
      <c r="F52" s="339" t="s">
        <v>953</v>
      </c>
      <c r="G52" s="118">
        <v>0</v>
      </c>
      <c r="H52" s="250">
        <v>0</v>
      </c>
      <c r="I52" s="375">
        <v>0</v>
      </c>
      <c r="J52" s="341">
        <f t="shared" si="9"/>
        <v>0</v>
      </c>
    </row>
    <row r="53" spans="1:42" ht="14.95" thickBot="1" x14ac:dyDescent="0.3">
      <c r="A53" s="443" t="s">
        <v>1033</v>
      </c>
      <c r="B53" s="444">
        <v>0</v>
      </c>
      <c r="C53" s="445">
        <v>0</v>
      </c>
      <c r="D53" s="446">
        <v>0</v>
      </c>
      <c r="E53" s="447">
        <f t="shared" si="8"/>
        <v>0</v>
      </c>
      <c r="F53" s="339" t="s">
        <v>1033</v>
      </c>
      <c r="G53" s="118">
        <v>0</v>
      </c>
      <c r="H53" s="250">
        <v>0</v>
      </c>
      <c r="I53" s="375">
        <v>0</v>
      </c>
      <c r="J53" s="341">
        <f t="shared" si="9"/>
        <v>0</v>
      </c>
    </row>
    <row r="54" spans="1:42" ht="14.95" thickBot="1" x14ac:dyDescent="0.3">
      <c r="A54" s="443" t="s">
        <v>3</v>
      </c>
      <c r="B54" s="444">
        <f>SUM(B3:B53)</f>
        <v>63</v>
      </c>
      <c r="C54" s="445">
        <f>SUM(C3:C53)</f>
        <v>29</v>
      </c>
      <c r="D54" s="446">
        <f>SUM(D3:D53)</f>
        <v>7</v>
      </c>
      <c r="E54" s="447">
        <f t="shared" ref="E54" si="15">SUM(B54:D54)</f>
        <v>99</v>
      </c>
      <c r="F54" s="338" t="s">
        <v>3</v>
      </c>
      <c r="G54" s="205">
        <f>SUM(G3:G53)</f>
        <v>544</v>
      </c>
      <c r="H54" s="249">
        <f>SUM(H3:H53)</f>
        <v>224</v>
      </c>
      <c r="I54" s="379">
        <f>SUM(I3:I53)</f>
        <v>73</v>
      </c>
      <c r="J54" s="341">
        <f t="shared" ref="J54" si="16">SUM(G54:I54)</f>
        <v>841</v>
      </c>
    </row>
    <row r="55" spans="1:42" ht="16.3" x14ac:dyDescent="0.25">
      <c r="B55" s="299"/>
      <c r="C55" s="104"/>
      <c r="D55" s="104"/>
      <c r="F55" s="16"/>
      <c r="G55" s="319"/>
      <c r="H55" s="107"/>
      <c r="I55" s="107"/>
      <c r="J55" s="16"/>
    </row>
    <row r="56" spans="1:42" ht="17" thickBot="1" x14ac:dyDescent="0.3">
      <c r="A56" t="s">
        <v>45</v>
      </c>
      <c r="B56" s="299"/>
      <c r="C56" s="104"/>
      <c r="D56" s="104"/>
      <c r="F56" s="16"/>
      <c r="G56" s="319"/>
      <c r="H56" s="107"/>
      <c r="I56" s="107"/>
    </row>
    <row r="57" spans="1:42" ht="14.95" thickBot="1" x14ac:dyDescent="0.3">
      <c r="A57" s="438" t="s">
        <v>0</v>
      </c>
      <c r="B57" s="439" t="s">
        <v>1072</v>
      </c>
      <c r="C57" s="440" t="s">
        <v>127</v>
      </c>
      <c r="D57" s="441" t="s">
        <v>1073</v>
      </c>
      <c r="E57" s="442" t="s">
        <v>1</v>
      </c>
      <c r="F57" s="338" t="s">
        <v>2</v>
      </c>
      <c r="G57" s="205" t="s">
        <v>1072</v>
      </c>
      <c r="H57" s="249" t="s">
        <v>127</v>
      </c>
      <c r="I57" s="379" t="s">
        <v>1073</v>
      </c>
      <c r="J57" s="340" t="s">
        <v>1</v>
      </c>
    </row>
    <row r="58" spans="1:42" ht="14.95" thickBot="1" x14ac:dyDescent="0.3">
      <c r="A58" s="443" t="s">
        <v>250</v>
      </c>
      <c r="B58" s="444">
        <v>11</v>
      </c>
      <c r="C58" s="445">
        <v>3</v>
      </c>
      <c r="D58" s="446">
        <v>0</v>
      </c>
      <c r="E58" s="447">
        <f t="shared" ref="E58:E89" si="17">SUM(B58:D58)</f>
        <v>14</v>
      </c>
      <c r="F58" s="339" t="s">
        <v>93</v>
      </c>
      <c r="G58" s="118">
        <v>170</v>
      </c>
      <c r="H58" s="250">
        <v>59</v>
      </c>
      <c r="I58" s="375">
        <v>8</v>
      </c>
      <c r="J58" s="341">
        <f t="shared" ref="J58:J89" si="18">SUM(G58:I58)</f>
        <v>237</v>
      </c>
    </row>
    <row r="59" spans="1:42" ht="14.95" thickBot="1" x14ac:dyDescent="0.3">
      <c r="A59" s="443" t="s">
        <v>1222</v>
      </c>
      <c r="B59" s="444">
        <v>5</v>
      </c>
      <c r="C59" s="445">
        <v>4</v>
      </c>
      <c r="D59" s="446">
        <v>2</v>
      </c>
      <c r="E59" s="447">
        <f t="shared" si="17"/>
        <v>11</v>
      </c>
      <c r="F59" s="339" t="s">
        <v>936</v>
      </c>
      <c r="G59" s="118">
        <v>80</v>
      </c>
      <c r="H59" s="250">
        <v>19</v>
      </c>
      <c r="I59" s="375">
        <v>5</v>
      </c>
      <c r="J59" s="341">
        <f t="shared" si="18"/>
        <v>104</v>
      </c>
    </row>
    <row r="60" spans="1:42" ht="14.95" thickBot="1" x14ac:dyDescent="0.3">
      <c r="A60" s="443" t="s">
        <v>83</v>
      </c>
      <c r="B60" s="444">
        <v>9</v>
      </c>
      <c r="C60" s="445">
        <v>2</v>
      </c>
      <c r="D60" s="446">
        <v>0</v>
      </c>
      <c r="E60" s="447">
        <f t="shared" si="17"/>
        <v>11</v>
      </c>
      <c r="F60" s="339" t="s">
        <v>250</v>
      </c>
      <c r="G60" s="118">
        <v>55</v>
      </c>
      <c r="H60" s="250">
        <v>15</v>
      </c>
      <c r="I60" s="375">
        <v>0</v>
      </c>
      <c r="J60" s="341">
        <f t="shared" si="18"/>
        <v>70</v>
      </c>
    </row>
    <row r="61" spans="1:42" ht="14.95" thickBot="1" x14ac:dyDescent="0.3">
      <c r="A61" s="443" t="s">
        <v>21</v>
      </c>
      <c r="B61" s="444">
        <v>8</v>
      </c>
      <c r="C61" s="445">
        <v>1</v>
      </c>
      <c r="D61" s="446">
        <v>0</v>
      </c>
      <c r="E61" s="447">
        <f t="shared" si="17"/>
        <v>9</v>
      </c>
      <c r="F61" s="339" t="s">
        <v>1222</v>
      </c>
      <c r="G61" s="118">
        <v>25</v>
      </c>
      <c r="H61" s="250">
        <v>20</v>
      </c>
      <c r="I61" s="375">
        <v>10</v>
      </c>
      <c r="J61" s="341">
        <f t="shared" si="18"/>
        <v>55</v>
      </c>
    </row>
    <row r="62" spans="1:42" ht="14.95" thickBot="1" x14ac:dyDescent="0.3">
      <c r="A62" s="443" t="s">
        <v>19</v>
      </c>
      <c r="B62" s="444">
        <v>3</v>
      </c>
      <c r="C62" s="445">
        <v>3</v>
      </c>
      <c r="D62" s="446">
        <v>0</v>
      </c>
      <c r="E62" s="447">
        <f t="shared" si="17"/>
        <v>6</v>
      </c>
      <c r="F62" s="339" t="s">
        <v>83</v>
      </c>
      <c r="G62" s="118">
        <v>45</v>
      </c>
      <c r="H62" s="250">
        <v>10</v>
      </c>
      <c r="I62" s="375">
        <v>0</v>
      </c>
      <c r="J62" s="341">
        <f t="shared" si="18"/>
        <v>55</v>
      </c>
    </row>
    <row r="63" spans="1:42" ht="14.95" thickBot="1" x14ac:dyDescent="0.3">
      <c r="A63" s="443" t="s">
        <v>72</v>
      </c>
      <c r="B63" s="444">
        <v>4</v>
      </c>
      <c r="C63" s="445">
        <v>1</v>
      </c>
      <c r="D63" s="446">
        <v>0</v>
      </c>
      <c r="E63" s="447">
        <f t="shared" si="17"/>
        <v>5</v>
      </c>
      <c r="F63" s="339" t="s">
        <v>21</v>
      </c>
      <c r="G63" s="118">
        <v>40</v>
      </c>
      <c r="H63" s="250">
        <v>5</v>
      </c>
      <c r="I63" s="375">
        <v>0</v>
      </c>
      <c r="J63" s="341">
        <f t="shared" si="18"/>
        <v>45</v>
      </c>
    </row>
    <row r="64" spans="1:42" ht="14.95" thickBot="1" x14ac:dyDescent="0.3">
      <c r="A64" s="443" t="s">
        <v>1221</v>
      </c>
      <c r="B64" s="444">
        <v>2</v>
      </c>
      <c r="C64" s="445">
        <v>2</v>
      </c>
      <c r="D64" s="446">
        <v>0</v>
      </c>
      <c r="E64" s="447">
        <f t="shared" si="17"/>
        <v>4</v>
      </c>
      <c r="F64" s="339" t="s">
        <v>967</v>
      </c>
      <c r="G64" s="118">
        <v>4</v>
      </c>
      <c r="H64" s="250">
        <v>9</v>
      </c>
      <c r="I64" s="375">
        <v>25</v>
      </c>
      <c r="J64" s="341">
        <f t="shared" si="18"/>
        <v>38</v>
      </c>
    </row>
    <row r="65" spans="1:10" ht="14.95" thickBot="1" x14ac:dyDescent="0.3">
      <c r="A65" s="443" t="s">
        <v>93</v>
      </c>
      <c r="B65" s="444">
        <v>3</v>
      </c>
      <c r="C65" s="445">
        <v>1</v>
      </c>
      <c r="D65" s="446">
        <v>0</v>
      </c>
      <c r="E65" s="447">
        <f t="shared" si="17"/>
        <v>4</v>
      </c>
      <c r="F65" s="339" t="s">
        <v>19</v>
      </c>
      <c r="G65" s="118">
        <v>15</v>
      </c>
      <c r="H65" s="250">
        <v>15</v>
      </c>
      <c r="I65" s="375">
        <v>0</v>
      </c>
      <c r="J65" s="341">
        <f t="shared" si="18"/>
        <v>30</v>
      </c>
    </row>
    <row r="66" spans="1:10" ht="14.95" thickBot="1" x14ac:dyDescent="0.3">
      <c r="A66" s="443" t="s">
        <v>928</v>
      </c>
      <c r="B66" s="444">
        <v>3</v>
      </c>
      <c r="C66" s="445">
        <v>1</v>
      </c>
      <c r="D66" s="446">
        <v>0</v>
      </c>
      <c r="E66" s="447">
        <f t="shared" si="17"/>
        <v>4</v>
      </c>
      <c r="F66" s="339" t="s">
        <v>72</v>
      </c>
      <c r="G66" s="118">
        <v>20</v>
      </c>
      <c r="H66" s="250">
        <v>5</v>
      </c>
      <c r="I66" s="375">
        <v>0</v>
      </c>
      <c r="J66" s="341">
        <f t="shared" si="18"/>
        <v>25</v>
      </c>
    </row>
    <row r="67" spans="1:10" ht="14.95" thickBot="1" x14ac:dyDescent="0.3">
      <c r="A67" s="443" t="s">
        <v>1037</v>
      </c>
      <c r="B67" s="444">
        <v>2</v>
      </c>
      <c r="C67" s="445">
        <v>1</v>
      </c>
      <c r="D67" s="446">
        <v>0</v>
      </c>
      <c r="E67" s="447">
        <f t="shared" si="17"/>
        <v>3</v>
      </c>
      <c r="F67" s="339" t="s">
        <v>1221</v>
      </c>
      <c r="G67" s="118">
        <v>10</v>
      </c>
      <c r="H67" s="250">
        <v>10</v>
      </c>
      <c r="I67" s="375">
        <v>0</v>
      </c>
      <c r="J67" s="341">
        <f t="shared" si="18"/>
        <v>20</v>
      </c>
    </row>
    <row r="68" spans="1:10" ht="14.95" thickBot="1" x14ac:dyDescent="0.3">
      <c r="A68" s="443" t="s">
        <v>1782</v>
      </c>
      <c r="B68" s="444">
        <v>1</v>
      </c>
      <c r="C68" s="445">
        <v>2</v>
      </c>
      <c r="D68" s="446">
        <v>0</v>
      </c>
      <c r="E68" s="447">
        <f t="shared" si="17"/>
        <v>3</v>
      </c>
      <c r="F68" s="339" t="s">
        <v>928</v>
      </c>
      <c r="G68" s="118">
        <v>15</v>
      </c>
      <c r="H68" s="250">
        <v>5</v>
      </c>
      <c r="I68" s="375">
        <v>0</v>
      </c>
      <c r="J68" s="341">
        <f t="shared" si="18"/>
        <v>20</v>
      </c>
    </row>
    <row r="69" spans="1:10" ht="14.95" thickBot="1" x14ac:dyDescent="0.3">
      <c r="A69" s="443" t="s">
        <v>936</v>
      </c>
      <c r="B69" s="444">
        <v>2</v>
      </c>
      <c r="C69" s="445">
        <v>1</v>
      </c>
      <c r="D69" s="446">
        <v>0</v>
      </c>
      <c r="E69" s="447">
        <f t="shared" si="17"/>
        <v>3</v>
      </c>
      <c r="F69" s="339" t="s">
        <v>1037</v>
      </c>
      <c r="G69" s="118">
        <v>10</v>
      </c>
      <c r="H69" s="250">
        <v>5</v>
      </c>
      <c r="I69" s="375">
        <v>0</v>
      </c>
      <c r="J69" s="341">
        <f t="shared" si="18"/>
        <v>15</v>
      </c>
    </row>
    <row r="70" spans="1:10" ht="14.95" thickBot="1" x14ac:dyDescent="0.3">
      <c r="A70" s="443" t="s">
        <v>1816</v>
      </c>
      <c r="B70" s="444">
        <v>1</v>
      </c>
      <c r="C70" s="445">
        <v>2</v>
      </c>
      <c r="D70" s="446">
        <v>0</v>
      </c>
      <c r="E70" s="447">
        <f t="shared" si="17"/>
        <v>3</v>
      </c>
      <c r="F70" s="339" t="s">
        <v>1782</v>
      </c>
      <c r="G70" s="118">
        <v>5</v>
      </c>
      <c r="H70" s="250">
        <v>10</v>
      </c>
      <c r="I70" s="375">
        <v>0</v>
      </c>
      <c r="J70" s="341">
        <f t="shared" si="18"/>
        <v>15</v>
      </c>
    </row>
    <row r="71" spans="1:10" ht="14.95" thickBot="1" x14ac:dyDescent="0.3">
      <c r="A71" s="443" t="s">
        <v>969</v>
      </c>
      <c r="B71" s="444">
        <v>0</v>
      </c>
      <c r="C71" s="445">
        <v>1</v>
      </c>
      <c r="D71" s="446">
        <v>1</v>
      </c>
      <c r="E71" s="447">
        <f t="shared" si="17"/>
        <v>2</v>
      </c>
      <c r="F71" s="339" t="s">
        <v>1816</v>
      </c>
      <c r="G71" s="118">
        <v>5</v>
      </c>
      <c r="H71" s="250">
        <v>10</v>
      </c>
      <c r="I71" s="375">
        <v>0</v>
      </c>
      <c r="J71" s="341">
        <f t="shared" si="18"/>
        <v>15</v>
      </c>
    </row>
    <row r="72" spans="1:10" ht="14.95" thickBot="1" x14ac:dyDescent="0.3">
      <c r="A72" s="443" t="s">
        <v>1021</v>
      </c>
      <c r="B72" s="444">
        <v>1</v>
      </c>
      <c r="C72" s="445">
        <v>0</v>
      </c>
      <c r="D72" s="446">
        <v>1</v>
      </c>
      <c r="E72" s="447">
        <f t="shared" si="17"/>
        <v>2</v>
      </c>
      <c r="F72" s="339" t="s">
        <v>969</v>
      </c>
      <c r="G72" s="118">
        <v>0</v>
      </c>
      <c r="H72" s="250">
        <v>5</v>
      </c>
      <c r="I72" s="375">
        <v>5</v>
      </c>
      <c r="J72" s="341">
        <f t="shared" si="18"/>
        <v>10</v>
      </c>
    </row>
    <row r="73" spans="1:10" ht="14.95" thickBot="1" x14ac:dyDescent="0.3">
      <c r="A73" s="443" t="s">
        <v>56</v>
      </c>
      <c r="B73" s="444">
        <v>1</v>
      </c>
      <c r="C73" s="445">
        <v>1</v>
      </c>
      <c r="D73" s="446">
        <v>0</v>
      </c>
      <c r="E73" s="447">
        <f t="shared" si="17"/>
        <v>2</v>
      </c>
      <c r="F73" s="339" t="s">
        <v>1021</v>
      </c>
      <c r="G73" s="118">
        <v>5</v>
      </c>
      <c r="H73" s="250">
        <v>0</v>
      </c>
      <c r="I73" s="375">
        <v>5</v>
      </c>
      <c r="J73" s="341">
        <f t="shared" si="18"/>
        <v>10</v>
      </c>
    </row>
    <row r="74" spans="1:10" ht="14.95" thickBot="1" x14ac:dyDescent="0.3">
      <c r="A74" s="443" t="s">
        <v>151</v>
      </c>
      <c r="B74" s="444">
        <v>1</v>
      </c>
      <c r="C74" s="445">
        <v>1</v>
      </c>
      <c r="D74" s="446">
        <v>0</v>
      </c>
      <c r="E74" s="447">
        <f t="shared" si="17"/>
        <v>2</v>
      </c>
      <c r="F74" s="339" t="s">
        <v>56</v>
      </c>
      <c r="G74" s="118">
        <v>5</v>
      </c>
      <c r="H74" s="250">
        <v>5</v>
      </c>
      <c r="I74" s="375">
        <v>0</v>
      </c>
      <c r="J74" s="341">
        <f t="shared" si="18"/>
        <v>10</v>
      </c>
    </row>
    <row r="75" spans="1:10" ht="14.95" thickBot="1" x14ac:dyDescent="0.3">
      <c r="A75" s="443" t="s">
        <v>78</v>
      </c>
      <c r="B75" s="444">
        <v>1</v>
      </c>
      <c r="C75" s="445">
        <v>0</v>
      </c>
      <c r="D75" s="446">
        <v>1</v>
      </c>
      <c r="E75" s="447">
        <f t="shared" si="17"/>
        <v>2</v>
      </c>
      <c r="F75" s="339" t="s">
        <v>151</v>
      </c>
      <c r="G75" s="118">
        <v>5</v>
      </c>
      <c r="H75" s="250">
        <v>5</v>
      </c>
      <c r="I75" s="375">
        <v>0</v>
      </c>
      <c r="J75" s="341">
        <f t="shared" si="18"/>
        <v>10</v>
      </c>
    </row>
    <row r="76" spans="1:10" ht="14.95" thickBot="1" x14ac:dyDescent="0.3">
      <c r="A76" s="443" t="s">
        <v>926</v>
      </c>
      <c r="B76" s="444">
        <v>1</v>
      </c>
      <c r="C76" s="445">
        <v>0</v>
      </c>
      <c r="D76" s="446">
        <v>0</v>
      </c>
      <c r="E76" s="447">
        <f t="shared" si="17"/>
        <v>1</v>
      </c>
      <c r="F76" s="339" t="s">
        <v>78</v>
      </c>
      <c r="G76" s="118">
        <v>5</v>
      </c>
      <c r="H76" s="250">
        <v>0</v>
      </c>
      <c r="I76" s="375">
        <v>5</v>
      </c>
      <c r="J76" s="341">
        <f t="shared" si="18"/>
        <v>10</v>
      </c>
    </row>
    <row r="77" spans="1:10" ht="14.95" thickBot="1" x14ac:dyDescent="0.3">
      <c r="A77" s="443" t="s">
        <v>144</v>
      </c>
      <c r="B77" s="444">
        <v>1</v>
      </c>
      <c r="C77" s="445">
        <v>0</v>
      </c>
      <c r="D77" s="446">
        <v>0</v>
      </c>
      <c r="E77" s="447">
        <f t="shared" si="17"/>
        <v>1</v>
      </c>
      <c r="F77" s="339" t="s">
        <v>7</v>
      </c>
      <c r="G77" s="118">
        <v>0</v>
      </c>
      <c r="H77" s="250">
        <v>7</v>
      </c>
      <c r="I77" s="375">
        <v>0</v>
      </c>
      <c r="J77" s="341">
        <f t="shared" si="18"/>
        <v>7</v>
      </c>
    </row>
    <row r="78" spans="1:10" ht="14.95" thickBot="1" x14ac:dyDescent="0.3">
      <c r="A78" s="443" t="s">
        <v>1850</v>
      </c>
      <c r="B78" s="444">
        <v>1</v>
      </c>
      <c r="C78" s="445">
        <v>0</v>
      </c>
      <c r="D78" s="446">
        <v>0</v>
      </c>
      <c r="E78" s="447">
        <f t="shared" si="17"/>
        <v>1</v>
      </c>
      <c r="F78" s="339" t="s">
        <v>926</v>
      </c>
      <c r="G78" s="118">
        <v>5</v>
      </c>
      <c r="H78" s="250">
        <v>0</v>
      </c>
      <c r="I78" s="375">
        <v>0</v>
      </c>
      <c r="J78" s="341">
        <f t="shared" si="18"/>
        <v>5</v>
      </c>
    </row>
    <row r="79" spans="1:10" ht="14.95" thickBot="1" x14ac:dyDescent="0.3">
      <c r="A79" s="443" t="s">
        <v>1022</v>
      </c>
      <c r="B79" s="444">
        <v>0</v>
      </c>
      <c r="C79" s="445">
        <v>0</v>
      </c>
      <c r="D79" s="446">
        <v>1</v>
      </c>
      <c r="E79" s="447">
        <f t="shared" si="17"/>
        <v>1</v>
      </c>
      <c r="F79" s="339" t="s">
        <v>144</v>
      </c>
      <c r="G79" s="118">
        <v>5</v>
      </c>
      <c r="H79" s="250">
        <v>0</v>
      </c>
      <c r="I79" s="375">
        <v>0</v>
      </c>
      <c r="J79" s="341">
        <f t="shared" si="18"/>
        <v>5</v>
      </c>
    </row>
    <row r="80" spans="1:10" ht="14.95" thickBot="1" x14ac:dyDescent="0.3">
      <c r="A80" s="443" t="s">
        <v>18</v>
      </c>
      <c r="B80" s="444">
        <v>1</v>
      </c>
      <c r="C80" s="445">
        <v>0</v>
      </c>
      <c r="D80" s="446">
        <v>0</v>
      </c>
      <c r="E80" s="447">
        <f t="shared" si="17"/>
        <v>1</v>
      </c>
      <c r="F80" s="339" t="s">
        <v>1850</v>
      </c>
      <c r="G80" s="118">
        <v>5</v>
      </c>
      <c r="H80" s="250">
        <v>0</v>
      </c>
      <c r="I80" s="375">
        <v>0</v>
      </c>
      <c r="J80" s="341">
        <f t="shared" si="18"/>
        <v>5</v>
      </c>
    </row>
    <row r="81" spans="1:10" ht="14.95" thickBot="1" x14ac:dyDescent="0.3">
      <c r="A81" s="443" t="s">
        <v>149</v>
      </c>
      <c r="B81" s="444">
        <v>0</v>
      </c>
      <c r="C81" s="445">
        <v>1</v>
      </c>
      <c r="D81" s="446">
        <v>0</v>
      </c>
      <c r="E81" s="447">
        <f t="shared" si="17"/>
        <v>1</v>
      </c>
      <c r="F81" s="339" t="s">
        <v>1022</v>
      </c>
      <c r="G81" s="118">
        <v>0</v>
      </c>
      <c r="H81" s="250">
        <v>0</v>
      </c>
      <c r="I81" s="375">
        <v>5</v>
      </c>
      <c r="J81" s="341">
        <f t="shared" si="18"/>
        <v>5</v>
      </c>
    </row>
    <row r="82" spans="1:10" ht="14.95" thickBot="1" x14ac:dyDescent="0.3">
      <c r="A82" s="443" t="s">
        <v>7</v>
      </c>
      <c r="B82" s="444">
        <v>0</v>
      </c>
      <c r="C82" s="445">
        <v>1</v>
      </c>
      <c r="D82" s="446">
        <v>0</v>
      </c>
      <c r="E82" s="447">
        <f t="shared" si="17"/>
        <v>1</v>
      </c>
      <c r="F82" s="339" t="s">
        <v>18</v>
      </c>
      <c r="G82" s="118">
        <v>5</v>
      </c>
      <c r="H82" s="250">
        <v>0</v>
      </c>
      <c r="I82" s="375">
        <v>0</v>
      </c>
      <c r="J82" s="341">
        <f t="shared" si="18"/>
        <v>5</v>
      </c>
    </row>
    <row r="83" spans="1:10" ht="14.95" thickBot="1" x14ac:dyDescent="0.3">
      <c r="A83" s="443" t="s">
        <v>972</v>
      </c>
      <c r="B83" s="444">
        <v>1</v>
      </c>
      <c r="C83" s="445">
        <v>0</v>
      </c>
      <c r="D83" s="446">
        <v>0</v>
      </c>
      <c r="E83" s="447">
        <f t="shared" si="17"/>
        <v>1</v>
      </c>
      <c r="F83" s="339" t="s">
        <v>149</v>
      </c>
      <c r="G83" s="118">
        <v>0</v>
      </c>
      <c r="H83" s="250">
        <v>5</v>
      </c>
      <c r="I83" s="375">
        <v>0</v>
      </c>
      <c r="J83" s="341">
        <f t="shared" si="18"/>
        <v>5</v>
      </c>
    </row>
    <row r="84" spans="1:10" ht="14.95" thickBot="1" x14ac:dyDescent="0.3">
      <c r="A84" s="443" t="s">
        <v>112</v>
      </c>
      <c r="B84" s="444">
        <v>0</v>
      </c>
      <c r="C84" s="445">
        <v>0</v>
      </c>
      <c r="D84" s="446">
        <v>1</v>
      </c>
      <c r="E84" s="447">
        <f t="shared" si="17"/>
        <v>1</v>
      </c>
      <c r="F84" s="339" t="s">
        <v>972</v>
      </c>
      <c r="G84" s="118">
        <v>5</v>
      </c>
      <c r="H84" s="250">
        <v>0</v>
      </c>
      <c r="I84" s="375">
        <v>0</v>
      </c>
      <c r="J84" s="341">
        <f t="shared" si="18"/>
        <v>5</v>
      </c>
    </row>
    <row r="85" spans="1:10" ht="14.95" thickBot="1" x14ac:dyDescent="0.3">
      <c r="A85" s="443" t="s">
        <v>919</v>
      </c>
      <c r="B85" s="444">
        <v>0</v>
      </c>
      <c r="C85" s="445">
        <v>0</v>
      </c>
      <c r="D85" s="446">
        <v>0</v>
      </c>
      <c r="E85" s="447">
        <f t="shared" si="17"/>
        <v>0</v>
      </c>
      <c r="F85" s="339" t="s">
        <v>112</v>
      </c>
      <c r="G85" s="118">
        <v>0</v>
      </c>
      <c r="H85" s="250">
        <v>0</v>
      </c>
      <c r="I85" s="375">
        <v>5</v>
      </c>
      <c r="J85" s="341">
        <f t="shared" si="18"/>
        <v>5</v>
      </c>
    </row>
    <row r="86" spans="1:10" ht="14.95" thickBot="1" x14ac:dyDescent="0.3">
      <c r="A86" s="443" t="s">
        <v>1220</v>
      </c>
      <c r="B86" s="444">
        <v>0</v>
      </c>
      <c r="C86" s="445">
        <v>0</v>
      </c>
      <c r="D86" s="446">
        <v>0</v>
      </c>
      <c r="E86" s="447">
        <f t="shared" si="17"/>
        <v>0</v>
      </c>
      <c r="F86" s="339" t="s">
        <v>919</v>
      </c>
      <c r="G86" s="118">
        <v>0</v>
      </c>
      <c r="H86" s="250">
        <v>0</v>
      </c>
      <c r="I86" s="375">
        <v>0</v>
      </c>
      <c r="J86" s="341">
        <f t="shared" si="18"/>
        <v>0</v>
      </c>
    </row>
    <row r="87" spans="1:10" ht="14.95" thickBot="1" x14ac:dyDescent="0.3">
      <c r="A87" s="443" t="s">
        <v>968</v>
      </c>
      <c r="B87" s="444">
        <v>0</v>
      </c>
      <c r="C87" s="445">
        <v>0</v>
      </c>
      <c r="D87" s="446">
        <v>0</v>
      </c>
      <c r="E87" s="447">
        <f t="shared" si="17"/>
        <v>0</v>
      </c>
      <c r="F87" s="339" t="s">
        <v>1220</v>
      </c>
      <c r="G87" s="118">
        <v>0</v>
      </c>
      <c r="H87" s="250">
        <v>0</v>
      </c>
      <c r="I87" s="375">
        <v>0</v>
      </c>
      <c r="J87" s="341">
        <f t="shared" si="18"/>
        <v>0</v>
      </c>
    </row>
    <row r="88" spans="1:10" ht="14.95" thickBot="1" x14ac:dyDescent="0.3">
      <c r="A88" s="443" t="s">
        <v>20</v>
      </c>
      <c r="B88" s="444">
        <v>0</v>
      </c>
      <c r="C88" s="445">
        <v>0</v>
      </c>
      <c r="D88" s="446">
        <v>0</v>
      </c>
      <c r="E88" s="447">
        <f t="shared" si="17"/>
        <v>0</v>
      </c>
      <c r="F88" s="339" t="s">
        <v>968</v>
      </c>
      <c r="G88" s="118">
        <v>0</v>
      </c>
      <c r="H88" s="250">
        <v>0</v>
      </c>
      <c r="I88" s="375">
        <v>0</v>
      </c>
      <c r="J88" s="341">
        <f t="shared" si="18"/>
        <v>0</v>
      </c>
    </row>
    <row r="89" spans="1:10" ht="14.95" thickBot="1" x14ac:dyDescent="0.3">
      <c r="A89" s="443" t="s">
        <v>967</v>
      </c>
      <c r="B89" s="444">
        <v>0</v>
      </c>
      <c r="C89" s="445">
        <v>0</v>
      </c>
      <c r="D89" s="446">
        <v>0</v>
      </c>
      <c r="E89" s="447">
        <f t="shared" si="17"/>
        <v>0</v>
      </c>
      <c r="F89" s="339" t="s">
        <v>20</v>
      </c>
      <c r="G89" s="118">
        <v>0</v>
      </c>
      <c r="H89" s="250">
        <v>0</v>
      </c>
      <c r="I89" s="375">
        <v>0</v>
      </c>
      <c r="J89" s="341">
        <f t="shared" si="18"/>
        <v>0</v>
      </c>
    </row>
    <row r="90" spans="1:10" ht="14.95" thickBot="1" x14ac:dyDescent="0.3">
      <c r="A90" s="443" t="s">
        <v>1036</v>
      </c>
      <c r="B90" s="444">
        <v>0</v>
      </c>
      <c r="C90" s="445">
        <v>0</v>
      </c>
      <c r="D90" s="446">
        <v>0</v>
      </c>
      <c r="E90" s="447">
        <f t="shared" ref="E90:E108" si="19">SUM(B90:D90)</f>
        <v>0</v>
      </c>
      <c r="F90" s="339" t="s">
        <v>1036</v>
      </c>
      <c r="G90" s="118">
        <v>0</v>
      </c>
      <c r="H90" s="250">
        <v>0</v>
      </c>
      <c r="I90" s="375">
        <v>0</v>
      </c>
      <c r="J90" s="341">
        <f t="shared" ref="J90:J108" si="20">SUM(G90:I90)</f>
        <v>0</v>
      </c>
    </row>
    <row r="91" spans="1:10" ht="14.95" thickBot="1" x14ac:dyDescent="0.3">
      <c r="A91" s="443" t="s">
        <v>147</v>
      </c>
      <c r="B91" s="444">
        <v>0</v>
      </c>
      <c r="C91" s="445">
        <v>0</v>
      </c>
      <c r="D91" s="446">
        <v>0</v>
      </c>
      <c r="E91" s="447">
        <f t="shared" si="19"/>
        <v>0</v>
      </c>
      <c r="F91" s="339" t="s">
        <v>147</v>
      </c>
      <c r="G91" s="118">
        <v>0</v>
      </c>
      <c r="H91" s="250">
        <v>0</v>
      </c>
      <c r="I91" s="375">
        <v>0</v>
      </c>
      <c r="J91" s="341">
        <f t="shared" si="20"/>
        <v>0</v>
      </c>
    </row>
    <row r="92" spans="1:10" ht="14.95" thickBot="1" x14ac:dyDescent="0.3">
      <c r="A92" s="443" t="s">
        <v>970</v>
      </c>
      <c r="B92" s="444">
        <v>0</v>
      </c>
      <c r="C92" s="445">
        <v>0</v>
      </c>
      <c r="D92" s="446">
        <v>0</v>
      </c>
      <c r="E92" s="447">
        <f t="shared" si="19"/>
        <v>0</v>
      </c>
      <c r="F92" s="339" t="s">
        <v>970</v>
      </c>
      <c r="G92" s="118">
        <v>0</v>
      </c>
      <c r="H92" s="250">
        <v>0</v>
      </c>
      <c r="I92" s="375">
        <v>0</v>
      </c>
      <c r="J92" s="341">
        <f t="shared" si="20"/>
        <v>0</v>
      </c>
    </row>
    <row r="93" spans="1:10" ht="14.95" thickBot="1" x14ac:dyDescent="0.3">
      <c r="A93" s="443" t="s">
        <v>203</v>
      </c>
      <c r="B93" s="444">
        <v>0</v>
      </c>
      <c r="C93" s="445">
        <v>0</v>
      </c>
      <c r="D93" s="446">
        <v>0</v>
      </c>
      <c r="E93" s="447">
        <f t="shared" si="19"/>
        <v>0</v>
      </c>
      <c r="F93" s="339" t="s">
        <v>203</v>
      </c>
      <c r="G93" s="118">
        <v>0</v>
      </c>
      <c r="H93" s="250">
        <v>0</v>
      </c>
      <c r="I93" s="375">
        <v>0</v>
      </c>
      <c r="J93" s="341">
        <f t="shared" si="20"/>
        <v>0</v>
      </c>
    </row>
    <row r="94" spans="1:10" ht="14.95" thickBot="1" x14ac:dyDescent="0.3">
      <c r="A94" s="443" t="s">
        <v>1035</v>
      </c>
      <c r="B94" s="444">
        <v>0</v>
      </c>
      <c r="C94" s="445">
        <v>0</v>
      </c>
      <c r="D94" s="446">
        <v>0</v>
      </c>
      <c r="E94" s="447">
        <f t="shared" si="19"/>
        <v>0</v>
      </c>
      <c r="F94" s="339" t="s">
        <v>1035</v>
      </c>
      <c r="G94" s="118">
        <v>0</v>
      </c>
      <c r="H94" s="250">
        <v>0</v>
      </c>
      <c r="I94" s="375">
        <v>0</v>
      </c>
      <c r="J94" s="341">
        <f t="shared" si="20"/>
        <v>0</v>
      </c>
    </row>
    <row r="95" spans="1:10" ht="14.95" thickBot="1" x14ac:dyDescent="0.3">
      <c r="A95" s="443" t="s">
        <v>145</v>
      </c>
      <c r="B95" s="444">
        <v>0</v>
      </c>
      <c r="C95" s="445">
        <v>0</v>
      </c>
      <c r="D95" s="446">
        <v>0</v>
      </c>
      <c r="E95" s="447">
        <f t="shared" si="19"/>
        <v>0</v>
      </c>
      <c r="F95" s="339" t="s">
        <v>145</v>
      </c>
      <c r="G95" s="118">
        <v>0</v>
      </c>
      <c r="H95" s="250">
        <v>0</v>
      </c>
      <c r="I95" s="375">
        <v>0</v>
      </c>
      <c r="J95" s="341">
        <f t="shared" si="20"/>
        <v>0</v>
      </c>
    </row>
    <row r="96" spans="1:10" ht="14.95" thickBot="1" x14ac:dyDescent="0.3">
      <c r="A96" s="443" t="s">
        <v>1327</v>
      </c>
      <c r="B96" s="444">
        <v>0</v>
      </c>
      <c r="C96" s="445">
        <v>0</v>
      </c>
      <c r="D96" s="446">
        <v>0</v>
      </c>
      <c r="E96" s="447">
        <f t="shared" si="19"/>
        <v>0</v>
      </c>
      <c r="F96" s="339" t="s">
        <v>1327</v>
      </c>
      <c r="G96" s="118">
        <v>0</v>
      </c>
      <c r="H96" s="250">
        <v>0</v>
      </c>
      <c r="I96" s="375">
        <v>0</v>
      </c>
      <c r="J96" s="341">
        <f t="shared" si="20"/>
        <v>0</v>
      </c>
    </row>
    <row r="97" spans="1:10" ht="14.95" thickBot="1" x14ac:dyDescent="0.3">
      <c r="A97" s="443" t="s">
        <v>104</v>
      </c>
      <c r="B97" s="444">
        <v>0</v>
      </c>
      <c r="C97" s="445">
        <v>0</v>
      </c>
      <c r="D97" s="446">
        <v>0</v>
      </c>
      <c r="E97" s="447">
        <f t="shared" si="19"/>
        <v>0</v>
      </c>
      <c r="F97" s="339" t="s">
        <v>104</v>
      </c>
      <c r="G97" s="118">
        <v>0</v>
      </c>
      <c r="H97" s="250">
        <v>0</v>
      </c>
      <c r="I97" s="375">
        <v>0</v>
      </c>
      <c r="J97" s="341">
        <f t="shared" si="20"/>
        <v>0</v>
      </c>
    </row>
    <row r="98" spans="1:10" ht="14.95" thickBot="1" x14ac:dyDescent="0.3">
      <c r="A98" s="443" t="s">
        <v>204</v>
      </c>
      <c r="B98" s="444">
        <v>0</v>
      </c>
      <c r="C98" s="445">
        <v>0</v>
      </c>
      <c r="D98" s="446">
        <v>0</v>
      </c>
      <c r="E98" s="447">
        <f t="shared" si="19"/>
        <v>0</v>
      </c>
      <c r="F98" s="339" t="s">
        <v>204</v>
      </c>
      <c r="G98" s="118">
        <v>0</v>
      </c>
      <c r="H98" s="250">
        <v>0</v>
      </c>
      <c r="I98" s="375">
        <v>0</v>
      </c>
      <c r="J98" s="341">
        <f t="shared" si="20"/>
        <v>0</v>
      </c>
    </row>
    <row r="99" spans="1:10" ht="14.95" thickBot="1" x14ac:dyDescent="0.3">
      <c r="A99" s="443" t="s">
        <v>971</v>
      </c>
      <c r="B99" s="444">
        <v>0</v>
      </c>
      <c r="C99" s="445">
        <v>0</v>
      </c>
      <c r="D99" s="446">
        <v>0</v>
      </c>
      <c r="E99" s="447">
        <f t="shared" si="19"/>
        <v>0</v>
      </c>
      <c r="F99" s="339" t="s">
        <v>971</v>
      </c>
      <c r="G99" s="118">
        <v>0</v>
      </c>
      <c r="H99" s="250">
        <v>0</v>
      </c>
      <c r="I99" s="375">
        <v>0</v>
      </c>
      <c r="J99" s="341">
        <f t="shared" si="20"/>
        <v>0</v>
      </c>
    </row>
    <row r="100" spans="1:10" ht="14.95" thickBot="1" x14ac:dyDescent="0.3">
      <c r="A100" s="443" t="s">
        <v>106</v>
      </c>
      <c r="B100" s="444">
        <v>0</v>
      </c>
      <c r="C100" s="445">
        <v>0</v>
      </c>
      <c r="D100" s="446">
        <v>0</v>
      </c>
      <c r="E100" s="447">
        <f t="shared" si="19"/>
        <v>0</v>
      </c>
      <c r="F100" s="339" t="s">
        <v>106</v>
      </c>
      <c r="G100" s="118">
        <v>0</v>
      </c>
      <c r="H100" s="250">
        <v>0</v>
      </c>
      <c r="I100" s="375">
        <v>0</v>
      </c>
      <c r="J100" s="341">
        <f t="shared" si="20"/>
        <v>0</v>
      </c>
    </row>
    <row r="101" spans="1:10" ht="14.95" thickBot="1" x14ac:dyDescent="0.3">
      <c r="A101" s="443" t="s">
        <v>146</v>
      </c>
      <c r="B101" s="444">
        <v>0</v>
      </c>
      <c r="C101" s="445">
        <v>0</v>
      </c>
      <c r="D101" s="446">
        <v>0</v>
      </c>
      <c r="E101" s="447">
        <f t="shared" si="19"/>
        <v>0</v>
      </c>
      <c r="F101" s="339" t="s">
        <v>146</v>
      </c>
      <c r="G101" s="118">
        <v>0</v>
      </c>
      <c r="H101" s="250">
        <v>0</v>
      </c>
      <c r="I101" s="375">
        <v>0</v>
      </c>
      <c r="J101" s="341">
        <f t="shared" si="20"/>
        <v>0</v>
      </c>
    </row>
    <row r="102" spans="1:10" ht="14.95" thickBot="1" x14ac:dyDescent="0.3">
      <c r="A102" s="443" t="s">
        <v>157</v>
      </c>
      <c r="B102" s="444">
        <v>0</v>
      </c>
      <c r="C102" s="445">
        <v>0</v>
      </c>
      <c r="D102" s="446">
        <v>0</v>
      </c>
      <c r="E102" s="447">
        <f t="shared" si="19"/>
        <v>0</v>
      </c>
      <c r="F102" s="339" t="s">
        <v>157</v>
      </c>
      <c r="G102" s="118">
        <v>0</v>
      </c>
      <c r="H102" s="250">
        <v>0</v>
      </c>
      <c r="I102" s="375">
        <v>0</v>
      </c>
      <c r="J102" s="341">
        <f t="shared" si="20"/>
        <v>0</v>
      </c>
    </row>
    <row r="103" spans="1:10" ht="14.95" thickBot="1" x14ac:dyDescent="0.3">
      <c r="A103" s="443" t="s">
        <v>210</v>
      </c>
      <c r="B103" s="444">
        <v>0</v>
      </c>
      <c r="C103" s="445">
        <v>0</v>
      </c>
      <c r="D103" s="446">
        <v>0</v>
      </c>
      <c r="E103" s="447">
        <f t="shared" si="19"/>
        <v>0</v>
      </c>
      <c r="F103" s="339" t="s">
        <v>210</v>
      </c>
      <c r="G103" s="118">
        <v>0</v>
      </c>
      <c r="H103" s="250">
        <v>0</v>
      </c>
      <c r="I103" s="375">
        <v>0</v>
      </c>
      <c r="J103" s="341">
        <f t="shared" si="20"/>
        <v>0</v>
      </c>
    </row>
    <row r="104" spans="1:10" ht="14.95" thickBot="1" x14ac:dyDescent="0.3">
      <c r="A104" s="443" t="s">
        <v>150</v>
      </c>
      <c r="B104" s="444">
        <v>0</v>
      </c>
      <c r="C104" s="445">
        <v>0</v>
      </c>
      <c r="D104" s="446">
        <v>0</v>
      </c>
      <c r="E104" s="447">
        <f t="shared" si="19"/>
        <v>0</v>
      </c>
      <c r="F104" s="339" t="s">
        <v>150</v>
      </c>
      <c r="G104" s="118">
        <v>0</v>
      </c>
      <c r="H104" s="250">
        <v>0</v>
      </c>
      <c r="I104" s="375">
        <v>0</v>
      </c>
      <c r="J104" s="341">
        <f t="shared" si="20"/>
        <v>0</v>
      </c>
    </row>
    <row r="105" spans="1:10" ht="14.95" thickBot="1" x14ac:dyDescent="0.3">
      <c r="A105" s="443" t="s">
        <v>205</v>
      </c>
      <c r="B105" s="444">
        <v>0</v>
      </c>
      <c r="C105" s="445">
        <v>0</v>
      </c>
      <c r="D105" s="446">
        <v>0</v>
      </c>
      <c r="E105" s="447">
        <f t="shared" si="19"/>
        <v>0</v>
      </c>
      <c r="F105" s="339" t="s">
        <v>205</v>
      </c>
      <c r="G105" s="118">
        <v>0</v>
      </c>
      <c r="H105" s="250">
        <v>0</v>
      </c>
      <c r="I105" s="375">
        <v>0</v>
      </c>
      <c r="J105" s="341">
        <f t="shared" si="20"/>
        <v>0</v>
      </c>
    </row>
    <row r="106" spans="1:10" ht="14.95" thickBot="1" x14ac:dyDescent="0.3">
      <c r="A106" s="443" t="s">
        <v>71</v>
      </c>
      <c r="B106" s="444">
        <v>0</v>
      </c>
      <c r="C106" s="445">
        <v>0</v>
      </c>
      <c r="D106" s="446">
        <v>0</v>
      </c>
      <c r="E106" s="447">
        <f t="shared" si="19"/>
        <v>0</v>
      </c>
      <c r="F106" s="339" t="s">
        <v>71</v>
      </c>
      <c r="G106" s="118">
        <v>0</v>
      </c>
      <c r="H106" s="250">
        <v>0</v>
      </c>
      <c r="I106" s="375">
        <v>0</v>
      </c>
      <c r="J106" s="341">
        <f t="shared" si="20"/>
        <v>0</v>
      </c>
    </row>
    <row r="107" spans="1:10" ht="14.95" thickBot="1" x14ac:dyDescent="0.3">
      <c r="A107" s="443" t="s">
        <v>953</v>
      </c>
      <c r="B107" s="444">
        <v>0</v>
      </c>
      <c r="C107" s="445">
        <v>0</v>
      </c>
      <c r="D107" s="446">
        <v>0</v>
      </c>
      <c r="E107" s="447">
        <f t="shared" si="19"/>
        <v>0</v>
      </c>
      <c r="F107" s="339" t="s">
        <v>953</v>
      </c>
      <c r="G107" s="118">
        <v>0</v>
      </c>
      <c r="H107" s="250">
        <v>0</v>
      </c>
      <c r="I107" s="375">
        <v>0</v>
      </c>
      <c r="J107" s="341">
        <f t="shared" si="20"/>
        <v>0</v>
      </c>
    </row>
    <row r="108" spans="1:10" ht="14.95" thickBot="1" x14ac:dyDescent="0.3">
      <c r="A108" s="443" t="s">
        <v>1033</v>
      </c>
      <c r="B108" s="444">
        <v>0</v>
      </c>
      <c r="C108" s="445">
        <v>0</v>
      </c>
      <c r="D108" s="446">
        <v>0</v>
      </c>
      <c r="E108" s="447">
        <f t="shared" si="19"/>
        <v>0</v>
      </c>
      <c r="F108" s="339" t="s">
        <v>1033</v>
      </c>
      <c r="G108" s="118">
        <v>0</v>
      </c>
      <c r="H108" s="250">
        <v>0</v>
      </c>
      <c r="I108" s="375">
        <v>0</v>
      </c>
      <c r="J108" s="341">
        <f t="shared" si="20"/>
        <v>0</v>
      </c>
    </row>
    <row r="109" spans="1:10" ht="14.95" thickBot="1" x14ac:dyDescent="0.3">
      <c r="A109" s="443" t="s">
        <v>3</v>
      </c>
      <c r="B109" s="444">
        <f>SUM(B58:B108)</f>
        <v>63</v>
      </c>
      <c r="C109" s="445">
        <f>SUM(C58:C108)</f>
        <v>29</v>
      </c>
      <c r="D109" s="446">
        <f>SUM(D58:D108)</f>
        <v>7</v>
      </c>
      <c r="E109" s="447">
        <f t="shared" ref="E109" si="21">SUM(B109:D109)</f>
        <v>99</v>
      </c>
      <c r="F109" s="338" t="s">
        <v>3</v>
      </c>
      <c r="G109" s="205">
        <f>SUM(G58:G108)</f>
        <v>544</v>
      </c>
      <c r="H109" s="249">
        <f>SUM(H58:H108)</f>
        <v>224</v>
      </c>
      <c r="I109" s="379">
        <f>SUM(I58:I108)</f>
        <v>73</v>
      </c>
      <c r="J109" s="341">
        <f t="shared" ref="J109" si="22">SUM(G109:I109)</f>
        <v>841</v>
      </c>
    </row>
    <row r="110" spans="1:10" x14ac:dyDescent="0.25">
      <c r="A110" s="65" t="s">
        <v>171</v>
      </c>
    </row>
  </sheetData>
  <sortState xmlns:xlrd2="http://schemas.microsoft.com/office/spreadsheetml/2017/richdata2" ref="F58:J108">
    <sortCondition descending="1" ref="J58:J108"/>
  </sortState>
  <mergeCells count="26">
    <mergeCell ref="K25:W25"/>
    <mergeCell ref="AI1:AK2"/>
    <mergeCell ref="R1:S2"/>
    <mergeCell ref="K10:K11"/>
    <mergeCell ref="AC10:AE11"/>
    <mergeCell ref="K1:K2"/>
    <mergeCell ref="L1:N2"/>
    <mergeCell ref="O1:Q2"/>
    <mergeCell ref="AF1:AH2"/>
    <mergeCell ref="L10:N11"/>
    <mergeCell ref="AC1:AE2"/>
    <mergeCell ref="U10:W11"/>
    <mergeCell ref="AF10:AH11"/>
    <mergeCell ref="AI10:AK11"/>
    <mergeCell ref="T1:V2"/>
    <mergeCell ref="AF18:AH19"/>
    <mergeCell ref="AC18:AE19"/>
    <mergeCell ref="A1:J1"/>
    <mergeCell ref="K18:K19"/>
    <mergeCell ref="L18:N19"/>
    <mergeCell ref="U18:W19"/>
    <mergeCell ref="W1:Y2"/>
    <mergeCell ref="R10:T11"/>
    <mergeCell ref="R18:T19"/>
    <mergeCell ref="O10:Q11"/>
    <mergeCell ref="O18:Q1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X94"/>
  <sheetViews>
    <sheetView topLeftCell="A43" zoomScaleNormal="100" workbookViewId="0">
      <selection activeCell="B55" sqref="B55"/>
    </sheetView>
  </sheetViews>
  <sheetFormatPr defaultRowHeight="14.3" x14ac:dyDescent="0.25"/>
  <cols>
    <col min="1" max="1" width="16.625" customWidth="1"/>
    <col min="2" max="2" width="3.75" customWidth="1"/>
    <col min="3" max="3" width="4.125" customWidth="1"/>
    <col min="4" max="5" width="4.75" customWidth="1"/>
    <col min="6" max="6" width="16.625" customWidth="1"/>
    <col min="7" max="10" width="5.25" customWidth="1"/>
    <col min="11" max="11" width="16.375" bestFit="1" customWidth="1"/>
    <col min="12" max="40" width="5.75" customWidth="1"/>
    <col min="41" max="41" width="14.25" bestFit="1" customWidth="1"/>
    <col min="43" max="43" width="9.25" bestFit="1" customWidth="1"/>
  </cols>
  <sheetData>
    <row r="1" spans="1:50" ht="16" customHeight="1" thickBot="1" x14ac:dyDescent="0.3">
      <c r="A1" s="519" t="s">
        <v>1228</v>
      </c>
      <c r="B1" s="520"/>
      <c r="C1" s="520"/>
      <c r="D1" s="520"/>
      <c r="E1" s="520"/>
      <c r="F1" s="520"/>
      <c r="G1" s="520"/>
      <c r="H1" s="520"/>
      <c r="I1" s="520"/>
      <c r="J1" s="521"/>
      <c r="K1" s="478" t="s">
        <v>1324</v>
      </c>
      <c r="L1" s="463" t="s">
        <v>49</v>
      </c>
      <c r="M1" s="464"/>
      <c r="N1" s="465"/>
      <c r="O1" s="486" t="s">
        <v>202</v>
      </c>
      <c r="P1" s="487"/>
      <c r="Q1" s="488"/>
      <c r="R1" s="492" t="s">
        <v>62</v>
      </c>
      <c r="S1" s="493"/>
      <c r="T1" s="457" t="s">
        <v>124</v>
      </c>
      <c r="U1" s="458"/>
      <c r="V1" s="459"/>
      <c r="W1" s="457" t="s">
        <v>1070</v>
      </c>
      <c r="X1" s="458"/>
      <c r="Y1" s="459"/>
      <c r="Z1" s="298"/>
      <c r="AA1" s="189"/>
      <c r="AB1" s="331"/>
      <c r="AC1" s="457" t="s">
        <v>598</v>
      </c>
      <c r="AD1" s="458"/>
      <c r="AE1" s="459"/>
      <c r="AF1" s="457" t="s">
        <v>254</v>
      </c>
      <c r="AG1" s="458"/>
      <c r="AH1" s="459"/>
      <c r="AI1" s="457" t="s">
        <v>213</v>
      </c>
      <c r="AJ1" s="458"/>
      <c r="AK1" s="459"/>
      <c r="AL1" s="457" t="s">
        <v>242</v>
      </c>
      <c r="AM1" s="458"/>
      <c r="AN1" s="459"/>
      <c r="AP1" s="5" t="s">
        <v>738</v>
      </c>
      <c r="AQ1" s="5"/>
      <c r="AR1" s="5"/>
      <c r="AU1" s="5" t="s">
        <v>742</v>
      </c>
    </row>
    <row r="2" spans="1:50" ht="14.95" customHeight="1" thickBot="1" x14ac:dyDescent="0.3">
      <c r="A2" s="218" t="s">
        <v>0</v>
      </c>
      <c r="B2" s="320" t="s">
        <v>1072</v>
      </c>
      <c r="C2" s="215" t="s">
        <v>123</v>
      </c>
      <c r="D2" s="386" t="s">
        <v>1073</v>
      </c>
      <c r="E2" s="225" t="s">
        <v>1</v>
      </c>
      <c r="F2" s="220" t="s">
        <v>2</v>
      </c>
      <c r="G2" s="322" t="s">
        <v>1072</v>
      </c>
      <c r="H2" s="221" t="s">
        <v>123</v>
      </c>
      <c r="I2" s="388" t="s">
        <v>1073</v>
      </c>
      <c r="J2" s="227" t="s">
        <v>1</v>
      </c>
      <c r="K2" s="479"/>
      <c r="L2" s="466"/>
      <c r="M2" s="467"/>
      <c r="N2" s="468"/>
      <c r="O2" s="489"/>
      <c r="P2" s="490"/>
      <c r="Q2" s="491"/>
      <c r="R2" s="494"/>
      <c r="S2" s="495"/>
      <c r="T2" s="460"/>
      <c r="U2" s="461"/>
      <c r="V2" s="462"/>
      <c r="W2" s="460"/>
      <c r="X2" s="461"/>
      <c r="Y2" s="462"/>
      <c r="Z2" s="152"/>
      <c r="AA2" s="153"/>
      <c r="AB2" s="332"/>
      <c r="AC2" s="460"/>
      <c r="AD2" s="461"/>
      <c r="AE2" s="462"/>
      <c r="AF2" s="460"/>
      <c r="AG2" s="461"/>
      <c r="AH2" s="462"/>
      <c r="AI2" s="460"/>
      <c r="AJ2" s="461"/>
      <c r="AK2" s="462"/>
      <c r="AL2" s="460"/>
      <c r="AM2" s="461"/>
      <c r="AN2" s="462"/>
      <c r="AP2" t="s">
        <v>602</v>
      </c>
      <c r="AQ2" t="s">
        <v>263</v>
      </c>
      <c r="AR2" t="s">
        <v>558</v>
      </c>
      <c r="AS2">
        <v>1180</v>
      </c>
      <c r="AU2" t="s">
        <v>543</v>
      </c>
      <c r="AV2" t="s">
        <v>277</v>
      </c>
      <c r="AW2" t="s">
        <v>342</v>
      </c>
      <c r="AX2">
        <v>59</v>
      </c>
    </row>
    <row r="3" spans="1:50" ht="14.95" customHeight="1" thickBot="1" x14ac:dyDescent="0.3">
      <c r="A3" s="219" t="s">
        <v>1225</v>
      </c>
      <c r="B3" s="321">
        <v>0</v>
      </c>
      <c r="C3" s="165">
        <v>0</v>
      </c>
      <c r="D3" s="387">
        <v>0</v>
      </c>
      <c r="E3" s="226">
        <f t="shared" ref="E3:E45" si="0">SUM(B3:D3)</f>
        <v>0</v>
      </c>
      <c r="F3" s="222" t="s">
        <v>1225</v>
      </c>
      <c r="G3" s="323">
        <v>0</v>
      </c>
      <c r="H3" s="223">
        <v>0</v>
      </c>
      <c r="I3" s="389">
        <v>0</v>
      </c>
      <c r="J3" s="228">
        <f t="shared" ref="J3:J45" si="1">SUM(G3:I3)</f>
        <v>0</v>
      </c>
      <c r="K3" s="37" t="s">
        <v>87</v>
      </c>
      <c r="L3" s="15" t="s">
        <v>243</v>
      </c>
      <c r="M3" s="15" t="s">
        <v>42</v>
      </c>
      <c r="N3" s="15" t="s">
        <v>43</v>
      </c>
      <c r="O3" s="67" t="s">
        <v>243</v>
      </c>
      <c r="P3" s="1" t="s">
        <v>42</v>
      </c>
      <c r="Q3" s="1" t="s">
        <v>43</v>
      </c>
      <c r="R3" s="4" t="s">
        <v>63</v>
      </c>
      <c r="S3" s="4" t="s">
        <v>957</v>
      </c>
      <c r="T3" s="119" t="s">
        <v>243</v>
      </c>
      <c r="U3" s="119" t="s">
        <v>42</v>
      </c>
      <c r="V3" s="119" t="s">
        <v>43</v>
      </c>
      <c r="W3" s="124" t="s">
        <v>243</v>
      </c>
      <c r="X3" s="119" t="s">
        <v>42</v>
      </c>
      <c r="Y3" s="119" t="s">
        <v>43</v>
      </c>
      <c r="Z3" s="152"/>
      <c r="AA3" s="153"/>
      <c r="AB3" s="332"/>
      <c r="AC3" s="124" t="s">
        <v>243</v>
      </c>
      <c r="AD3" s="119" t="s">
        <v>42</v>
      </c>
      <c r="AE3" s="119" t="s">
        <v>43</v>
      </c>
      <c r="AF3" s="119" t="s">
        <v>243</v>
      </c>
      <c r="AG3" s="119" t="s">
        <v>42</v>
      </c>
      <c r="AH3" s="119" t="s">
        <v>43</v>
      </c>
      <c r="AI3" s="119" t="s">
        <v>243</v>
      </c>
      <c r="AJ3" s="119" t="s">
        <v>42</v>
      </c>
      <c r="AK3" s="119" t="s">
        <v>43</v>
      </c>
      <c r="AL3" s="119" t="s">
        <v>243</v>
      </c>
      <c r="AM3" s="119" t="s">
        <v>42</v>
      </c>
      <c r="AN3" s="119" t="s">
        <v>43</v>
      </c>
      <c r="AP3" t="s">
        <v>435</v>
      </c>
      <c r="AQ3" t="s">
        <v>270</v>
      </c>
      <c r="AR3" t="s">
        <v>475</v>
      </c>
      <c r="AS3">
        <v>1165</v>
      </c>
      <c r="AU3" t="s">
        <v>542</v>
      </c>
      <c r="AV3" t="s">
        <v>263</v>
      </c>
      <c r="AW3" t="s">
        <v>457</v>
      </c>
      <c r="AX3">
        <v>57</v>
      </c>
    </row>
    <row r="4" spans="1:50" ht="14.95" customHeight="1" thickBot="1" x14ac:dyDescent="0.3">
      <c r="A4" s="219" t="s">
        <v>82</v>
      </c>
      <c r="B4" s="321">
        <v>0</v>
      </c>
      <c r="C4" s="165">
        <v>0</v>
      </c>
      <c r="D4" s="387">
        <v>0</v>
      </c>
      <c r="E4" s="226">
        <f t="shared" si="0"/>
        <v>0</v>
      </c>
      <c r="F4" s="222" t="s">
        <v>82</v>
      </c>
      <c r="G4" s="323">
        <v>0</v>
      </c>
      <c r="H4" s="223">
        <v>0</v>
      </c>
      <c r="I4" s="389">
        <v>0</v>
      </c>
      <c r="J4" s="228">
        <f t="shared" si="1"/>
        <v>0</v>
      </c>
      <c r="K4" s="219" t="s">
        <v>1064</v>
      </c>
      <c r="L4" s="226">
        <v>77</v>
      </c>
      <c r="M4" s="226">
        <v>91</v>
      </c>
      <c r="N4" s="229">
        <f>SUM(L4/M4)*100</f>
        <v>84.615384615384613</v>
      </c>
      <c r="O4" s="226">
        <v>6</v>
      </c>
      <c r="P4" s="226">
        <v>8</v>
      </c>
      <c r="Q4" s="229">
        <f>SUM(O4/P4)*100</f>
        <v>75</v>
      </c>
      <c r="R4" s="226">
        <v>-2</v>
      </c>
      <c r="S4" s="226">
        <v>-2</v>
      </c>
      <c r="T4" s="226">
        <v>61</v>
      </c>
      <c r="U4" s="226">
        <v>77</v>
      </c>
      <c r="V4" s="229">
        <f>SUM(T4/U4)*100</f>
        <v>79.220779220779221</v>
      </c>
      <c r="W4" s="235">
        <v>51</v>
      </c>
      <c r="X4" s="226">
        <v>70</v>
      </c>
      <c r="Y4" s="229">
        <f>SUM(W4/X4)*100</f>
        <v>72.857142857142847</v>
      </c>
      <c r="Z4" s="152"/>
      <c r="AA4" s="153"/>
      <c r="AB4" s="332"/>
      <c r="AC4" s="235">
        <v>37</v>
      </c>
      <c r="AD4" s="226">
        <v>50</v>
      </c>
      <c r="AE4" s="229">
        <f>SUM(AC4/AD4)*100</f>
        <v>74</v>
      </c>
      <c r="AF4" s="226">
        <v>85</v>
      </c>
      <c r="AG4" s="226">
        <v>102</v>
      </c>
      <c r="AH4" s="229">
        <f>SUM(AF4/AG4)*100</f>
        <v>83.333333333333343</v>
      </c>
      <c r="AI4" s="226">
        <v>87</v>
      </c>
      <c r="AJ4" s="226">
        <v>122</v>
      </c>
      <c r="AK4" s="229">
        <f>SUM(AI4/AJ4)*100</f>
        <v>71.311475409836063</v>
      </c>
      <c r="AL4" s="226" t="s">
        <v>50</v>
      </c>
      <c r="AM4" s="226" t="s">
        <v>50</v>
      </c>
      <c r="AN4" s="226" t="s">
        <v>50</v>
      </c>
      <c r="AP4" t="s">
        <v>626</v>
      </c>
      <c r="AQ4" t="s">
        <v>260</v>
      </c>
      <c r="AR4" t="s">
        <v>398</v>
      </c>
      <c r="AS4">
        <v>954</v>
      </c>
      <c r="AU4" t="s">
        <v>570</v>
      </c>
      <c r="AV4" t="s">
        <v>264</v>
      </c>
      <c r="AW4" t="s">
        <v>448</v>
      </c>
      <c r="AX4">
        <v>46</v>
      </c>
    </row>
    <row r="5" spans="1:50" ht="14.95" customHeight="1" thickBot="1" x14ac:dyDescent="0.3">
      <c r="A5" s="219" t="s">
        <v>1856</v>
      </c>
      <c r="B5" s="321">
        <v>1</v>
      </c>
      <c r="C5" s="165">
        <v>0</v>
      </c>
      <c r="D5" s="387">
        <v>0</v>
      </c>
      <c r="E5" s="226">
        <f t="shared" si="0"/>
        <v>1</v>
      </c>
      <c r="F5" s="222" t="s">
        <v>1856</v>
      </c>
      <c r="G5" s="323">
        <v>5</v>
      </c>
      <c r="H5" s="223">
        <v>0</v>
      </c>
      <c r="I5" s="389">
        <v>0</v>
      </c>
      <c r="J5" s="228">
        <f t="shared" si="1"/>
        <v>5</v>
      </c>
      <c r="K5" s="219" t="s">
        <v>1065</v>
      </c>
      <c r="L5" s="226">
        <v>11</v>
      </c>
      <c r="M5" s="226">
        <v>14</v>
      </c>
      <c r="N5" s="229">
        <f>SUM(L5/M5)*100</f>
        <v>78.571428571428569</v>
      </c>
      <c r="O5" s="226" t="s">
        <v>50</v>
      </c>
      <c r="P5" s="226" t="s">
        <v>50</v>
      </c>
      <c r="Q5" s="226" t="s">
        <v>50</v>
      </c>
      <c r="R5" s="226">
        <v>-1</v>
      </c>
      <c r="S5" s="226">
        <v>-1</v>
      </c>
      <c r="T5" s="226">
        <v>12</v>
      </c>
      <c r="U5" s="226">
        <v>15</v>
      </c>
      <c r="V5" s="229">
        <f>SUM(T5/U5)*100</f>
        <v>80</v>
      </c>
      <c r="W5" s="235" t="s">
        <v>50</v>
      </c>
      <c r="X5" s="226" t="s">
        <v>50</v>
      </c>
      <c r="Y5" s="226" t="s">
        <v>50</v>
      </c>
      <c r="Z5" s="152"/>
      <c r="AA5" s="153"/>
      <c r="AB5" s="332"/>
      <c r="AC5" s="235">
        <v>8</v>
      </c>
      <c r="AD5" s="226">
        <v>9</v>
      </c>
      <c r="AE5" s="229">
        <f>SUM(AC5/AD5)*100</f>
        <v>88.888888888888886</v>
      </c>
      <c r="AF5" s="226">
        <v>8</v>
      </c>
      <c r="AG5" s="226">
        <v>14</v>
      </c>
      <c r="AH5" s="229">
        <f>SUM(AF5/AG5)*100</f>
        <v>57.142857142857139</v>
      </c>
      <c r="AI5" s="226">
        <v>10</v>
      </c>
      <c r="AJ5" s="226">
        <v>15</v>
      </c>
      <c r="AK5" s="229">
        <f>SUM(AI5/AJ5)*100</f>
        <v>66.666666666666657</v>
      </c>
      <c r="AL5" s="226" t="s">
        <v>50</v>
      </c>
      <c r="AM5" s="226" t="s">
        <v>50</v>
      </c>
      <c r="AN5" s="226" t="s">
        <v>50</v>
      </c>
      <c r="AP5" t="s">
        <v>718</v>
      </c>
      <c r="AQ5" t="s">
        <v>260</v>
      </c>
      <c r="AR5" t="s">
        <v>329</v>
      </c>
      <c r="AS5">
        <v>455</v>
      </c>
      <c r="AU5" t="s">
        <v>571</v>
      </c>
      <c r="AV5" t="s">
        <v>264</v>
      </c>
      <c r="AW5" t="s">
        <v>394</v>
      </c>
      <c r="AX5">
        <v>45</v>
      </c>
    </row>
    <row r="6" spans="1:50" ht="14.95" customHeight="1" thickBot="1" x14ac:dyDescent="0.3">
      <c r="A6" s="219" t="s">
        <v>153</v>
      </c>
      <c r="B6" s="321">
        <v>0</v>
      </c>
      <c r="C6" s="165">
        <v>0</v>
      </c>
      <c r="D6" s="387">
        <v>0</v>
      </c>
      <c r="E6" s="226">
        <f t="shared" si="0"/>
        <v>0</v>
      </c>
      <c r="F6" s="222" t="s">
        <v>153</v>
      </c>
      <c r="G6" s="323">
        <v>0</v>
      </c>
      <c r="H6" s="223">
        <v>0</v>
      </c>
      <c r="I6" s="389">
        <v>0</v>
      </c>
      <c r="J6" s="228">
        <f t="shared" si="1"/>
        <v>0</v>
      </c>
      <c r="K6" s="219" t="s">
        <v>77</v>
      </c>
      <c r="L6" s="226" t="s">
        <v>50</v>
      </c>
      <c r="M6" s="226" t="s">
        <v>50</v>
      </c>
      <c r="N6" s="226" t="s">
        <v>50</v>
      </c>
      <c r="O6" s="226" t="s">
        <v>50</v>
      </c>
      <c r="P6" s="226" t="s">
        <v>50</v>
      </c>
      <c r="Q6" s="226" t="s">
        <v>50</v>
      </c>
      <c r="R6" s="226">
        <v>2</v>
      </c>
      <c r="S6" s="226">
        <v>2</v>
      </c>
      <c r="T6" s="226" t="s">
        <v>50</v>
      </c>
      <c r="U6" s="226" t="s">
        <v>50</v>
      </c>
      <c r="V6" s="226" t="s">
        <v>50</v>
      </c>
      <c r="W6" s="235">
        <v>2</v>
      </c>
      <c r="X6" s="226">
        <v>2</v>
      </c>
      <c r="Y6" s="229">
        <f>SUM(W6/X6)*100</f>
        <v>100</v>
      </c>
      <c r="Z6" s="152"/>
      <c r="AA6" s="153"/>
      <c r="AB6" s="332"/>
      <c r="AC6" s="235" t="s">
        <v>50</v>
      </c>
      <c r="AD6" s="226" t="s">
        <v>50</v>
      </c>
      <c r="AE6" s="226" t="s">
        <v>50</v>
      </c>
      <c r="AF6" s="226" t="s">
        <v>50</v>
      </c>
      <c r="AG6" s="226" t="s">
        <v>50</v>
      </c>
      <c r="AH6" s="226" t="s">
        <v>50</v>
      </c>
      <c r="AI6" s="226" t="s">
        <v>50</v>
      </c>
      <c r="AJ6" s="226" t="s">
        <v>50</v>
      </c>
      <c r="AK6" s="226" t="s">
        <v>50</v>
      </c>
      <c r="AL6" s="226" t="s">
        <v>50</v>
      </c>
      <c r="AM6" s="226" t="s">
        <v>50</v>
      </c>
      <c r="AN6" s="226" t="s">
        <v>50</v>
      </c>
      <c r="AP6" t="s">
        <v>542</v>
      </c>
      <c r="AQ6" t="s">
        <v>263</v>
      </c>
      <c r="AR6" t="s">
        <v>457</v>
      </c>
      <c r="AS6">
        <v>428</v>
      </c>
      <c r="AU6" t="s">
        <v>613</v>
      </c>
      <c r="AV6" t="s">
        <v>296</v>
      </c>
      <c r="AW6" t="s">
        <v>319</v>
      </c>
      <c r="AX6">
        <v>38</v>
      </c>
    </row>
    <row r="7" spans="1:50" ht="14.95" customHeight="1" thickBot="1" x14ac:dyDescent="0.3">
      <c r="A7" s="219" t="s">
        <v>1226</v>
      </c>
      <c r="B7" s="321">
        <v>0</v>
      </c>
      <c r="C7" s="165">
        <v>0</v>
      </c>
      <c r="D7" s="387">
        <v>0</v>
      </c>
      <c r="E7" s="226">
        <f t="shared" si="0"/>
        <v>0</v>
      </c>
      <c r="F7" s="224" t="s">
        <v>1226</v>
      </c>
      <c r="G7" s="323">
        <v>0</v>
      </c>
      <c r="H7" s="223">
        <v>0</v>
      </c>
      <c r="I7" s="389">
        <v>0</v>
      </c>
      <c r="J7" s="228">
        <f t="shared" si="1"/>
        <v>0</v>
      </c>
      <c r="K7" s="219" t="s">
        <v>1034</v>
      </c>
      <c r="L7" s="226">
        <v>1</v>
      </c>
      <c r="M7" s="226">
        <v>1</v>
      </c>
      <c r="N7" s="226">
        <v>50</v>
      </c>
      <c r="O7" s="226" t="s">
        <v>50</v>
      </c>
      <c r="P7" s="226" t="s">
        <v>50</v>
      </c>
      <c r="Q7" s="226" t="s">
        <v>50</v>
      </c>
      <c r="R7" s="226">
        <v>1</v>
      </c>
      <c r="S7" s="226">
        <v>1</v>
      </c>
      <c r="T7" s="226" t="s">
        <v>50</v>
      </c>
      <c r="U7" s="226" t="s">
        <v>50</v>
      </c>
      <c r="V7" s="226" t="s">
        <v>50</v>
      </c>
      <c r="W7" s="235" t="s">
        <v>50</v>
      </c>
      <c r="X7" s="226" t="s">
        <v>50</v>
      </c>
      <c r="Y7" s="226" t="s">
        <v>50</v>
      </c>
      <c r="Z7" s="152"/>
      <c r="AA7" s="153"/>
      <c r="AB7" s="332"/>
      <c r="AC7" s="235" t="s">
        <v>50</v>
      </c>
      <c r="AD7" s="226" t="s">
        <v>50</v>
      </c>
      <c r="AE7" s="226" t="s">
        <v>50</v>
      </c>
      <c r="AF7" s="226" t="s">
        <v>50</v>
      </c>
      <c r="AG7" s="226" t="s">
        <v>50</v>
      </c>
      <c r="AH7" s="226" t="s">
        <v>50</v>
      </c>
      <c r="AI7" s="226" t="s">
        <v>50</v>
      </c>
      <c r="AJ7" s="226" t="s">
        <v>50</v>
      </c>
      <c r="AK7" s="226" t="s">
        <v>50</v>
      </c>
      <c r="AL7" s="226" t="s">
        <v>50</v>
      </c>
      <c r="AM7" s="226" t="s">
        <v>50</v>
      </c>
      <c r="AN7" s="226" t="s">
        <v>50</v>
      </c>
      <c r="AO7" t="s">
        <v>87</v>
      </c>
      <c r="AP7" t="s">
        <v>719</v>
      </c>
      <c r="AQ7" t="s">
        <v>260</v>
      </c>
      <c r="AR7" t="s">
        <v>351</v>
      </c>
      <c r="AS7">
        <v>321</v>
      </c>
      <c r="AU7" t="s">
        <v>615</v>
      </c>
      <c r="AV7" t="s">
        <v>272</v>
      </c>
      <c r="AW7" t="s">
        <v>442</v>
      </c>
      <c r="AX7">
        <v>37</v>
      </c>
    </row>
    <row r="8" spans="1:50" ht="14.95" customHeight="1" thickBot="1" x14ac:dyDescent="0.3">
      <c r="A8" s="219" t="s">
        <v>255</v>
      </c>
      <c r="B8" s="321">
        <v>1</v>
      </c>
      <c r="C8" s="165">
        <v>0</v>
      </c>
      <c r="D8" s="387">
        <v>0</v>
      </c>
      <c r="E8" s="226">
        <f t="shared" si="0"/>
        <v>1</v>
      </c>
      <c r="F8" s="224" t="s">
        <v>255</v>
      </c>
      <c r="G8" s="323">
        <v>5</v>
      </c>
      <c r="H8" s="223">
        <v>0</v>
      </c>
      <c r="I8" s="389">
        <v>0</v>
      </c>
      <c r="J8" s="228">
        <f t="shared" si="1"/>
        <v>5</v>
      </c>
      <c r="K8" s="219" t="s">
        <v>419</v>
      </c>
      <c r="L8" s="226">
        <v>4</v>
      </c>
      <c r="M8" s="226">
        <v>6</v>
      </c>
      <c r="N8" s="229">
        <f>SUM(L8/M8)*100</f>
        <v>66.666666666666657</v>
      </c>
      <c r="O8" s="226" t="s">
        <v>50</v>
      </c>
      <c r="P8" s="226" t="s">
        <v>50</v>
      </c>
      <c r="Q8" s="226" t="s">
        <v>50</v>
      </c>
      <c r="R8" s="226">
        <v>2</v>
      </c>
      <c r="S8" s="226">
        <v>2</v>
      </c>
      <c r="T8" s="226">
        <v>16</v>
      </c>
      <c r="U8" s="226">
        <v>21</v>
      </c>
      <c r="V8" s="229">
        <f>SUM(T8/U8)*100</f>
        <v>76.19047619047619</v>
      </c>
      <c r="W8" s="235" t="s">
        <v>50</v>
      </c>
      <c r="X8" s="226" t="s">
        <v>50</v>
      </c>
      <c r="Y8" s="226" t="s">
        <v>50</v>
      </c>
      <c r="Z8" s="152"/>
      <c r="AA8" s="153"/>
      <c r="AB8" s="332"/>
      <c r="AC8" s="235" t="s">
        <v>50</v>
      </c>
      <c r="AD8" s="226" t="s">
        <v>50</v>
      </c>
      <c r="AE8" s="226" t="s">
        <v>50</v>
      </c>
      <c r="AF8" s="226" t="s">
        <v>50</v>
      </c>
      <c r="AG8" s="226" t="s">
        <v>50</v>
      </c>
      <c r="AH8" s="226" t="s">
        <v>50</v>
      </c>
      <c r="AI8" s="226" t="s">
        <v>50</v>
      </c>
      <c r="AJ8" s="226" t="s">
        <v>50</v>
      </c>
      <c r="AK8" s="226" t="s">
        <v>50</v>
      </c>
      <c r="AL8" s="226" t="s">
        <v>50</v>
      </c>
      <c r="AM8" s="226" t="s">
        <v>50</v>
      </c>
      <c r="AN8" s="226" t="s">
        <v>50</v>
      </c>
      <c r="AP8" t="s">
        <v>543</v>
      </c>
      <c r="AQ8" t="s">
        <v>277</v>
      </c>
      <c r="AR8" t="s">
        <v>342</v>
      </c>
      <c r="AS8">
        <v>295</v>
      </c>
      <c r="AU8" t="s">
        <v>567</v>
      </c>
      <c r="AV8" t="s">
        <v>264</v>
      </c>
      <c r="AW8" t="s">
        <v>327</v>
      </c>
      <c r="AX8">
        <v>31</v>
      </c>
    </row>
    <row r="9" spans="1:50" ht="14.95" customHeight="1" thickBot="1" x14ac:dyDescent="0.3">
      <c r="A9" s="219" t="s">
        <v>1756</v>
      </c>
      <c r="B9" s="321">
        <v>1</v>
      </c>
      <c r="C9" s="165">
        <v>0</v>
      </c>
      <c r="D9" s="387">
        <v>0</v>
      </c>
      <c r="E9" s="226">
        <f t="shared" si="0"/>
        <v>1</v>
      </c>
      <c r="F9" s="224" t="s">
        <v>1756</v>
      </c>
      <c r="G9" s="323">
        <v>5</v>
      </c>
      <c r="H9" s="223">
        <v>0</v>
      </c>
      <c r="I9" s="389">
        <v>0</v>
      </c>
      <c r="J9" s="228">
        <f t="shared" si="1"/>
        <v>5</v>
      </c>
      <c r="K9" s="219" t="s">
        <v>930</v>
      </c>
      <c r="L9" s="226" t="s">
        <v>50</v>
      </c>
      <c r="M9" s="226" t="s">
        <v>50</v>
      </c>
      <c r="N9" s="226" t="s">
        <v>50</v>
      </c>
      <c r="O9" s="226" t="s">
        <v>50</v>
      </c>
      <c r="P9" s="226" t="s">
        <v>50</v>
      </c>
      <c r="Q9" s="226" t="s">
        <v>50</v>
      </c>
      <c r="R9" s="226" t="s">
        <v>64</v>
      </c>
      <c r="S9" s="226">
        <v>5</v>
      </c>
      <c r="T9" s="226" t="s">
        <v>50</v>
      </c>
      <c r="U9" s="226" t="s">
        <v>50</v>
      </c>
      <c r="V9" s="226" t="s">
        <v>50</v>
      </c>
      <c r="W9" s="235" t="s">
        <v>50</v>
      </c>
      <c r="X9" s="226" t="s">
        <v>50</v>
      </c>
      <c r="Y9" s="226" t="s">
        <v>50</v>
      </c>
      <c r="Z9" s="152"/>
      <c r="AA9" s="153"/>
      <c r="AB9" s="332"/>
      <c r="AC9" s="235" t="s">
        <v>50</v>
      </c>
      <c r="AD9" s="226" t="s">
        <v>50</v>
      </c>
      <c r="AE9" s="226" t="s">
        <v>50</v>
      </c>
      <c r="AF9" s="226" t="s">
        <v>50</v>
      </c>
      <c r="AG9" s="226" t="s">
        <v>50</v>
      </c>
      <c r="AH9" s="226" t="s">
        <v>50</v>
      </c>
      <c r="AI9" s="226" t="s">
        <v>50</v>
      </c>
      <c r="AJ9" s="226" t="s">
        <v>50</v>
      </c>
      <c r="AK9" s="226" t="s">
        <v>50</v>
      </c>
      <c r="AL9" s="226" t="s">
        <v>50</v>
      </c>
      <c r="AM9" s="226" t="s">
        <v>50</v>
      </c>
      <c r="AN9" s="226" t="s">
        <v>50</v>
      </c>
      <c r="AP9" t="s">
        <v>676</v>
      </c>
      <c r="AQ9" t="s">
        <v>260</v>
      </c>
      <c r="AR9" t="s">
        <v>633</v>
      </c>
      <c r="AS9">
        <v>279</v>
      </c>
      <c r="AU9" t="s">
        <v>495</v>
      </c>
      <c r="AV9" t="s">
        <v>268</v>
      </c>
      <c r="AW9" t="s">
        <v>566</v>
      </c>
      <c r="AX9">
        <v>21</v>
      </c>
    </row>
    <row r="10" spans="1:50" ht="14.95" customHeight="1" thickBot="1" x14ac:dyDescent="0.3">
      <c r="A10" s="219" t="s">
        <v>4</v>
      </c>
      <c r="B10" s="321">
        <v>0</v>
      </c>
      <c r="C10" s="165">
        <v>1</v>
      </c>
      <c r="D10" s="387">
        <v>0</v>
      </c>
      <c r="E10" s="226">
        <f t="shared" si="0"/>
        <v>1</v>
      </c>
      <c r="F10" s="224" t="s">
        <v>4</v>
      </c>
      <c r="G10" s="323">
        <v>0</v>
      </c>
      <c r="H10" s="223">
        <v>5</v>
      </c>
      <c r="I10" s="389">
        <v>0</v>
      </c>
      <c r="J10" s="228">
        <f t="shared" si="1"/>
        <v>5</v>
      </c>
      <c r="K10" s="219" t="s">
        <v>36</v>
      </c>
      <c r="L10" s="226" t="s">
        <v>50</v>
      </c>
      <c r="M10" s="226" t="s">
        <v>50</v>
      </c>
      <c r="N10" s="226" t="s">
        <v>50</v>
      </c>
      <c r="O10" s="226" t="s">
        <v>50</v>
      </c>
      <c r="P10" s="226" t="s">
        <v>50</v>
      </c>
      <c r="Q10" s="226" t="s">
        <v>50</v>
      </c>
      <c r="R10" s="226" t="s">
        <v>64</v>
      </c>
      <c r="S10" s="226" t="s">
        <v>67</v>
      </c>
      <c r="T10" s="226" t="s">
        <v>50</v>
      </c>
      <c r="U10" s="226" t="s">
        <v>50</v>
      </c>
      <c r="V10" s="226" t="s">
        <v>50</v>
      </c>
      <c r="W10" s="235" t="s">
        <v>50</v>
      </c>
      <c r="X10" s="226" t="s">
        <v>50</v>
      </c>
      <c r="Y10" s="226" t="s">
        <v>50</v>
      </c>
      <c r="Z10" s="152"/>
      <c r="AA10" s="153"/>
      <c r="AB10" s="332"/>
      <c r="AC10" s="235" t="s">
        <v>50</v>
      </c>
      <c r="AD10" s="226" t="s">
        <v>50</v>
      </c>
      <c r="AE10" s="226" t="s">
        <v>50</v>
      </c>
      <c r="AF10" s="226" t="s">
        <v>50</v>
      </c>
      <c r="AG10" s="226" t="s">
        <v>50</v>
      </c>
      <c r="AH10" s="226" t="s">
        <v>50</v>
      </c>
      <c r="AI10" s="226" t="s">
        <v>50</v>
      </c>
      <c r="AJ10" s="226" t="s">
        <v>50</v>
      </c>
      <c r="AK10" s="226" t="s">
        <v>50</v>
      </c>
      <c r="AL10" s="226">
        <v>0</v>
      </c>
      <c r="AM10" s="226">
        <v>1</v>
      </c>
      <c r="AN10" s="226">
        <v>0</v>
      </c>
      <c r="AP10" t="s">
        <v>640</v>
      </c>
      <c r="AQ10" t="s">
        <v>260</v>
      </c>
      <c r="AR10" t="s">
        <v>556</v>
      </c>
      <c r="AS10">
        <v>263</v>
      </c>
      <c r="AU10" t="s">
        <v>602</v>
      </c>
      <c r="AV10" t="s">
        <v>263</v>
      </c>
      <c r="AW10" t="s">
        <v>558</v>
      </c>
      <c r="AX10">
        <v>21</v>
      </c>
    </row>
    <row r="11" spans="1:50" ht="14.95" customHeight="1" thickBot="1" x14ac:dyDescent="0.3">
      <c r="A11" s="219" t="s">
        <v>1777</v>
      </c>
      <c r="B11" s="321">
        <v>0</v>
      </c>
      <c r="C11" s="165">
        <v>0</v>
      </c>
      <c r="D11" s="387">
        <v>1</v>
      </c>
      <c r="E11" s="226">
        <f t="shared" si="0"/>
        <v>1</v>
      </c>
      <c r="F11" s="224" t="s">
        <v>1777</v>
      </c>
      <c r="G11" s="323">
        <v>0</v>
      </c>
      <c r="H11" s="223">
        <v>0</v>
      </c>
      <c r="I11" s="389">
        <v>5</v>
      </c>
      <c r="J11" s="228">
        <f t="shared" si="1"/>
        <v>5</v>
      </c>
      <c r="K11" s="30"/>
      <c r="AP11" t="s">
        <v>570</v>
      </c>
      <c r="AQ11" t="s">
        <v>264</v>
      </c>
      <c r="AR11" t="s">
        <v>448</v>
      </c>
      <c r="AS11">
        <v>230</v>
      </c>
      <c r="AU11" t="s">
        <v>592</v>
      </c>
      <c r="AV11" t="s">
        <v>264</v>
      </c>
      <c r="AW11" t="s">
        <v>360</v>
      </c>
      <c r="AX11">
        <v>21</v>
      </c>
    </row>
    <row r="12" spans="1:50" ht="14.95" customHeight="1" thickBot="1" x14ac:dyDescent="0.3">
      <c r="A12" s="219" t="s">
        <v>206</v>
      </c>
      <c r="B12" s="321">
        <v>1</v>
      </c>
      <c r="C12" s="165">
        <v>1</v>
      </c>
      <c r="D12" s="387">
        <v>0</v>
      </c>
      <c r="E12" s="226">
        <f t="shared" si="0"/>
        <v>2</v>
      </c>
      <c r="F12" s="224" t="s">
        <v>206</v>
      </c>
      <c r="G12" s="323">
        <v>5</v>
      </c>
      <c r="H12" s="223">
        <v>5</v>
      </c>
      <c r="I12" s="389">
        <v>0</v>
      </c>
      <c r="J12" s="228">
        <f t="shared" si="1"/>
        <v>10</v>
      </c>
      <c r="K12" s="476" t="s">
        <v>1325</v>
      </c>
      <c r="L12" s="463" t="s">
        <v>49</v>
      </c>
      <c r="M12" s="464"/>
      <c r="N12" s="465"/>
      <c r="O12" s="457" t="s">
        <v>124</v>
      </c>
      <c r="P12" s="458"/>
      <c r="Q12" s="459"/>
      <c r="R12" s="457" t="s">
        <v>1070</v>
      </c>
      <c r="S12" s="458"/>
      <c r="T12" s="459"/>
      <c r="U12" s="457" t="s">
        <v>598</v>
      </c>
      <c r="V12" s="458"/>
      <c r="W12" s="459"/>
      <c r="X12" s="127"/>
      <c r="Y12" s="127"/>
      <c r="Z12" s="127"/>
      <c r="AA12" s="127"/>
      <c r="AB12" s="457" t="s">
        <v>254</v>
      </c>
      <c r="AC12" s="458"/>
      <c r="AD12" s="459"/>
      <c r="AE12" s="457" t="s">
        <v>186</v>
      </c>
      <c r="AF12" s="458"/>
      <c r="AG12" s="459"/>
      <c r="AP12" t="s">
        <v>571</v>
      </c>
      <c r="AQ12" t="s">
        <v>264</v>
      </c>
      <c r="AR12" t="s">
        <v>394</v>
      </c>
      <c r="AS12">
        <v>225</v>
      </c>
      <c r="AU12" t="s">
        <v>517</v>
      </c>
      <c r="AV12" t="s">
        <v>276</v>
      </c>
      <c r="AW12" t="s">
        <v>438</v>
      </c>
      <c r="AX12">
        <v>20</v>
      </c>
    </row>
    <row r="13" spans="1:50" ht="14.95" customHeight="1" thickBot="1" x14ac:dyDescent="0.3">
      <c r="A13" s="219" t="s">
        <v>985</v>
      </c>
      <c r="B13" s="321">
        <v>4</v>
      </c>
      <c r="C13" s="165">
        <v>0</v>
      </c>
      <c r="D13" s="387">
        <v>0</v>
      </c>
      <c r="E13" s="226">
        <f t="shared" si="0"/>
        <v>4</v>
      </c>
      <c r="F13" s="224" t="s">
        <v>985</v>
      </c>
      <c r="G13" s="323">
        <v>221</v>
      </c>
      <c r="H13" s="223">
        <v>43</v>
      </c>
      <c r="I13" s="389">
        <v>0</v>
      </c>
      <c r="J13" s="228">
        <f t="shared" si="1"/>
        <v>264</v>
      </c>
      <c r="K13" s="477"/>
      <c r="L13" s="466"/>
      <c r="M13" s="467"/>
      <c r="N13" s="468"/>
      <c r="O13" s="460"/>
      <c r="P13" s="461"/>
      <c r="Q13" s="462"/>
      <c r="R13" s="460"/>
      <c r="S13" s="461"/>
      <c r="T13" s="462"/>
      <c r="U13" s="460"/>
      <c r="V13" s="461"/>
      <c r="W13" s="462"/>
      <c r="X13" s="127"/>
      <c r="Y13" s="127"/>
      <c r="Z13" s="127"/>
      <c r="AA13" s="127"/>
      <c r="AB13" s="460"/>
      <c r="AC13" s="461"/>
      <c r="AD13" s="462"/>
      <c r="AE13" s="460"/>
      <c r="AF13" s="461"/>
      <c r="AG13" s="462"/>
      <c r="AP13" t="s">
        <v>613</v>
      </c>
      <c r="AQ13" t="s">
        <v>296</v>
      </c>
      <c r="AR13" t="s">
        <v>319</v>
      </c>
      <c r="AS13">
        <v>206</v>
      </c>
      <c r="AU13" t="s">
        <v>619</v>
      </c>
      <c r="AV13" t="s">
        <v>277</v>
      </c>
      <c r="AW13" t="s">
        <v>452</v>
      </c>
      <c r="AX13">
        <v>20</v>
      </c>
    </row>
    <row r="14" spans="1:50" ht="14.95" customHeight="1" thickBot="1" x14ac:dyDescent="0.3">
      <c r="A14" s="219" t="s">
        <v>986</v>
      </c>
      <c r="B14" s="321">
        <v>1</v>
      </c>
      <c r="C14" s="165">
        <v>0</v>
      </c>
      <c r="D14" s="387">
        <v>1</v>
      </c>
      <c r="E14" s="226">
        <f t="shared" si="0"/>
        <v>2</v>
      </c>
      <c r="F14" s="224" t="s">
        <v>986</v>
      </c>
      <c r="G14" s="323">
        <v>34</v>
      </c>
      <c r="H14" s="223">
        <v>0</v>
      </c>
      <c r="I14" s="389">
        <v>26</v>
      </c>
      <c r="J14" s="228">
        <f t="shared" si="1"/>
        <v>60</v>
      </c>
      <c r="K14" s="37" t="s">
        <v>87</v>
      </c>
      <c r="L14" s="15" t="s">
        <v>243</v>
      </c>
      <c r="M14" s="15" t="s">
        <v>42</v>
      </c>
      <c r="N14" s="15" t="s">
        <v>43</v>
      </c>
      <c r="O14" s="119" t="s">
        <v>243</v>
      </c>
      <c r="P14" s="119" t="s">
        <v>42</v>
      </c>
      <c r="Q14" s="119" t="s">
        <v>43</v>
      </c>
      <c r="R14" s="119" t="s">
        <v>243</v>
      </c>
      <c r="S14" s="119" t="s">
        <v>42</v>
      </c>
      <c r="T14" s="119" t="s">
        <v>43</v>
      </c>
      <c r="U14" s="124" t="s">
        <v>243</v>
      </c>
      <c r="V14" s="119" t="s">
        <v>42</v>
      </c>
      <c r="W14" s="119" t="s">
        <v>43</v>
      </c>
      <c r="AA14" s="153"/>
      <c r="AB14" s="124" t="s">
        <v>243</v>
      </c>
      <c r="AC14" s="119" t="s">
        <v>42</v>
      </c>
      <c r="AD14" s="119" t="s">
        <v>43</v>
      </c>
      <c r="AE14" s="158" t="s">
        <v>243</v>
      </c>
      <c r="AF14" s="119" t="s">
        <v>42</v>
      </c>
      <c r="AG14" s="119" t="s">
        <v>43</v>
      </c>
      <c r="AP14" t="s">
        <v>610</v>
      </c>
      <c r="AQ14" t="s">
        <v>268</v>
      </c>
      <c r="AR14" t="s">
        <v>637</v>
      </c>
      <c r="AS14">
        <v>190</v>
      </c>
      <c r="AU14" t="s">
        <v>721</v>
      </c>
      <c r="AV14" t="s">
        <v>272</v>
      </c>
      <c r="AW14" t="s">
        <v>438</v>
      </c>
      <c r="AX14">
        <v>20</v>
      </c>
    </row>
    <row r="15" spans="1:50" ht="14.95" customHeight="1" thickBot="1" x14ac:dyDescent="0.3">
      <c r="A15" s="219" t="s">
        <v>418</v>
      </c>
      <c r="B15" s="321">
        <v>0</v>
      </c>
      <c r="C15" s="165">
        <v>0</v>
      </c>
      <c r="D15" s="387">
        <v>0</v>
      </c>
      <c r="E15" s="226">
        <f t="shared" si="0"/>
        <v>0</v>
      </c>
      <c r="F15" s="224" t="s">
        <v>418</v>
      </c>
      <c r="G15" s="323">
        <v>0</v>
      </c>
      <c r="H15" s="223">
        <v>0</v>
      </c>
      <c r="I15" s="389">
        <v>0</v>
      </c>
      <c r="J15" s="228">
        <f t="shared" si="1"/>
        <v>0</v>
      </c>
      <c r="K15" s="219" t="s">
        <v>1064</v>
      </c>
      <c r="L15" s="226">
        <v>17</v>
      </c>
      <c r="M15" s="226">
        <v>21</v>
      </c>
      <c r="N15" s="229">
        <f>SUM(L15/M15)*100</f>
        <v>80.952380952380949</v>
      </c>
      <c r="O15" s="226">
        <v>21</v>
      </c>
      <c r="P15" s="226">
        <v>24</v>
      </c>
      <c r="Q15" s="229">
        <f>SUM(O15/P15)*100</f>
        <v>87.5</v>
      </c>
      <c r="R15" s="226">
        <v>20</v>
      </c>
      <c r="S15" s="226">
        <v>25</v>
      </c>
      <c r="T15" s="229">
        <f>SUM(R15/S15)*100</f>
        <v>80</v>
      </c>
      <c r="U15" s="232">
        <v>15</v>
      </c>
      <c r="V15" s="230">
        <v>21</v>
      </c>
      <c r="W15" s="231">
        <f>SUM(U15/V15)*100</f>
        <v>71.428571428571431</v>
      </c>
      <c r="AA15" s="251"/>
      <c r="AB15" s="232">
        <v>27</v>
      </c>
      <c r="AC15" s="230">
        <v>34</v>
      </c>
      <c r="AD15" s="231">
        <f>SUM(AB15/AC15)*100</f>
        <v>79.411764705882348</v>
      </c>
      <c r="AE15" s="233">
        <v>27</v>
      </c>
      <c r="AF15" s="225">
        <v>40</v>
      </c>
      <c r="AG15" s="234">
        <f>SUM(AE15/AF15)*100</f>
        <v>67.5</v>
      </c>
      <c r="AH15" t="s">
        <v>87</v>
      </c>
      <c r="AP15" t="s">
        <v>615</v>
      </c>
      <c r="AQ15" t="s">
        <v>272</v>
      </c>
      <c r="AR15" t="s">
        <v>442</v>
      </c>
      <c r="AS15">
        <v>185</v>
      </c>
      <c r="AU15" t="s">
        <v>521</v>
      </c>
      <c r="AV15" t="s">
        <v>276</v>
      </c>
      <c r="AW15" t="s">
        <v>450</v>
      </c>
      <c r="AX15">
        <v>19</v>
      </c>
    </row>
    <row r="16" spans="1:50" ht="14.95" customHeight="1" thickBot="1" x14ac:dyDescent="0.3">
      <c r="A16" s="219" t="s">
        <v>1838</v>
      </c>
      <c r="B16" s="321">
        <v>1</v>
      </c>
      <c r="C16" s="165">
        <v>0</v>
      </c>
      <c r="D16" s="387">
        <v>0</v>
      </c>
      <c r="E16" s="226">
        <f t="shared" si="0"/>
        <v>1</v>
      </c>
      <c r="F16" s="224" t="s">
        <v>1838</v>
      </c>
      <c r="G16" s="323">
        <v>5</v>
      </c>
      <c r="H16" s="223">
        <v>0</v>
      </c>
      <c r="I16" s="389">
        <v>0</v>
      </c>
      <c r="J16" s="228">
        <f t="shared" si="1"/>
        <v>5</v>
      </c>
      <c r="K16" s="219" t="s">
        <v>419</v>
      </c>
      <c r="L16" s="226">
        <v>1</v>
      </c>
      <c r="M16" s="226">
        <v>1</v>
      </c>
      <c r="N16" s="229">
        <f>SUM(L16/M16)*100</f>
        <v>100</v>
      </c>
      <c r="O16" s="226" t="s">
        <v>50</v>
      </c>
      <c r="P16" s="226" t="s">
        <v>50</v>
      </c>
      <c r="Q16" s="226" t="s">
        <v>50</v>
      </c>
      <c r="R16" s="226" t="s">
        <v>50</v>
      </c>
      <c r="S16" s="226" t="s">
        <v>50</v>
      </c>
      <c r="T16" s="226" t="s">
        <v>50</v>
      </c>
      <c r="U16" s="235" t="s">
        <v>50</v>
      </c>
      <c r="V16" s="226" t="s">
        <v>50</v>
      </c>
      <c r="W16" s="226" t="s">
        <v>50</v>
      </c>
      <c r="AA16" s="251"/>
      <c r="AB16" s="235" t="s">
        <v>50</v>
      </c>
      <c r="AC16" s="226" t="s">
        <v>50</v>
      </c>
      <c r="AD16" s="226" t="s">
        <v>50</v>
      </c>
      <c r="AE16" s="235" t="s">
        <v>50</v>
      </c>
      <c r="AF16" s="226" t="s">
        <v>50</v>
      </c>
      <c r="AG16" s="226" t="s">
        <v>50</v>
      </c>
      <c r="AP16" t="s">
        <v>494</v>
      </c>
      <c r="AQ16" t="s">
        <v>260</v>
      </c>
      <c r="AR16" t="s">
        <v>482</v>
      </c>
      <c r="AS16">
        <v>163</v>
      </c>
      <c r="AU16" t="s">
        <v>626</v>
      </c>
      <c r="AV16" t="s">
        <v>260</v>
      </c>
      <c r="AW16" t="s">
        <v>398</v>
      </c>
      <c r="AX16">
        <v>19</v>
      </c>
    </row>
    <row r="17" spans="1:50" ht="14.95" customHeight="1" thickBot="1" x14ac:dyDescent="0.3">
      <c r="A17" s="219" t="s">
        <v>1034</v>
      </c>
      <c r="B17" s="321">
        <v>0</v>
      </c>
      <c r="C17" s="165">
        <v>0</v>
      </c>
      <c r="D17" s="387">
        <v>0</v>
      </c>
      <c r="E17" s="226">
        <f t="shared" si="0"/>
        <v>0</v>
      </c>
      <c r="F17" s="224" t="s">
        <v>1034</v>
      </c>
      <c r="G17" s="323">
        <v>3</v>
      </c>
      <c r="H17" s="223">
        <v>0</v>
      </c>
      <c r="I17" s="389">
        <v>13</v>
      </c>
      <c r="J17" s="228">
        <f t="shared" si="1"/>
        <v>16</v>
      </c>
      <c r="K17" s="219" t="s">
        <v>1065</v>
      </c>
      <c r="L17" s="226">
        <v>0</v>
      </c>
      <c r="M17" s="226">
        <v>2</v>
      </c>
      <c r="N17" s="229">
        <f>SUM(L17/M17)*100</f>
        <v>0</v>
      </c>
      <c r="O17" s="226">
        <v>1</v>
      </c>
      <c r="P17" s="226">
        <v>2</v>
      </c>
      <c r="Q17" s="229">
        <f>SUM(O17/P17)*100</f>
        <v>50</v>
      </c>
      <c r="R17" s="226" t="s">
        <v>50</v>
      </c>
      <c r="S17" s="226" t="s">
        <v>50</v>
      </c>
      <c r="T17" s="226" t="s">
        <v>50</v>
      </c>
      <c r="U17" s="235">
        <v>12</v>
      </c>
      <c r="V17" s="226">
        <v>17</v>
      </c>
      <c r="W17" s="229">
        <f>SUM(U17/V17)*100</f>
        <v>70.588235294117652</v>
      </c>
      <c r="AA17" s="251"/>
      <c r="AB17" s="235">
        <v>1</v>
      </c>
      <c r="AC17" s="226">
        <v>1</v>
      </c>
      <c r="AD17" s="229">
        <f>SUM(AB17/AC17)*100</f>
        <v>100</v>
      </c>
      <c r="AE17" s="235">
        <v>6</v>
      </c>
      <c r="AF17" s="226">
        <v>6</v>
      </c>
      <c r="AG17" s="229">
        <f>SUM(AE17/AF17)*100</f>
        <v>100</v>
      </c>
      <c r="AP17" t="s">
        <v>567</v>
      </c>
      <c r="AQ17" t="s">
        <v>264</v>
      </c>
      <c r="AR17" t="s">
        <v>327</v>
      </c>
      <c r="AS17">
        <v>155</v>
      </c>
      <c r="AU17" t="s">
        <v>435</v>
      </c>
      <c r="AV17" t="s">
        <v>270</v>
      </c>
      <c r="AW17" t="s">
        <v>475</v>
      </c>
      <c r="AX17">
        <v>19</v>
      </c>
    </row>
    <row r="18" spans="1:50" ht="14.95" customHeight="1" thickBot="1" x14ac:dyDescent="0.3">
      <c r="A18" s="219" t="s">
        <v>77</v>
      </c>
      <c r="B18" s="321">
        <v>0</v>
      </c>
      <c r="C18" s="165">
        <v>0</v>
      </c>
      <c r="D18" s="387">
        <v>0</v>
      </c>
      <c r="E18" s="226">
        <f t="shared" si="0"/>
        <v>0</v>
      </c>
      <c r="F18" s="224" t="s">
        <v>77</v>
      </c>
      <c r="G18" s="323">
        <v>0</v>
      </c>
      <c r="H18" s="223">
        <v>0</v>
      </c>
      <c r="I18" s="389">
        <v>0</v>
      </c>
      <c r="J18" s="228">
        <f t="shared" si="1"/>
        <v>0</v>
      </c>
      <c r="AP18" t="s">
        <v>269</v>
      </c>
      <c r="AQ18" t="s">
        <v>270</v>
      </c>
      <c r="AR18" t="s">
        <v>381</v>
      </c>
      <c r="AS18">
        <v>150</v>
      </c>
      <c r="AU18" t="s">
        <v>493</v>
      </c>
      <c r="AV18" t="s">
        <v>262</v>
      </c>
      <c r="AW18" t="s">
        <v>461</v>
      </c>
      <c r="AX18">
        <v>19</v>
      </c>
    </row>
    <row r="19" spans="1:50" ht="14.95" customHeight="1" thickBot="1" x14ac:dyDescent="0.3">
      <c r="A19" s="219" t="s">
        <v>88</v>
      </c>
      <c r="B19" s="321">
        <v>5</v>
      </c>
      <c r="C19" s="165">
        <v>1</v>
      </c>
      <c r="D19" s="387">
        <v>0</v>
      </c>
      <c r="E19" s="226">
        <f t="shared" si="0"/>
        <v>6</v>
      </c>
      <c r="F19" s="224" t="s">
        <v>88</v>
      </c>
      <c r="G19" s="323">
        <v>25</v>
      </c>
      <c r="H19" s="223">
        <v>5</v>
      </c>
      <c r="I19" s="389">
        <v>0</v>
      </c>
      <c r="J19" s="228">
        <f t="shared" si="1"/>
        <v>30</v>
      </c>
      <c r="K19" s="474" t="s">
        <v>1071</v>
      </c>
      <c r="L19" s="463" t="s">
        <v>49</v>
      </c>
      <c r="M19" s="464"/>
      <c r="N19" s="465"/>
      <c r="O19" s="457" t="s">
        <v>124</v>
      </c>
      <c r="P19" s="458"/>
      <c r="Q19" s="459"/>
      <c r="R19" s="457" t="s">
        <v>1070</v>
      </c>
      <c r="S19" s="458"/>
      <c r="T19" s="459"/>
      <c r="U19" s="457" t="s">
        <v>254</v>
      </c>
      <c r="V19" s="458"/>
      <c r="W19" s="459"/>
      <c r="AB19" s="457" t="s">
        <v>186</v>
      </c>
      <c r="AC19" s="458"/>
      <c r="AD19" s="459"/>
      <c r="AP19" t="s">
        <v>577</v>
      </c>
      <c r="AQ19" t="s">
        <v>271</v>
      </c>
      <c r="AR19" t="s">
        <v>368</v>
      </c>
      <c r="AS19">
        <v>138</v>
      </c>
      <c r="AU19" t="s">
        <v>724</v>
      </c>
      <c r="AV19" t="s">
        <v>271</v>
      </c>
      <c r="AW19" t="s">
        <v>398</v>
      </c>
      <c r="AX19">
        <v>18</v>
      </c>
    </row>
    <row r="20" spans="1:50" ht="14.95" customHeight="1" thickBot="1" x14ac:dyDescent="0.3">
      <c r="A20" s="219" t="s">
        <v>73</v>
      </c>
      <c r="B20" s="321">
        <v>2</v>
      </c>
      <c r="C20" s="165">
        <v>2</v>
      </c>
      <c r="D20" s="387">
        <v>0</v>
      </c>
      <c r="E20" s="226">
        <f t="shared" si="0"/>
        <v>4</v>
      </c>
      <c r="F20" s="224" t="s">
        <v>73</v>
      </c>
      <c r="G20" s="323">
        <v>10</v>
      </c>
      <c r="H20" s="223">
        <v>10</v>
      </c>
      <c r="I20" s="389">
        <v>0</v>
      </c>
      <c r="J20" s="228">
        <f t="shared" si="1"/>
        <v>20</v>
      </c>
      <c r="K20" s="475"/>
      <c r="L20" s="466"/>
      <c r="M20" s="467"/>
      <c r="N20" s="468"/>
      <c r="O20" s="460"/>
      <c r="P20" s="461"/>
      <c r="Q20" s="462"/>
      <c r="R20" s="460"/>
      <c r="S20" s="461"/>
      <c r="T20" s="462"/>
      <c r="U20" s="460"/>
      <c r="V20" s="461"/>
      <c r="W20" s="462"/>
      <c r="AB20" s="460"/>
      <c r="AC20" s="461"/>
      <c r="AD20" s="462"/>
      <c r="AP20" t="s">
        <v>720</v>
      </c>
      <c r="AQ20" t="s">
        <v>260</v>
      </c>
      <c r="AR20" t="s">
        <v>286</v>
      </c>
      <c r="AS20">
        <v>125</v>
      </c>
      <c r="AU20" t="s">
        <v>725</v>
      </c>
      <c r="AV20" t="s">
        <v>268</v>
      </c>
      <c r="AW20" t="s">
        <v>356</v>
      </c>
      <c r="AX20">
        <v>18</v>
      </c>
    </row>
    <row r="21" spans="1:50" ht="14.95" customHeight="1" thickBot="1" x14ac:dyDescent="0.3">
      <c r="A21" s="219" t="s">
        <v>26</v>
      </c>
      <c r="B21" s="321">
        <v>0</v>
      </c>
      <c r="C21" s="165">
        <v>0</v>
      </c>
      <c r="D21" s="387">
        <v>0</v>
      </c>
      <c r="E21" s="226">
        <f t="shared" si="0"/>
        <v>0</v>
      </c>
      <c r="F21" s="224" t="s">
        <v>26</v>
      </c>
      <c r="G21" s="323">
        <v>0</v>
      </c>
      <c r="H21" s="223">
        <v>0</v>
      </c>
      <c r="I21" s="389">
        <v>0</v>
      </c>
      <c r="J21" s="228">
        <f t="shared" si="1"/>
        <v>0</v>
      </c>
      <c r="K21" s="37" t="s">
        <v>87</v>
      </c>
      <c r="L21" s="15" t="s">
        <v>243</v>
      </c>
      <c r="M21" s="15" t="s">
        <v>42</v>
      </c>
      <c r="N21" s="15" t="s">
        <v>43</v>
      </c>
      <c r="O21" s="119" t="s">
        <v>243</v>
      </c>
      <c r="P21" s="119" t="s">
        <v>42</v>
      </c>
      <c r="Q21" s="119" t="s">
        <v>43</v>
      </c>
      <c r="R21" s="119" t="s">
        <v>243</v>
      </c>
      <c r="S21" s="119" t="s">
        <v>42</v>
      </c>
      <c r="T21" s="119" t="s">
        <v>43</v>
      </c>
      <c r="U21" s="124" t="s">
        <v>243</v>
      </c>
      <c r="V21" s="119" t="s">
        <v>42</v>
      </c>
      <c r="W21" s="119" t="s">
        <v>43</v>
      </c>
      <c r="AB21" s="124" t="s">
        <v>243</v>
      </c>
      <c r="AC21" s="119" t="s">
        <v>42</v>
      </c>
      <c r="AD21" s="119" t="s">
        <v>43</v>
      </c>
      <c r="AP21" t="s">
        <v>495</v>
      </c>
      <c r="AQ21" t="s">
        <v>268</v>
      </c>
      <c r="AR21" t="s">
        <v>566</v>
      </c>
      <c r="AS21">
        <v>105</v>
      </c>
      <c r="AU21" t="s">
        <v>618</v>
      </c>
      <c r="AV21" t="s">
        <v>272</v>
      </c>
      <c r="AW21" t="s">
        <v>400</v>
      </c>
      <c r="AX21">
        <v>18</v>
      </c>
    </row>
    <row r="22" spans="1:50" ht="14.95" customHeight="1" thickBot="1" x14ac:dyDescent="0.3">
      <c r="A22" s="219" t="s">
        <v>38</v>
      </c>
      <c r="B22" s="321">
        <v>11</v>
      </c>
      <c r="C22" s="165">
        <v>1</v>
      </c>
      <c r="D22" s="387">
        <v>0</v>
      </c>
      <c r="E22" s="226">
        <f t="shared" si="0"/>
        <v>12</v>
      </c>
      <c r="F22" s="224" t="s">
        <v>38</v>
      </c>
      <c r="G22" s="323">
        <v>55</v>
      </c>
      <c r="H22" s="223">
        <v>5</v>
      </c>
      <c r="I22" s="389">
        <v>0</v>
      </c>
      <c r="J22" s="228">
        <f t="shared" si="1"/>
        <v>60</v>
      </c>
      <c r="K22" s="219" t="s">
        <v>1064</v>
      </c>
      <c r="L22" s="226" t="s">
        <v>50</v>
      </c>
      <c r="M22" s="226" t="s">
        <v>50</v>
      </c>
      <c r="N22" s="226" t="s">
        <v>50</v>
      </c>
      <c r="O22" s="226" t="s">
        <v>50</v>
      </c>
      <c r="P22" s="226" t="s">
        <v>50</v>
      </c>
      <c r="Q22" s="226" t="s">
        <v>50</v>
      </c>
      <c r="R22" s="226" t="s">
        <v>50</v>
      </c>
      <c r="S22" s="226" t="s">
        <v>50</v>
      </c>
      <c r="T22" s="226" t="s">
        <v>50</v>
      </c>
      <c r="U22" s="235" t="s">
        <v>50</v>
      </c>
      <c r="V22" s="226" t="s">
        <v>50</v>
      </c>
      <c r="W22" s="226" t="s">
        <v>50</v>
      </c>
      <c r="AA22" t="s">
        <v>87</v>
      </c>
      <c r="AB22" s="232">
        <v>5</v>
      </c>
      <c r="AC22" s="230">
        <v>5</v>
      </c>
      <c r="AD22" s="231">
        <f>SUM(AB22/AC22)*100</f>
        <v>100</v>
      </c>
      <c r="AP22" t="s">
        <v>592</v>
      </c>
      <c r="AQ22" t="s">
        <v>264</v>
      </c>
      <c r="AR22" t="s">
        <v>360</v>
      </c>
      <c r="AS22">
        <v>105</v>
      </c>
      <c r="AU22" t="s">
        <v>723</v>
      </c>
      <c r="AV22" t="s">
        <v>271</v>
      </c>
      <c r="AW22" t="s">
        <v>340</v>
      </c>
      <c r="AX22">
        <v>17</v>
      </c>
    </row>
    <row r="23" spans="1:50" ht="14.95" customHeight="1" thickBot="1" x14ac:dyDescent="0.3">
      <c r="A23" s="219" t="s">
        <v>207</v>
      </c>
      <c r="B23" s="321">
        <v>4</v>
      </c>
      <c r="C23" s="165">
        <v>0</v>
      </c>
      <c r="D23" s="387">
        <v>0</v>
      </c>
      <c r="E23" s="226">
        <f t="shared" si="0"/>
        <v>4</v>
      </c>
      <c r="F23" s="224" t="s">
        <v>207</v>
      </c>
      <c r="G23" s="323">
        <v>20</v>
      </c>
      <c r="H23" s="223">
        <v>0</v>
      </c>
      <c r="I23" s="389">
        <v>0</v>
      </c>
      <c r="J23" s="228">
        <f t="shared" si="1"/>
        <v>20</v>
      </c>
      <c r="K23" s="219" t="s">
        <v>930</v>
      </c>
      <c r="L23" s="226" t="s">
        <v>50</v>
      </c>
      <c r="M23" s="226" t="s">
        <v>50</v>
      </c>
      <c r="N23" s="226" t="s">
        <v>50</v>
      </c>
      <c r="O23" s="226">
        <v>4</v>
      </c>
      <c r="P23" s="226">
        <v>4</v>
      </c>
      <c r="Q23" s="229">
        <f>SUM(O23/P23)*100</f>
        <v>100</v>
      </c>
      <c r="R23" s="226">
        <v>1</v>
      </c>
      <c r="S23" s="226">
        <v>3</v>
      </c>
      <c r="T23" s="229">
        <f>SUM(R23/S23)*100</f>
        <v>33.333333333333329</v>
      </c>
      <c r="U23" s="235" t="s">
        <v>50</v>
      </c>
      <c r="V23" s="226" t="s">
        <v>50</v>
      </c>
      <c r="W23" s="226" t="s">
        <v>50</v>
      </c>
      <c r="AA23" t="s">
        <v>87</v>
      </c>
      <c r="AB23" s="235" t="s">
        <v>50</v>
      </c>
      <c r="AC23" s="226" t="s">
        <v>50</v>
      </c>
      <c r="AD23" s="226" t="s">
        <v>50</v>
      </c>
      <c r="AP23" t="s">
        <v>517</v>
      </c>
      <c r="AQ23" t="s">
        <v>276</v>
      </c>
      <c r="AR23" t="s">
        <v>438</v>
      </c>
      <c r="AS23">
        <v>100</v>
      </c>
      <c r="AU23" t="s">
        <v>577</v>
      </c>
      <c r="AV23" t="s">
        <v>271</v>
      </c>
      <c r="AW23" t="s">
        <v>368</v>
      </c>
      <c r="AX23">
        <v>16</v>
      </c>
    </row>
    <row r="24" spans="1:50" ht="14.95" customHeight="1" thickBot="1" x14ac:dyDescent="0.3">
      <c r="A24" s="219" t="s">
        <v>1760</v>
      </c>
      <c r="B24" s="321">
        <v>2</v>
      </c>
      <c r="C24" s="165">
        <v>0</v>
      </c>
      <c r="D24" s="387">
        <v>0</v>
      </c>
      <c r="E24" s="226">
        <f t="shared" si="0"/>
        <v>2</v>
      </c>
      <c r="F24" s="224" t="s">
        <v>1760</v>
      </c>
      <c r="G24" s="323">
        <v>10</v>
      </c>
      <c r="H24" s="223">
        <v>0</v>
      </c>
      <c r="I24" s="389">
        <v>0</v>
      </c>
      <c r="J24" s="228">
        <f t="shared" si="1"/>
        <v>10</v>
      </c>
      <c r="K24" s="219" t="s">
        <v>1065</v>
      </c>
      <c r="L24" s="226">
        <v>8</v>
      </c>
      <c r="M24" s="226">
        <v>11</v>
      </c>
      <c r="N24" s="229">
        <f>SUM(L24/M24)*100</f>
        <v>72.727272727272734</v>
      </c>
      <c r="O24" s="226">
        <v>8</v>
      </c>
      <c r="P24" s="226">
        <v>10</v>
      </c>
      <c r="Q24" s="229">
        <f>SUM(O24/P24)*100</f>
        <v>80</v>
      </c>
      <c r="R24" s="226" t="s">
        <v>50</v>
      </c>
      <c r="S24" s="226" t="s">
        <v>50</v>
      </c>
      <c r="T24" s="226" t="s">
        <v>50</v>
      </c>
      <c r="U24" s="235">
        <v>8</v>
      </c>
      <c r="V24" s="226">
        <v>11</v>
      </c>
      <c r="W24" s="229">
        <f>SUM(U24/V24)*100</f>
        <v>72.727272727272734</v>
      </c>
      <c r="AB24" s="235">
        <v>11</v>
      </c>
      <c r="AC24" s="226">
        <v>12</v>
      </c>
      <c r="AD24" s="229">
        <f>SUM(AB24/AC24)*100</f>
        <v>91.666666666666657</v>
      </c>
      <c r="AP24" t="s">
        <v>619</v>
      </c>
      <c r="AQ24" t="s">
        <v>277</v>
      </c>
      <c r="AR24" t="s">
        <v>452</v>
      </c>
      <c r="AS24">
        <v>100</v>
      </c>
      <c r="AU24" t="s">
        <v>540</v>
      </c>
      <c r="AV24" t="s">
        <v>279</v>
      </c>
      <c r="AW24" t="s">
        <v>458</v>
      </c>
      <c r="AX24">
        <v>16</v>
      </c>
    </row>
    <row r="25" spans="1:50" ht="14.95" customHeight="1" thickBot="1" x14ac:dyDescent="0.3">
      <c r="A25" s="219" t="s">
        <v>987</v>
      </c>
      <c r="B25" s="321">
        <v>0</v>
      </c>
      <c r="C25" s="165">
        <v>0</v>
      </c>
      <c r="D25" s="387">
        <v>1</v>
      </c>
      <c r="E25" s="226">
        <f t="shared" si="0"/>
        <v>1</v>
      </c>
      <c r="F25" s="224" t="s">
        <v>987</v>
      </c>
      <c r="G25" s="323">
        <v>0</v>
      </c>
      <c r="H25" s="223">
        <v>0</v>
      </c>
      <c r="I25" s="389">
        <v>5</v>
      </c>
      <c r="J25" s="228">
        <f t="shared" si="1"/>
        <v>5</v>
      </c>
      <c r="K25" s="219" t="s">
        <v>1034</v>
      </c>
      <c r="L25" s="226">
        <v>5</v>
      </c>
      <c r="M25" s="226">
        <v>7</v>
      </c>
      <c r="N25" s="229">
        <f>SUM(L25/M25)*100</f>
        <v>71.428571428571431</v>
      </c>
      <c r="O25" s="226">
        <v>5</v>
      </c>
      <c r="P25" s="226">
        <v>5</v>
      </c>
      <c r="Q25" s="229">
        <f>SUM(O25/P25)*100</f>
        <v>100</v>
      </c>
      <c r="R25" s="226" t="s">
        <v>50</v>
      </c>
      <c r="S25" s="226" t="s">
        <v>50</v>
      </c>
      <c r="T25" s="226" t="s">
        <v>50</v>
      </c>
      <c r="U25" s="235" t="s">
        <v>50</v>
      </c>
      <c r="V25" s="226" t="s">
        <v>50</v>
      </c>
      <c r="W25" s="226" t="s">
        <v>50</v>
      </c>
      <c r="AB25" s="235" t="s">
        <v>50</v>
      </c>
      <c r="AC25" s="226" t="s">
        <v>50</v>
      </c>
      <c r="AD25" s="226" t="s">
        <v>50</v>
      </c>
      <c r="AP25" t="s">
        <v>721</v>
      </c>
      <c r="AQ25" t="s">
        <v>272</v>
      </c>
      <c r="AR25" t="s">
        <v>438</v>
      </c>
      <c r="AS25">
        <v>100</v>
      </c>
      <c r="AU25" t="s">
        <v>727</v>
      </c>
      <c r="AV25" t="s">
        <v>262</v>
      </c>
      <c r="AW25" t="s">
        <v>489</v>
      </c>
      <c r="AX25">
        <v>14</v>
      </c>
    </row>
    <row r="26" spans="1:50" ht="14.95" customHeight="1" thickBot="1" x14ac:dyDescent="0.3">
      <c r="A26" s="219" t="s">
        <v>7</v>
      </c>
      <c r="B26" s="321">
        <v>0</v>
      </c>
      <c r="C26" s="165">
        <v>0</v>
      </c>
      <c r="D26" s="387">
        <v>0</v>
      </c>
      <c r="E26" s="226">
        <f t="shared" si="0"/>
        <v>0</v>
      </c>
      <c r="F26" s="224" t="s">
        <v>7</v>
      </c>
      <c r="G26" s="323">
        <v>0</v>
      </c>
      <c r="H26" s="223">
        <v>0</v>
      </c>
      <c r="I26" s="389">
        <v>0</v>
      </c>
      <c r="J26" s="228">
        <f t="shared" si="1"/>
        <v>0</v>
      </c>
      <c r="K26" s="219" t="s">
        <v>419</v>
      </c>
      <c r="L26" s="226" t="s">
        <v>50</v>
      </c>
      <c r="M26" s="226" t="s">
        <v>50</v>
      </c>
      <c r="N26" s="226" t="s">
        <v>50</v>
      </c>
      <c r="O26" s="226" t="s">
        <v>50</v>
      </c>
      <c r="P26" s="226" t="s">
        <v>50</v>
      </c>
      <c r="Q26" s="226" t="s">
        <v>50</v>
      </c>
      <c r="R26" s="226" t="s">
        <v>50</v>
      </c>
      <c r="S26" s="226" t="s">
        <v>50</v>
      </c>
      <c r="T26" s="226" t="s">
        <v>50</v>
      </c>
      <c r="U26" s="235" t="s">
        <v>50</v>
      </c>
      <c r="V26" s="226" t="s">
        <v>50</v>
      </c>
      <c r="W26" s="226" t="s">
        <v>50</v>
      </c>
      <c r="AB26" s="235" t="s">
        <v>50</v>
      </c>
      <c r="AC26" s="226" t="s">
        <v>50</v>
      </c>
      <c r="AD26" s="226" t="s">
        <v>50</v>
      </c>
      <c r="AP26" t="s">
        <v>493</v>
      </c>
      <c r="AQ26" t="s">
        <v>262</v>
      </c>
      <c r="AR26" t="s">
        <v>461</v>
      </c>
      <c r="AS26">
        <v>98</v>
      </c>
      <c r="AU26" t="s">
        <v>683</v>
      </c>
      <c r="AV26" t="s">
        <v>268</v>
      </c>
      <c r="AW26" t="s">
        <v>305</v>
      </c>
      <c r="AX26">
        <v>14</v>
      </c>
    </row>
    <row r="27" spans="1:50" ht="14.95" customHeight="1" thickBot="1" x14ac:dyDescent="0.3">
      <c r="A27" s="219" t="s">
        <v>1049</v>
      </c>
      <c r="B27" s="321">
        <v>0</v>
      </c>
      <c r="C27" s="165">
        <v>0</v>
      </c>
      <c r="D27" s="387">
        <v>1</v>
      </c>
      <c r="E27" s="226">
        <f t="shared" si="0"/>
        <v>1</v>
      </c>
      <c r="F27" s="224" t="s">
        <v>1049</v>
      </c>
      <c r="G27" s="323">
        <v>0</v>
      </c>
      <c r="H27" s="223">
        <v>0</v>
      </c>
      <c r="I27" s="389">
        <v>5</v>
      </c>
      <c r="J27" s="228">
        <f t="shared" si="1"/>
        <v>5</v>
      </c>
      <c r="K27" s="236" t="s">
        <v>1746</v>
      </c>
      <c r="AP27" t="s">
        <v>722</v>
      </c>
      <c r="AQ27" t="s">
        <v>262</v>
      </c>
      <c r="AR27" t="s">
        <v>307</v>
      </c>
      <c r="AS27">
        <v>97</v>
      </c>
      <c r="AU27" t="s">
        <v>728</v>
      </c>
      <c r="AV27" t="s">
        <v>272</v>
      </c>
      <c r="AW27" t="s">
        <v>327</v>
      </c>
      <c r="AX27">
        <v>14</v>
      </c>
    </row>
    <row r="28" spans="1:50" ht="14.95" customHeight="1" thickBot="1" x14ac:dyDescent="0.3">
      <c r="A28" s="219" t="s">
        <v>1055</v>
      </c>
      <c r="B28" s="321">
        <v>0</v>
      </c>
      <c r="C28" s="165">
        <v>0</v>
      </c>
      <c r="D28" s="387">
        <v>0</v>
      </c>
      <c r="E28" s="226">
        <f t="shared" si="0"/>
        <v>0</v>
      </c>
      <c r="F28" s="224" t="s">
        <v>1055</v>
      </c>
      <c r="G28" s="323">
        <v>0</v>
      </c>
      <c r="H28" s="223">
        <v>0</v>
      </c>
      <c r="I28" s="389">
        <v>0</v>
      </c>
      <c r="J28" s="228">
        <f t="shared" si="1"/>
        <v>0</v>
      </c>
      <c r="AP28" t="s">
        <v>723</v>
      </c>
      <c r="AQ28" t="s">
        <v>271</v>
      </c>
      <c r="AR28" t="s">
        <v>340</v>
      </c>
      <c r="AS28">
        <v>96</v>
      </c>
      <c r="AU28" t="s">
        <v>617</v>
      </c>
      <c r="AV28" t="s">
        <v>284</v>
      </c>
      <c r="AW28" t="s">
        <v>350</v>
      </c>
      <c r="AX28">
        <v>13</v>
      </c>
    </row>
    <row r="29" spans="1:50" ht="14.95" customHeight="1" thickBot="1" x14ac:dyDescent="0.3">
      <c r="A29" s="219" t="s">
        <v>93</v>
      </c>
      <c r="B29" s="321">
        <v>1</v>
      </c>
      <c r="C29" s="165">
        <v>0</v>
      </c>
      <c r="D29" s="387">
        <v>0</v>
      </c>
      <c r="E29" s="226">
        <f t="shared" si="0"/>
        <v>1</v>
      </c>
      <c r="F29" s="224" t="s">
        <v>93</v>
      </c>
      <c r="G29" s="323">
        <v>5</v>
      </c>
      <c r="H29" s="223">
        <v>0</v>
      </c>
      <c r="I29" s="389">
        <v>0</v>
      </c>
      <c r="J29" s="228">
        <f t="shared" si="1"/>
        <v>5</v>
      </c>
      <c r="AP29" t="s">
        <v>521</v>
      </c>
      <c r="AQ29" t="s">
        <v>276</v>
      </c>
      <c r="AR29" t="s">
        <v>450</v>
      </c>
      <c r="AS29">
        <v>95</v>
      </c>
      <c r="AU29" t="s">
        <v>622</v>
      </c>
      <c r="AV29" t="s">
        <v>271</v>
      </c>
      <c r="AW29" t="s">
        <v>729</v>
      </c>
      <c r="AX29">
        <v>13</v>
      </c>
    </row>
    <row r="30" spans="1:50" ht="14.95" customHeight="1" thickBot="1" x14ac:dyDescent="0.3">
      <c r="A30" s="219" t="s">
        <v>16</v>
      </c>
      <c r="B30" s="321">
        <v>0</v>
      </c>
      <c r="C30" s="165">
        <v>0</v>
      </c>
      <c r="D30" s="387">
        <v>0</v>
      </c>
      <c r="E30" s="226">
        <f t="shared" si="0"/>
        <v>0</v>
      </c>
      <c r="F30" s="224" t="s">
        <v>16</v>
      </c>
      <c r="G30" s="323">
        <v>0</v>
      </c>
      <c r="H30" s="223">
        <v>0</v>
      </c>
      <c r="I30" s="389">
        <v>0</v>
      </c>
      <c r="J30" s="228">
        <f t="shared" si="1"/>
        <v>0</v>
      </c>
      <c r="AP30" t="s">
        <v>724</v>
      </c>
      <c r="AQ30" t="s">
        <v>271</v>
      </c>
      <c r="AR30" t="s">
        <v>398</v>
      </c>
      <c r="AS30">
        <v>90</v>
      </c>
      <c r="AU30" t="s">
        <v>636</v>
      </c>
      <c r="AV30" t="s">
        <v>274</v>
      </c>
      <c r="AW30" t="s">
        <v>353</v>
      </c>
      <c r="AX30">
        <v>13</v>
      </c>
    </row>
    <row r="31" spans="1:50" ht="14.95" customHeight="1" thickBot="1" x14ac:dyDescent="0.3">
      <c r="A31" s="219" t="s">
        <v>1229</v>
      </c>
      <c r="B31" s="321">
        <v>0</v>
      </c>
      <c r="C31" s="165">
        <v>0</v>
      </c>
      <c r="D31" s="387">
        <v>0</v>
      </c>
      <c r="E31" s="226">
        <f t="shared" si="0"/>
        <v>0</v>
      </c>
      <c r="F31" s="224" t="s">
        <v>1229</v>
      </c>
      <c r="G31" s="323">
        <v>0</v>
      </c>
      <c r="H31" s="223">
        <v>0</v>
      </c>
      <c r="I31" s="389">
        <v>0</v>
      </c>
      <c r="J31" s="228">
        <f t="shared" si="1"/>
        <v>0</v>
      </c>
      <c r="AP31" t="s">
        <v>725</v>
      </c>
      <c r="AQ31" t="s">
        <v>268</v>
      </c>
      <c r="AR31" t="s">
        <v>356</v>
      </c>
      <c r="AS31">
        <v>90</v>
      </c>
      <c r="AU31" t="s">
        <v>590</v>
      </c>
      <c r="AV31" t="s">
        <v>268</v>
      </c>
      <c r="AW31" t="s">
        <v>477</v>
      </c>
      <c r="AX31">
        <v>12</v>
      </c>
    </row>
    <row r="32" spans="1:50" ht="14.95" customHeight="1" thickBot="1" x14ac:dyDescent="0.3">
      <c r="A32" s="219" t="s">
        <v>1190</v>
      </c>
      <c r="B32" s="321">
        <v>0</v>
      </c>
      <c r="C32" s="165">
        <v>0</v>
      </c>
      <c r="D32" s="387">
        <v>0</v>
      </c>
      <c r="E32" s="226">
        <f t="shared" si="0"/>
        <v>0</v>
      </c>
      <c r="F32" s="224" t="s">
        <v>1190</v>
      </c>
      <c r="G32" s="323">
        <v>0</v>
      </c>
      <c r="H32" s="223">
        <v>0</v>
      </c>
      <c r="I32" s="389">
        <v>0</v>
      </c>
      <c r="J32" s="228">
        <f t="shared" si="1"/>
        <v>0</v>
      </c>
      <c r="AP32" t="s">
        <v>618</v>
      </c>
      <c r="AQ32" t="s">
        <v>272</v>
      </c>
      <c r="AR32" t="s">
        <v>400</v>
      </c>
      <c r="AS32">
        <v>90</v>
      </c>
      <c r="AU32" t="s">
        <v>731</v>
      </c>
      <c r="AV32" t="s">
        <v>264</v>
      </c>
      <c r="AW32" t="s">
        <v>305</v>
      </c>
      <c r="AX32">
        <v>12</v>
      </c>
    </row>
    <row r="33" spans="1:50" ht="14.95" customHeight="1" thickBot="1" x14ac:dyDescent="0.3">
      <c r="A33" s="219" t="s">
        <v>35</v>
      </c>
      <c r="B33" s="321">
        <v>3</v>
      </c>
      <c r="C33" s="165">
        <v>1</v>
      </c>
      <c r="D33" s="387">
        <v>1</v>
      </c>
      <c r="E33" s="226">
        <f t="shared" si="0"/>
        <v>5</v>
      </c>
      <c r="F33" s="224" t="s">
        <v>35</v>
      </c>
      <c r="G33" s="323">
        <v>15</v>
      </c>
      <c r="H33" s="223">
        <v>5</v>
      </c>
      <c r="I33" s="389">
        <v>5</v>
      </c>
      <c r="J33" s="228">
        <f t="shared" si="1"/>
        <v>25</v>
      </c>
      <c r="AP33" t="s">
        <v>540</v>
      </c>
      <c r="AQ33" t="s">
        <v>279</v>
      </c>
      <c r="AR33" t="s">
        <v>458</v>
      </c>
      <c r="AS33">
        <v>80</v>
      </c>
      <c r="AU33" t="s">
        <v>732</v>
      </c>
      <c r="AV33" t="s">
        <v>268</v>
      </c>
      <c r="AW33" t="s">
        <v>394</v>
      </c>
      <c r="AX33">
        <v>12</v>
      </c>
    </row>
    <row r="34" spans="1:50" ht="14.95" customHeight="1" thickBot="1" x14ac:dyDescent="0.3">
      <c r="A34" s="219" t="s">
        <v>8</v>
      </c>
      <c r="B34" s="321">
        <v>1</v>
      </c>
      <c r="C34" s="165">
        <v>1</v>
      </c>
      <c r="D34" s="387">
        <v>0</v>
      </c>
      <c r="E34" s="226">
        <f t="shared" si="0"/>
        <v>2</v>
      </c>
      <c r="F34" s="224" t="s">
        <v>8</v>
      </c>
      <c r="G34" s="323">
        <v>5</v>
      </c>
      <c r="H34" s="223">
        <v>5</v>
      </c>
      <c r="I34" s="389">
        <v>0</v>
      </c>
      <c r="J34" s="228">
        <f t="shared" si="1"/>
        <v>10</v>
      </c>
      <c r="AP34" t="s">
        <v>726</v>
      </c>
      <c r="AR34" t="s">
        <v>556</v>
      </c>
      <c r="AS34">
        <v>76</v>
      </c>
      <c r="AU34" t="s">
        <v>718</v>
      </c>
      <c r="AV34" t="s">
        <v>260</v>
      </c>
      <c r="AW34" t="s">
        <v>329</v>
      </c>
      <c r="AX34">
        <v>12</v>
      </c>
    </row>
    <row r="35" spans="1:50" ht="14.95" customHeight="1" thickBot="1" x14ac:dyDescent="0.3">
      <c r="A35" s="219" t="s">
        <v>419</v>
      </c>
      <c r="B35" s="321">
        <v>0</v>
      </c>
      <c r="C35" s="165">
        <v>1</v>
      </c>
      <c r="D35" s="387">
        <v>0</v>
      </c>
      <c r="E35" s="226">
        <f t="shared" si="0"/>
        <v>1</v>
      </c>
      <c r="F35" s="224" t="s">
        <v>419</v>
      </c>
      <c r="G35" s="323">
        <v>10</v>
      </c>
      <c r="H35" s="223">
        <v>7</v>
      </c>
      <c r="I35" s="389">
        <v>0</v>
      </c>
      <c r="J35" s="228">
        <f t="shared" si="1"/>
        <v>17</v>
      </c>
      <c r="AP35" t="s">
        <v>292</v>
      </c>
      <c r="AQ35" t="s">
        <v>260</v>
      </c>
      <c r="AR35" t="s">
        <v>687</v>
      </c>
      <c r="AS35">
        <v>76</v>
      </c>
      <c r="AU35" t="s">
        <v>313</v>
      </c>
      <c r="AV35" t="s">
        <v>268</v>
      </c>
      <c r="AW35" t="s">
        <v>486</v>
      </c>
      <c r="AX35">
        <v>10</v>
      </c>
    </row>
    <row r="36" spans="1:50" ht="14.95" customHeight="1" thickBot="1" x14ac:dyDescent="0.3">
      <c r="A36" s="219" t="s">
        <v>1825</v>
      </c>
      <c r="B36" s="321">
        <v>0</v>
      </c>
      <c r="C36" s="165">
        <v>0</v>
      </c>
      <c r="D36" s="387">
        <v>1</v>
      </c>
      <c r="E36" s="226">
        <f t="shared" si="0"/>
        <v>1</v>
      </c>
      <c r="F36" s="224" t="s">
        <v>1825</v>
      </c>
      <c r="G36" s="323">
        <v>0</v>
      </c>
      <c r="H36" s="223">
        <v>0</v>
      </c>
      <c r="I36" s="389">
        <v>5</v>
      </c>
      <c r="J36" s="228">
        <f t="shared" si="1"/>
        <v>5</v>
      </c>
      <c r="AP36" t="s">
        <v>727</v>
      </c>
      <c r="AQ36" t="s">
        <v>262</v>
      </c>
      <c r="AR36" t="s">
        <v>489</v>
      </c>
      <c r="AS36">
        <v>70</v>
      </c>
      <c r="AU36" t="s">
        <v>269</v>
      </c>
      <c r="AV36" t="s">
        <v>270</v>
      </c>
      <c r="AW36" t="s">
        <v>381</v>
      </c>
      <c r="AX36">
        <v>10</v>
      </c>
    </row>
    <row r="37" spans="1:50" ht="14.95" customHeight="1" thickBot="1" x14ac:dyDescent="0.3">
      <c r="A37" s="219" t="s">
        <v>1673</v>
      </c>
      <c r="B37" s="321">
        <v>3</v>
      </c>
      <c r="C37" s="165">
        <v>3</v>
      </c>
      <c r="D37" s="387">
        <v>0</v>
      </c>
      <c r="E37" s="226">
        <f t="shared" si="0"/>
        <v>6</v>
      </c>
      <c r="F37" s="224" t="s">
        <v>1673</v>
      </c>
      <c r="G37" s="323">
        <v>15</v>
      </c>
      <c r="H37" s="223">
        <v>15</v>
      </c>
      <c r="I37" s="389">
        <v>0</v>
      </c>
      <c r="J37" s="228">
        <f t="shared" si="1"/>
        <v>30</v>
      </c>
      <c r="AP37" t="s">
        <v>683</v>
      </c>
      <c r="AQ37" t="s">
        <v>268</v>
      </c>
      <c r="AR37" t="s">
        <v>305</v>
      </c>
      <c r="AS37">
        <v>70</v>
      </c>
      <c r="AU37" t="s">
        <v>528</v>
      </c>
      <c r="AV37" t="s">
        <v>278</v>
      </c>
      <c r="AW37" t="s">
        <v>473</v>
      </c>
      <c r="AX37">
        <v>9</v>
      </c>
    </row>
    <row r="38" spans="1:50" ht="14.95" customHeight="1" thickBot="1" x14ac:dyDescent="0.3">
      <c r="A38" s="219" t="s">
        <v>240</v>
      </c>
      <c r="B38" s="321">
        <v>1</v>
      </c>
      <c r="C38" s="165">
        <v>0</v>
      </c>
      <c r="D38" s="387">
        <v>0</v>
      </c>
      <c r="E38" s="226">
        <f t="shared" si="0"/>
        <v>1</v>
      </c>
      <c r="F38" s="224" t="s">
        <v>240</v>
      </c>
      <c r="G38" s="323">
        <v>5</v>
      </c>
      <c r="H38" s="223">
        <v>0</v>
      </c>
      <c r="I38" s="389">
        <v>0</v>
      </c>
      <c r="J38" s="228">
        <f t="shared" si="1"/>
        <v>5</v>
      </c>
      <c r="AP38" t="s">
        <v>728</v>
      </c>
      <c r="AQ38" t="s">
        <v>272</v>
      </c>
      <c r="AR38" t="s">
        <v>327</v>
      </c>
      <c r="AS38">
        <v>70</v>
      </c>
      <c r="AU38" t="s">
        <v>736</v>
      </c>
      <c r="AV38" t="s">
        <v>737</v>
      </c>
      <c r="AW38" t="s">
        <v>562</v>
      </c>
      <c r="AX38">
        <v>9</v>
      </c>
    </row>
    <row r="39" spans="1:50" ht="14.95" customHeight="1" thickBot="1" x14ac:dyDescent="0.3">
      <c r="A39" s="219" t="s">
        <v>1230</v>
      </c>
      <c r="B39" s="321">
        <v>0</v>
      </c>
      <c r="C39" s="165">
        <v>0</v>
      </c>
      <c r="D39" s="387">
        <v>0</v>
      </c>
      <c r="E39" s="226">
        <f t="shared" si="0"/>
        <v>0</v>
      </c>
      <c r="F39" s="224" t="s">
        <v>1230</v>
      </c>
      <c r="G39" s="323">
        <v>0</v>
      </c>
      <c r="H39" s="223">
        <v>0</v>
      </c>
      <c r="I39" s="389">
        <v>0</v>
      </c>
      <c r="J39" s="228">
        <f t="shared" si="1"/>
        <v>0</v>
      </c>
      <c r="AP39" t="s">
        <v>617</v>
      </c>
      <c r="AQ39" t="s">
        <v>284</v>
      </c>
      <c r="AR39" t="s">
        <v>350</v>
      </c>
      <c r="AS39">
        <v>65</v>
      </c>
      <c r="AU39" t="s">
        <v>739</v>
      </c>
      <c r="AV39" t="s">
        <v>283</v>
      </c>
      <c r="AW39" t="s">
        <v>438</v>
      </c>
      <c r="AX39">
        <v>8</v>
      </c>
    </row>
    <row r="40" spans="1:50" ht="14.95" customHeight="1" thickBot="1" x14ac:dyDescent="0.3">
      <c r="A40" s="219" t="s">
        <v>1762</v>
      </c>
      <c r="B40" s="321">
        <v>0</v>
      </c>
      <c r="C40" s="165">
        <v>1</v>
      </c>
      <c r="D40" s="387">
        <v>1</v>
      </c>
      <c r="E40" s="226">
        <f t="shared" si="0"/>
        <v>2</v>
      </c>
      <c r="F40" s="224" t="s">
        <v>1762</v>
      </c>
      <c r="G40" s="323">
        <v>0</v>
      </c>
      <c r="H40" s="223">
        <v>5</v>
      </c>
      <c r="I40" s="389">
        <v>5</v>
      </c>
      <c r="J40" s="228">
        <f t="shared" si="1"/>
        <v>10</v>
      </c>
      <c r="AP40" t="s">
        <v>622</v>
      </c>
      <c r="AQ40" t="s">
        <v>271</v>
      </c>
      <c r="AR40" t="s">
        <v>729</v>
      </c>
      <c r="AS40">
        <v>65</v>
      </c>
      <c r="AU40" t="s">
        <v>734</v>
      </c>
      <c r="AV40" t="s">
        <v>263</v>
      </c>
      <c r="AW40" t="s">
        <v>329</v>
      </c>
      <c r="AX40">
        <v>8</v>
      </c>
    </row>
    <row r="41" spans="1:50" ht="14.95" customHeight="1" thickBot="1" x14ac:dyDescent="0.3">
      <c r="A41" s="219" t="s">
        <v>1033</v>
      </c>
      <c r="B41" s="321">
        <v>0</v>
      </c>
      <c r="C41" s="165">
        <v>0</v>
      </c>
      <c r="D41" s="387">
        <v>0</v>
      </c>
      <c r="E41" s="226">
        <f t="shared" si="0"/>
        <v>0</v>
      </c>
      <c r="F41" s="224" t="s">
        <v>1033</v>
      </c>
      <c r="G41" s="323">
        <v>0</v>
      </c>
      <c r="H41" s="223">
        <v>0</v>
      </c>
      <c r="I41" s="389">
        <v>0</v>
      </c>
      <c r="J41" s="228">
        <f t="shared" si="1"/>
        <v>0</v>
      </c>
      <c r="AP41" t="s">
        <v>730</v>
      </c>
      <c r="AQ41" t="s">
        <v>260</v>
      </c>
      <c r="AR41" t="s">
        <v>344</v>
      </c>
      <c r="AS41">
        <v>65</v>
      </c>
      <c r="AU41" t="s">
        <v>541</v>
      </c>
      <c r="AV41" t="s">
        <v>284</v>
      </c>
      <c r="AW41" t="s">
        <v>342</v>
      </c>
      <c r="AX41">
        <v>8</v>
      </c>
    </row>
    <row r="42" spans="1:50" ht="14.95" customHeight="1" thickBot="1" x14ac:dyDescent="0.3">
      <c r="A42" s="219" t="s">
        <v>9</v>
      </c>
      <c r="B42" s="321">
        <v>1</v>
      </c>
      <c r="C42" s="165">
        <v>0</v>
      </c>
      <c r="D42" s="387">
        <v>0</v>
      </c>
      <c r="E42" s="226">
        <f t="shared" si="0"/>
        <v>1</v>
      </c>
      <c r="F42" s="224" t="s">
        <v>9</v>
      </c>
      <c r="G42" s="323">
        <v>5</v>
      </c>
      <c r="H42" s="223">
        <v>0</v>
      </c>
      <c r="I42" s="389">
        <v>0</v>
      </c>
      <c r="J42" s="228">
        <f t="shared" si="1"/>
        <v>5</v>
      </c>
      <c r="AP42" t="s">
        <v>636</v>
      </c>
      <c r="AQ42" t="s">
        <v>274</v>
      </c>
      <c r="AR42" t="s">
        <v>353</v>
      </c>
      <c r="AS42">
        <v>65</v>
      </c>
      <c r="AU42" t="s">
        <v>616</v>
      </c>
      <c r="AV42" t="s">
        <v>284</v>
      </c>
      <c r="AW42" t="s">
        <v>451</v>
      </c>
      <c r="AX42">
        <v>8</v>
      </c>
    </row>
    <row r="43" spans="1:50" ht="14.95" customHeight="1" thickBot="1" x14ac:dyDescent="0.3">
      <c r="A43" s="219" t="s">
        <v>930</v>
      </c>
      <c r="B43" s="321">
        <v>0</v>
      </c>
      <c r="C43" s="165">
        <v>1</v>
      </c>
      <c r="D43" s="387">
        <v>0</v>
      </c>
      <c r="E43" s="226">
        <f t="shared" si="0"/>
        <v>1</v>
      </c>
      <c r="F43" s="224" t="s">
        <v>930</v>
      </c>
      <c r="G43" s="323">
        <v>0</v>
      </c>
      <c r="H43" s="223">
        <v>5</v>
      </c>
      <c r="I43" s="389">
        <v>0</v>
      </c>
      <c r="J43" s="228">
        <f t="shared" si="1"/>
        <v>5</v>
      </c>
      <c r="AP43" t="s">
        <v>590</v>
      </c>
      <c r="AQ43" t="s">
        <v>268</v>
      </c>
      <c r="AR43" t="s">
        <v>477</v>
      </c>
      <c r="AS43">
        <v>60</v>
      </c>
      <c r="AU43" t="s">
        <v>500</v>
      </c>
      <c r="AV43" t="s">
        <v>284</v>
      </c>
      <c r="AW43" t="s">
        <v>366</v>
      </c>
      <c r="AX43">
        <v>8</v>
      </c>
    </row>
    <row r="44" spans="1:50" ht="14.95" customHeight="1" thickBot="1" x14ac:dyDescent="0.3">
      <c r="A44" s="219" t="s">
        <v>36</v>
      </c>
      <c r="B44" s="321">
        <v>1</v>
      </c>
      <c r="C44" s="165">
        <v>0</v>
      </c>
      <c r="D44" s="387">
        <v>0</v>
      </c>
      <c r="E44" s="226">
        <f t="shared" si="0"/>
        <v>1</v>
      </c>
      <c r="F44" s="224" t="s">
        <v>36</v>
      </c>
      <c r="G44" s="323">
        <v>5</v>
      </c>
      <c r="H44" s="223">
        <v>0</v>
      </c>
      <c r="I44" s="389">
        <v>0</v>
      </c>
      <c r="J44" s="228">
        <f t="shared" si="1"/>
        <v>5</v>
      </c>
      <c r="AP44" t="s">
        <v>731</v>
      </c>
      <c r="AQ44" t="s">
        <v>264</v>
      </c>
      <c r="AR44" t="s">
        <v>305</v>
      </c>
      <c r="AS44">
        <v>60</v>
      </c>
      <c r="AU44" t="s">
        <v>740</v>
      </c>
      <c r="AV44" t="s">
        <v>284</v>
      </c>
      <c r="AW44" t="s">
        <v>353</v>
      </c>
      <c r="AX44">
        <v>8</v>
      </c>
    </row>
    <row r="45" spans="1:50" ht="14.95" customHeight="1" thickBot="1" x14ac:dyDescent="0.3">
      <c r="A45" s="219" t="s">
        <v>61</v>
      </c>
      <c r="B45" s="321">
        <v>2</v>
      </c>
      <c r="C45" s="165">
        <v>0</v>
      </c>
      <c r="D45" s="387">
        <v>0</v>
      </c>
      <c r="E45" s="226">
        <f t="shared" si="0"/>
        <v>2</v>
      </c>
      <c r="F45" s="224" t="s">
        <v>61</v>
      </c>
      <c r="G45" s="323">
        <v>10</v>
      </c>
      <c r="H45" s="223">
        <v>0</v>
      </c>
      <c r="I45" s="389">
        <v>0</v>
      </c>
      <c r="J45" s="228">
        <f t="shared" si="1"/>
        <v>10</v>
      </c>
      <c r="AP45" t="s">
        <v>732</v>
      </c>
      <c r="AQ45" t="s">
        <v>268</v>
      </c>
      <c r="AR45" t="s">
        <v>394</v>
      </c>
      <c r="AS45">
        <v>60</v>
      </c>
      <c r="AU45" t="s">
        <v>741</v>
      </c>
      <c r="AV45" t="s">
        <v>272</v>
      </c>
      <c r="AW45" t="s">
        <v>368</v>
      </c>
      <c r="AX45">
        <v>8</v>
      </c>
    </row>
    <row r="46" spans="1:50" ht="15.8" thickBot="1" x14ac:dyDescent="0.3">
      <c r="A46" s="219" t="s">
        <v>3</v>
      </c>
      <c r="B46" s="321">
        <f>SUM(B3:B45)</f>
        <v>47</v>
      </c>
      <c r="C46" s="165">
        <f>SUM(C3:C45)</f>
        <v>14</v>
      </c>
      <c r="D46" s="387">
        <f>SUM(D3:D45)</f>
        <v>7</v>
      </c>
      <c r="E46" s="226">
        <f t="shared" ref="E46" si="2">SUM(B46:D46)</f>
        <v>68</v>
      </c>
      <c r="F46" s="224" t="s">
        <v>3</v>
      </c>
      <c r="G46" s="323">
        <f>SUM(G3:G45)</f>
        <v>478</v>
      </c>
      <c r="H46" s="223">
        <f>SUM(H3:H45)</f>
        <v>115</v>
      </c>
      <c r="I46" s="389">
        <f>SUM(I3:I45)</f>
        <v>69</v>
      </c>
      <c r="J46" s="228">
        <f t="shared" ref="J46" si="3">SUM(G46:I46)</f>
        <v>662</v>
      </c>
      <c r="AP46" t="s">
        <v>733</v>
      </c>
      <c r="AQ46" t="s">
        <v>260</v>
      </c>
      <c r="AR46" t="s">
        <v>564</v>
      </c>
      <c r="AS46">
        <v>52</v>
      </c>
      <c r="AU46" t="s">
        <v>532</v>
      </c>
      <c r="AV46" t="s">
        <v>278</v>
      </c>
      <c r="AW46" t="s">
        <v>444</v>
      </c>
      <c r="AX46">
        <v>8</v>
      </c>
    </row>
    <row r="47" spans="1:50" ht="14.95" x14ac:dyDescent="0.25">
      <c r="B47" s="299"/>
      <c r="D47" s="343"/>
      <c r="F47" s="48"/>
      <c r="G47" s="304"/>
      <c r="H47" s="48"/>
      <c r="I47" s="346"/>
      <c r="J47" s="48"/>
    </row>
    <row r="48" spans="1:50" ht="15.8" thickBot="1" x14ac:dyDescent="0.3">
      <c r="A48" t="s">
        <v>45</v>
      </c>
      <c r="B48" s="299"/>
      <c r="D48" s="343"/>
      <c r="F48" s="45"/>
      <c r="G48" s="303"/>
      <c r="H48" s="45"/>
      <c r="I48" s="345"/>
      <c r="J48" s="45"/>
    </row>
    <row r="49" spans="1:10" ht="15.8" thickBot="1" x14ac:dyDescent="0.3">
      <c r="A49" s="218" t="s">
        <v>0</v>
      </c>
      <c r="B49" s="320" t="s">
        <v>1072</v>
      </c>
      <c r="C49" s="215" t="s">
        <v>123</v>
      </c>
      <c r="D49" s="386" t="s">
        <v>1073</v>
      </c>
      <c r="E49" s="225" t="s">
        <v>1</v>
      </c>
      <c r="F49" s="220" t="s">
        <v>2</v>
      </c>
      <c r="G49" s="322" t="s">
        <v>1072</v>
      </c>
      <c r="H49" s="221" t="s">
        <v>123</v>
      </c>
      <c r="I49" s="388" t="s">
        <v>1073</v>
      </c>
      <c r="J49" s="227" t="s">
        <v>1</v>
      </c>
    </row>
    <row r="50" spans="1:10" ht="15.8" thickBot="1" x14ac:dyDescent="0.3">
      <c r="A50" s="219" t="s">
        <v>1225</v>
      </c>
      <c r="B50" s="321">
        <v>0</v>
      </c>
      <c r="C50" s="165">
        <v>0</v>
      </c>
      <c r="D50" s="387">
        <v>0</v>
      </c>
      <c r="E50" s="226">
        <f t="shared" ref="E50:E93" si="4">SUM(B50:D50)</f>
        <v>0</v>
      </c>
      <c r="F50" s="222" t="s">
        <v>1225</v>
      </c>
      <c r="G50" s="323">
        <v>0</v>
      </c>
      <c r="H50" s="223">
        <v>0</v>
      </c>
      <c r="I50" s="389">
        <v>0</v>
      </c>
      <c r="J50" s="228">
        <f t="shared" ref="J50:J93" si="5">SUM(G50:I50)</f>
        <v>0</v>
      </c>
    </row>
    <row r="51" spans="1:10" ht="15.8" thickBot="1" x14ac:dyDescent="0.3">
      <c r="A51" s="219" t="s">
        <v>82</v>
      </c>
      <c r="B51" s="321">
        <v>0</v>
      </c>
      <c r="C51" s="165">
        <v>0</v>
      </c>
      <c r="D51" s="387">
        <v>0</v>
      </c>
      <c r="E51" s="226">
        <f t="shared" si="4"/>
        <v>0</v>
      </c>
      <c r="F51" s="222" t="s">
        <v>82</v>
      </c>
      <c r="G51" s="323">
        <v>0</v>
      </c>
      <c r="H51" s="223">
        <v>0</v>
      </c>
      <c r="I51" s="389">
        <v>0</v>
      </c>
      <c r="J51" s="228">
        <f t="shared" si="5"/>
        <v>0</v>
      </c>
    </row>
    <row r="52" spans="1:10" ht="15.8" thickBot="1" x14ac:dyDescent="0.3">
      <c r="A52" s="219" t="s">
        <v>1856</v>
      </c>
      <c r="B52" s="321">
        <v>1</v>
      </c>
      <c r="C52" s="165">
        <v>0</v>
      </c>
      <c r="D52" s="387">
        <v>0</v>
      </c>
      <c r="E52" s="226">
        <f t="shared" si="4"/>
        <v>1</v>
      </c>
      <c r="F52" s="222" t="s">
        <v>1856</v>
      </c>
      <c r="G52" s="323">
        <v>5</v>
      </c>
      <c r="H52" s="223">
        <v>0</v>
      </c>
      <c r="I52" s="389">
        <v>0</v>
      </c>
      <c r="J52" s="228">
        <f t="shared" si="5"/>
        <v>5</v>
      </c>
    </row>
    <row r="53" spans="1:10" ht="15.8" thickBot="1" x14ac:dyDescent="0.3">
      <c r="A53" s="219" t="s">
        <v>153</v>
      </c>
      <c r="B53" s="321">
        <v>0</v>
      </c>
      <c r="C53" s="165">
        <v>0</v>
      </c>
      <c r="D53" s="387">
        <v>0</v>
      </c>
      <c r="E53" s="226">
        <f t="shared" si="4"/>
        <v>0</v>
      </c>
      <c r="F53" s="222" t="s">
        <v>153</v>
      </c>
      <c r="G53" s="323">
        <v>0</v>
      </c>
      <c r="H53" s="223">
        <v>0</v>
      </c>
      <c r="I53" s="389">
        <v>0</v>
      </c>
      <c r="J53" s="228">
        <f t="shared" si="5"/>
        <v>0</v>
      </c>
    </row>
    <row r="54" spans="1:10" ht="15.8" thickBot="1" x14ac:dyDescent="0.3">
      <c r="A54" s="219" t="s">
        <v>1226</v>
      </c>
      <c r="B54" s="321">
        <v>0</v>
      </c>
      <c r="C54" s="165">
        <v>0</v>
      </c>
      <c r="D54" s="387">
        <v>0</v>
      </c>
      <c r="E54" s="226">
        <f t="shared" si="4"/>
        <v>0</v>
      </c>
      <c r="F54" s="224" t="s">
        <v>1226</v>
      </c>
      <c r="G54" s="323">
        <v>0</v>
      </c>
      <c r="H54" s="223">
        <v>0</v>
      </c>
      <c r="I54" s="389">
        <v>0</v>
      </c>
      <c r="J54" s="228">
        <f t="shared" si="5"/>
        <v>0</v>
      </c>
    </row>
    <row r="55" spans="1:10" ht="15.8" thickBot="1" x14ac:dyDescent="0.3">
      <c r="A55" s="219" t="s">
        <v>255</v>
      </c>
      <c r="B55" s="321">
        <v>1</v>
      </c>
      <c r="C55" s="165">
        <v>0</v>
      </c>
      <c r="D55" s="387">
        <v>0</v>
      </c>
      <c r="E55" s="226">
        <f t="shared" si="4"/>
        <v>1</v>
      </c>
      <c r="F55" s="224" t="s">
        <v>255</v>
      </c>
      <c r="G55" s="323">
        <v>5</v>
      </c>
      <c r="H55" s="223">
        <v>0</v>
      </c>
      <c r="I55" s="389">
        <v>0</v>
      </c>
      <c r="J55" s="228">
        <f t="shared" si="5"/>
        <v>5</v>
      </c>
    </row>
    <row r="56" spans="1:10" ht="15.8" thickBot="1" x14ac:dyDescent="0.3">
      <c r="A56" s="219" t="s">
        <v>1756</v>
      </c>
      <c r="B56" s="321">
        <v>1</v>
      </c>
      <c r="C56" s="165">
        <v>0</v>
      </c>
      <c r="D56" s="387">
        <v>0</v>
      </c>
      <c r="E56" s="226">
        <f t="shared" si="4"/>
        <v>1</v>
      </c>
      <c r="F56" s="224" t="s">
        <v>1756</v>
      </c>
      <c r="G56" s="323">
        <v>5</v>
      </c>
      <c r="H56" s="223">
        <v>0</v>
      </c>
      <c r="I56" s="389">
        <v>0</v>
      </c>
      <c r="J56" s="228">
        <f t="shared" si="5"/>
        <v>5</v>
      </c>
    </row>
    <row r="57" spans="1:10" ht="15.8" thickBot="1" x14ac:dyDescent="0.3">
      <c r="A57" s="219" t="s">
        <v>4</v>
      </c>
      <c r="B57" s="321">
        <v>0</v>
      </c>
      <c r="C57" s="165">
        <v>1</v>
      </c>
      <c r="D57" s="387">
        <v>0</v>
      </c>
      <c r="E57" s="226">
        <f t="shared" si="4"/>
        <v>1</v>
      </c>
      <c r="F57" s="224" t="s">
        <v>4</v>
      </c>
      <c r="G57" s="323">
        <v>0</v>
      </c>
      <c r="H57" s="223">
        <v>5</v>
      </c>
      <c r="I57" s="389">
        <v>0</v>
      </c>
      <c r="J57" s="228">
        <f t="shared" si="5"/>
        <v>5</v>
      </c>
    </row>
    <row r="58" spans="1:10" ht="15.8" thickBot="1" x14ac:dyDescent="0.3">
      <c r="A58" s="219" t="s">
        <v>1777</v>
      </c>
      <c r="B58" s="321">
        <v>0</v>
      </c>
      <c r="C58" s="165">
        <v>0</v>
      </c>
      <c r="D58" s="387">
        <v>1</v>
      </c>
      <c r="E58" s="226">
        <f t="shared" si="4"/>
        <v>1</v>
      </c>
      <c r="F58" s="224" t="s">
        <v>1777</v>
      </c>
      <c r="G58" s="323">
        <v>0</v>
      </c>
      <c r="H58" s="223">
        <v>0</v>
      </c>
      <c r="I58" s="389">
        <v>5</v>
      </c>
      <c r="J58" s="228">
        <f t="shared" si="5"/>
        <v>5</v>
      </c>
    </row>
    <row r="59" spans="1:10" ht="15.8" thickBot="1" x14ac:dyDescent="0.3">
      <c r="A59" s="219" t="s">
        <v>206</v>
      </c>
      <c r="B59" s="321">
        <v>1</v>
      </c>
      <c r="C59" s="165">
        <v>1</v>
      </c>
      <c r="D59" s="387">
        <v>0</v>
      </c>
      <c r="E59" s="226">
        <f t="shared" si="4"/>
        <v>2</v>
      </c>
      <c r="F59" s="224" t="s">
        <v>206</v>
      </c>
      <c r="G59" s="323">
        <v>5</v>
      </c>
      <c r="H59" s="223">
        <v>5</v>
      </c>
      <c r="I59" s="389">
        <v>0</v>
      </c>
      <c r="J59" s="228">
        <f t="shared" si="5"/>
        <v>10</v>
      </c>
    </row>
    <row r="60" spans="1:10" ht="15.8" thickBot="1" x14ac:dyDescent="0.3">
      <c r="A60" s="219" t="s">
        <v>985</v>
      </c>
      <c r="B60" s="321">
        <v>4</v>
      </c>
      <c r="C60" s="165">
        <v>0</v>
      </c>
      <c r="D60" s="387">
        <v>0</v>
      </c>
      <c r="E60" s="226">
        <f t="shared" si="4"/>
        <v>4</v>
      </c>
      <c r="F60" s="224" t="s">
        <v>985</v>
      </c>
      <c r="G60" s="323">
        <v>221</v>
      </c>
      <c r="H60" s="223">
        <v>43</v>
      </c>
      <c r="I60" s="389">
        <v>0</v>
      </c>
      <c r="J60" s="228">
        <f t="shared" si="5"/>
        <v>264</v>
      </c>
    </row>
    <row r="61" spans="1:10" ht="15.8" thickBot="1" x14ac:dyDescent="0.3">
      <c r="A61" s="219" t="s">
        <v>986</v>
      </c>
      <c r="B61" s="321">
        <v>1</v>
      </c>
      <c r="C61" s="165">
        <v>0</v>
      </c>
      <c r="D61" s="387">
        <v>1</v>
      </c>
      <c r="E61" s="226">
        <f t="shared" si="4"/>
        <v>2</v>
      </c>
      <c r="F61" s="224" t="s">
        <v>986</v>
      </c>
      <c r="G61" s="323">
        <v>34</v>
      </c>
      <c r="H61" s="223">
        <v>0</v>
      </c>
      <c r="I61" s="389">
        <v>26</v>
      </c>
      <c r="J61" s="228">
        <f t="shared" si="5"/>
        <v>60</v>
      </c>
    </row>
    <row r="62" spans="1:10" ht="15.8" thickBot="1" x14ac:dyDescent="0.3">
      <c r="A62" s="219" t="s">
        <v>418</v>
      </c>
      <c r="B62" s="321">
        <v>0</v>
      </c>
      <c r="C62" s="165">
        <v>0</v>
      </c>
      <c r="D62" s="387">
        <v>0</v>
      </c>
      <c r="E62" s="226">
        <f t="shared" si="4"/>
        <v>0</v>
      </c>
      <c r="F62" s="224" t="s">
        <v>418</v>
      </c>
      <c r="G62" s="323">
        <v>0</v>
      </c>
      <c r="H62" s="223">
        <v>0</v>
      </c>
      <c r="I62" s="389">
        <v>0</v>
      </c>
      <c r="J62" s="228">
        <f t="shared" si="5"/>
        <v>0</v>
      </c>
    </row>
    <row r="63" spans="1:10" ht="15.8" thickBot="1" x14ac:dyDescent="0.3">
      <c r="A63" s="219" t="s">
        <v>1838</v>
      </c>
      <c r="B63" s="321">
        <v>1</v>
      </c>
      <c r="C63" s="165">
        <v>0</v>
      </c>
      <c r="D63" s="387">
        <v>0</v>
      </c>
      <c r="E63" s="226">
        <f t="shared" si="4"/>
        <v>1</v>
      </c>
      <c r="F63" s="224" t="s">
        <v>1838</v>
      </c>
      <c r="G63" s="323">
        <v>5</v>
      </c>
      <c r="H63" s="223">
        <v>0</v>
      </c>
      <c r="I63" s="389">
        <v>0</v>
      </c>
      <c r="J63" s="228">
        <f t="shared" si="5"/>
        <v>5</v>
      </c>
    </row>
    <row r="64" spans="1:10" ht="15.8" thickBot="1" x14ac:dyDescent="0.3">
      <c r="A64" s="219" t="s">
        <v>1034</v>
      </c>
      <c r="B64" s="321">
        <v>0</v>
      </c>
      <c r="C64" s="165">
        <v>0</v>
      </c>
      <c r="D64" s="387">
        <v>0</v>
      </c>
      <c r="E64" s="226">
        <f t="shared" si="4"/>
        <v>0</v>
      </c>
      <c r="F64" s="224" t="s">
        <v>1034</v>
      </c>
      <c r="G64" s="323">
        <v>3</v>
      </c>
      <c r="H64" s="223">
        <v>0</v>
      </c>
      <c r="I64" s="389">
        <v>13</v>
      </c>
      <c r="J64" s="228">
        <f t="shared" si="5"/>
        <v>16</v>
      </c>
    </row>
    <row r="65" spans="1:10" ht="15.8" thickBot="1" x14ac:dyDescent="0.3">
      <c r="A65" s="219" t="s">
        <v>77</v>
      </c>
      <c r="B65" s="321">
        <v>0</v>
      </c>
      <c r="C65" s="165">
        <v>0</v>
      </c>
      <c r="D65" s="387">
        <v>0</v>
      </c>
      <c r="E65" s="226">
        <f t="shared" si="4"/>
        <v>0</v>
      </c>
      <c r="F65" s="224" t="s">
        <v>77</v>
      </c>
      <c r="G65" s="323">
        <v>0</v>
      </c>
      <c r="H65" s="223">
        <v>0</v>
      </c>
      <c r="I65" s="389">
        <v>0</v>
      </c>
      <c r="J65" s="228">
        <f t="shared" si="5"/>
        <v>0</v>
      </c>
    </row>
    <row r="66" spans="1:10" ht="15.8" thickBot="1" x14ac:dyDescent="0.3">
      <c r="A66" s="219" t="s">
        <v>88</v>
      </c>
      <c r="B66" s="321">
        <v>5</v>
      </c>
      <c r="C66" s="165">
        <v>1</v>
      </c>
      <c r="D66" s="387">
        <v>0</v>
      </c>
      <c r="E66" s="226">
        <f t="shared" si="4"/>
        <v>6</v>
      </c>
      <c r="F66" s="224" t="s">
        <v>88</v>
      </c>
      <c r="G66" s="323">
        <v>25</v>
      </c>
      <c r="H66" s="223">
        <v>5</v>
      </c>
      <c r="I66" s="389">
        <v>0</v>
      </c>
      <c r="J66" s="228">
        <f t="shared" si="5"/>
        <v>30</v>
      </c>
    </row>
    <row r="67" spans="1:10" ht="15.8" thickBot="1" x14ac:dyDescent="0.3">
      <c r="A67" s="219" t="s">
        <v>73</v>
      </c>
      <c r="B67" s="321">
        <v>2</v>
      </c>
      <c r="C67" s="165">
        <v>2</v>
      </c>
      <c r="D67" s="387">
        <v>0</v>
      </c>
      <c r="E67" s="226">
        <f t="shared" si="4"/>
        <v>4</v>
      </c>
      <c r="F67" s="224" t="s">
        <v>73</v>
      </c>
      <c r="G67" s="323">
        <v>10</v>
      </c>
      <c r="H67" s="223">
        <v>10</v>
      </c>
      <c r="I67" s="389">
        <v>0</v>
      </c>
      <c r="J67" s="228">
        <f t="shared" si="5"/>
        <v>20</v>
      </c>
    </row>
    <row r="68" spans="1:10" ht="15.8" thickBot="1" x14ac:dyDescent="0.3">
      <c r="A68" s="219" t="s">
        <v>26</v>
      </c>
      <c r="B68" s="321">
        <v>0</v>
      </c>
      <c r="C68" s="165">
        <v>0</v>
      </c>
      <c r="D68" s="387">
        <v>0</v>
      </c>
      <c r="E68" s="226">
        <f t="shared" si="4"/>
        <v>0</v>
      </c>
      <c r="F68" s="224" t="s">
        <v>26</v>
      </c>
      <c r="G68" s="323">
        <v>0</v>
      </c>
      <c r="H68" s="223">
        <v>0</v>
      </c>
      <c r="I68" s="389">
        <v>0</v>
      </c>
      <c r="J68" s="228">
        <f t="shared" si="5"/>
        <v>0</v>
      </c>
    </row>
    <row r="69" spans="1:10" ht="15.8" thickBot="1" x14ac:dyDescent="0.3">
      <c r="A69" s="219" t="s">
        <v>38</v>
      </c>
      <c r="B69" s="321">
        <v>11</v>
      </c>
      <c r="C69" s="165">
        <v>1</v>
      </c>
      <c r="D69" s="387">
        <v>0</v>
      </c>
      <c r="E69" s="226">
        <f t="shared" si="4"/>
        <v>12</v>
      </c>
      <c r="F69" s="224" t="s">
        <v>38</v>
      </c>
      <c r="G69" s="323">
        <v>55</v>
      </c>
      <c r="H69" s="223">
        <v>5</v>
      </c>
      <c r="I69" s="389">
        <v>0</v>
      </c>
      <c r="J69" s="228">
        <f t="shared" si="5"/>
        <v>60</v>
      </c>
    </row>
    <row r="70" spans="1:10" ht="15.8" thickBot="1" x14ac:dyDescent="0.3">
      <c r="A70" s="219" t="s">
        <v>207</v>
      </c>
      <c r="B70" s="321">
        <v>4</v>
      </c>
      <c r="C70" s="165">
        <v>0</v>
      </c>
      <c r="D70" s="387">
        <v>0</v>
      </c>
      <c r="E70" s="226">
        <f t="shared" si="4"/>
        <v>4</v>
      </c>
      <c r="F70" s="224" t="s">
        <v>207</v>
      </c>
      <c r="G70" s="323">
        <v>20</v>
      </c>
      <c r="H70" s="223">
        <v>0</v>
      </c>
      <c r="I70" s="389">
        <v>0</v>
      </c>
      <c r="J70" s="228">
        <f t="shared" si="5"/>
        <v>20</v>
      </c>
    </row>
    <row r="71" spans="1:10" ht="15.8" thickBot="1" x14ac:dyDescent="0.3">
      <c r="A71" s="219" t="s">
        <v>1760</v>
      </c>
      <c r="B71" s="321">
        <v>2</v>
      </c>
      <c r="C71" s="165">
        <v>0</v>
      </c>
      <c r="D71" s="387">
        <v>0</v>
      </c>
      <c r="E71" s="226">
        <f t="shared" si="4"/>
        <v>2</v>
      </c>
      <c r="F71" s="224" t="s">
        <v>1760</v>
      </c>
      <c r="G71" s="323">
        <v>10</v>
      </c>
      <c r="H71" s="223">
        <v>0</v>
      </c>
      <c r="I71" s="389">
        <v>0</v>
      </c>
      <c r="J71" s="228">
        <f t="shared" si="5"/>
        <v>10</v>
      </c>
    </row>
    <row r="72" spans="1:10" ht="15.8" thickBot="1" x14ac:dyDescent="0.3">
      <c r="A72" s="219" t="s">
        <v>987</v>
      </c>
      <c r="B72" s="321">
        <v>0</v>
      </c>
      <c r="C72" s="165">
        <v>0</v>
      </c>
      <c r="D72" s="387">
        <v>1</v>
      </c>
      <c r="E72" s="226">
        <f t="shared" si="4"/>
        <v>1</v>
      </c>
      <c r="F72" s="224" t="s">
        <v>987</v>
      </c>
      <c r="G72" s="323">
        <v>0</v>
      </c>
      <c r="H72" s="223">
        <v>0</v>
      </c>
      <c r="I72" s="389">
        <v>5</v>
      </c>
      <c r="J72" s="228">
        <f t="shared" si="5"/>
        <v>5</v>
      </c>
    </row>
    <row r="73" spans="1:10" ht="14.95" thickBot="1" x14ac:dyDescent="0.3">
      <c r="A73" s="219" t="s">
        <v>7</v>
      </c>
      <c r="B73" s="321">
        <v>0</v>
      </c>
      <c r="C73" s="165">
        <v>0</v>
      </c>
      <c r="D73" s="387">
        <v>0</v>
      </c>
      <c r="E73" s="226">
        <f t="shared" si="4"/>
        <v>0</v>
      </c>
      <c r="F73" s="224" t="s">
        <v>7</v>
      </c>
      <c r="G73" s="323">
        <v>0</v>
      </c>
      <c r="H73" s="223">
        <v>0</v>
      </c>
      <c r="I73" s="389">
        <v>0</v>
      </c>
      <c r="J73" s="228">
        <f t="shared" si="5"/>
        <v>0</v>
      </c>
    </row>
    <row r="74" spans="1:10" ht="14.95" thickBot="1" x14ac:dyDescent="0.3">
      <c r="A74" s="219" t="s">
        <v>1049</v>
      </c>
      <c r="B74" s="321">
        <v>0</v>
      </c>
      <c r="C74" s="165">
        <v>0</v>
      </c>
      <c r="D74" s="387">
        <v>1</v>
      </c>
      <c r="E74" s="226">
        <f t="shared" si="4"/>
        <v>1</v>
      </c>
      <c r="F74" s="224" t="s">
        <v>1049</v>
      </c>
      <c r="G74" s="323">
        <v>0</v>
      </c>
      <c r="H74" s="223">
        <v>0</v>
      </c>
      <c r="I74" s="389">
        <v>5</v>
      </c>
      <c r="J74" s="228">
        <f t="shared" si="5"/>
        <v>5</v>
      </c>
    </row>
    <row r="75" spans="1:10" ht="14.95" thickBot="1" x14ac:dyDescent="0.3">
      <c r="A75" s="219" t="s">
        <v>1055</v>
      </c>
      <c r="B75" s="321">
        <v>0</v>
      </c>
      <c r="C75" s="165">
        <v>0</v>
      </c>
      <c r="D75" s="387">
        <v>0</v>
      </c>
      <c r="E75" s="226">
        <f t="shared" si="4"/>
        <v>0</v>
      </c>
      <c r="F75" s="224" t="s">
        <v>1055</v>
      </c>
      <c r="G75" s="323">
        <v>0</v>
      </c>
      <c r="H75" s="223">
        <v>0</v>
      </c>
      <c r="I75" s="389">
        <v>0</v>
      </c>
      <c r="J75" s="228">
        <f t="shared" si="5"/>
        <v>0</v>
      </c>
    </row>
    <row r="76" spans="1:10" ht="14.95" thickBot="1" x14ac:dyDescent="0.3">
      <c r="A76" s="219" t="s">
        <v>93</v>
      </c>
      <c r="B76" s="321">
        <v>1</v>
      </c>
      <c r="C76" s="165">
        <v>0</v>
      </c>
      <c r="D76" s="387">
        <v>0</v>
      </c>
      <c r="E76" s="226">
        <f t="shared" si="4"/>
        <v>1</v>
      </c>
      <c r="F76" s="224" t="s">
        <v>93</v>
      </c>
      <c r="G76" s="323">
        <v>5</v>
      </c>
      <c r="H76" s="223">
        <v>0</v>
      </c>
      <c r="I76" s="389">
        <v>0</v>
      </c>
      <c r="J76" s="228">
        <f t="shared" si="5"/>
        <v>5</v>
      </c>
    </row>
    <row r="77" spans="1:10" ht="14.95" thickBot="1" x14ac:dyDescent="0.3">
      <c r="A77" s="219" t="s">
        <v>16</v>
      </c>
      <c r="B77" s="321">
        <v>0</v>
      </c>
      <c r="C77" s="165">
        <v>0</v>
      </c>
      <c r="D77" s="387">
        <v>0</v>
      </c>
      <c r="E77" s="226">
        <f t="shared" si="4"/>
        <v>0</v>
      </c>
      <c r="F77" s="224" t="s">
        <v>16</v>
      </c>
      <c r="G77" s="323">
        <v>0</v>
      </c>
      <c r="H77" s="223">
        <v>0</v>
      </c>
      <c r="I77" s="389">
        <v>0</v>
      </c>
      <c r="J77" s="228">
        <f t="shared" si="5"/>
        <v>0</v>
      </c>
    </row>
    <row r="78" spans="1:10" ht="14.95" thickBot="1" x14ac:dyDescent="0.3">
      <c r="A78" s="219" t="s">
        <v>1229</v>
      </c>
      <c r="B78" s="321">
        <v>0</v>
      </c>
      <c r="C78" s="165">
        <v>0</v>
      </c>
      <c r="D78" s="387">
        <v>0</v>
      </c>
      <c r="E78" s="226">
        <f t="shared" si="4"/>
        <v>0</v>
      </c>
      <c r="F78" s="224" t="s">
        <v>1229</v>
      </c>
      <c r="G78" s="323">
        <v>0</v>
      </c>
      <c r="H78" s="223">
        <v>0</v>
      </c>
      <c r="I78" s="389">
        <v>0</v>
      </c>
      <c r="J78" s="228">
        <f t="shared" si="5"/>
        <v>0</v>
      </c>
    </row>
    <row r="79" spans="1:10" ht="14.95" thickBot="1" x14ac:dyDescent="0.3">
      <c r="A79" s="219" t="s">
        <v>1190</v>
      </c>
      <c r="B79" s="321">
        <v>0</v>
      </c>
      <c r="C79" s="165">
        <v>0</v>
      </c>
      <c r="D79" s="387">
        <v>0</v>
      </c>
      <c r="E79" s="226">
        <f t="shared" si="4"/>
        <v>0</v>
      </c>
      <c r="F79" s="224" t="s">
        <v>1190</v>
      </c>
      <c r="G79" s="323">
        <v>0</v>
      </c>
      <c r="H79" s="223">
        <v>0</v>
      </c>
      <c r="I79" s="389">
        <v>0</v>
      </c>
      <c r="J79" s="228">
        <f t="shared" si="5"/>
        <v>0</v>
      </c>
    </row>
    <row r="80" spans="1:10" ht="14.95" thickBot="1" x14ac:dyDescent="0.3">
      <c r="A80" s="219" t="s">
        <v>35</v>
      </c>
      <c r="B80" s="321">
        <v>3</v>
      </c>
      <c r="C80" s="165">
        <v>1</v>
      </c>
      <c r="D80" s="387">
        <v>1</v>
      </c>
      <c r="E80" s="226">
        <f t="shared" si="4"/>
        <v>5</v>
      </c>
      <c r="F80" s="224" t="s">
        <v>35</v>
      </c>
      <c r="G80" s="323">
        <v>15</v>
      </c>
      <c r="H80" s="223">
        <v>5</v>
      </c>
      <c r="I80" s="389">
        <v>5</v>
      </c>
      <c r="J80" s="228">
        <f t="shared" si="5"/>
        <v>25</v>
      </c>
    </row>
    <row r="81" spans="1:10" ht="14.95" thickBot="1" x14ac:dyDescent="0.3">
      <c r="A81" s="219" t="s">
        <v>8</v>
      </c>
      <c r="B81" s="321">
        <v>1</v>
      </c>
      <c r="C81" s="165">
        <v>1</v>
      </c>
      <c r="D81" s="387">
        <v>0</v>
      </c>
      <c r="E81" s="226">
        <f t="shared" si="4"/>
        <v>2</v>
      </c>
      <c r="F81" s="224" t="s">
        <v>8</v>
      </c>
      <c r="G81" s="323">
        <v>5</v>
      </c>
      <c r="H81" s="223">
        <v>5</v>
      </c>
      <c r="I81" s="389">
        <v>0</v>
      </c>
      <c r="J81" s="228">
        <f t="shared" si="5"/>
        <v>10</v>
      </c>
    </row>
    <row r="82" spans="1:10" ht="14.95" thickBot="1" x14ac:dyDescent="0.3">
      <c r="A82" s="219" t="s">
        <v>419</v>
      </c>
      <c r="B82" s="321">
        <v>0</v>
      </c>
      <c r="C82" s="165">
        <v>1</v>
      </c>
      <c r="D82" s="387">
        <v>0</v>
      </c>
      <c r="E82" s="226">
        <f t="shared" si="4"/>
        <v>1</v>
      </c>
      <c r="F82" s="224" t="s">
        <v>419</v>
      </c>
      <c r="G82" s="323">
        <v>10</v>
      </c>
      <c r="H82" s="223">
        <v>7</v>
      </c>
      <c r="I82" s="389">
        <v>0</v>
      </c>
      <c r="J82" s="228">
        <f t="shared" si="5"/>
        <v>17</v>
      </c>
    </row>
    <row r="83" spans="1:10" ht="14.95" thickBot="1" x14ac:dyDescent="0.3">
      <c r="A83" s="219" t="s">
        <v>1825</v>
      </c>
      <c r="B83" s="321">
        <v>0</v>
      </c>
      <c r="C83" s="165">
        <v>0</v>
      </c>
      <c r="D83" s="387">
        <v>1</v>
      </c>
      <c r="E83" s="226">
        <f t="shared" si="4"/>
        <v>1</v>
      </c>
      <c r="F83" s="224" t="s">
        <v>1825</v>
      </c>
      <c r="G83" s="323">
        <v>0</v>
      </c>
      <c r="H83" s="223">
        <v>0</v>
      </c>
      <c r="I83" s="389">
        <v>5</v>
      </c>
      <c r="J83" s="228">
        <f t="shared" si="5"/>
        <v>5</v>
      </c>
    </row>
    <row r="84" spans="1:10" ht="14.95" thickBot="1" x14ac:dyDescent="0.3">
      <c r="A84" s="219" t="s">
        <v>1673</v>
      </c>
      <c r="B84" s="321">
        <v>3</v>
      </c>
      <c r="C84" s="165">
        <v>3</v>
      </c>
      <c r="D84" s="387">
        <v>0</v>
      </c>
      <c r="E84" s="226">
        <f t="shared" si="4"/>
        <v>6</v>
      </c>
      <c r="F84" s="224" t="s">
        <v>1673</v>
      </c>
      <c r="G84" s="323">
        <v>15</v>
      </c>
      <c r="H84" s="223">
        <v>15</v>
      </c>
      <c r="I84" s="389">
        <v>0</v>
      </c>
      <c r="J84" s="228">
        <f t="shared" si="5"/>
        <v>30</v>
      </c>
    </row>
    <row r="85" spans="1:10" ht="14.95" thickBot="1" x14ac:dyDescent="0.3">
      <c r="A85" s="219" t="s">
        <v>240</v>
      </c>
      <c r="B85" s="321">
        <v>1</v>
      </c>
      <c r="C85" s="165">
        <v>0</v>
      </c>
      <c r="D85" s="387">
        <v>0</v>
      </c>
      <c r="E85" s="226">
        <f t="shared" si="4"/>
        <v>1</v>
      </c>
      <c r="F85" s="224" t="s">
        <v>240</v>
      </c>
      <c r="G85" s="323">
        <v>5</v>
      </c>
      <c r="H85" s="223">
        <v>0</v>
      </c>
      <c r="I85" s="389">
        <v>0</v>
      </c>
      <c r="J85" s="228">
        <f t="shared" si="5"/>
        <v>5</v>
      </c>
    </row>
    <row r="86" spans="1:10" ht="14.95" thickBot="1" x14ac:dyDescent="0.3">
      <c r="A86" s="219" t="s">
        <v>1230</v>
      </c>
      <c r="B86" s="321">
        <v>0</v>
      </c>
      <c r="C86" s="165">
        <v>0</v>
      </c>
      <c r="D86" s="387">
        <v>0</v>
      </c>
      <c r="E86" s="226">
        <f t="shared" si="4"/>
        <v>0</v>
      </c>
      <c r="F86" s="224" t="s">
        <v>1230</v>
      </c>
      <c r="G86" s="323">
        <v>0</v>
      </c>
      <c r="H86" s="223">
        <v>0</v>
      </c>
      <c r="I86" s="389">
        <v>0</v>
      </c>
      <c r="J86" s="228">
        <f t="shared" si="5"/>
        <v>0</v>
      </c>
    </row>
    <row r="87" spans="1:10" ht="14.95" thickBot="1" x14ac:dyDescent="0.3">
      <c r="A87" s="219" t="s">
        <v>1762</v>
      </c>
      <c r="B87" s="321">
        <v>0</v>
      </c>
      <c r="C87" s="165">
        <v>1</v>
      </c>
      <c r="D87" s="387">
        <v>1</v>
      </c>
      <c r="E87" s="226">
        <f t="shared" si="4"/>
        <v>2</v>
      </c>
      <c r="F87" s="224" t="s">
        <v>1762</v>
      </c>
      <c r="G87" s="323">
        <v>0</v>
      </c>
      <c r="H87" s="223">
        <v>5</v>
      </c>
      <c r="I87" s="389">
        <v>5</v>
      </c>
      <c r="J87" s="228">
        <f t="shared" si="5"/>
        <v>10</v>
      </c>
    </row>
    <row r="88" spans="1:10" ht="14.95" thickBot="1" x14ac:dyDescent="0.3">
      <c r="A88" s="219" t="s">
        <v>1033</v>
      </c>
      <c r="B88" s="321">
        <v>0</v>
      </c>
      <c r="C88" s="165">
        <v>0</v>
      </c>
      <c r="D88" s="387">
        <v>0</v>
      </c>
      <c r="E88" s="226">
        <f t="shared" si="4"/>
        <v>0</v>
      </c>
      <c r="F88" s="224" t="s">
        <v>1033</v>
      </c>
      <c r="G88" s="323">
        <v>0</v>
      </c>
      <c r="H88" s="223">
        <v>0</v>
      </c>
      <c r="I88" s="389">
        <v>0</v>
      </c>
      <c r="J88" s="228">
        <f t="shared" si="5"/>
        <v>0</v>
      </c>
    </row>
    <row r="89" spans="1:10" ht="14.95" thickBot="1" x14ac:dyDescent="0.3">
      <c r="A89" s="219" t="s">
        <v>9</v>
      </c>
      <c r="B89" s="321">
        <v>1</v>
      </c>
      <c r="C89" s="165">
        <v>0</v>
      </c>
      <c r="D89" s="387">
        <v>0</v>
      </c>
      <c r="E89" s="226">
        <f t="shared" si="4"/>
        <v>1</v>
      </c>
      <c r="F89" s="224" t="s">
        <v>9</v>
      </c>
      <c r="G89" s="323">
        <v>5</v>
      </c>
      <c r="H89" s="223">
        <v>0</v>
      </c>
      <c r="I89" s="389">
        <v>0</v>
      </c>
      <c r="J89" s="228">
        <f t="shared" si="5"/>
        <v>5</v>
      </c>
    </row>
    <row r="90" spans="1:10" ht="14.95" thickBot="1" x14ac:dyDescent="0.3">
      <c r="A90" s="219" t="s">
        <v>930</v>
      </c>
      <c r="B90" s="321">
        <v>0</v>
      </c>
      <c r="C90" s="165">
        <v>1</v>
      </c>
      <c r="D90" s="387">
        <v>0</v>
      </c>
      <c r="E90" s="226">
        <f t="shared" si="4"/>
        <v>1</v>
      </c>
      <c r="F90" s="224" t="s">
        <v>930</v>
      </c>
      <c r="G90" s="323">
        <v>0</v>
      </c>
      <c r="H90" s="223">
        <v>5</v>
      </c>
      <c r="I90" s="389">
        <v>0</v>
      </c>
      <c r="J90" s="228">
        <f t="shared" si="5"/>
        <v>5</v>
      </c>
    </row>
    <row r="91" spans="1:10" ht="14.95" thickBot="1" x14ac:dyDescent="0.3">
      <c r="A91" s="219" t="s">
        <v>36</v>
      </c>
      <c r="B91" s="321">
        <v>1</v>
      </c>
      <c r="C91" s="165">
        <v>0</v>
      </c>
      <c r="D91" s="387">
        <v>0</v>
      </c>
      <c r="E91" s="226">
        <f t="shared" si="4"/>
        <v>1</v>
      </c>
      <c r="F91" s="224" t="s">
        <v>36</v>
      </c>
      <c r="G91" s="323">
        <v>5</v>
      </c>
      <c r="H91" s="223">
        <v>0</v>
      </c>
      <c r="I91" s="389">
        <v>0</v>
      </c>
      <c r="J91" s="228">
        <f t="shared" si="5"/>
        <v>5</v>
      </c>
    </row>
    <row r="92" spans="1:10" ht="14.95" thickBot="1" x14ac:dyDescent="0.3">
      <c r="A92" s="219" t="s">
        <v>61</v>
      </c>
      <c r="B92" s="321">
        <v>2</v>
      </c>
      <c r="C92" s="165">
        <v>0</v>
      </c>
      <c r="D92" s="387">
        <v>0</v>
      </c>
      <c r="E92" s="226">
        <f t="shared" si="4"/>
        <v>2</v>
      </c>
      <c r="F92" s="224" t="s">
        <v>61</v>
      </c>
      <c r="G92" s="323">
        <v>10</v>
      </c>
      <c r="H92" s="223">
        <v>0</v>
      </c>
      <c r="I92" s="389">
        <v>0</v>
      </c>
      <c r="J92" s="228">
        <f t="shared" si="5"/>
        <v>10</v>
      </c>
    </row>
    <row r="93" spans="1:10" ht="14.95" thickBot="1" x14ac:dyDescent="0.3">
      <c r="A93" s="219" t="s">
        <v>3</v>
      </c>
      <c r="B93" s="321">
        <f>SUM(B50:B92)</f>
        <v>47</v>
      </c>
      <c r="C93" s="165">
        <f>SUM(C50:C92)</f>
        <v>14</v>
      </c>
      <c r="D93" s="387">
        <f>SUM(D50:D92)</f>
        <v>7</v>
      </c>
      <c r="E93" s="226">
        <f t="shared" si="4"/>
        <v>68</v>
      </c>
      <c r="F93" s="224" t="s">
        <v>3</v>
      </c>
      <c r="G93" s="323">
        <f>SUM(G50:G92)</f>
        <v>478</v>
      </c>
      <c r="H93" s="223">
        <f>SUM(H50:H92)</f>
        <v>115</v>
      </c>
      <c r="I93" s="389">
        <f>SUM(I50:I92)</f>
        <v>69</v>
      </c>
      <c r="J93" s="228">
        <f t="shared" si="5"/>
        <v>662</v>
      </c>
    </row>
    <row r="94" spans="1:10" x14ac:dyDescent="0.25">
      <c r="A94" s="65" t="s">
        <v>171</v>
      </c>
    </row>
  </sheetData>
  <sortState xmlns:xlrd2="http://schemas.microsoft.com/office/spreadsheetml/2017/richdata2" ref="F50:J91">
    <sortCondition descending="1" ref="J50:J91"/>
  </sortState>
  <mergeCells count="24">
    <mergeCell ref="A1:J1"/>
    <mergeCell ref="AL1:AN2"/>
    <mergeCell ref="K19:K20"/>
    <mergeCell ref="L19:N20"/>
    <mergeCell ref="AI1:AK2"/>
    <mergeCell ref="R1:S2"/>
    <mergeCell ref="K12:K13"/>
    <mergeCell ref="K1:K2"/>
    <mergeCell ref="L1:N2"/>
    <mergeCell ref="O1:Q2"/>
    <mergeCell ref="AF1:AH2"/>
    <mergeCell ref="L12:N13"/>
    <mergeCell ref="AC1:AE2"/>
    <mergeCell ref="O12:Q13"/>
    <mergeCell ref="AE12:AG13"/>
    <mergeCell ref="U12:W13"/>
    <mergeCell ref="AB12:AD13"/>
    <mergeCell ref="O19:Q20"/>
    <mergeCell ref="AB19:AD20"/>
    <mergeCell ref="U19:W20"/>
    <mergeCell ref="W1:Y2"/>
    <mergeCell ref="R12:T13"/>
    <mergeCell ref="R19:T20"/>
    <mergeCell ref="T1:V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X171"/>
  <sheetViews>
    <sheetView tabSelected="1" topLeftCell="E10" zoomScaleNormal="100" workbookViewId="0">
      <selection activeCell="L31" sqref="L31:N31"/>
    </sheetView>
  </sheetViews>
  <sheetFormatPr defaultRowHeight="14.3" x14ac:dyDescent="0.25"/>
  <cols>
    <col min="1" max="1" width="16.625" customWidth="1"/>
    <col min="2" max="3" width="3.75" customWidth="1"/>
    <col min="4" max="5" width="4.75" customWidth="1"/>
    <col min="6" max="6" width="16.625" customWidth="1"/>
    <col min="7" max="10" width="5.25" customWidth="1"/>
    <col min="11" max="11" width="16.375" bestFit="1" customWidth="1"/>
    <col min="12" max="14" width="5.625" customWidth="1"/>
    <col min="15" max="40" width="5.75" customWidth="1"/>
    <col min="41" max="41" width="14.125" bestFit="1" customWidth="1"/>
    <col min="43" max="43" width="9.25" bestFit="1" customWidth="1"/>
  </cols>
  <sheetData>
    <row r="1" spans="1:50" ht="14.95" customHeight="1" thickBot="1" x14ac:dyDescent="0.3">
      <c r="A1" s="523" t="s">
        <v>1232</v>
      </c>
      <c r="B1" s="524"/>
      <c r="C1" s="524"/>
      <c r="D1" s="524"/>
      <c r="E1" s="524"/>
      <c r="F1" s="524"/>
      <c r="G1" s="524"/>
      <c r="H1" s="524"/>
      <c r="I1" s="524"/>
      <c r="J1" s="525"/>
      <c r="K1" s="478" t="s">
        <v>1324</v>
      </c>
      <c r="L1" s="480" t="s">
        <v>49</v>
      </c>
      <c r="M1" s="481"/>
      <c r="N1" s="482"/>
      <c r="O1" s="486" t="s">
        <v>202</v>
      </c>
      <c r="P1" s="487"/>
      <c r="Q1" s="488"/>
      <c r="R1" s="492" t="s">
        <v>62</v>
      </c>
      <c r="S1" s="493"/>
      <c r="T1" s="457" t="s">
        <v>124</v>
      </c>
      <c r="U1" s="458"/>
      <c r="V1" s="459"/>
      <c r="W1" s="457" t="s">
        <v>1070</v>
      </c>
      <c r="X1" s="458"/>
      <c r="Y1" s="459"/>
      <c r="Z1" s="127"/>
      <c r="AA1" s="127"/>
      <c r="AB1" s="127"/>
      <c r="AC1" s="457" t="s">
        <v>598</v>
      </c>
      <c r="AD1" s="458"/>
      <c r="AE1" s="459"/>
      <c r="AF1" s="457" t="s">
        <v>254</v>
      </c>
      <c r="AG1" s="458"/>
      <c r="AH1" s="459"/>
      <c r="AI1" s="457" t="s">
        <v>213</v>
      </c>
      <c r="AJ1" s="458"/>
      <c r="AK1" s="459"/>
      <c r="AL1" s="526" t="s">
        <v>214</v>
      </c>
      <c r="AM1" s="527"/>
      <c r="AN1" s="528"/>
      <c r="AP1" s="5" t="s">
        <v>774</v>
      </c>
      <c r="AQ1" s="5"/>
      <c r="AR1" s="5"/>
      <c r="AU1" s="5" t="s">
        <v>783</v>
      </c>
    </row>
    <row r="2" spans="1:50" ht="14.95" customHeight="1" thickBot="1" x14ac:dyDescent="0.3">
      <c r="A2" s="216" t="s">
        <v>0</v>
      </c>
      <c r="B2" s="217" t="s">
        <v>1072</v>
      </c>
      <c r="C2" s="196" t="s">
        <v>123</v>
      </c>
      <c r="D2" s="360" t="s">
        <v>1073</v>
      </c>
      <c r="E2" s="197" t="s">
        <v>1</v>
      </c>
      <c r="F2" s="390" t="s">
        <v>2</v>
      </c>
      <c r="G2" s="205" t="s">
        <v>1072</v>
      </c>
      <c r="H2" s="378" t="s">
        <v>123</v>
      </c>
      <c r="I2" s="379" t="s">
        <v>1073</v>
      </c>
      <c r="J2" s="206" t="s">
        <v>1</v>
      </c>
      <c r="K2" s="479"/>
      <c r="L2" s="483"/>
      <c r="M2" s="484"/>
      <c r="N2" s="485"/>
      <c r="O2" s="489"/>
      <c r="P2" s="490"/>
      <c r="Q2" s="491"/>
      <c r="R2" s="494"/>
      <c r="S2" s="495"/>
      <c r="T2" s="460"/>
      <c r="U2" s="461"/>
      <c r="V2" s="462"/>
      <c r="W2" s="460"/>
      <c r="X2" s="461"/>
      <c r="Y2" s="462"/>
      <c r="Z2" s="127"/>
      <c r="AA2" s="127"/>
      <c r="AB2" s="127"/>
      <c r="AC2" s="460"/>
      <c r="AD2" s="461"/>
      <c r="AE2" s="462"/>
      <c r="AF2" s="460"/>
      <c r="AG2" s="461"/>
      <c r="AH2" s="462"/>
      <c r="AI2" s="460"/>
      <c r="AJ2" s="461"/>
      <c r="AK2" s="462"/>
      <c r="AL2" s="529"/>
      <c r="AM2" s="530"/>
      <c r="AN2" s="531"/>
      <c r="AP2" t="s">
        <v>503</v>
      </c>
      <c r="AQ2" t="s">
        <v>260</v>
      </c>
      <c r="AR2" t="s">
        <v>437</v>
      </c>
      <c r="AS2">
        <v>1489</v>
      </c>
      <c r="AU2" t="s">
        <v>535</v>
      </c>
      <c r="AV2" t="s">
        <v>268</v>
      </c>
      <c r="AW2" t="s">
        <v>312</v>
      </c>
      <c r="AX2">
        <v>47</v>
      </c>
    </row>
    <row r="3" spans="1:50" ht="14.95" customHeight="1" thickBot="1" x14ac:dyDescent="0.3">
      <c r="A3" s="19" t="s">
        <v>1848</v>
      </c>
      <c r="B3" s="117">
        <v>1</v>
      </c>
      <c r="C3" s="53">
        <v>0</v>
      </c>
      <c r="D3" s="361">
        <v>0</v>
      </c>
      <c r="E3" s="6">
        <f t="shared" ref="E3:E54" si="0">SUM(B3:D3)</f>
        <v>1</v>
      </c>
      <c r="F3" s="391" t="s">
        <v>1848</v>
      </c>
      <c r="G3" s="118">
        <v>5</v>
      </c>
      <c r="H3" s="374">
        <v>0</v>
      </c>
      <c r="I3" s="375">
        <v>0</v>
      </c>
      <c r="J3" s="98">
        <f t="shared" ref="J3:J54" si="1">SUM(G3:I3)</f>
        <v>5</v>
      </c>
      <c r="K3" s="37" t="s">
        <v>87</v>
      </c>
      <c r="L3" s="66" t="s">
        <v>243</v>
      </c>
      <c r="M3" s="66" t="s">
        <v>42</v>
      </c>
      <c r="N3" s="66" t="s">
        <v>43</v>
      </c>
      <c r="O3" s="1" t="s">
        <v>243</v>
      </c>
      <c r="P3" s="1" t="s">
        <v>42</v>
      </c>
      <c r="Q3" s="1" t="s">
        <v>43</v>
      </c>
      <c r="R3" s="4" t="s">
        <v>63</v>
      </c>
      <c r="S3" s="4" t="s">
        <v>957</v>
      </c>
      <c r="T3" s="119" t="s">
        <v>243</v>
      </c>
      <c r="U3" s="119" t="s">
        <v>42</v>
      </c>
      <c r="V3" s="119" t="s">
        <v>43</v>
      </c>
      <c r="W3" s="124" t="s">
        <v>243</v>
      </c>
      <c r="X3" s="119" t="s">
        <v>42</v>
      </c>
      <c r="Y3" s="119" t="s">
        <v>43</v>
      </c>
      <c r="Z3" s="60"/>
      <c r="AA3" s="60"/>
      <c r="AB3" s="60"/>
      <c r="AC3" s="124" t="s">
        <v>243</v>
      </c>
      <c r="AD3" s="119" t="s">
        <v>42</v>
      </c>
      <c r="AE3" s="119" t="s">
        <v>43</v>
      </c>
      <c r="AF3" s="119" t="s">
        <v>243</v>
      </c>
      <c r="AG3" s="119" t="s">
        <v>42</v>
      </c>
      <c r="AH3" s="119" t="s">
        <v>43</v>
      </c>
      <c r="AI3" s="119" t="s">
        <v>243</v>
      </c>
      <c r="AJ3" s="119" t="s">
        <v>42</v>
      </c>
      <c r="AK3" s="119" t="s">
        <v>43</v>
      </c>
      <c r="AL3" s="8" t="s">
        <v>243</v>
      </c>
      <c r="AM3" s="8" t="s">
        <v>42</v>
      </c>
      <c r="AN3" s="8" t="s">
        <v>43</v>
      </c>
      <c r="AP3" t="s">
        <v>743</v>
      </c>
      <c r="AQ3" t="s">
        <v>260</v>
      </c>
      <c r="AR3" t="s">
        <v>633</v>
      </c>
      <c r="AS3">
        <v>670</v>
      </c>
      <c r="AU3" t="s">
        <v>744</v>
      </c>
      <c r="AV3" t="s">
        <v>268</v>
      </c>
      <c r="AW3" t="s">
        <v>312</v>
      </c>
      <c r="AX3">
        <v>37</v>
      </c>
    </row>
    <row r="4" spans="1:50" ht="14.95" customHeight="1" thickBot="1" x14ac:dyDescent="0.3">
      <c r="A4" s="19" t="s">
        <v>1235</v>
      </c>
      <c r="B4" s="117">
        <v>0</v>
      </c>
      <c r="C4" s="53">
        <v>0</v>
      </c>
      <c r="D4" s="361">
        <v>0</v>
      </c>
      <c r="E4" s="6">
        <f t="shared" si="0"/>
        <v>0</v>
      </c>
      <c r="F4" s="391" t="s">
        <v>1235</v>
      </c>
      <c r="G4" s="118">
        <v>0</v>
      </c>
      <c r="H4" s="374">
        <v>0</v>
      </c>
      <c r="I4" s="375">
        <v>0</v>
      </c>
      <c r="J4" s="98">
        <f t="shared" si="1"/>
        <v>0</v>
      </c>
      <c r="K4" s="252" t="s">
        <v>1241</v>
      </c>
      <c r="L4" s="6">
        <v>0</v>
      </c>
      <c r="M4" s="6">
        <v>1</v>
      </c>
      <c r="N4" s="38">
        <f>SUM(L4/M4)*100</f>
        <v>0</v>
      </c>
      <c r="O4" s="6" t="s">
        <v>50</v>
      </c>
      <c r="P4" s="6" t="s">
        <v>50</v>
      </c>
      <c r="Q4" s="6" t="s">
        <v>50</v>
      </c>
      <c r="R4" s="6">
        <v>-1</v>
      </c>
      <c r="S4" s="6">
        <v>-1</v>
      </c>
      <c r="T4" s="6" t="s">
        <v>50</v>
      </c>
      <c r="U4" s="6" t="s">
        <v>50</v>
      </c>
      <c r="V4" s="6" t="s">
        <v>50</v>
      </c>
      <c r="W4" s="151">
        <v>1</v>
      </c>
      <c r="X4" s="6">
        <v>1</v>
      </c>
      <c r="Y4" s="38">
        <f>SUM(W4/X4)*100</f>
        <v>100</v>
      </c>
      <c r="Z4" s="64"/>
      <c r="AA4" s="64"/>
      <c r="AB4" s="64"/>
      <c r="AC4" s="151">
        <v>1</v>
      </c>
      <c r="AD4" s="6">
        <v>1</v>
      </c>
      <c r="AE4" s="38">
        <f>SUM(AC4/AD4)*100</f>
        <v>100</v>
      </c>
      <c r="AF4" s="6">
        <v>0</v>
      </c>
      <c r="AG4" s="6">
        <v>1</v>
      </c>
      <c r="AH4" s="38">
        <f>SUM(AF4/AG4)*100</f>
        <v>0</v>
      </c>
      <c r="AI4" s="6">
        <v>2</v>
      </c>
      <c r="AJ4" s="6">
        <v>3</v>
      </c>
      <c r="AK4" s="38">
        <f>SUM(AI4/AJ4)*100</f>
        <v>66.666666666666657</v>
      </c>
      <c r="AL4" s="6">
        <v>0</v>
      </c>
      <c r="AM4" s="6">
        <v>4</v>
      </c>
      <c r="AN4" s="6">
        <v>0</v>
      </c>
      <c r="AP4" t="s">
        <v>601</v>
      </c>
      <c r="AQ4" t="s">
        <v>260</v>
      </c>
      <c r="AR4" t="s">
        <v>560</v>
      </c>
      <c r="AS4">
        <v>497</v>
      </c>
      <c r="AU4" t="s">
        <v>597</v>
      </c>
      <c r="AV4" t="s">
        <v>262</v>
      </c>
      <c r="AW4" t="s">
        <v>316</v>
      </c>
      <c r="AX4">
        <v>35</v>
      </c>
    </row>
    <row r="5" spans="1:50" ht="14.95" customHeight="1" thickBot="1" x14ac:dyDescent="0.3">
      <c r="A5" s="19" t="s">
        <v>1237</v>
      </c>
      <c r="B5" s="117">
        <v>0</v>
      </c>
      <c r="C5" s="53">
        <v>0</v>
      </c>
      <c r="D5" s="361">
        <v>0</v>
      </c>
      <c r="E5" s="6">
        <f t="shared" si="0"/>
        <v>0</v>
      </c>
      <c r="F5" s="391" t="s">
        <v>1237</v>
      </c>
      <c r="G5" s="118">
        <v>0</v>
      </c>
      <c r="H5" s="374">
        <v>0</v>
      </c>
      <c r="I5" s="375">
        <v>0</v>
      </c>
      <c r="J5" s="98">
        <f t="shared" si="1"/>
        <v>0</v>
      </c>
      <c r="K5" s="39" t="s">
        <v>1247</v>
      </c>
      <c r="L5" s="6">
        <v>41</v>
      </c>
      <c r="M5" s="6">
        <v>51</v>
      </c>
      <c r="N5" s="38">
        <f>SUM(L5/M5)*100</f>
        <v>80.392156862745097</v>
      </c>
      <c r="O5" s="6" t="s">
        <v>50</v>
      </c>
      <c r="P5" s="6" t="s">
        <v>50</v>
      </c>
      <c r="Q5" s="6" t="s">
        <v>50</v>
      </c>
      <c r="R5" s="6">
        <v>2</v>
      </c>
      <c r="S5" s="6">
        <v>2</v>
      </c>
      <c r="T5" s="6">
        <v>30</v>
      </c>
      <c r="U5" s="6">
        <v>38</v>
      </c>
      <c r="V5" s="38">
        <f>SUM(T5/U5)*100</f>
        <v>78.94736842105263</v>
      </c>
      <c r="W5" s="151">
        <v>11</v>
      </c>
      <c r="X5" s="6">
        <v>13</v>
      </c>
      <c r="Y5" s="38">
        <f>SUM(W5/X5)*100</f>
        <v>84.615384615384613</v>
      </c>
      <c r="Z5" s="64"/>
      <c r="AA5" s="64"/>
      <c r="AB5" s="64"/>
      <c r="AC5" s="151">
        <v>22</v>
      </c>
      <c r="AD5" s="6">
        <v>37</v>
      </c>
      <c r="AE5" s="38">
        <f>SUM(AC5/AD5)*100</f>
        <v>59.45945945945946</v>
      </c>
      <c r="AF5" s="6">
        <v>61</v>
      </c>
      <c r="AG5" s="6">
        <v>75</v>
      </c>
      <c r="AH5" s="38">
        <f>SUM(AF5/AG5)*100</f>
        <v>81.333333333333329</v>
      </c>
      <c r="AI5" s="6">
        <v>41</v>
      </c>
      <c r="AJ5" s="6">
        <v>55</v>
      </c>
      <c r="AK5" s="38">
        <f>SUM(AI5/AJ5)*100</f>
        <v>74.545454545454547</v>
      </c>
      <c r="AL5" s="6">
        <v>67</v>
      </c>
      <c r="AM5" s="6">
        <v>92</v>
      </c>
      <c r="AN5" s="38">
        <f>SUM(AL5/AM5)*100</f>
        <v>72.826086956521735</v>
      </c>
      <c r="AP5" t="s">
        <v>535</v>
      </c>
      <c r="AQ5" t="s">
        <v>268</v>
      </c>
      <c r="AR5" t="s">
        <v>312</v>
      </c>
      <c r="AS5">
        <v>379</v>
      </c>
      <c r="AU5" t="s">
        <v>282</v>
      </c>
      <c r="AV5" t="s">
        <v>264</v>
      </c>
      <c r="AW5" t="s">
        <v>411</v>
      </c>
      <c r="AX5">
        <v>33</v>
      </c>
    </row>
    <row r="6" spans="1:50" ht="14.95" customHeight="1" thickBot="1" x14ac:dyDescent="0.3">
      <c r="A6" s="19" t="s">
        <v>1328</v>
      </c>
      <c r="B6" s="117">
        <v>0</v>
      </c>
      <c r="C6" s="53">
        <v>0</v>
      </c>
      <c r="D6" s="361">
        <v>1</v>
      </c>
      <c r="E6" s="6">
        <f t="shared" si="0"/>
        <v>1</v>
      </c>
      <c r="F6" s="391" t="s">
        <v>1328</v>
      </c>
      <c r="G6" s="118">
        <v>0</v>
      </c>
      <c r="H6" s="374">
        <v>0</v>
      </c>
      <c r="I6" s="375">
        <v>5</v>
      </c>
      <c r="J6" s="98">
        <f t="shared" si="1"/>
        <v>5</v>
      </c>
      <c r="K6" s="39" t="s">
        <v>938</v>
      </c>
      <c r="L6" s="6">
        <v>5</v>
      </c>
      <c r="M6" s="6">
        <v>6</v>
      </c>
      <c r="N6" s="6">
        <v>100</v>
      </c>
      <c r="O6" s="6" t="s">
        <v>50</v>
      </c>
      <c r="P6" s="6" t="s">
        <v>50</v>
      </c>
      <c r="Q6" s="6" t="s">
        <v>50</v>
      </c>
      <c r="R6" s="6">
        <v>3</v>
      </c>
      <c r="S6" s="6">
        <v>1</v>
      </c>
      <c r="T6" s="6" t="s">
        <v>50</v>
      </c>
      <c r="U6" s="6" t="s">
        <v>50</v>
      </c>
      <c r="V6" s="6" t="s">
        <v>50</v>
      </c>
      <c r="W6" s="151" t="s">
        <v>50</v>
      </c>
      <c r="X6" s="6" t="s">
        <v>50</v>
      </c>
      <c r="Y6" s="6" t="s">
        <v>50</v>
      </c>
      <c r="Z6" s="83"/>
      <c r="AA6" s="83"/>
      <c r="AB6" s="83"/>
      <c r="AC6" s="151" t="s">
        <v>50</v>
      </c>
      <c r="AD6" s="6" t="s">
        <v>50</v>
      </c>
      <c r="AE6" s="6" t="s">
        <v>50</v>
      </c>
      <c r="AF6" s="6" t="s">
        <v>50</v>
      </c>
      <c r="AG6" s="6" t="s">
        <v>50</v>
      </c>
      <c r="AH6" s="6" t="s">
        <v>50</v>
      </c>
      <c r="AI6" s="6" t="s">
        <v>50</v>
      </c>
      <c r="AJ6" s="6" t="s">
        <v>50</v>
      </c>
      <c r="AK6" s="6" t="s">
        <v>50</v>
      </c>
      <c r="AL6" s="6" t="s">
        <v>50</v>
      </c>
      <c r="AM6" s="6" t="s">
        <v>50</v>
      </c>
      <c r="AN6" s="6" t="s">
        <v>50</v>
      </c>
      <c r="AP6" t="s">
        <v>546</v>
      </c>
      <c r="AQ6" t="s">
        <v>263</v>
      </c>
      <c r="AR6" t="s">
        <v>481</v>
      </c>
      <c r="AS6">
        <v>288</v>
      </c>
      <c r="AU6" t="s">
        <v>503</v>
      </c>
      <c r="AV6" t="s">
        <v>260</v>
      </c>
      <c r="AW6" t="s">
        <v>437</v>
      </c>
      <c r="AX6">
        <v>25</v>
      </c>
    </row>
    <row r="7" spans="1:50" ht="14.95" customHeight="1" thickBot="1" x14ac:dyDescent="0.3">
      <c r="A7" s="19" t="s">
        <v>1830</v>
      </c>
      <c r="B7" s="117">
        <v>1</v>
      </c>
      <c r="C7" s="53">
        <v>0</v>
      </c>
      <c r="D7" s="361">
        <v>1</v>
      </c>
      <c r="E7" s="6">
        <f t="shared" si="0"/>
        <v>2</v>
      </c>
      <c r="F7" s="391" t="s">
        <v>1830</v>
      </c>
      <c r="G7" s="118">
        <v>5</v>
      </c>
      <c r="H7" s="374">
        <v>0</v>
      </c>
      <c r="I7" s="375">
        <v>5</v>
      </c>
      <c r="J7" s="98">
        <f t="shared" si="1"/>
        <v>10</v>
      </c>
      <c r="K7" s="39" t="s">
        <v>57</v>
      </c>
      <c r="L7" s="6">
        <v>2</v>
      </c>
      <c r="M7" s="6">
        <v>2</v>
      </c>
      <c r="N7" s="38">
        <f>SUM(L7/M7)*100</f>
        <v>100</v>
      </c>
      <c r="O7" s="6">
        <v>1</v>
      </c>
      <c r="P7" s="6">
        <v>1</v>
      </c>
      <c r="Q7" s="38">
        <f>SUM(O7/P7)*100</f>
        <v>100</v>
      </c>
      <c r="R7" s="6">
        <v>6</v>
      </c>
      <c r="S7" s="6">
        <v>18</v>
      </c>
      <c r="T7" s="6">
        <v>19</v>
      </c>
      <c r="U7" s="6">
        <v>23</v>
      </c>
      <c r="V7" s="38">
        <f>SUM(T7/U7)*100</f>
        <v>82.608695652173907</v>
      </c>
      <c r="W7" s="151">
        <v>24</v>
      </c>
      <c r="X7" s="6">
        <v>35</v>
      </c>
      <c r="Y7" s="38">
        <f>SUM(W7/X7)*100</f>
        <v>68.571428571428569</v>
      </c>
      <c r="Z7" s="64"/>
      <c r="AA7" s="64"/>
      <c r="AB7" s="64"/>
      <c r="AC7" s="151" t="s">
        <v>50</v>
      </c>
      <c r="AD7" s="6" t="s">
        <v>50</v>
      </c>
      <c r="AE7" s="6" t="s">
        <v>50</v>
      </c>
      <c r="AF7" s="6" t="s">
        <v>50</v>
      </c>
      <c r="AG7" s="6" t="s">
        <v>50</v>
      </c>
      <c r="AH7" s="6" t="s">
        <v>50</v>
      </c>
      <c r="AI7" s="6" t="s">
        <v>50</v>
      </c>
      <c r="AJ7" s="6" t="s">
        <v>50</v>
      </c>
      <c r="AK7" s="6" t="s">
        <v>50</v>
      </c>
      <c r="AL7" s="6" t="s">
        <v>50</v>
      </c>
      <c r="AM7" s="6" t="s">
        <v>50</v>
      </c>
      <c r="AN7" s="6" t="s">
        <v>50</v>
      </c>
      <c r="AP7" t="s">
        <v>533</v>
      </c>
      <c r="AQ7" t="s">
        <v>260</v>
      </c>
      <c r="AR7" t="s">
        <v>329</v>
      </c>
      <c r="AS7">
        <v>252</v>
      </c>
      <c r="AU7" t="s">
        <v>745</v>
      </c>
      <c r="AV7" t="s">
        <v>272</v>
      </c>
      <c r="AW7" t="s">
        <v>316</v>
      </c>
      <c r="AX7">
        <v>23</v>
      </c>
    </row>
    <row r="8" spans="1:50" ht="16.5" customHeight="1" thickBot="1" x14ac:dyDescent="0.3">
      <c r="A8" s="19" t="s">
        <v>1003</v>
      </c>
      <c r="B8" s="117">
        <v>0</v>
      </c>
      <c r="C8" s="53">
        <v>0</v>
      </c>
      <c r="D8" s="361">
        <v>0</v>
      </c>
      <c r="E8" s="6">
        <f t="shared" si="0"/>
        <v>0</v>
      </c>
      <c r="F8" s="391" t="s">
        <v>1003</v>
      </c>
      <c r="G8" s="118">
        <v>0</v>
      </c>
      <c r="H8" s="374">
        <v>0</v>
      </c>
      <c r="I8" s="375">
        <v>0</v>
      </c>
      <c r="J8" s="98">
        <f t="shared" si="1"/>
        <v>0</v>
      </c>
      <c r="K8" s="39" t="s">
        <v>1792</v>
      </c>
      <c r="L8" s="6" t="s">
        <v>50</v>
      </c>
      <c r="M8" s="6" t="s">
        <v>50</v>
      </c>
      <c r="N8" s="6" t="s">
        <v>50</v>
      </c>
      <c r="O8" s="6" t="s">
        <v>50</v>
      </c>
      <c r="P8" s="6" t="s">
        <v>50</v>
      </c>
      <c r="Q8" s="6" t="s">
        <v>50</v>
      </c>
      <c r="R8" s="6">
        <v>-1</v>
      </c>
      <c r="S8" s="6">
        <v>-1</v>
      </c>
      <c r="T8" s="6">
        <v>0</v>
      </c>
      <c r="U8" s="6">
        <v>1</v>
      </c>
      <c r="V8" s="38">
        <f>SUM(T8/U8)*100</f>
        <v>0</v>
      </c>
      <c r="W8" s="151" t="s">
        <v>50</v>
      </c>
      <c r="X8" s="6" t="s">
        <v>50</v>
      </c>
      <c r="Y8" s="6" t="s">
        <v>50</v>
      </c>
      <c r="Z8" s="83"/>
      <c r="AA8" s="83"/>
      <c r="AB8" s="83"/>
      <c r="AC8" s="151" t="s">
        <v>50</v>
      </c>
      <c r="AD8" s="6" t="s">
        <v>50</v>
      </c>
      <c r="AE8" s="6" t="s">
        <v>50</v>
      </c>
      <c r="AF8" s="6" t="s">
        <v>50</v>
      </c>
      <c r="AG8" s="6" t="s">
        <v>50</v>
      </c>
      <c r="AH8" s="6" t="s">
        <v>50</v>
      </c>
      <c r="AI8" s="6" t="s">
        <v>50</v>
      </c>
      <c r="AJ8" s="6" t="s">
        <v>50</v>
      </c>
      <c r="AK8" s="6" t="s">
        <v>50</v>
      </c>
      <c r="AL8" s="6" t="s">
        <v>50</v>
      </c>
      <c r="AM8" s="6" t="s">
        <v>50</v>
      </c>
      <c r="AN8" s="6" t="s">
        <v>50</v>
      </c>
      <c r="AP8" t="s">
        <v>597</v>
      </c>
      <c r="AQ8" t="s">
        <v>262</v>
      </c>
      <c r="AR8" t="s">
        <v>316</v>
      </c>
      <c r="AS8">
        <v>189</v>
      </c>
      <c r="AU8" t="s">
        <v>546</v>
      </c>
      <c r="AV8" t="s">
        <v>263</v>
      </c>
      <c r="AW8" t="s">
        <v>481</v>
      </c>
      <c r="AX8">
        <v>16</v>
      </c>
    </row>
    <row r="9" spans="1:50" ht="14.95" customHeight="1" thickBot="1" x14ac:dyDescent="0.3">
      <c r="A9" s="19" t="s">
        <v>232</v>
      </c>
      <c r="B9" s="117">
        <v>0</v>
      </c>
      <c r="C9" s="53">
        <v>0</v>
      </c>
      <c r="D9" s="361">
        <v>0</v>
      </c>
      <c r="E9" s="6">
        <f t="shared" si="0"/>
        <v>0</v>
      </c>
      <c r="F9" s="392" t="s">
        <v>232</v>
      </c>
      <c r="G9" s="118">
        <v>0</v>
      </c>
      <c r="H9" s="374">
        <v>0</v>
      </c>
      <c r="I9" s="375">
        <v>0</v>
      </c>
      <c r="J9" s="98">
        <f t="shared" si="1"/>
        <v>0</v>
      </c>
      <c r="K9" s="39" t="s">
        <v>1008</v>
      </c>
      <c r="L9" s="6">
        <v>0</v>
      </c>
      <c r="M9" s="6">
        <v>1</v>
      </c>
      <c r="N9" s="38">
        <f>SUM(L9/M9)*100</f>
        <v>0</v>
      </c>
      <c r="O9" s="6">
        <v>0</v>
      </c>
      <c r="P9" s="6">
        <v>1</v>
      </c>
      <c r="Q9" s="6">
        <v>0</v>
      </c>
      <c r="R9" s="6">
        <v>-1</v>
      </c>
      <c r="S9" s="6">
        <v>-1</v>
      </c>
      <c r="T9" s="151" t="s">
        <v>50</v>
      </c>
      <c r="U9" s="6" t="s">
        <v>50</v>
      </c>
      <c r="V9" s="6" t="s">
        <v>50</v>
      </c>
      <c r="W9" s="151" t="s">
        <v>50</v>
      </c>
      <c r="X9" s="6" t="s">
        <v>50</v>
      </c>
      <c r="Y9" s="6" t="s">
        <v>50</v>
      </c>
      <c r="Z9" s="83"/>
      <c r="AA9" s="83"/>
      <c r="AB9" s="83"/>
      <c r="AC9" s="151" t="s">
        <v>50</v>
      </c>
      <c r="AD9" s="6" t="s">
        <v>50</v>
      </c>
      <c r="AE9" s="6" t="s">
        <v>50</v>
      </c>
      <c r="AF9" s="151" t="s">
        <v>50</v>
      </c>
      <c r="AG9" s="6" t="s">
        <v>50</v>
      </c>
      <c r="AH9" s="6" t="s">
        <v>50</v>
      </c>
      <c r="AI9" s="151" t="s">
        <v>50</v>
      </c>
      <c r="AJ9" s="6" t="s">
        <v>50</v>
      </c>
      <c r="AK9" s="6" t="s">
        <v>50</v>
      </c>
      <c r="AL9" s="151" t="s">
        <v>50</v>
      </c>
      <c r="AM9" s="6" t="s">
        <v>50</v>
      </c>
      <c r="AN9" s="6" t="s">
        <v>50</v>
      </c>
      <c r="AP9" t="s">
        <v>744</v>
      </c>
      <c r="AQ9" t="s">
        <v>268</v>
      </c>
      <c r="AR9" t="s">
        <v>312</v>
      </c>
      <c r="AS9">
        <v>185</v>
      </c>
      <c r="AU9" t="s">
        <v>749</v>
      </c>
      <c r="AV9" t="s">
        <v>264</v>
      </c>
      <c r="AW9" t="s">
        <v>329</v>
      </c>
      <c r="AX9">
        <v>16</v>
      </c>
    </row>
    <row r="10" spans="1:50" ht="14.95" customHeight="1" thickBot="1" x14ac:dyDescent="0.3">
      <c r="A10" s="19" t="s">
        <v>216</v>
      </c>
      <c r="B10" s="117">
        <v>2</v>
      </c>
      <c r="C10" s="53">
        <v>1</v>
      </c>
      <c r="D10" s="361">
        <v>1</v>
      </c>
      <c r="E10" s="6">
        <f t="shared" si="0"/>
        <v>4</v>
      </c>
      <c r="F10" s="391" t="s">
        <v>216</v>
      </c>
      <c r="G10" s="118">
        <v>10</v>
      </c>
      <c r="H10" s="374">
        <v>5</v>
      </c>
      <c r="I10" s="375">
        <v>5</v>
      </c>
      <c r="J10" s="98">
        <f t="shared" si="1"/>
        <v>20</v>
      </c>
      <c r="K10" s="39" t="s">
        <v>1790</v>
      </c>
      <c r="L10" s="6">
        <v>0</v>
      </c>
      <c r="M10" s="6">
        <v>1</v>
      </c>
      <c r="N10" s="6">
        <v>0</v>
      </c>
      <c r="O10" s="6" t="s">
        <v>50</v>
      </c>
      <c r="P10" s="6" t="s">
        <v>50</v>
      </c>
      <c r="Q10" s="6" t="s">
        <v>50</v>
      </c>
      <c r="R10" s="6">
        <v>-1</v>
      </c>
      <c r="S10" s="6">
        <v>-1</v>
      </c>
      <c r="T10" s="6">
        <v>2</v>
      </c>
      <c r="U10" s="6">
        <v>2</v>
      </c>
      <c r="V10" s="38">
        <v>100</v>
      </c>
      <c r="W10" s="151">
        <v>36</v>
      </c>
      <c r="X10" s="6">
        <v>45</v>
      </c>
      <c r="Y10" s="6">
        <v>80</v>
      </c>
      <c r="Z10" s="83"/>
      <c r="AA10" s="83"/>
      <c r="AB10" s="83"/>
      <c r="AC10" s="151">
        <v>0</v>
      </c>
      <c r="AD10" s="6">
        <v>2</v>
      </c>
      <c r="AE10" s="6">
        <v>0</v>
      </c>
      <c r="AF10" s="6">
        <v>12</v>
      </c>
      <c r="AG10" s="6">
        <v>16</v>
      </c>
      <c r="AH10" s="6">
        <v>75</v>
      </c>
      <c r="AI10" s="6" t="s">
        <v>50</v>
      </c>
      <c r="AJ10" s="6" t="s">
        <v>50</v>
      </c>
      <c r="AK10" s="6" t="s">
        <v>50</v>
      </c>
      <c r="AL10" s="6" t="s">
        <v>50</v>
      </c>
      <c r="AM10" s="6" t="s">
        <v>50</v>
      </c>
      <c r="AN10" s="6" t="s">
        <v>50</v>
      </c>
      <c r="AP10" t="s">
        <v>505</v>
      </c>
      <c r="AQ10" t="s">
        <v>260</v>
      </c>
      <c r="AR10" t="s">
        <v>331</v>
      </c>
      <c r="AS10">
        <v>176</v>
      </c>
      <c r="AU10" t="s">
        <v>751</v>
      </c>
      <c r="AV10" t="s">
        <v>264</v>
      </c>
      <c r="AW10" t="s">
        <v>305</v>
      </c>
      <c r="AX10">
        <v>14</v>
      </c>
    </row>
    <row r="11" spans="1:50" ht="14.95" customHeight="1" thickBot="1" x14ac:dyDescent="0.3">
      <c r="A11" s="19" t="s">
        <v>1236</v>
      </c>
      <c r="B11" s="117">
        <v>0</v>
      </c>
      <c r="C11" s="53">
        <v>0</v>
      </c>
      <c r="D11" s="361">
        <v>0</v>
      </c>
      <c r="E11" s="6">
        <f t="shared" si="0"/>
        <v>0</v>
      </c>
      <c r="F11" s="391" t="s">
        <v>1236</v>
      </c>
      <c r="G11" s="118">
        <v>0</v>
      </c>
      <c r="H11" s="374">
        <v>0</v>
      </c>
      <c r="I11" s="375">
        <v>0</v>
      </c>
      <c r="J11" s="98">
        <f t="shared" si="1"/>
        <v>0</v>
      </c>
      <c r="K11" s="39" t="s">
        <v>945</v>
      </c>
      <c r="L11" s="6">
        <v>23</v>
      </c>
      <c r="M11" s="6">
        <v>25</v>
      </c>
      <c r="N11" s="38">
        <f>SUM(L11/M11)*100</f>
        <v>92</v>
      </c>
      <c r="O11" s="6" t="s">
        <v>50</v>
      </c>
      <c r="P11" s="6" t="s">
        <v>50</v>
      </c>
      <c r="Q11" s="6" t="s">
        <v>50</v>
      </c>
      <c r="R11" s="6">
        <v>5</v>
      </c>
      <c r="S11" s="6">
        <v>5</v>
      </c>
      <c r="T11" s="6">
        <v>19</v>
      </c>
      <c r="U11" s="6">
        <v>26</v>
      </c>
      <c r="V11" s="38">
        <f>SUM(T11/U11)*100</f>
        <v>73.076923076923066</v>
      </c>
      <c r="W11" s="151">
        <v>22</v>
      </c>
      <c r="X11" s="6">
        <v>25</v>
      </c>
      <c r="Y11" s="38">
        <f>SUM(W11/X11)*100</f>
        <v>88</v>
      </c>
      <c r="Z11" s="64"/>
      <c r="AA11" s="64"/>
      <c r="AB11" s="64"/>
      <c r="AC11" s="151" t="s">
        <v>50</v>
      </c>
      <c r="AD11" s="6" t="s">
        <v>50</v>
      </c>
      <c r="AE11" s="6" t="s">
        <v>50</v>
      </c>
      <c r="AF11" s="6" t="s">
        <v>50</v>
      </c>
      <c r="AG11" s="6" t="s">
        <v>50</v>
      </c>
      <c r="AH11" s="6" t="s">
        <v>50</v>
      </c>
      <c r="AI11" s="6" t="s">
        <v>50</v>
      </c>
      <c r="AJ11" s="6" t="s">
        <v>50</v>
      </c>
      <c r="AK11" s="6" t="s">
        <v>50</v>
      </c>
      <c r="AL11" s="6" t="s">
        <v>50</v>
      </c>
      <c r="AM11" s="6" t="s">
        <v>50</v>
      </c>
      <c r="AN11" s="6" t="s">
        <v>50</v>
      </c>
      <c r="AP11" t="s">
        <v>282</v>
      </c>
      <c r="AQ11" t="s">
        <v>264</v>
      </c>
      <c r="AR11" t="s">
        <v>411</v>
      </c>
      <c r="AS11">
        <v>165</v>
      </c>
      <c r="AU11" t="s">
        <v>747</v>
      </c>
      <c r="AV11" t="s">
        <v>263</v>
      </c>
      <c r="AW11" t="s">
        <v>305</v>
      </c>
      <c r="AX11">
        <v>13</v>
      </c>
    </row>
    <row r="12" spans="1:50" ht="14.95" customHeight="1" thickBot="1" x14ac:dyDescent="0.3">
      <c r="A12" s="19" t="s">
        <v>938</v>
      </c>
      <c r="B12" s="117">
        <v>0</v>
      </c>
      <c r="C12" s="53">
        <v>0</v>
      </c>
      <c r="D12" s="361">
        <v>0</v>
      </c>
      <c r="E12" s="6">
        <f t="shared" si="0"/>
        <v>0</v>
      </c>
      <c r="F12" s="391" t="s">
        <v>938</v>
      </c>
      <c r="G12" s="118">
        <v>13</v>
      </c>
      <c r="H12" s="374">
        <v>8</v>
      </c>
      <c r="I12" s="375">
        <v>27</v>
      </c>
      <c r="J12" s="98">
        <f t="shared" si="1"/>
        <v>48</v>
      </c>
      <c r="K12" s="39" t="s">
        <v>9</v>
      </c>
      <c r="L12" s="6">
        <v>0</v>
      </c>
      <c r="M12" s="6">
        <v>1</v>
      </c>
      <c r="N12" s="6">
        <v>0</v>
      </c>
      <c r="O12" s="6" t="s">
        <v>50</v>
      </c>
      <c r="P12" s="6" t="s">
        <v>50</v>
      </c>
      <c r="Q12" s="6" t="s">
        <v>50</v>
      </c>
      <c r="R12" s="6">
        <v>-1</v>
      </c>
      <c r="S12" s="6">
        <v>-1</v>
      </c>
      <c r="T12" s="6" t="s">
        <v>50</v>
      </c>
      <c r="U12" s="6" t="s">
        <v>50</v>
      </c>
      <c r="V12" s="6" t="s">
        <v>50</v>
      </c>
      <c r="W12" s="151" t="s">
        <v>50</v>
      </c>
      <c r="X12" s="6" t="s">
        <v>50</v>
      </c>
      <c r="Y12" s="6" t="s">
        <v>50</v>
      </c>
      <c r="Z12" s="83"/>
      <c r="AA12" s="83"/>
      <c r="AB12" s="83"/>
      <c r="AC12" s="151" t="s">
        <v>50</v>
      </c>
      <c r="AD12" s="6" t="s">
        <v>50</v>
      </c>
      <c r="AE12" s="6" t="s">
        <v>50</v>
      </c>
      <c r="AF12" s="6" t="s">
        <v>50</v>
      </c>
      <c r="AG12" s="6" t="s">
        <v>50</v>
      </c>
      <c r="AH12" s="6" t="s">
        <v>50</v>
      </c>
      <c r="AI12" s="6" t="s">
        <v>50</v>
      </c>
      <c r="AJ12" s="6" t="s">
        <v>50</v>
      </c>
      <c r="AK12" s="6" t="s">
        <v>50</v>
      </c>
      <c r="AL12" s="6" t="s">
        <v>50</v>
      </c>
      <c r="AM12" s="6" t="s">
        <v>50</v>
      </c>
      <c r="AN12" s="6" t="s">
        <v>50</v>
      </c>
      <c r="AP12" t="s">
        <v>626</v>
      </c>
      <c r="AQ12" t="s">
        <v>260</v>
      </c>
      <c r="AR12" t="s">
        <v>286</v>
      </c>
      <c r="AS12">
        <v>124</v>
      </c>
      <c r="AU12" t="s">
        <v>498</v>
      </c>
      <c r="AV12" t="s">
        <v>268</v>
      </c>
      <c r="AW12" t="s">
        <v>565</v>
      </c>
      <c r="AX12">
        <v>13</v>
      </c>
    </row>
    <row r="13" spans="1:50" ht="14.95" customHeight="1" thickBot="1" x14ac:dyDescent="0.3">
      <c r="A13" s="19" t="s">
        <v>634</v>
      </c>
      <c r="B13" s="117">
        <v>0</v>
      </c>
      <c r="C13" s="53">
        <v>1</v>
      </c>
      <c r="D13" s="361">
        <v>0</v>
      </c>
      <c r="E13" s="6">
        <f t="shared" si="0"/>
        <v>1</v>
      </c>
      <c r="F13" s="391" t="s">
        <v>634</v>
      </c>
      <c r="G13" s="118">
        <v>0</v>
      </c>
      <c r="H13" s="374">
        <v>5</v>
      </c>
      <c r="I13" s="375">
        <v>0</v>
      </c>
      <c r="J13" s="98">
        <f t="shared" si="1"/>
        <v>5</v>
      </c>
      <c r="K13" s="39" t="s">
        <v>175</v>
      </c>
      <c r="L13" s="6" t="s">
        <v>50</v>
      </c>
      <c r="M13" s="6" t="s">
        <v>50</v>
      </c>
      <c r="N13" s="6" t="s">
        <v>50</v>
      </c>
      <c r="O13" s="6" t="s">
        <v>50</v>
      </c>
      <c r="P13" s="6" t="s">
        <v>50</v>
      </c>
      <c r="Q13" s="6" t="s">
        <v>50</v>
      </c>
      <c r="R13" s="6" t="s">
        <v>50</v>
      </c>
      <c r="S13" s="6">
        <v>1</v>
      </c>
      <c r="T13" s="6" t="s">
        <v>50</v>
      </c>
      <c r="U13" s="6" t="s">
        <v>50</v>
      </c>
      <c r="V13" s="6" t="s">
        <v>50</v>
      </c>
      <c r="W13" s="151" t="s">
        <v>50</v>
      </c>
      <c r="X13" s="6" t="s">
        <v>50</v>
      </c>
      <c r="Y13" s="6" t="s">
        <v>50</v>
      </c>
      <c r="Z13" s="83"/>
      <c r="AA13" s="83"/>
      <c r="AB13" s="83"/>
      <c r="AC13" s="151" t="s">
        <v>50</v>
      </c>
      <c r="AD13" s="6" t="s">
        <v>50</v>
      </c>
      <c r="AE13" s="6" t="s">
        <v>50</v>
      </c>
      <c r="AF13" s="6" t="s">
        <v>50</v>
      </c>
      <c r="AG13" s="6" t="s">
        <v>50</v>
      </c>
      <c r="AH13" s="6" t="s">
        <v>50</v>
      </c>
      <c r="AI13" s="6" t="s">
        <v>50</v>
      </c>
      <c r="AJ13" s="6" t="s">
        <v>50</v>
      </c>
      <c r="AK13" s="6" t="s">
        <v>50</v>
      </c>
      <c r="AL13" s="6" t="s">
        <v>50</v>
      </c>
      <c r="AM13" s="6" t="s">
        <v>50</v>
      </c>
      <c r="AN13" s="6" t="s">
        <v>50</v>
      </c>
      <c r="AP13" t="s">
        <v>745</v>
      </c>
      <c r="AQ13" t="s">
        <v>272</v>
      </c>
      <c r="AR13" t="s">
        <v>316</v>
      </c>
      <c r="AS13">
        <v>115</v>
      </c>
      <c r="AU13" t="s">
        <v>753</v>
      </c>
      <c r="AV13" t="s">
        <v>284</v>
      </c>
      <c r="AW13" t="s">
        <v>560</v>
      </c>
      <c r="AX13">
        <v>12</v>
      </c>
    </row>
    <row r="14" spans="1:50" ht="14.95" customHeight="1" thickBot="1" x14ac:dyDescent="0.3">
      <c r="A14" s="19" t="s">
        <v>420</v>
      </c>
      <c r="B14" s="117">
        <v>1</v>
      </c>
      <c r="C14" s="53">
        <v>0</v>
      </c>
      <c r="D14" s="361">
        <v>0</v>
      </c>
      <c r="E14" s="6">
        <f t="shared" si="0"/>
        <v>1</v>
      </c>
      <c r="F14" s="391" t="s">
        <v>420</v>
      </c>
      <c r="G14" s="118">
        <v>5</v>
      </c>
      <c r="H14" s="374">
        <v>0</v>
      </c>
      <c r="I14" s="375">
        <v>0</v>
      </c>
      <c r="J14" s="98">
        <f t="shared" si="1"/>
        <v>5</v>
      </c>
      <c r="AP14" t="s">
        <v>746</v>
      </c>
      <c r="AQ14" t="s">
        <v>260</v>
      </c>
      <c r="AR14" t="s">
        <v>360</v>
      </c>
      <c r="AS14">
        <v>101</v>
      </c>
      <c r="AU14" t="s">
        <v>518</v>
      </c>
      <c r="AV14" t="s">
        <v>284</v>
      </c>
      <c r="AW14" t="s">
        <v>464</v>
      </c>
      <c r="AX14">
        <v>12</v>
      </c>
    </row>
    <row r="15" spans="1:50" ht="14.95" customHeight="1" thickBot="1" x14ac:dyDescent="0.3">
      <c r="A15" s="19" t="s">
        <v>1011</v>
      </c>
      <c r="B15" s="117">
        <v>0</v>
      </c>
      <c r="C15" s="53">
        <v>0</v>
      </c>
      <c r="D15" s="361">
        <v>0</v>
      </c>
      <c r="E15" s="6">
        <f t="shared" si="0"/>
        <v>0</v>
      </c>
      <c r="F15" s="391" t="s">
        <v>1011</v>
      </c>
      <c r="G15" s="118">
        <v>0</v>
      </c>
      <c r="H15" s="374">
        <v>0</v>
      </c>
      <c r="I15" s="375">
        <v>0</v>
      </c>
      <c r="J15" s="98">
        <f t="shared" si="1"/>
        <v>0</v>
      </c>
      <c r="K15" s="476" t="s">
        <v>1325</v>
      </c>
      <c r="L15" s="480" t="s">
        <v>49</v>
      </c>
      <c r="M15" s="481"/>
      <c r="N15" s="482"/>
      <c r="O15" s="457" t="s">
        <v>1245</v>
      </c>
      <c r="P15" s="458"/>
      <c r="Q15" s="459"/>
      <c r="R15" s="457" t="s">
        <v>1246</v>
      </c>
      <c r="S15" s="458"/>
      <c r="T15" s="459"/>
      <c r="U15" s="457" t="s">
        <v>1242</v>
      </c>
      <c r="V15" s="458"/>
      <c r="W15" s="459"/>
      <c r="X15" s="127"/>
      <c r="Y15" s="127"/>
      <c r="Z15" s="127"/>
      <c r="AA15" s="127"/>
      <c r="AB15" s="457" t="s">
        <v>1243</v>
      </c>
      <c r="AC15" s="458"/>
      <c r="AD15" s="459"/>
      <c r="AE15" s="457" t="s">
        <v>1244</v>
      </c>
      <c r="AF15" s="458"/>
      <c r="AG15" s="459"/>
      <c r="AP15" t="s">
        <v>747</v>
      </c>
      <c r="AQ15" t="s">
        <v>263</v>
      </c>
      <c r="AR15" t="s">
        <v>305</v>
      </c>
      <c r="AS15">
        <v>99</v>
      </c>
      <c r="AU15" t="s">
        <v>601</v>
      </c>
      <c r="AV15" t="s">
        <v>260</v>
      </c>
      <c r="AW15" t="s">
        <v>560</v>
      </c>
      <c r="AX15">
        <v>12</v>
      </c>
    </row>
    <row r="16" spans="1:50" ht="14.95" customHeight="1" thickBot="1" x14ac:dyDescent="0.3">
      <c r="A16" s="19" t="s">
        <v>1004</v>
      </c>
      <c r="B16" s="117">
        <v>2</v>
      </c>
      <c r="C16" s="53">
        <v>0</v>
      </c>
      <c r="D16" s="361">
        <v>0</v>
      </c>
      <c r="E16" s="6">
        <f t="shared" si="0"/>
        <v>2</v>
      </c>
      <c r="F16" s="391" t="s">
        <v>1004</v>
      </c>
      <c r="G16" s="118">
        <v>111</v>
      </c>
      <c r="H16" s="374">
        <v>15</v>
      </c>
      <c r="I16" s="375">
        <v>6</v>
      </c>
      <c r="J16" s="98">
        <f t="shared" si="1"/>
        <v>132</v>
      </c>
      <c r="K16" s="477"/>
      <c r="L16" s="483"/>
      <c r="M16" s="484"/>
      <c r="N16" s="485"/>
      <c r="O16" s="460"/>
      <c r="P16" s="461"/>
      <c r="Q16" s="462"/>
      <c r="R16" s="460"/>
      <c r="S16" s="461"/>
      <c r="T16" s="462"/>
      <c r="U16" s="460"/>
      <c r="V16" s="461"/>
      <c r="W16" s="462"/>
      <c r="X16" s="127"/>
      <c r="Y16" s="127"/>
      <c r="Z16" s="127"/>
      <c r="AA16" s="127"/>
      <c r="AB16" s="460"/>
      <c r="AC16" s="461"/>
      <c r="AD16" s="462"/>
      <c r="AE16" s="460"/>
      <c r="AF16" s="461"/>
      <c r="AG16" s="462"/>
      <c r="AP16" t="s">
        <v>748</v>
      </c>
      <c r="AQ16" t="s">
        <v>260</v>
      </c>
      <c r="AR16" t="s">
        <v>562</v>
      </c>
      <c r="AS16">
        <v>80</v>
      </c>
      <c r="AU16" t="s">
        <v>317</v>
      </c>
      <c r="AV16" t="s">
        <v>271</v>
      </c>
      <c r="AW16" t="s">
        <v>303</v>
      </c>
      <c r="AX16">
        <v>11</v>
      </c>
    </row>
    <row r="17" spans="1:50" ht="14.95" customHeight="1" thickBot="1" x14ac:dyDescent="0.3">
      <c r="A17" s="19" t="s">
        <v>421</v>
      </c>
      <c r="B17" s="117">
        <v>5</v>
      </c>
      <c r="C17" s="53">
        <v>0</v>
      </c>
      <c r="D17" s="361">
        <v>2</v>
      </c>
      <c r="E17" s="6">
        <f t="shared" si="0"/>
        <v>7</v>
      </c>
      <c r="F17" s="391" t="s">
        <v>421</v>
      </c>
      <c r="G17" s="118">
        <v>25</v>
      </c>
      <c r="H17" s="374">
        <v>0</v>
      </c>
      <c r="I17" s="375">
        <v>10</v>
      </c>
      <c r="J17" s="98">
        <f t="shared" si="1"/>
        <v>35</v>
      </c>
      <c r="K17" s="37" t="s">
        <v>87</v>
      </c>
      <c r="L17" s="66" t="s">
        <v>243</v>
      </c>
      <c r="M17" s="66" t="s">
        <v>42</v>
      </c>
      <c r="N17" s="66" t="s">
        <v>43</v>
      </c>
      <c r="O17" s="119" t="s">
        <v>243</v>
      </c>
      <c r="P17" s="119" t="s">
        <v>42</v>
      </c>
      <c r="Q17" s="119" t="s">
        <v>43</v>
      </c>
      <c r="R17" s="119" t="s">
        <v>243</v>
      </c>
      <c r="S17" s="119" t="s">
        <v>42</v>
      </c>
      <c r="T17" s="119" t="s">
        <v>43</v>
      </c>
      <c r="U17" s="124" t="s">
        <v>243</v>
      </c>
      <c r="V17" s="119" t="s">
        <v>42</v>
      </c>
      <c r="W17" s="119" t="s">
        <v>43</v>
      </c>
      <c r="AA17" s="153"/>
      <c r="AB17" s="124" t="s">
        <v>243</v>
      </c>
      <c r="AC17" s="119" t="s">
        <v>42</v>
      </c>
      <c r="AD17" s="119" t="s">
        <v>43</v>
      </c>
      <c r="AE17" s="158" t="s">
        <v>243</v>
      </c>
      <c r="AF17" s="119" t="s">
        <v>42</v>
      </c>
      <c r="AG17" s="119" t="s">
        <v>43</v>
      </c>
      <c r="AP17" t="s">
        <v>749</v>
      </c>
      <c r="AQ17" t="s">
        <v>264</v>
      </c>
      <c r="AR17" t="s">
        <v>329</v>
      </c>
      <c r="AS17">
        <v>80</v>
      </c>
      <c r="AU17" t="s">
        <v>755</v>
      </c>
      <c r="AV17" t="s">
        <v>264</v>
      </c>
      <c r="AW17" t="s">
        <v>556</v>
      </c>
      <c r="AX17">
        <v>10</v>
      </c>
    </row>
    <row r="18" spans="1:50" ht="14.95" customHeight="1" thickBot="1" x14ac:dyDescent="0.3">
      <c r="A18" s="19" t="s">
        <v>1233</v>
      </c>
      <c r="B18" s="117">
        <v>1</v>
      </c>
      <c r="C18" s="53">
        <v>1</v>
      </c>
      <c r="D18" s="361">
        <v>0</v>
      </c>
      <c r="E18" s="6">
        <f t="shared" si="0"/>
        <v>2</v>
      </c>
      <c r="F18" s="391" t="s">
        <v>1233</v>
      </c>
      <c r="G18" s="118">
        <v>5</v>
      </c>
      <c r="H18" s="374">
        <v>5</v>
      </c>
      <c r="I18" s="375">
        <v>0</v>
      </c>
      <c r="J18" s="98">
        <f t="shared" si="1"/>
        <v>10</v>
      </c>
      <c r="K18" s="19" t="s">
        <v>57</v>
      </c>
      <c r="L18" s="6">
        <v>10</v>
      </c>
      <c r="M18" s="6">
        <v>10</v>
      </c>
      <c r="N18" s="38">
        <f>SUM(L18/M18)*100</f>
        <v>100</v>
      </c>
      <c r="O18" s="6">
        <v>13</v>
      </c>
      <c r="P18" s="6">
        <v>14</v>
      </c>
      <c r="Q18" s="38">
        <f>SUM(O18/P18)*100</f>
        <v>92.857142857142861</v>
      </c>
      <c r="R18" s="6">
        <v>12</v>
      </c>
      <c r="S18" s="6">
        <v>12</v>
      </c>
      <c r="T18" s="38">
        <f>SUM(R18/S18)*100</f>
        <v>100</v>
      </c>
      <c r="U18" s="151" t="s">
        <v>50</v>
      </c>
      <c r="V18" s="6" t="s">
        <v>50</v>
      </c>
      <c r="W18" s="6" t="s">
        <v>50</v>
      </c>
      <c r="AA18" s="153"/>
      <c r="AB18" s="151" t="s">
        <v>50</v>
      </c>
      <c r="AC18" s="6" t="s">
        <v>50</v>
      </c>
      <c r="AD18" s="6" t="s">
        <v>50</v>
      </c>
      <c r="AE18" s="6" t="s">
        <v>50</v>
      </c>
      <c r="AF18" s="6" t="s">
        <v>50</v>
      </c>
      <c r="AG18" s="6" t="s">
        <v>50</v>
      </c>
      <c r="AP18" t="s">
        <v>750</v>
      </c>
      <c r="AR18" t="s">
        <v>556</v>
      </c>
      <c r="AS18">
        <v>75</v>
      </c>
      <c r="AU18" t="s">
        <v>509</v>
      </c>
      <c r="AV18" t="s">
        <v>276</v>
      </c>
      <c r="AW18" t="s">
        <v>489</v>
      </c>
      <c r="AX18">
        <v>9</v>
      </c>
    </row>
    <row r="19" spans="1:50" ht="14.95" customHeight="1" thickBot="1" x14ac:dyDescent="0.3">
      <c r="A19" s="19" t="s">
        <v>1234</v>
      </c>
      <c r="B19" s="117">
        <v>0</v>
      </c>
      <c r="C19" s="53">
        <v>0</v>
      </c>
      <c r="D19" s="361">
        <v>0</v>
      </c>
      <c r="E19" s="6">
        <f t="shared" si="0"/>
        <v>0</v>
      </c>
      <c r="F19" s="391" t="s">
        <v>1234</v>
      </c>
      <c r="G19" s="118">
        <v>0</v>
      </c>
      <c r="H19" s="374">
        <v>0</v>
      </c>
      <c r="I19" s="375">
        <v>0</v>
      </c>
      <c r="J19" s="98">
        <f t="shared" si="1"/>
        <v>0</v>
      </c>
      <c r="K19" s="19" t="s">
        <v>1247</v>
      </c>
      <c r="L19" s="6">
        <v>6</v>
      </c>
      <c r="M19" s="6">
        <v>8</v>
      </c>
      <c r="N19" s="38">
        <f>SUM(L19/M19)*100</f>
        <v>75</v>
      </c>
      <c r="O19" s="6">
        <v>16</v>
      </c>
      <c r="P19" s="6">
        <v>25</v>
      </c>
      <c r="Q19" s="38">
        <f>SUM(O19/P19)*100</f>
        <v>64</v>
      </c>
      <c r="R19" s="6">
        <v>7</v>
      </c>
      <c r="S19" s="6">
        <v>9</v>
      </c>
      <c r="T19" s="38">
        <f>SUM(R19/S19)*100</f>
        <v>77.777777777777786</v>
      </c>
      <c r="U19" s="151">
        <v>1</v>
      </c>
      <c r="V19" s="6">
        <v>5</v>
      </c>
      <c r="W19" s="38">
        <f>SUM(U19/V19)*100</f>
        <v>20</v>
      </c>
      <c r="AA19" s="153"/>
      <c r="AB19" s="151">
        <v>11</v>
      </c>
      <c r="AC19" s="6">
        <v>14</v>
      </c>
      <c r="AD19" s="38">
        <f>SUM(AB19/AC19)*100</f>
        <v>78.571428571428569</v>
      </c>
      <c r="AE19" s="6">
        <v>21</v>
      </c>
      <c r="AF19" s="6">
        <v>26</v>
      </c>
      <c r="AG19" s="38">
        <f>SUM(AE19/AF19)*100</f>
        <v>80.769230769230774</v>
      </c>
      <c r="AH19" t="s">
        <v>1248</v>
      </c>
      <c r="AP19" t="s">
        <v>751</v>
      </c>
      <c r="AQ19" t="s">
        <v>264</v>
      </c>
      <c r="AR19" t="s">
        <v>305</v>
      </c>
      <c r="AS19">
        <v>70</v>
      </c>
      <c r="AU19" t="s">
        <v>756</v>
      </c>
      <c r="AV19" t="s">
        <v>274</v>
      </c>
      <c r="AW19" t="s">
        <v>316</v>
      </c>
      <c r="AX19">
        <v>9</v>
      </c>
    </row>
    <row r="20" spans="1:50" ht="14.95" customHeight="1" thickBot="1" x14ac:dyDescent="0.3">
      <c r="A20" s="19" t="s">
        <v>160</v>
      </c>
      <c r="B20" s="117">
        <v>0</v>
      </c>
      <c r="C20" s="53">
        <v>0</v>
      </c>
      <c r="D20" s="361">
        <v>0</v>
      </c>
      <c r="E20" s="6">
        <f t="shared" si="0"/>
        <v>0</v>
      </c>
      <c r="F20" s="391" t="s">
        <v>160</v>
      </c>
      <c r="G20" s="118">
        <v>0</v>
      </c>
      <c r="H20" s="374">
        <v>0</v>
      </c>
      <c r="I20" s="375">
        <v>0</v>
      </c>
      <c r="J20" s="98">
        <f t="shared" si="1"/>
        <v>0</v>
      </c>
      <c r="K20" s="19" t="s">
        <v>938</v>
      </c>
      <c r="L20" s="6">
        <v>3</v>
      </c>
      <c r="M20" s="6">
        <v>3</v>
      </c>
      <c r="N20" s="38">
        <f>SUM(L20/M20)*100</f>
        <v>100</v>
      </c>
      <c r="O20" s="6" t="s">
        <v>50</v>
      </c>
      <c r="P20" s="6" t="s">
        <v>50</v>
      </c>
      <c r="Q20" s="6" t="s">
        <v>50</v>
      </c>
      <c r="R20" s="6">
        <v>1</v>
      </c>
      <c r="S20" s="6">
        <v>2</v>
      </c>
      <c r="T20" s="38">
        <f>SUM(R20/S20)*100</f>
        <v>50</v>
      </c>
      <c r="U20" s="151" t="s">
        <v>50</v>
      </c>
      <c r="V20" s="6" t="s">
        <v>50</v>
      </c>
      <c r="W20" s="6" t="s">
        <v>50</v>
      </c>
      <c r="AA20" s="153"/>
      <c r="AB20" s="151" t="s">
        <v>50</v>
      </c>
      <c r="AC20" s="6" t="s">
        <v>50</v>
      </c>
      <c r="AD20" s="6" t="s">
        <v>50</v>
      </c>
      <c r="AE20" s="6" t="s">
        <v>50</v>
      </c>
      <c r="AF20" s="6" t="s">
        <v>50</v>
      </c>
      <c r="AG20" s="6" t="s">
        <v>50</v>
      </c>
      <c r="AP20" t="s">
        <v>752</v>
      </c>
      <c r="AQ20" t="s">
        <v>260</v>
      </c>
      <c r="AR20" t="s">
        <v>447</v>
      </c>
      <c r="AS20">
        <v>69</v>
      </c>
      <c r="AU20" t="s">
        <v>773</v>
      </c>
      <c r="AV20" t="s">
        <v>277</v>
      </c>
      <c r="AW20" t="s">
        <v>562</v>
      </c>
      <c r="AX20">
        <v>9</v>
      </c>
    </row>
    <row r="21" spans="1:50" ht="14.95" customHeight="1" thickBot="1" x14ac:dyDescent="0.3">
      <c r="A21" s="19" t="s">
        <v>178</v>
      </c>
      <c r="B21" s="117">
        <v>0</v>
      </c>
      <c r="C21" s="53">
        <v>0</v>
      </c>
      <c r="D21" s="361">
        <v>1</v>
      </c>
      <c r="E21" s="6">
        <f t="shared" si="0"/>
        <v>1</v>
      </c>
      <c r="F21" s="391" t="s">
        <v>178</v>
      </c>
      <c r="G21" s="118">
        <v>0</v>
      </c>
      <c r="H21" s="374">
        <v>0</v>
      </c>
      <c r="I21" s="375">
        <v>5</v>
      </c>
      <c r="J21" s="98">
        <f t="shared" si="1"/>
        <v>5</v>
      </c>
      <c r="K21" s="19" t="s">
        <v>1790</v>
      </c>
      <c r="L21" s="6" t="s">
        <v>50</v>
      </c>
      <c r="M21" s="6" t="s">
        <v>50</v>
      </c>
      <c r="N21" s="6" t="s">
        <v>50</v>
      </c>
      <c r="O21" s="6" t="s">
        <v>50</v>
      </c>
      <c r="P21" s="6" t="s">
        <v>50</v>
      </c>
      <c r="Q21" s="6" t="s">
        <v>50</v>
      </c>
      <c r="R21" s="6">
        <v>13</v>
      </c>
      <c r="S21" s="6">
        <v>18</v>
      </c>
      <c r="T21" s="38">
        <v>72.222222222222214</v>
      </c>
      <c r="U21" s="151">
        <v>1</v>
      </c>
      <c r="V21" s="6">
        <v>1</v>
      </c>
      <c r="W21" s="6">
        <v>100</v>
      </c>
      <c r="AA21" s="153"/>
      <c r="AB21" s="151">
        <v>6</v>
      </c>
      <c r="AC21" s="6">
        <v>10</v>
      </c>
      <c r="AD21" s="6">
        <v>60</v>
      </c>
      <c r="AE21" s="6" t="s">
        <v>50</v>
      </c>
      <c r="AF21" s="6" t="s">
        <v>50</v>
      </c>
      <c r="AG21" s="6" t="s">
        <v>50</v>
      </c>
      <c r="AP21" t="s">
        <v>498</v>
      </c>
      <c r="AQ21" t="s">
        <v>268</v>
      </c>
      <c r="AR21" t="s">
        <v>565</v>
      </c>
      <c r="AS21">
        <v>65</v>
      </c>
      <c r="AU21" t="s">
        <v>757</v>
      </c>
      <c r="AV21" t="s">
        <v>268</v>
      </c>
      <c r="AW21" t="s">
        <v>586</v>
      </c>
      <c r="AX21">
        <v>9</v>
      </c>
    </row>
    <row r="22" spans="1:50" ht="14.95" customHeight="1" thickBot="1" x14ac:dyDescent="0.3">
      <c r="A22" s="19" t="s">
        <v>155</v>
      </c>
      <c r="B22" s="117">
        <v>1</v>
      </c>
      <c r="C22" s="53">
        <v>0</v>
      </c>
      <c r="D22" s="361">
        <v>1</v>
      </c>
      <c r="E22" s="6">
        <f t="shared" si="0"/>
        <v>2</v>
      </c>
      <c r="F22" s="391" t="s">
        <v>155</v>
      </c>
      <c r="G22" s="118">
        <v>5</v>
      </c>
      <c r="H22" s="374">
        <v>0</v>
      </c>
      <c r="I22" s="375">
        <v>5</v>
      </c>
      <c r="J22" s="98">
        <f t="shared" si="1"/>
        <v>10</v>
      </c>
      <c r="K22" s="19" t="s">
        <v>175</v>
      </c>
      <c r="L22" s="6" t="s">
        <v>50</v>
      </c>
      <c r="M22" s="6" t="s">
        <v>50</v>
      </c>
      <c r="N22" s="6" t="s">
        <v>50</v>
      </c>
      <c r="O22" s="6" t="s">
        <v>50</v>
      </c>
      <c r="P22" s="6" t="s">
        <v>50</v>
      </c>
      <c r="Q22" s="6" t="s">
        <v>50</v>
      </c>
      <c r="R22" s="6" t="s">
        <v>50</v>
      </c>
      <c r="S22" s="6" t="s">
        <v>50</v>
      </c>
      <c r="T22" s="6" t="s">
        <v>50</v>
      </c>
      <c r="U22" s="151">
        <v>1</v>
      </c>
      <c r="V22" s="6">
        <v>1</v>
      </c>
      <c r="W22" s="38">
        <f>SUM(U22/V22)*100</f>
        <v>100</v>
      </c>
      <c r="AA22" s="153"/>
      <c r="AB22" s="151" t="s">
        <v>50</v>
      </c>
      <c r="AC22" s="6" t="s">
        <v>50</v>
      </c>
      <c r="AD22" s="6" t="s">
        <v>50</v>
      </c>
      <c r="AE22" s="6" t="s">
        <v>50</v>
      </c>
      <c r="AF22" s="6" t="s">
        <v>50</v>
      </c>
      <c r="AG22" s="6" t="s">
        <v>50</v>
      </c>
      <c r="AP22" t="s">
        <v>753</v>
      </c>
      <c r="AQ22" t="s">
        <v>284</v>
      </c>
      <c r="AR22" t="s">
        <v>560</v>
      </c>
      <c r="AS22">
        <v>60</v>
      </c>
      <c r="AU22" t="s">
        <v>758</v>
      </c>
      <c r="AV22" t="s">
        <v>264</v>
      </c>
      <c r="AW22" t="s">
        <v>286</v>
      </c>
      <c r="AX22">
        <v>9</v>
      </c>
    </row>
    <row r="23" spans="1:50" ht="14.95" customHeight="1" thickBot="1" x14ac:dyDescent="0.3">
      <c r="A23" s="19" t="s">
        <v>57</v>
      </c>
      <c r="B23" s="117">
        <v>0</v>
      </c>
      <c r="C23" s="53">
        <v>0</v>
      </c>
      <c r="D23" s="361">
        <v>0</v>
      </c>
      <c r="E23" s="6">
        <f t="shared" si="0"/>
        <v>0</v>
      </c>
      <c r="F23" s="391" t="s">
        <v>57</v>
      </c>
      <c r="G23" s="118">
        <v>4</v>
      </c>
      <c r="H23" s="374">
        <v>27</v>
      </c>
      <c r="I23" s="375">
        <v>7</v>
      </c>
      <c r="J23" s="98">
        <f t="shared" si="1"/>
        <v>38</v>
      </c>
      <c r="AO23" s="253"/>
      <c r="AP23" t="s">
        <v>518</v>
      </c>
      <c r="AQ23" t="s">
        <v>284</v>
      </c>
      <c r="AR23" t="s">
        <v>464</v>
      </c>
      <c r="AS23">
        <v>60</v>
      </c>
      <c r="AU23" t="s">
        <v>759</v>
      </c>
      <c r="AV23" t="s">
        <v>278</v>
      </c>
      <c r="AW23" t="s">
        <v>436</v>
      </c>
      <c r="AX23">
        <v>9</v>
      </c>
    </row>
    <row r="24" spans="1:50" ht="14.95" customHeight="1" thickBot="1" x14ac:dyDescent="0.3">
      <c r="A24" s="19" t="s">
        <v>95</v>
      </c>
      <c r="B24" s="117">
        <v>4</v>
      </c>
      <c r="C24" s="53">
        <v>1</v>
      </c>
      <c r="D24" s="361">
        <v>5</v>
      </c>
      <c r="E24" s="6">
        <f t="shared" si="0"/>
        <v>10</v>
      </c>
      <c r="F24" s="391" t="s">
        <v>95</v>
      </c>
      <c r="G24" s="118">
        <v>20</v>
      </c>
      <c r="H24" s="374">
        <v>5</v>
      </c>
      <c r="I24" s="375">
        <v>25</v>
      </c>
      <c r="J24" s="98">
        <f t="shared" si="1"/>
        <v>50</v>
      </c>
      <c r="K24" s="474" t="s">
        <v>1071</v>
      </c>
      <c r="L24" s="480" t="s">
        <v>49</v>
      </c>
      <c r="M24" s="481"/>
      <c r="N24" s="482"/>
      <c r="O24" s="457" t="s">
        <v>124</v>
      </c>
      <c r="P24" s="458"/>
      <c r="Q24" s="459"/>
      <c r="R24" s="457" t="s">
        <v>1070</v>
      </c>
      <c r="S24" s="458"/>
      <c r="T24" s="459"/>
      <c r="U24" s="457" t="s">
        <v>254</v>
      </c>
      <c r="V24" s="458"/>
      <c r="W24" s="459"/>
      <c r="AB24" s="457" t="s">
        <v>186</v>
      </c>
      <c r="AC24" s="458"/>
      <c r="AD24" s="459"/>
      <c r="AP24" t="s">
        <v>317</v>
      </c>
      <c r="AQ24" t="s">
        <v>271</v>
      </c>
      <c r="AR24" t="s">
        <v>303</v>
      </c>
      <c r="AS24">
        <v>57</v>
      </c>
      <c r="AU24" t="s">
        <v>595</v>
      </c>
      <c r="AV24" t="s">
        <v>271</v>
      </c>
      <c r="AW24" t="s">
        <v>488</v>
      </c>
      <c r="AX24">
        <v>8</v>
      </c>
    </row>
    <row r="25" spans="1:50" ht="14.95" customHeight="1" thickBot="1" x14ac:dyDescent="0.3">
      <c r="A25" s="19" t="s">
        <v>422</v>
      </c>
      <c r="B25" s="117">
        <v>0</v>
      </c>
      <c r="C25" s="53">
        <v>0</v>
      </c>
      <c r="D25" s="361">
        <v>0</v>
      </c>
      <c r="E25" s="6">
        <f t="shared" si="0"/>
        <v>0</v>
      </c>
      <c r="F25" s="391" t="s">
        <v>422</v>
      </c>
      <c r="G25" s="118">
        <v>0</v>
      </c>
      <c r="H25" s="374">
        <v>0</v>
      </c>
      <c r="I25" s="375">
        <v>0</v>
      </c>
      <c r="J25" s="98">
        <f t="shared" si="1"/>
        <v>0</v>
      </c>
      <c r="K25" s="475"/>
      <c r="L25" s="483"/>
      <c r="M25" s="484"/>
      <c r="N25" s="485"/>
      <c r="O25" s="460"/>
      <c r="P25" s="461"/>
      <c r="Q25" s="462"/>
      <c r="R25" s="460"/>
      <c r="S25" s="461"/>
      <c r="T25" s="462"/>
      <c r="U25" s="460"/>
      <c r="V25" s="461"/>
      <c r="W25" s="462"/>
      <c r="AB25" s="460"/>
      <c r="AC25" s="461"/>
      <c r="AD25" s="462"/>
      <c r="AP25" t="s">
        <v>435</v>
      </c>
      <c r="AQ25" t="s">
        <v>270</v>
      </c>
      <c r="AR25" t="s">
        <v>754</v>
      </c>
      <c r="AS25">
        <v>57</v>
      </c>
      <c r="AU25" t="s">
        <v>576</v>
      </c>
      <c r="AV25" t="s">
        <v>262</v>
      </c>
      <c r="AW25" t="s">
        <v>468</v>
      </c>
      <c r="AX25">
        <v>8</v>
      </c>
    </row>
    <row r="26" spans="1:50" ht="14.95" customHeight="1" thickBot="1" x14ac:dyDescent="0.3">
      <c r="A26" s="19" t="s">
        <v>1006</v>
      </c>
      <c r="B26" s="117">
        <v>0</v>
      </c>
      <c r="C26" s="53">
        <v>0</v>
      </c>
      <c r="D26" s="361">
        <v>0</v>
      </c>
      <c r="E26" s="6">
        <f t="shared" si="0"/>
        <v>0</v>
      </c>
      <c r="F26" s="391" t="s">
        <v>1006</v>
      </c>
      <c r="G26" s="118">
        <v>0</v>
      </c>
      <c r="H26" s="374">
        <v>0</v>
      </c>
      <c r="I26" s="375">
        <v>0</v>
      </c>
      <c r="J26" s="98">
        <f t="shared" si="1"/>
        <v>0</v>
      </c>
      <c r="K26" s="37" t="s">
        <v>87</v>
      </c>
      <c r="L26" s="66" t="s">
        <v>243</v>
      </c>
      <c r="M26" s="66" t="s">
        <v>42</v>
      </c>
      <c r="N26" s="66" t="s">
        <v>43</v>
      </c>
      <c r="O26" s="119" t="s">
        <v>243</v>
      </c>
      <c r="P26" s="119" t="s">
        <v>42</v>
      </c>
      <c r="Q26" s="119" t="s">
        <v>43</v>
      </c>
      <c r="R26" s="119" t="s">
        <v>243</v>
      </c>
      <c r="S26" s="119" t="s">
        <v>42</v>
      </c>
      <c r="T26" s="119" t="s">
        <v>43</v>
      </c>
      <c r="U26" s="124" t="s">
        <v>243</v>
      </c>
      <c r="V26" s="119" t="s">
        <v>42</v>
      </c>
      <c r="W26" s="119" t="s">
        <v>43</v>
      </c>
      <c r="AB26" s="124" t="s">
        <v>243</v>
      </c>
      <c r="AC26" s="119" t="s">
        <v>42</v>
      </c>
      <c r="AD26" s="119" t="s">
        <v>43</v>
      </c>
      <c r="AP26" t="s">
        <v>685</v>
      </c>
      <c r="AQ26" t="s">
        <v>260</v>
      </c>
      <c r="AR26" t="s">
        <v>555</v>
      </c>
      <c r="AS26">
        <v>50</v>
      </c>
      <c r="AU26" t="s">
        <v>626</v>
      </c>
      <c r="AV26" t="s">
        <v>260</v>
      </c>
      <c r="AW26" t="s">
        <v>286</v>
      </c>
      <c r="AX26">
        <v>8</v>
      </c>
    </row>
    <row r="27" spans="1:50" ht="15.8" thickBot="1" x14ac:dyDescent="0.3">
      <c r="A27" s="19" t="s">
        <v>1007</v>
      </c>
      <c r="B27" s="117">
        <v>0</v>
      </c>
      <c r="C27" s="53">
        <v>1</v>
      </c>
      <c r="D27" s="361">
        <v>1</v>
      </c>
      <c r="E27" s="6">
        <f t="shared" si="0"/>
        <v>2</v>
      </c>
      <c r="F27" s="391" t="s">
        <v>1007</v>
      </c>
      <c r="G27" s="118">
        <v>0</v>
      </c>
      <c r="H27" s="374">
        <v>5</v>
      </c>
      <c r="I27" s="375">
        <v>5</v>
      </c>
      <c r="J27" s="98">
        <f t="shared" si="1"/>
        <v>10</v>
      </c>
      <c r="K27" s="252" t="s">
        <v>1241</v>
      </c>
      <c r="L27" s="6" t="s">
        <v>50</v>
      </c>
      <c r="M27" s="6" t="s">
        <v>50</v>
      </c>
      <c r="N27" s="6" t="s">
        <v>50</v>
      </c>
      <c r="O27" s="6" t="s">
        <v>50</v>
      </c>
      <c r="P27" s="6" t="s">
        <v>50</v>
      </c>
      <c r="Q27" s="6" t="s">
        <v>50</v>
      </c>
      <c r="R27" s="6">
        <v>4</v>
      </c>
      <c r="S27" s="6">
        <v>5</v>
      </c>
      <c r="T27" s="38">
        <f>SUM(R27/S27)*100</f>
        <v>80</v>
      </c>
      <c r="U27" s="151" t="s">
        <v>50</v>
      </c>
      <c r="V27" s="6" t="s">
        <v>50</v>
      </c>
      <c r="W27" s="6" t="s">
        <v>50</v>
      </c>
      <c r="AA27" s="253"/>
      <c r="AB27" s="151" t="s">
        <v>50</v>
      </c>
      <c r="AC27" s="6" t="s">
        <v>50</v>
      </c>
      <c r="AD27" s="6" t="s">
        <v>50</v>
      </c>
      <c r="AE27" s="253"/>
      <c r="AF27" s="253"/>
      <c r="AG27" s="253"/>
      <c r="AH27" s="253"/>
      <c r="AI27" s="253"/>
      <c r="AJ27" s="253"/>
      <c r="AK27" s="253"/>
      <c r="AL27" s="253"/>
      <c r="AM27" s="253"/>
      <c r="AN27" s="253"/>
      <c r="AP27" t="s">
        <v>755</v>
      </c>
      <c r="AQ27" t="s">
        <v>264</v>
      </c>
      <c r="AR27" t="s">
        <v>556</v>
      </c>
      <c r="AS27">
        <v>50</v>
      </c>
      <c r="AU27" t="s">
        <v>596</v>
      </c>
      <c r="AV27" t="s">
        <v>283</v>
      </c>
      <c r="AW27" t="s">
        <v>316</v>
      </c>
      <c r="AX27">
        <v>8</v>
      </c>
    </row>
    <row r="28" spans="1:50" ht="15.8" thickBot="1" x14ac:dyDescent="0.3">
      <c r="A28" s="19" t="s">
        <v>1005</v>
      </c>
      <c r="B28" s="117">
        <v>1</v>
      </c>
      <c r="C28" s="53">
        <v>0</v>
      </c>
      <c r="D28" s="361">
        <v>0</v>
      </c>
      <c r="E28" s="6">
        <f t="shared" si="0"/>
        <v>1</v>
      </c>
      <c r="F28" s="391" t="s">
        <v>1005</v>
      </c>
      <c r="G28" s="118">
        <v>5</v>
      </c>
      <c r="H28" s="374">
        <v>0</v>
      </c>
      <c r="I28" s="375">
        <v>0</v>
      </c>
      <c r="J28" s="98">
        <f t="shared" si="1"/>
        <v>5</v>
      </c>
      <c r="K28" s="19" t="s">
        <v>1004</v>
      </c>
      <c r="L28" s="6">
        <v>3</v>
      </c>
      <c r="M28" s="6">
        <v>4</v>
      </c>
      <c r="N28" s="38">
        <f>SUM(L28/M28)*100</f>
        <v>75</v>
      </c>
      <c r="O28" s="6">
        <v>4</v>
      </c>
      <c r="P28" s="6">
        <v>5</v>
      </c>
      <c r="Q28" s="38">
        <f>SUM(O28/P28)*100</f>
        <v>80</v>
      </c>
      <c r="R28" s="6" t="s">
        <v>50</v>
      </c>
      <c r="S28" s="6" t="s">
        <v>50</v>
      </c>
      <c r="T28" s="6" t="s">
        <v>50</v>
      </c>
      <c r="U28" s="151" t="s">
        <v>50</v>
      </c>
      <c r="V28" s="6" t="s">
        <v>50</v>
      </c>
      <c r="W28" s="6" t="s">
        <v>50</v>
      </c>
      <c r="AB28" s="151" t="s">
        <v>50</v>
      </c>
      <c r="AC28" s="6" t="s">
        <v>50</v>
      </c>
      <c r="AD28" s="6" t="s">
        <v>50</v>
      </c>
      <c r="AP28" t="s">
        <v>509</v>
      </c>
      <c r="AQ28" t="s">
        <v>276</v>
      </c>
      <c r="AR28" t="s">
        <v>489</v>
      </c>
      <c r="AS28">
        <v>45</v>
      </c>
      <c r="AU28" t="s">
        <v>761</v>
      </c>
      <c r="AV28" t="s">
        <v>268</v>
      </c>
      <c r="AW28" t="s">
        <v>464</v>
      </c>
      <c r="AX28">
        <v>8</v>
      </c>
    </row>
    <row r="29" spans="1:50" ht="15.8" thickBot="1" x14ac:dyDescent="0.3">
      <c r="A29" s="19" t="s">
        <v>116</v>
      </c>
      <c r="B29" s="117">
        <v>0</v>
      </c>
      <c r="C29" s="53">
        <v>0</v>
      </c>
      <c r="D29" s="361">
        <v>0</v>
      </c>
      <c r="E29" s="6">
        <f t="shared" si="0"/>
        <v>0</v>
      </c>
      <c r="F29" s="391" t="s">
        <v>116</v>
      </c>
      <c r="G29" s="118">
        <v>0</v>
      </c>
      <c r="H29" s="374">
        <v>0</v>
      </c>
      <c r="I29" s="375">
        <v>0</v>
      </c>
      <c r="J29" s="98">
        <f t="shared" si="1"/>
        <v>0</v>
      </c>
      <c r="K29" s="19" t="s">
        <v>57</v>
      </c>
      <c r="L29" s="6">
        <v>3</v>
      </c>
      <c r="M29" s="6">
        <v>3</v>
      </c>
      <c r="N29" s="38">
        <f>SUM(L29/M29)*100</f>
        <v>100</v>
      </c>
      <c r="O29" s="6">
        <v>12</v>
      </c>
      <c r="P29" s="6">
        <v>17</v>
      </c>
      <c r="Q29" s="38">
        <f>SUM(O29/P29)*100</f>
        <v>70.588235294117652</v>
      </c>
      <c r="R29" s="6" t="s">
        <v>50</v>
      </c>
      <c r="S29" s="6" t="s">
        <v>50</v>
      </c>
      <c r="T29" s="6" t="s">
        <v>50</v>
      </c>
      <c r="U29" s="151" t="s">
        <v>50</v>
      </c>
      <c r="V29" s="6" t="s">
        <v>50</v>
      </c>
      <c r="W29" s="6" t="s">
        <v>50</v>
      </c>
      <c r="AB29" s="151" t="s">
        <v>50</v>
      </c>
      <c r="AC29" s="6" t="s">
        <v>50</v>
      </c>
      <c r="AD29" s="6" t="s">
        <v>50</v>
      </c>
      <c r="AP29" t="s">
        <v>756</v>
      </c>
      <c r="AQ29" t="s">
        <v>274</v>
      </c>
      <c r="AR29" t="s">
        <v>316</v>
      </c>
      <c r="AS29">
        <v>45</v>
      </c>
      <c r="AU29" t="s">
        <v>762</v>
      </c>
      <c r="AV29" t="s">
        <v>263</v>
      </c>
      <c r="AW29" t="s">
        <v>436</v>
      </c>
      <c r="AX29">
        <v>8</v>
      </c>
    </row>
    <row r="30" spans="1:50" ht="15.8" thickBot="1" x14ac:dyDescent="0.3">
      <c r="A30" s="19" t="s">
        <v>53</v>
      </c>
      <c r="B30" s="117">
        <v>0</v>
      </c>
      <c r="C30" s="53">
        <v>0</v>
      </c>
      <c r="D30" s="361">
        <v>0</v>
      </c>
      <c r="E30" s="6">
        <f t="shared" si="0"/>
        <v>0</v>
      </c>
      <c r="F30" s="391" t="s">
        <v>53</v>
      </c>
      <c r="G30" s="118">
        <v>0</v>
      </c>
      <c r="H30" s="374">
        <v>0</v>
      </c>
      <c r="I30" s="375">
        <v>0</v>
      </c>
      <c r="J30" s="98">
        <f t="shared" si="1"/>
        <v>0</v>
      </c>
      <c r="K30" s="19" t="s">
        <v>938</v>
      </c>
      <c r="L30" s="6">
        <v>12</v>
      </c>
      <c r="M30" s="6">
        <v>15</v>
      </c>
      <c r="N30" s="38">
        <f>SUM(L30/M30)*100</f>
        <v>80</v>
      </c>
      <c r="O30" s="6" t="s">
        <v>50</v>
      </c>
      <c r="P30" s="6" t="s">
        <v>50</v>
      </c>
      <c r="Q30" s="6" t="s">
        <v>50</v>
      </c>
      <c r="R30" s="6">
        <v>3</v>
      </c>
      <c r="S30" s="6">
        <v>4</v>
      </c>
      <c r="T30" s="38">
        <f>SUM(R30/S30)*100</f>
        <v>75</v>
      </c>
      <c r="U30" s="151" t="s">
        <v>50</v>
      </c>
      <c r="V30" s="6" t="s">
        <v>50</v>
      </c>
      <c r="W30" s="6" t="s">
        <v>50</v>
      </c>
      <c r="AB30" s="151" t="s">
        <v>50</v>
      </c>
      <c r="AC30" s="6" t="s">
        <v>50</v>
      </c>
      <c r="AD30" s="6" t="s">
        <v>50</v>
      </c>
      <c r="AP30" t="s">
        <v>773</v>
      </c>
      <c r="AQ30" t="s">
        <v>277</v>
      </c>
      <c r="AR30" t="s">
        <v>562</v>
      </c>
      <c r="AS30">
        <v>45</v>
      </c>
      <c r="AU30" t="s">
        <v>760</v>
      </c>
      <c r="AV30" t="s">
        <v>277</v>
      </c>
      <c r="AW30" t="s">
        <v>329</v>
      </c>
      <c r="AX30">
        <v>8</v>
      </c>
    </row>
    <row r="31" spans="1:50" ht="15.8" thickBot="1" x14ac:dyDescent="0.3">
      <c r="A31" s="19" t="s">
        <v>1726</v>
      </c>
      <c r="B31" s="117">
        <v>0</v>
      </c>
      <c r="C31" s="53">
        <v>0</v>
      </c>
      <c r="D31" s="361">
        <v>0</v>
      </c>
      <c r="E31" s="6">
        <f t="shared" si="0"/>
        <v>0</v>
      </c>
      <c r="F31" s="391" t="s">
        <v>1726</v>
      </c>
      <c r="G31" s="118">
        <v>0</v>
      </c>
      <c r="H31" s="374">
        <v>0</v>
      </c>
      <c r="I31" s="375">
        <v>0</v>
      </c>
      <c r="J31" s="98">
        <f t="shared" si="1"/>
        <v>0</v>
      </c>
      <c r="K31" s="19" t="s">
        <v>1790</v>
      </c>
      <c r="L31" s="6">
        <v>1</v>
      </c>
      <c r="M31" s="6">
        <v>2</v>
      </c>
      <c r="N31" s="38">
        <f>SUM(L31/M31)*100</f>
        <v>50</v>
      </c>
      <c r="O31" s="6">
        <v>0</v>
      </c>
      <c r="P31" s="6">
        <v>1</v>
      </c>
      <c r="Q31" s="6">
        <v>0</v>
      </c>
      <c r="R31" s="6">
        <v>2</v>
      </c>
      <c r="S31" s="6">
        <v>2</v>
      </c>
      <c r="T31" s="38">
        <v>100</v>
      </c>
      <c r="U31" s="151">
        <v>9</v>
      </c>
      <c r="V31" s="6">
        <v>11</v>
      </c>
      <c r="W31" s="38">
        <v>81.818181818181827</v>
      </c>
      <c r="AB31" s="151" t="s">
        <v>50</v>
      </c>
      <c r="AC31" s="6" t="s">
        <v>50</v>
      </c>
      <c r="AD31" s="6" t="s">
        <v>50</v>
      </c>
      <c r="AP31" t="s">
        <v>757</v>
      </c>
      <c r="AQ31" t="s">
        <v>268</v>
      </c>
      <c r="AR31" t="s">
        <v>586</v>
      </c>
      <c r="AS31">
        <v>45</v>
      </c>
      <c r="AU31" t="s">
        <v>533</v>
      </c>
      <c r="AV31" t="s">
        <v>260</v>
      </c>
      <c r="AW31" t="s">
        <v>329</v>
      </c>
      <c r="AX31">
        <v>7</v>
      </c>
    </row>
    <row r="32" spans="1:50" ht="14.95" thickBot="1" x14ac:dyDescent="0.3">
      <c r="A32" s="19" t="s">
        <v>1259</v>
      </c>
      <c r="B32" s="117">
        <v>2</v>
      </c>
      <c r="C32" s="53">
        <v>1</v>
      </c>
      <c r="D32" s="361">
        <v>0</v>
      </c>
      <c r="E32" s="6">
        <f t="shared" si="0"/>
        <v>3</v>
      </c>
      <c r="F32" s="391" t="s">
        <v>1259</v>
      </c>
      <c r="G32" s="118">
        <v>10</v>
      </c>
      <c r="H32" s="374">
        <v>5</v>
      </c>
      <c r="I32" s="375">
        <v>0</v>
      </c>
      <c r="J32" s="98">
        <f t="shared" si="1"/>
        <v>15</v>
      </c>
      <c r="K32" s="19" t="s">
        <v>945</v>
      </c>
      <c r="L32" s="6" t="s">
        <v>50</v>
      </c>
      <c r="M32" s="6" t="s">
        <v>50</v>
      </c>
      <c r="N32" s="6" t="s">
        <v>50</v>
      </c>
      <c r="O32" s="6" t="s">
        <v>50</v>
      </c>
      <c r="P32" s="6" t="s">
        <v>50</v>
      </c>
      <c r="Q32" s="6" t="s">
        <v>50</v>
      </c>
      <c r="R32" s="6">
        <v>3</v>
      </c>
      <c r="S32" s="6">
        <v>5</v>
      </c>
      <c r="T32" s="38">
        <f>SUM(R32/S32)*100</f>
        <v>60</v>
      </c>
      <c r="U32" s="151" t="s">
        <v>50</v>
      </c>
      <c r="V32" s="6" t="s">
        <v>50</v>
      </c>
      <c r="W32" s="6" t="s">
        <v>50</v>
      </c>
      <c r="AB32" s="151" t="s">
        <v>50</v>
      </c>
      <c r="AC32" s="6" t="s">
        <v>50</v>
      </c>
      <c r="AD32" s="6" t="s">
        <v>50</v>
      </c>
      <c r="AP32" t="s">
        <v>758</v>
      </c>
      <c r="AQ32" t="s">
        <v>264</v>
      </c>
      <c r="AR32" t="s">
        <v>286</v>
      </c>
      <c r="AS32">
        <v>45</v>
      </c>
      <c r="AU32" t="s">
        <v>767</v>
      </c>
      <c r="AV32" t="s">
        <v>263</v>
      </c>
      <c r="AW32" t="s">
        <v>637</v>
      </c>
      <c r="AX32">
        <v>7</v>
      </c>
    </row>
    <row r="33" spans="1:50" ht="14.95" thickBot="1" x14ac:dyDescent="0.3">
      <c r="A33" s="19" t="s">
        <v>7</v>
      </c>
      <c r="B33" s="117">
        <v>0</v>
      </c>
      <c r="C33" s="53">
        <v>1</v>
      </c>
      <c r="D33" s="361">
        <v>0</v>
      </c>
      <c r="E33" s="6">
        <f t="shared" si="0"/>
        <v>1</v>
      </c>
      <c r="F33" s="391" t="s">
        <v>7</v>
      </c>
      <c r="G33" s="118">
        <v>0</v>
      </c>
      <c r="H33" s="374">
        <v>7</v>
      </c>
      <c r="I33" s="375">
        <v>0</v>
      </c>
      <c r="J33" s="98">
        <f t="shared" si="1"/>
        <v>7</v>
      </c>
      <c r="K33" s="513" t="s">
        <v>1743</v>
      </c>
      <c r="L33" s="514"/>
      <c r="M33" s="514"/>
      <c r="N33" s="514"/>
      <c r="O33" s="514"/>
      <c r="P33" s="514"/>
      <c r="Q33" s="514"/>
      <c r="R33" s="514"/>
      <c r="S33" s="514"/>
      <c r="T33" s="514"/>
      <c r="U33" s="514"/>
      <c r="V33" s="514"/>
      <c r="W33" s="514"/>
      <c r="AP33" t="s">
        <v>759</v>
      </c>
      <c r="AQ33" t="s">
        <v>278</v>
      </c>
      <c r="AR33" t="s">
        <v>436</v>
      </c>
      <c r="AS33">
        <v>45</v>
      </c>
      <c r="AU33" t="s">
        <v>768</v>
      </c>
      <c r="AV33" t="s">
        <v>296</v>
      </c>
      <c r="AW33" t="s">
        <v>559</v>
      </c>
      <c r="AX33">
        <v>7</v>
      </c>
    </row>
    <row r="34" spans="1:50" ht="14.95" thickBot="1" x14ac:dyDescent="0.3">
      <c r="A34" s="19" t="s">
        <v>175</v>
      </c>
      <c r="B34" s="117">
        <v>0</v>
      </c>
      <c r="C34" s="53">
        <v>0</v>
      </c>
      <c r="D34" s="361">
        <v>0</v>
      </c>
      <c r="E34" s="6">
        <f t="shared" si="0"/>
        <v>0</v>
      </c>
      <c r="F34" s="391" t="s">
        <v>175</v>
      </c>
      <c r="G34" s="118">
        <v>0</v>
      </c>
      <c r="H34" s="374">
        <v>0</v>
      </c>
      <c r="I34" s="375">
        <v>0</v>
      </c>
      <c r="J34" s="98">
        <f t="shared" si="1"/>
        <v>0</v>
      </c>
      <c r="K34" s="522" t="s">
        <v>1793</v>
      </c>
      <c r="L34" s="503"/>
      <c r="M34" s="503"/>
      <c r="N34" s="503"/>
      <c r="O34" s="503"/>
      <c r="P34" s="503"/>
      <c r="Q34" s="503"/>
      <c r="R34" s="503"/>
      <c r="S34" s="503"/>
      <c r="T34" s="503"/>
      <c r="U34" s="503"/>
      <c r="V34" s="503"/>
      <c r="W34" s="503"/>
      <c r="X34" s="503"/>
      <c r="Y34" s="503"/>
      <c r="Z34" s="503"/>
      <c r="AA34" s="503"/>
      <c r="AB34" s="503"/>
      <c r="AC34" s="503"/>
      <c r="AD34" s="503"/>
      <c r="AP34" t="s">
        <v>760</v>
      </c>
      <c r="AQ34" t="s">
        <v>277</v>
      </c>
      <c r="AR34" t="s">
        <v>329</v>
      </c>
      <c r="AS34">
        <v>42</v>
      </c>
      <c r="AU34" t="s">
        <v>574</v>
      </c>
      <c r="AV34" t="s">
        <v>264</v>
      </c>
      <c r="AW34" t="s">
        <v>311</v>
      </c>
      <c r="AX34">
        <v>7</v>
      </c>
    </row>
    <row r="35" spans="1:50" ht="14.95" thickBot="1" x14ac:dyDescent="0.3">
      <c r="A35" s="19" t="s">
        <v>1019</v>
      </c>
      <c r="B35" s="117">
        <v>1</v>
      </c>
      <c r="C35" s="53">
        <v>1</v>
      </c>
      <c r="D35" s="361">
        <v>0</v>
      </c>
      <c r="E35" s="6">
        <f t="shared" si="0"/>
        <v>2</v>
      </c>
      <c r="F35" s="391" t="s">
        <v>1019</v>
      </c>
      <c r="G35" s="118">
        <v>5</v>
      </c>
      <c r="H35" s="374">
        <v>5</v>
      </c>
      <c r="I35" s="375">
        <v>0</v>
      </c>
      <c r="J35" s="98">
        <f t="shared" si="1"/>
        <v>10</v>
      </c>
      <c r="AP35" t="s">
        <v>595</v>
      </c>
      <c r="AQ35" t="s">
        <v>271</v>
      </c>
      <c r="AR35" t="s">
        <v>488</v>
      </c>
      <c r="AS35">
        <v>40</v>
      </c>
      <c r="AU35" t="s">
        <v>769</v>
      </c>
      <c r="AV35" t="s">
        <v>284</v>
      </c>
      <c r="AW35" t="s">
        <v>316</v>
      </c>
      <c r="AX35">
        <v>7</v>
      </c>
    </row>
    <row r="36" spans="1:50" ht="14.95" thickBot="1" x14ac:dyDescent="0.3">
      <c r="A36" s="19" t="s">
        <v>126</v>
      </c>
      <c r="B36" s="117">
        <v>0</v>
      </c>
      <c r="C36" s="53">
        <v>0</v>
      </c>
      <c r="D36" s="361">
        <v>0</v>
      </c>
      <c r="E36" s="6">
        <f t="shared" si="0"/>
        <v>0</v>
      </c>
      <c r="F36" s="391" t="s">
        <v>126</v>
      </c>
      <c r="G36" s="118">
        <v>0</v>
      </c>
      <c r="H36" s="374">
        <v>0</v>
      </c>
      <c r="I36" s="375">
        <v>0</v>
      </c>
      <c r="J36" s="98">
        <f t="shared" si="1"/>
        <v>0</v>
      </c>
      <c r="AP36" t="s">
        <v>576</v>
      </c>
      <c r="AQ36" t="s">
        <v>262</v>
      </c>
      <c r="AR36" t="s">
        <v>468</v>
      </c>
      <c r="AS36">
        <v>40</v>
      </c>
      <c r="AU36" t="s">
        <v>770</v>
      </c>
      <c r="AV36" t="s">
        <v>277</v>
      </c>
      <c r="AW36" t="s">
        <v>364</v>
      </c>
      <c r="AX36">
        <v>7</v>
      </c>
    </row>
    <row r="37" spans="1:50" ht="14.95" thickBot="1" x14ac:dyDescent="0.3">
      <c r="A37" s="19" t="s">
        <v>121</v>
      </c>
      <c r="B37" s="117">
        <v>2</v>
      </c>
      <c r="C37" s="53">
        <v>1</v>
      </c>
      <c r="D37" s="361">
        <v>1</v>
      </c>
      <c r="E37" s="6">
        <f t="shared" si="0"/>
        <v>4</v>
      </c>
      <c r="F37" s="391" t="s">
        <v>121</v>
      </c>
      <c r="G37" s="118">
        <v>10</v>
      </c>
      <c r="H37" s="374">
        <v>5</v>
      </c>
      <c r="I37" s="375">
        <v>5</v>
      </c>
      <c r="J37" s="98">
        <f t="shared" si="1"/>
        <v>20</v>
      </c>
      <c r="AP37" t="s">
        <v>596</v>
      </c>
      <c r="AQ37" t="s">
        <v>283</v>
      </c>
      <c r="AR37" t="s">
        <v>316</v>
      </c>
      <c r="AS37">
        <v>40</v>
      </c>
      <c r="AU37" t="s">
        <v>771</v>
      </c>
      <c r="AV37" t="s">
        <v>276</v>
      </c>
      <c r="AW37" t="s">
        <v>360</v>
      </c>
      <c r="AX37">
        <v>7</v>
      </c>
    </row>
    <row r="38" spans="1:50" ht="14.95" thickBot="1" x14ac:dyDescent="0.3">
      <c r="A38" s="19" t="s">
        <v>1238</v>
      </c>
      <c r="B38" s="117">
        <v>0</v>
      </c>
      <c r="C38" s="53">
        <v>0</v>
      </c>
      <c r="D38" s="361">
        <v>0</v>
      </c>
      <c r="E38" s="6">
        <f t="shared" si="0"/>
        <v>0</v>
      </c>
      <c r="F38" s="391" t="s">
        <v>1238</v>
      </c>
      <c r="G38" s="118">
        <v>0</v>
      </c>
      <c r="H38" s="374">
        <v>0</v>
      </c>
      <c r="I38" s="375">
        <v>0</v>
      </c>
      <c r="J38" s="98">
        <f t="shared" si="1"/>
        <v>0</v>
      </c>
      <c r="AP38" t="s">
        <v>761</v>
      </c>
      <c r="AQ38" t="s">
        <v>268</v>
      </c>
      <c r="AR38" t="s">
        <v>464</v>
      </c>
      <c r="AS38">
        <v>40</v>
      </c>
      <c r="AU38" t="s">
        <v>775</v>
      </c>
      <c r="AV38" t="s">
        <v>277</v>
      </c>
      <c r="AW38" t="s">
        <v>555</v>
      </c>
      <c r="AX38">
        <v>6</v>
      </c>
    </row>
    <row r="39" spans="1:50" ht="14.95" thickBot="1" x14ac:dyDescent="0.3">
      <c r="A39" s="19" t="s">
        <v>239</v>
      </c>
      <c r="B39" s="117">
        <v>0</v>
      </c>
      <c r="C39" s="53">
        <v>0</v>
      </c>
      <c r="D39" s="361">
        <v>0</v>
      </c>
      <c r="E39" s="6">
        <f t="shared" si="0"/>
        <v>0</v>
      </c>
      <c r="F39" s="391" t="s">
        <v>239</v>
      </c>
      <c r="G39" s="118">
        <v>0</v>
      </c>
      <c r="H39" s="374">
        <v>0</v>
      </c>
      <c r="I39" s="375">
        <v>0</v>
      </c>
      <c r="J39" s="98">
        <f t="shared" si="1"/>
        <v>0</v>
      </c>
      <c r="AP39" t="s">
        <v>762</v>
      </c>
      <c r="AQ39" t="s">
        <v>263</v>
      </c>
      <c r="AR39" t="s">
        <v>436</v>
      </c>
      <c r="AS39">
        <v>40</v>
      </c>
      <c r="AU39" t="s">
        <v>579</v>
      </c>
      <c r="AW39" t="s">
        <v>556</v>
      </c>
      <c r="AX39">
        <v>6</v>
      </c>
    </row>
    <row r="40" spans="1:50" ht="14.95" thickBot="1" x14ac:dyDescent="0.3">
      <c r="A40" s="19" t="s">
        <v>1788</v>
      </c>
      <c r="B40" s="117">
        <v>0</v>
      </c>
      <c r="C40" s="53">
        <v>0</v>
      </c>
      <c r="D40" s="361">
        <v>1</v>
      </c>
      <c r="E40" s="6">
        <f t="shared" si="0"/>
        <v>1</v>
      </c>
      <c r="F40" s="391" t="s">
        <v>1788</v>
      </c>
      <c r="G40" s="118">
        <v>0</v>
      </c>
      <c r="H40" s="374">
        <v>0</v>
      </c>
      <c r="I40" s="375">
        <v>5</v>
      </c>
      <c r="J40" s="98">
        <f t="shared" si="1"/>
        <v>5</v>
      </c>
      <c r="AP40" t="s">
        <v>763</v>
      </c>
      <c r="AQ40" t="s">
        <v>260</v>
      </c>
      <c r="AR40" t="s">
        <v>764</v>
      </c>
      <c r="AS40">
        <v>38</v>
      </c>
      <c r="AU40" t="s">
        <v>776</v>
      </c>
      <c r="AV40" t="s">
        <v>279</v>
      </c>
      <c r="AW40" t="s">
        <v>481</v>
      </c>
      <c r="AX40">
        <v>6</v>
      </c>
    </row>
    <row r="41" spans="1:50" ht="14.95" thickBot="1" x14ac:dyDescent="0.3">
      <c r="A41" s="19" t="s">
        <v>1008</v>
      </c>
      <c r="B41" s="117">
        <v>0</v>
      </c>
      <c r="C41" s="53">
        <v>0</v>
      </c>
      <c r="D41" s="361">
        <v>0</v>
      </c>
      <c r="E41" s="6">
        <f t="shared" si="0"/>
        <v>0</v>
      </c>
      <c r="F41" s="391" t="s">
        <v>1008</v>
      </c>
      <c r="G41" s="118">
        <v>0</v>
      </c>
      <c r="H41" s="374">
        <v>0</v>
      </c>
      <c r="I41" s="375">
        <v>0</v>
      </c>
      <c r="J41" s="98">
        <f t="shared" si="1"/>
        <v>0</v>
      </c>
      <c r="AP41" t="s">
        <v>765</v>
      </c>
      <c r="AQ41" t="s">
        <v>264</v>
      </c>
      <c r="AR41" t="s">
        <v>285</v>
      </c>
      <c r="AS41">
        <v>37</v>
      </c>
      <c r="AU41" t="s">
        <v>515</v>
      </c>
      <c r="AV41" t="s">
        <v>284</v>
      </c>
      <c r="AW41" t="s">
        <v>584</v>
      </c>
      <c r="AX41">
        <v>6</v>
      </c>
    </row>
    <row r="42" spans="1:50" ht="14.95" thickBot="1" x14ac:dyDescent="0.3">
      <c r="A42" s="19" t="s">
        <v>176</v>
      </c>
      <c r="B42" s="117">
        <v>0</v>
      </c>
      <c r="C42" s="53">
        <v>0</v>
      </c>
      <c r="D42" s="361">
        <v>0</v>
      </c>
      <c r="E42" s="6">
        <f t="shared" si="0"/>
        <v>0</v>
      </c>
      <c r="F42" s="391" t="s">
        <v>176</v>
      </c>
      <c r="G42" s="118">
        <v>0</v>
      </c>
      <c r="H42" s="374">
        <v>0</v>
      </c>
      <c r="I42" s="375">
        <v>3</v>
      </c>
      <c r="J42" s="98">
        <f t="shared" si="1"/>
        <v>3</v>
      </c>
      <c r="AP42" t="s">
        <v>766</v>
      </c>
      <c r="AR42" t="s">
        <v>562</v>
      </c>
      <c r="AS42">
        <v>37</v>
      </c>
      <c r="AU42" t="s">
        <v>777</v>
      </c>
      <c r="AV42" t="s">
        <v>283</v>
      </c>
      <c r="AW42" t="s">
        <v>293</v>
      </c>
      <c r="AX42">
        <v>6</v>
      </c>
    </row>
    <row r="43" spans="1:50" ht="14.95" thickBot="1" x14ac:dyDescent="0.3">
      <c r="A43" s="19" t="s">
        <v>110</v>
      </c>
      <c r="B43" s="117">
        <v>0</v>
      </c>
      <c r="C43" s="53">
        <v>0</v>
      </c>
      <c r="D43" s="361">
        <v>0</v>
      </c>
      <c r="E43" s="6">
        <f t="shared" si="0"/>
        <v>0</v>
      </c>
      <c r="F43" s="391" t="s">
        <v>110</v>
      </c>
      <c r="G43" s="118">
        <v>0</v>
      </c>
      <c r="H43" s="374">
        <v>0</v>
      </c>
      <c r="I43" s="375">
        <v>0</v>
      </c>
      <c r="J43" s="98">
        <f t="shared" si="1"/>
        <v>0</v>
      </c>
      <c r="AP43" t="s">
        <v>767</v>
      </c>
      <c r="AQ43" t="s">
        <v>263</v>
      </c>
      <c r="AR43" t="s">
        <v>637</v>
      </c>
      <c r="AS43">
        <v>35</v>
      </c>
      <c r="AU43" t="s">
        <v>588</v>
      </c>
      <c r="AW43" t="s">
        <v>351</v>
      </c>
      <c r="AX43">
        <v>6</v>
      </c>
    </row>
    <row r="44" spans="1:50" ht="14.95" thickBot="1" x14ac:dyDescent="0.3">
      <c r="A44" s="19" t="s">
        <v>945</v>
      </c>
      <c r="B44" s="117">
        <v>7</v>
      </c>
      <c r="C44" s="53">
        <v>0</v>
      </c>
      <c r="D44" s="361">
        <v>1</v>
      </c>
      <c r="E44" s="6">
        <f t="shared" si="0"/>
        <v>8</v>
      </c>
      <c r="F44" s="391" t="s">
        <v>945</v>
      </c>
      <c r="G44" s="118">
        <v>97</v>
      </c>
      <c r="H44" s="374">
        <v>0</v>
      </c>
      <c r="I44" s="375">
        <v>5</v>
      </c>
      <c r="J44" s="98">
        <f t="shared" si="1"/>
        <v>102</v>
      </c>
      <c r="AP44" t="s">
        <v>768</v>
      </c>
      <c r="AQ44" t="s">
        <v>296</v>
      </c>
      <c r="AR44" t="s">
        <v>559</v>
      </c>
      <c r="AS44">
        <v>35</v>
      </c>
      <c r="AU44" t="s">
        <v>778</v>
      </c>
      <c r="AV44" t="s">
        <v>284</v>
      </c>
      <c r="AW44" t="s">
        <v>492</v>
      </c>
      <c r="AX44">
        <v>6</v>
      </c>
    </row>
    <row r="45" spans="1:50" ht="14.95" thickBot="1" x14ac:dyDescent="0.3">
      <c r="A45" s="19" t="s">
        <v>1026</v>
      </c>
      <c r="B45" s="117">
        <v>0</v>
      </c>
      <c r="C45" s="53">
        <v>0</v>
      </c>
      <c r="D45" s="361">
        <v>0</v>
      </c>
      <c r="E45" s="6">
        <f t="shared" si="0"/>
        <v>0</v>
      </c>
      <c r="F45" s="391" t="s">
        <v>1026</v>
      </c>
      <c r="G45" s="118">
        <v>0</v>
      </c>
      <c r="H45" s="374">
        <v>0</v>
      </c>
      <c r="I45" s="375">
        <v>0</v>
      </c>
      <c r="J45" s="98">
        <f t="shared" si="1"/>
        <v>0</v>
      </c>
      <c r="AP45" t="s">
        <v>574</v>
      </c>
      <c r="AQ45" t="s">
        <v>264</v>
      </c>
      <c r="AR45" t="s">
        <v>311</v>
      </c>
      <c r="AS45">
        <v>35</v>
      </c>
      <c r="AU45" t="s">
        <v>779</v>
      </c>
      <c r="AV45" t="s">
        <v>268</v>
      </c>
      <c r="AW45" t="s">
        <v>411</v>
      </c>
      <c r="AX45">
        <v>6</v>
      </c>
    </row>
    <row r="46" spans="1:50" ht="14.95" thickBot="1" x14ac:dyDescent="0.3">
      <c r="A46" s="19" t="s">
        <v>923</v>
      </c>
      <c r="B46" s="117">
        <v>0</v>
      </c>
      <c r="C46" s="53">
        <v>0</v>
      </c>
      <c r="D46" s="361">
        <v>0</v>
      </c>
      <c r="E46" s="6">
        <f t="shared" si="0"/>
        <v>0</v>
      </c>
      <c r="F46" s="391" t="s">
        <v>923</v>
      </c>
      <c r="G46" s="118">
        <v>0</v>
      </c>
      <c r="H46" s="374">
        <v>0</v>
      </c>
      <c r="I46" s="375">
        <v>0</v>
      </c>
      <c r="J46" s="98">
        <f t="shared" si="1"/>
        <v>0</v>
      </c>
      <c r="AP46" t="s">
        <v>769</v>
      </c>
      <c r="AQ46" t="s">
        <v>284</v>
      </c>
      <c r="AR46" t="s">
        <v>316</v>
      </c>
      <c r="AS46">
        <v>35</v>
      </c>
      <c r="AU46" t="s">
        <v>780</v>
      </c>
      <c r="AV46" t="s">
        <v>264</v>
      </c>
      <c r="AW46" t="s">
        <v>781</v>
      </c>
      <c r="AX46">
        <v>6</v>
      </c>
    </row>
    <row r="47" spans="1:50" ht="14.95" thickBot="1" x14ac:dyDescent="0.3">
      <c r="A47" s="19" t="s">
        <v>69</v>
      </c>
      <c r="B47" s="117">
        <v>1</v>
      </c>
      <c r="C47" s="53">
        <v>0</v>
      </c>
      <c r="D47" s="361">
        <v>0</v>
      </c>
      <c r="E47" s="6">
        <f t="shared" si="0"/>
        <v>1</v>
      </c>
      <c r="F47" s="391" t="s">
        <v>69</v>
      </c>
      <c r="G47" s="118">
        <v>5</v>
      </c>
      <c r="H47" s="374">
        <v>0</v>
      </c>
      <c r="I47" s="375">
        <v>0</v>
      </c>
      <c r="J47" s="98">
        <f t="shared" si="1"/>
        <v>5</v>
      </c>
      <c r="AP47" t="s">
        <v>770</v>
      </c>
      <c r="AQ47" t="s">
        <v>277</v>
      </c>
      <c r="AR47" t="s">
        <v>364</v>
      </c>
      <c r="AS47">
        <v>35</v>
      </c>
      <c r="AU47" t="s">
        <v>782</v>
      </c>
      <c r="AV47" t="s">
        <v>262</v>
      </c>
      <c r="AW47" t="s">
        <v>436</v>
      </c>
      <c r="AX47">
        <v>6</v>
      </c>
    </row>
    <row r="48" spans="1:50" ht="14.95" thickBot="1" x14ac:dyDescent="0.3">
      <c r="A48" s="19" t="s">
        <v>217</v>
      </c>
      <c r="B48" s="117">
        <v>0</v>
      </c>
      <c r="C48" s="53">
        <v>0</v>
      </c>
      <c r="D48" s="361">
        <v>0</v>
      </c>
      <c r="E48" s="6">
        <f t="shared" si="0"/>
        <v>0</v>
      </c>
      <c r="F48" s="391" t="s">
        <v>217</v>
      </c>
      <c r="G48" s="118">
        <v>0</v>
      </c>
      <c r="H48" s="374">
        <v>0</v>
      </c>
      <c r="I48" s="375">
        <v>0</v>
      </c>
      <c r="J48" s="98">
        <f t="shared" si="1"/>
        <v>0</v>
      </c>
      <c r="AP48" t="s">
        <v>771</v>
      </c>
      <c r="AQ48" t="s">
        <v>276</v>
      </c>
      <c r="AR48" t="s">
        <v>360</v>
      </c>
      <c r="AS48">
        <v>35</v>
      </c>
    </row>
    <row r="49" spans="1:45" ht="14.95" thickBot="1" x14ac:dyDescent="0.3">
      <c r="A49" s="19" t="s">
        <v>9</v>
      </c>
      <c r="B49" s="117">
        <v>5</v>
      </c>
      <c r="C49" s="53">
        <v>0</v>
      </c>
      <c r="D49" s="361">
        <v>0</v>
      </c>
      <c r="E49" s="6">
        <f t="shared" si="0"/>
        <v>5</v>
      </c>
      <c r="F49" s="391" t="s">
        <v>9</v>
      </c>
      <c r="G49" s="118">
        <v>25</v>
      </c>
      <c r="H49" s="374">
        <v>0</v>
      </c>
      <c r="I49" s="375">
        <v>0</v>
      </c>
      <c r="J49" s="98">
        <f t="shared" si="1"/>
        <v>25</v>
      </c>
      <c r="AP49" t="s">
        <v>772</v>
      </c>
      <c r="AQ49" t="s">
        <v>296</v>
      </c>
      <c r="AR49" t="s">
        <v>687</v>
      </c>
      <c r="AS49">
        <v>33</v>
      </c>
    </row>
    <row r="50" spans="1:45" ht="14.95" thickBot="1" x14ac:dyDescent="0.3">
      <c r="A50" s="19" t="s">
        <v>922</v>
      </c>
      <c r="B50" s="117">
        <v>0</v>
      </c>
      <c r="C50" s="53">
        <v>0</v>
      </c>
      <c r="D50" s="361">
        <v>0</v>
      </c>
      <c r="E50" s="6">
        <f t="shared" si="0"/>
        <v>0</v>
      </c>
      <c r="F50" s="391" t="s">
        <v>922</v>
      </c>
      <c r="G50" s="118">
        <v>0</v>
      </c>
      <c r="H50" s="374">
        <v>0</v>
      </c>
      <c r="I50" s="375">
        <v>0</v>
      </c>
      <c r="J50" s="98">
        <f t="shared" si="1"/>
        <v>0</v>
      </c>
    </row>
    <row r="51" spans="1:45" ht="14.95" thickBot="1" x14ac:dyDescent="0.3">
      <c r="A51" s="19" t="s">
        <v>162</v>
      </c>
      <c r="B51" s="117">
        <v>5</v>
      </c>
      <c r="C51" s="53">
        <v>0</v>
      </c>
      <c r="D51" s="361">
        <v>0</v>
      </c>
      <c r="E51" s="6">
        <f t="shared" si="0"/>
        <v>5</v>
      </c>
      <c r="F51" s="391" t="s">
        <v>162</v>
      </c>
      <c r="G51" s="118">
        <v>25</v>
      </c>
      <c r="H51" s="374">
        <v>0</v>
      </c>
      <c r="I51" s="375">
        <v>0</v>
      </c>
      <c r="J51" s="98">
        <f t="shared" si="1"/>
        <v>25</v>
      </c>
    </row>
    <row r="52" spans="1:45" ht="14.95" thickBot="1" x14ac:dyDescent="0.3">
      <c r="A52" s="19" t="s">
        <v>174</v>
      </c>
      <c r="B52" s="117">
        <v>0</v>
      </c>
      <c r="C52" s="53">
        <v>0</v>
      </c>
      <c r="D52" s="361">
        <v>0</v>
      </c>
      <c r="E52" s="6">
        <f t="shared" si="0"/>
        <v>0</v>
      </c>
      <c r="F52" s="391" t="s">
        <v>174</v>
      </c>
      <c r="G52" s="118">
        <v>0</v>
      </c>
      <c r="H52" s="374">
        <v>0</v>
      </c>
      <c r="I52" s="375">
        <v>0</v>
      </c>
      <c r="J52" s="98">
        <f t="shared" si="1"/>
        <v>0</v>
      </c>
    </row>
    <row r="53" spans="1:45" ht="14.95" thickBot="1" x14ac:dyDescent="0.3">
      <c r="A53" s="19" t="s">
        <v>1010</v>
      </c>
      <c r="B53" s="117">
        <v>0</v>
      </c>
      <c r="C53" s="53">
        <v>0</v>
      </c>
      <c r="D53" s="361">
        <v>0</v>
      </c>
      <c r="E53" s="6">
        <f t="shared" si="0"/>
        <v>0</v>
      </c>
      <c r="F53" s="391" t="s">
        <v>1010</v>
      </c>
      <c r="G53" s="118">
        <v>0</v>
      </c>
      <c r="H53" s="374">
        <v>0</v>
      </c>
      <c r="I53" s="375">
        <v>0</v>
      </c>
      <c r="J53" s="98">
        <f t="shared" si="1"/>
        <v>0</v>
      </c>
    </row>
    <row r="54" spans="1:45" ht="14.95" customHeight="1" thickBot="1" x14ac:dyDescent="0.3">
      <c r="A54" s="19" t="s">
        <v>1009</v>
      </c>
      <c r="B54" s="117">
        <v>1</v>
      </c>
      <c r="C54" s="53">
        <v>1</v>
      </c>
      <c r="D54" s="361">
        <v>1</v>
      </c>
      <c r="E54" s="6">
        <f t="shared" si="0"/>
        <v>3</v>
      </c>
      <c r="F54" s="391" t="s">
        <v>1009</v>
      </c>
      <c r="G54" s="118">
        <v>5</v>
      </c>
      <c r="H54" s="374">
        <v>5</v>
      </c>
      <c r="I54" s="375">
        <v>5</v>
      </c>
      <c r="J54" s="98">
        <f t="shared" si="1"/>
        <v>15</v>
      </c>
    </row>
    <row r="55" spans="1:45" ht="14.95" thickBot="1" x14ac:dyDescent="0.3">
      <c r="A55" s="19" t="s">
        <v>3</v>
      </c>
      <c r="B55" s="117">
        <f>SUM(B3:B54)</f>
        <v>43</v>
      </c>
      <c r="C55" s="53">
        <f t="shared" ref="C55:E55" si="2">SUM(C3:C54)</f>
        <v>10</v>
      </c>
      <c r="D55" s="361">
        <f t="shared" si="2"/>
        <v>17</v>
      </c>
      <c r="E55" s="6">
        <f t="shared" si="2"/>
        <v>70</v>
      </c>
      <c r="F55" s="391" t="s">
        <v>3</v>
      </c>
      <c r="G55" s="118">
        <f t="shared" ref="G55:J55" si="3">SUM(G3:G54)</f>
        <v>395</v>
      </c>
      <c r="H55" s="374">
        <f t="shared" si="3"/>
        <v>102</v>
      </c>
      <c r="I55" s="375">
        <f t="shared" si="3"/>
        <v>128</v>
      </c>
      <c r="J55" s="98">
        <f t="shared" si="3"/>
        <v>625</v>
      </c>
    </row>
    <row r="56" spans="1:45" x14ac:dyDescent="0.25">
      <c r="A56" s="5" t="s">
        <v>87</v>
      </c>
      <c r="B56" s="324"/>
      <c r="C56" s="103"/>
      <c r="D56" s="103"/>
      <c r="E56" s="5"/>
      <c r="F56" s="48"/>
      <c r="G56" s="304"/>
      <c r="H56" s="105"/>
      <c r="I56" s="105"/>
      <c r="J56" s="48"/>
    </row>
    <row r="57" spans="1:45" ht="14.95" customHeight="1" thickBot="1" x14ac:dyDescent="0.3">
      <c r="A57" t="s">
        <v>45</v>
      </c>
      <c r="B57" s="299"/>
      <c r="C57" s="104"/>
      <c r="D57" s="104"/>
      <c r="F57" s="46"/>
      <c r="G57" s="303"/>
      <c r="H57" s="106"/>
      <c r="I57" s="106"/>
      <c r="J57" s="46"/>
    </row>
    <row r="58" spans="1:45" ht="14.95" customHeight="1" thickBot="1" x14ac:dyDescent="0.3">
      <c r="A58" s="216" t="s">
        <v>0</v>
      </c>
      <c r="B58" s="217" t="s">
        <v>1072</v>
      </c>
      <c r="C58" s="196" t="s">
        <v>123</v>
      </c>
      <c r="D58" s="360" t="s">
        <v>1073</v>
      </c>
      <c r="E58" s="197" t="s">
        <v>1</v>
      </c>
      <c r="F58" s="390" t="s">
        <v>2</v>
      </c>
      <c r="G58" s="205" t="s">
        <v>1072</v>
      </c>
      <c r="H58" s="378" t="s">
        <v>123</v>
      </c>
      <c r="I58" s="379" t="s">
        <v>1073</v>
      </c>
      <c r="J58" s="206" t="s">
        <v>1</v>
      </c>
    </row>
    <row r="59" spans="1:45" ht="14.95" thickBot="1" x14ac:dyDescent="0.3">
      <c r="A59" s="19" t="s">
        <v>95</v>
      </c>
      <c r="B59" s="117">
        <v>4</v>
      </c>
      <c r="C59" s="53">
        <v>1</v>
      </c>
      <c r="D59" s="361">
        <v>5</v>
      </c>
      <c r="E59" s="6">
        <f t="shared" ref="E59:E90" si="4">SUM(B59:D59)</f>
        <v>10</v>
      </c>
      <c r="F59" s="391" t="s">
        <v>1004</v>
      </c>
      <c r="G59" s="118">
        <v>111</v>
      </c>
      <c r="H59" s="374">
        <v>15</v>
      </c>
      <c r="I59" s="375">
        <v>6</v>
      </c>
      <c r="J59" s="98">
        <f t="shared" ref="J59:J90" si="5">SUM(G59:I59)</f>
        <v>132</v>
      </c>
    </row>
    <row r="60" spans="1:45" ht="14.95" thickBot="1" x14ac:dyDescent="0.3">
      <c r="A60" s="19" t="s">
        <v>945</v>
      </c>
      <c r="B60" s="117">
        <v>7</v>
      </c>
      <c r="C60" s="53">
        <v>0</v>
      </c>
      <c r="D60" s="361">
        <v>1</v>
      </c>
      <c r="E60" s="6">
        <f t="shared" si="4"/>
        <v>8</v>
      </c>
      <c r="F60" s="391" t="s">
        <v>945</v>
      </c>
      <c r="G60" s="118">
        <v>97</v>
      </c>
      <c r="H60" s="374">
        <v>0</v>
      </c>
      <c r="I60" s="375">
        <v>5</v>
      </c>
      <c r="J60" s="98">
        <f t="shared" si="5"/>
        <v>102</v>
      </c>
    </row>
    <row r="61" spans="1:45" ht="14.95" thickBot="1" x14ac:dyDescent="0.3">
      <c r="A61" s="19" t="s">
        <v>421</v>
      </c>
      <c r="B61" s="117">
        <v>5</v>
      </c>
      <c r="C61" s="53">
        <v>0</v>
      </c>
      <c r="D61" s="361">
        <v>2</v>
      </c>
      <c r="E61" s="6">
        <f t="shared" si="4"/>
        <v>7</v>
      </c>
      <c r="F61" s="391" t="s">
        <v>95</v>
      </c>
      <c r="G61" s="118">
        <v>20</v>
      </c>
      <c r="H61" s="374">
        <v>5</v>
      </c>
      <c r="I61" s="375">
        <v>25</v>
      </c>
      <c r="J61" s="98">
        <f t="shared" si="5"/>
        <v>50</v>
      </c>
    </row>
    <row r="62" spans="1:45" ht="14.95" thickBot="1" x14ac:dyDescent="0.3">
      <c r="A62" s="19" t="s">
        <v>9</v>
      </c>
      <c r="B62" s="117">
        <v>5</v>
      </c>
      <c r="C62" s="53">
        <v>0</v>
      </c>
      <c r="D62" s="361">
        <v>0</v>
      </c>
      <c r="E62" s="6">
        <f t="shared" si="4"/>
        <v>5</v>
      </c>
      <c r="F62" s="391" t="s">
        <v>938</v>
      </c>
      <c r="G62" s="118">
        <v>13</v>
      </c>
      <c r="H62" s="374">
        <v>8</v>
      </c>
      <c r="I62" s="375">
        <v>27</v>
      </c>
      <c r="J62" s="98">
        <f t="shared" si="5"/>
        <v>48</v>
      </c>
    </row>
    <row r="63" spans="1:45" ht="14.95" thickBot="1" x14ac:dyDescent="0.3">
      <c r="A63" s="19" t="s">
        <v>162</v>
      </c>
      <c r="B63" s="117">
        <v>5</v>
      </c>
      <c r="C63" s="53">
        <v>0</v>
      </c>
      <c r="D63" s="361">
        <v>0</v>
      </c>
      <c r="E63" s="6">
        <f t="shared" si="4"/>
        <v>5</v>
      </c>
      <c r="F63" s="391" t="s">
        <v>57</v>
      </c>
      <c r="G63" s="118">
        <v>4</v>
      </c>
      <c r="H63" s="374">
        <v>27</v>
      </c>
      <c r="I63" s="375">
        <v>7</v>
      </c>
      <c r="J63" s="98">
        <f t="shared" si="5"/>
        <v>38</v>
      </c>
    </row>
    <row r="64" spans="1:45" ht="14.95" thickBot="1" x14ac:dyDescent="0.3">
      <c r="A64" s="19" t="s">
        <v>216</v>
      </c>
      <c r="B64" s="117">
        <v>2</v>
      </c>
      <c r="C64" s="53">
        <v>1</v>
      </c>
      <c r="D64" s="361">
        <v>1</v>
      </c>
      <c r="E64" s="6">
        <f t="shared" si="4"/>
        <v>4</v>
      </c>
      <c r="F64" s="391" t="s">
        <v>421</v>
      </c>
      <c r="G64" s="118">
        <v>25</v>
      </c>
      <c r="H64" s="374">
        <v>0</v>
      </c>
      <c r="I64" s="375">
        <v>10</v>
      </c>
      <c r="J64" s="98">
        <f t="shared" si="5"/>
        <v>35</v>
      </c>
    </row>
    <row r="65" spans="1:10" ht="14.95" thickBot="1" x14ac:dyDescent="0.3">
      <c r="A65" s="19" t="s">
        <v>121</v>
      </c>
      <c r="B65" s="117">
        <v>2</v>
      </c>
      <c r="C65" s="53">
        <v>1</v>
      </c>
      <c r="D65" s="361">
        <v>1</v>
      </c>
      <c r="E65" s="6">
        <f t="shared" si="4"/>
        <v>4</v>
      </c>
      <c r="F65" s="392" t="s">
        <v>9</v>
      </c>
      <c r="G65" s="118">
        <v>25</v>
      </c>
      <c r="H65" s="374">
        <v>0</v>
      </c>
      <c r="I65" s="375">
        <v>0</v>
      </c>
      <c r="J65" s="98">
        <f t="shared" si="5"/>
        <v>25</v>
      </c>
    </row>
    <row r="66" spans="1:10" ht="14.95" thickBot="1" x14ac:dyDescent="0.3">
      <c r="A66" s="19" t="s">
        <v>1259</v>
      </c>
      <c r="B66" s="117">
        <v>2</v>
      </c>
      <c r="C66" s="53">
        <v>1</v>
      </c>
      <c r="D66" s="361">
        <v>0</v>
      </c>
      <c r="E66" s="6">
        <f t="shared" si="4"/>
        <v>3</v>
      </c>
      <c r="F66" s="391" t="s">
        <v>162</v>
      </c>
      <c r="G66" s="118">
        <v>25</v>
      </c>
      <c r="H66" s="374">
        <v>0</v>
      </c>
      <c r="I66" s="375">
        <v>0</v>
      </c>
      <c r="J66" s="98">
        <f t="shared" si="5"/>
        <v>25</v>
      </c>
    </row>
    <row r="67" spans="1:10" ht="14.95" thickBot="1" x14ac:dyDescent="0.3">
      <c r="A67" s="19" t="s">
        <v>1009</v>
      </c>
      <c r="B67" s="117">
        <v>1</v>
      </c>
      <c r="C67" s="53">
        <v>1</v>
      </c>
      <c r="D67" s="361">
        <v>1</v>
      </c>
      <c r="E67" s="6">
        <f t="shared" si="4"/>
        <v>3</v>
      </c>
      <c r="F67" s="391" t="s">
        <v>216</v>
      </c>
      <c r="G67" s="118">
        <v>10</v>
      </c>
      <c r="H67" s="374">
        <v>5</v>
      </c>
      <c r="I67" s="375">
        <v>5</v>
      </c>
      <c r="J67" s="98">
        <f t="shared" si="5"/>
        <v>20</v>
      </c>
    </row>
    <row r="68" spans="1:10" ht="14.95" thickBot="1" x14ac:dyDescent="0.3">
      <c r="A68" s="19" t="s">
        <v>1830</v>
      </c>
      <c r="B68" s="117">
        <v>1</v>
      </c>
      <c r="C68" s="53">
        <v>0</v>
      </c>
      <c r="D68" s="361">
        <v>1</v>
      </c>
      <c r="E68" s="6">
        <f t="shared" si="4"/>
        <v>2</v>
      </c>
      <c r="F68" s="391" t="s">
        <v>121</v>
      </c>
      <c r="G68" s="118">
        <v>10</v>
      </c>
      <c r="H68" s="374">
        <v>5</v>
      </c>
      <c r="I68" s="375">
        <v>5</v>
      </c>
      <c r="J68" s="98">
        <f t="shared" si="5"/>
        <v>20</v>
      </c>
    </row>
    <row r="69" spans="1:10" ht="14.95" thickBot="1" x14ac:dyDescent="0.3">
      <c r="A69" s="19" t="s">
        <v>1004</v>
      </c>
      <c r="B69" s="117">
        <v>2</v>
      </c>
      <c r="C69" s="53">
        <v>0</v>
      </c>
      <c r="D69" s="361">
        <v>0</v>
      </c>
      <c r="E69" s="6">
        <f t="shared" si="4"/>
        <v>2</v>
      </c>
      <c r="F69" s="391" t="s">
        <v>1259</v>
      </c>
      <c r="G69" s="118">
        <v>10</v>
      </c>
      <c r="H69" s="374">
        <v>5</v>
      </c>
      <c r="I69" s="375">
        <v>0</v>
      </c>
      <c r="J69" s="98">
        <f t="shared" si="5"/>
        <v>15</v>
      </c>
    </row>
    <row r="70" spans="1:10" ht="14.95" thickBot="1" x14ac:dyDescent="0.3">
      <c r="A70" s="19" t="s">
        <v>1233</v>
      </c>
      <c r="B70" s="117">
        <v>1</v>
      </c>
      <c r="C70" s="53">
        <v>1</v>
      </c>
      <c r="D70" s="361">
        <v>0</v>
      </c>
      <c r="E70" s="6">
        <f t="shared" si="4"/>
        <v>2</v>
      </c>
      <c r="F70" s="391" t="s">
        <v>1009</v>
      </c>
      <c r="G70" s="118">
        <v>5</v>
      </c>
      <c r="H70" s="374">
        <v>5</v>
      </c>
      <c r="I70" s="375">
        <v>5</v>
      </c>
      <c r="J70" s="98">
        <f t="shared" si="5"/>
        <v>15</v>
      </c>
    </row>
    <row r="71" spans="1:10" ht="14.95" thickBot="1" x14ac:dyDescent="0.3">
      <c r="A71" s="19" t="s">
        <v>155</v>
      </c>
      <c r="B71" s="117">
        <v>1</v>
      </c>
      <c r="C71" s="53">
        <v>0</v>
      </c>
      <c r="D71" s="361">
        <v>1</v>
      </c>
      <c r="E71" s="6">
        <f t="shared" si="4"/>
        <v>2</v>
      </c>
      <c r="F71" s="391" t="s">
        <v>1830</v>
      </c>
      <c r="G71" s="118">
        <v>5</v>
      </c>
      <c r="H71" s="374">
        <v>0</v>
      </c>
      <c r="I71" s="375">
        <v>5</v>
      </c>
      <c r="J71" s="98">
        <f t="shared" si="5"/>
        <v>10</v>
      </c>
    </row>
    <row r="72" spans="1:10" ht="14.95" thickBot="1" x14ac:dyDescent="0.3">
      <c r="A72" s="19" t="s">
        <v>1007</v>
      </c>
      <c r="B72" s="117">
        <v>0</v>
      </c>
      <c r="C72" s="53">
        <v>1</v>
      </c>
      <c r="D72" s="361">
        <v>1</v>
      </c>
      <c r="E72" s="6">
        <f t="shared" si="4"/>
        <v>2</v>
      </c>
      <c r="F72" s="391" t="s">
        <v>1233</v>
      </c>
      <c r="G72" s="118">
        <v>5</v>
      </c>
      <c r="H72" s="374">
        <v>5</v>
      </c>
      <c r="I72" s="375">
        <v>0</v>
      </c>
      <c r="J72" s="98">
        <f t="shared" si="5"/>
        <v>10</v>
      </c>
    </row>
    <row r="73" spans="1:10" ht="14.95" thickBot="1" x14ac:dyDescent="0.3">
      <c r="A73" s="19" t="s">
        <v>1019</v>
      </c>
      <c r="B73" s="117">
        <v>1</v>
      </c>
      <c r="C73" s="53">
        <v>1</v>
      </c>
      <c r="D73" s="361">
        <v>0</v>
      </c>
      <c r="E73" s="6">
        <f t="shared" si="4"/>
        <v>2</v>
      </c>
      <c r="F73" s="391" t="s">
        <v>155</v>
      </c>
      <c r="G73" s="118">
        <v>5</v>
      </c>
      <c r="H73" s="374">
        <v>0</v>
      </c>
      <c r="I73" s="375">
        <v>5</v>
      </c>
      <c r="J73" s="98">
        <f t="shared" si="5"/>
        <v>10</v>
      </c>
    </row>
    <row r="74" spans="1:10" ht="14.95" thickBot="1" x14ac:dyDescent="0.3">
      <c r="A74" s="19" t="s">
        <v>1848</v>
      </c>
      <c r="B74" s="117">
        <v>1</v>
      </c>
      <c r="C74" s="53">
        <v>0</v>
      </c>
      <c r="D74" s="361">
        <v>0</v>
      </c>
      <c r="E74" s="6">
        <f t="shared" si="4"/>
        <v>1</v>
      </c>
      <c r="F74" s="391" t="s">
        <v>1007</v>
      </c>
      <c r="G74" s="118">
        <v>0</v>
      </c>
      <c r="H74" s="374">
        <v>5</v>
      </c>
      <c r="I74" s="375">
        <v>5</v>
      </c>
      <c r="J74" s="98">
        <f t="shared" si="5"/>
        <v>10</v>
      </c>
    </row>
    <row r="75" spans="1:10" ht="14.95" thickBot="1" x14ac:dyDescent="0.3">
      <c r="A75" s="19" t="s">
        <v>1328</v>
      </c>
      <c r="B75" s="117">
        <v>0</v>
      </c>
      <c r="C75" s="53">
        <v>0</v>
      </c>
      <c r="D75" s="361">
        <v>1</v>
      </c>
      <c r="E75" s="6">
        <f t="shared" si="4"/>
        <v>1</v>
      </c>
      <c r="F75" s="391" t="s">
        <v>1019</v>
      </c>
      <c r="G75" s="118">
        <v>5</v>
      </c>
      <c r="H75" s="374">
        <v>5</v>
      </c>
      <c r="I75" s="375">
        <v>0</v>
      </c>
      <c r="J75" s="98">
        <f t="shared" si="5"/>
        <v>10</v>
      </c>
    </row>
    <row r="76" spans="1:10" ht="14.95" thickBot="1" x14ac:dyDescent="0.3">
      <c r="A76" s="19" t="s">
        <v>634</v>
      </c>
      <c r="B76" s="117">
        <v>0</v>
      </c>
      <c r="C76" s="53">
        <v>1</v>
      </c>
      <c r="D76" s="361">
        <v>0</v>
      </c>
      <c r="E76" s="6">
        <f t="shared" si="4"/>
        <v>1</v>
      </c>
      <c r="F76" s="391" t="s">
        <v>7</v>
      </c>
      <c r="G76" s="118">
        <v>0</v>
      </c>
      <c r="H76" s="374">
        <v>7</v>
      </c>
      <c r="I76" s="375">
        <v>0</v>
      </c>
      <c r="J76" s="98">
        <f t="shared" si="5"/>
        <v>7</v>
      </c>
    </row>
    <row r="77" spans="1:10" ht="14.95" thickBot="1" x14ac:dyDescent="0.3">
      <c r="A77" s="19" t="s">
        <v>420</v>
      </c>
      <c r="B77" s="117">
        <v>1</v>
      </c>
      <c r="C77" s="53">
        <v>0</v>
      </c>
      <c r="D77" s="361">
        <v>0</v>
      </c>
      <c r="E77" s="6">
        <f t="shared" si="4"/>
        <v>1</v>
      </c>
      <c r="F77" s="391" t="s">
        <v>1848</v>
      </c>
      <c r="G77" s="118">
        <v>5</v>
      </c>
      <c r="H77" s="374">
        <v>0</v>
      </c>
      <c r="I77" s="375">
        <v>0</v>
      </c>
      <c r="J77" s="98">
        <f t="shared" si="5"/>
        <v>5</v>
      </c>
    </row>
    <row r="78" spans="1:10" ht="14.95" thickBot="1" x14ac:dyDescent="0.3">
      <c r="A78" s="19" t="s">
        <v>178</v>
      </c>
      <c r="B78" s="117">
        <v>0</v>
      </c>
      <c r="C78" s="53">
        <v>0</v>
      </c>
      <c r="D78" s="361">
        <v>1</v>
      </c>
      <c r="E78" s="6">
        <f t="shared" si="4"/>
        <v>1</v>
      </c>
      <c r="F78" s="391" t="s">
        <v>1328</v>
      </c>
      <c r="G78" s="118">
        <v>0</v>
      </c>
      <c r="H78" s="374">
        <v>0</v>
      </c>
      <c r="I78" s="375">
        <v>5</v>
      </c>
      <c r="J78" s="98">
        <f t="shared" si="5"/>
        <v>5</v>
      </c>
    </row>
    <row r="79" spans="1:10" ht="14.95" thickBot="1" x14ac:dyDescent="0.3">
      <c r="A79" s="19" t="s">
        <v>1005</v>
      </c>
      <c r="B79" s="117">
        <v>1</v>
      </c>
      <c r="C79" s="53">
        <v>0</v>
      </c>
      <c r="D79" s="361">
        <v>0</v>
      </c>
      <c r="E79" s="6">
        <f t="shared" si="4"/>
        <v>1</v>
      </c>
      <c r="F79" s="391" t="s">
        <v>634</v>
      </c>
      <c r="G79" s="118">
        <v>0</v>
      </c>
      <c r="H79" s="374">
        <v>5</v>
      </c>
      <c r="I79" s="375">
        <v>0</v>
      </c>
      <c r="J79" s="98">
        <f t="shared" si="5"/>
        <v>5</v>
      </c>
    </row>
    <row r="80" spans="1:10" ht="14.95" thickBot="1" x14ac:dyDescent="0.3">
      <c r="A80" s="19" t="s">
        <v>7</v>
      </c>
      <c r="B80" s="117">
        <v>0</v>
      </c>
      <c r="C80" s="53">
        <v>1</v>
      </c>
      <c r="D80" s="361">
        <v>0</v>
      </c>
      <c r="E80" s="6">
        <f t="shared" si="4"/>
        <v>1</v>
      </c>
      <c r="F80" s="391" t="s">
        <v>420</v>
      </c>
      <c r="G80" s="118">
        <v>5</v>
      </c>
      <c r="H80" s="374">
        <v>0</v>
      </c>
      <c r="I80" s="375">
        <v>0</v>
      </c>
      <c r="J80" s="98">
        <f t="shared" si="5"/>
        <v>5</v>
      </c>
    </row>
    <row r="81" spans="1:10" ht="14.95" thickBot="1" x14ac:dyDescent="0.3">
      <c r="A81" s="19" t="s">
        <v>1788</v>
      </c>
      <c r="B81" s="117">
        <v>0</v>
      </c>
      <c r="C81" s="53">
        <v>0</v>
      </c>
      <c r="D81" s="361">
        <v>1</v>
      </c>
      <c r="E81" s="6">
        <f t="shared" si="4"/>
        <v>1</v>
      </c>
      <c r="F81" s="391" t="s">
        <v>178</v>
      </c>
      <c r="G81" s="118">
        <v>0</v>
      </c>
      <c r="H81" s="374">
        <v>0</v>
      </c>
      <c r="I81" s="375">
        <v>5</v>
      </c>
      <c r="J81" s="98">
        <f t="shared" si="5"/>
        <v>5</v>
      </c>
    </row>
    <row r="82" spans="1:10" ht="14.95" thickBot="1" x14ac:dyDescent="0.3">
      <c r="A82" s="19" t="s">
        <v>69</v>
      </c>
      <c r="B82" s="117">
        <v>1</v>
      </c>
      <c r="C82" s="53">
        <v>0</v>
      </c>
      <c r="D82" s="361">
        <v>0</v>
      </c>
      <c r="E82" s="6">
        <f t="shared" si="4"/>
        <v>1</v>
      </c>
      <c r="F82" s="391" t="s">
        <v>1005</v>
      </c>
      <c r="G82" s="118">
        <v>5</v>
      </c>
      <c r="H82" s="374">
        <v>0</v>
      </c>
      <c r="I82" s="375">
        <v>0</v>
      </c>
      <c r="J82" s="98">
        <f t="shared" si="5"/>
        <v>5</v>
      </c>
    </row>
    <row r="83" spans="1:10" ht="14.95" thickBot="1" x14ac:dyDescent="0.3">
      <c r="A83" s="19" t="s">
        <v>1235</v>
      </c>
      <c r="B83" s="117">
        <v>0</v>
      </c>
      <c r="C83" s="53">
        <v>0</v>
      </c>
      <c r="D83" s="361">
        <v>0</v>
      </c>
      <c r="E83" s="6">
        <f t="shared" si="4"/>
        <v>0</v>
      </c>
      <c r="F83" s="391" t="s">
        <v>1788</v>
      </c>
      <c r="G83" s="118">
        <v>0</v>
      </c>
      <c r="H83" s="374">
        <v>0</v>
      </c>
      <c r="I83" s="375">
        <v>5</v>
      </c>
      <c r="J83" s="98">
        <f t="shared" si="5"/>
        <v>5</v>
      </c>
    </row>
    <row r="84" spans="1:10" ht="14.95" thickBot="1" x14ac:dyDescent="0.3">
      <c r="A84" s="19" t="s">
        <v>1237</v>
      </c>
      <c r="B84" s="117">
        <v>0</v>
      </c>
      <c r="C84" s="53">
        <v>0</v>
      </c>
      <c r="D84" s="361">
        <v>0</v>
      </c>
      <c r="E84" s="6">
        <f t="shared" si="4"/>
        <v>0</v>
      </c>
      <c r="F84" s="391" t="s">
        <v>69</v>
      </c>
      <c r="G84" s="118">
        <v>5</v>
      </c>
      <c r="H84" s="374">
        <v>0</v>
      </c>
      <c r="I84" s="375">
        <v>0</v>
      </c>
      <c r="J84" s="98">
        <f t="shared" si="5"/>
        <v>5</v>
      </c>
    </row>
    <row r="85" spans="1:10" ht="14.95" thickBot="1" x14ac:dyDescent="0.3">
      <c r="A85" s="19" t="s">
        <v>1003</v>
      </c>
      <c r="B85" s="117">
        <v>0</v>
      </c>
      <c r="C85" s="53">
        <v>0</v>
      </c>
      <c r="D85" s="361">
        <v>0</v>
      </c>
      <c r="E85" s="6">
        <f t="shared" si="4"/>
        <v>0</v>
      </c>
      <c r="F85" s="391" t="s">
        <v>176</v>
      </c>
      <c r="G85" s="118">
        <v>0</v>
      </c>
      <c r="H85" s="374">
        <v>0</v>
      </c>
      <c r="I85" s="375">
        <v>3</v>
      </c>
      <c r="J85" s="98">
        <f t="shared" si="5"/>
        <v>3</v>
      </c>
    </row>
    <row r="86" spans="1:10" ht="14.95" thickBot="1" x14ac:dyDescent="0.3">
      <c r="A86" s="19" t="s">
        <v>232</v>
      </c>
      <c r="B86" s="117">
        <v>0</v>
      </c>
      <c r="C86" s="53">
        <v>0</v>
      </c>
      <c r="D86" s="361">
        <v>0</v>
      </c>
      <c r="E86" s="6">
        <f t="shared" si="4"/>
        <v>0</v>
      </c>
      <c r="F86" s="391" t="s">
        <v>1235</v>
      </c>
      <c r="G86" s="118">
        <v>0</v>
      </c>
      <c r="H86" s="374">
        <v>0</v>
      </c>
      <c r="I86" s="375">
        <v>0</v>
      </c>
      <c r="J86" s="98">
        <f t="shared" si="5"/>
        <v>0</v>
      </c>
    </row>
    <row r="87" spans="1:10" ht="14.95" thickBot="1" x14ac:dyDescent="0.3">
      <c r="A87" s="19" t="s">
        <v>1236</v>
      </c>
      <c r="B87" s="117">
        <v>0</v>
      </c>
      <c r="C87" s="53">
        <v>0</v>
      </c>
      <c r="D87" s="361">
        <v>0</v>
      </c>
      <c r="E87" s="6">
        <f t="shared" si="4"/>
        <v>0</v>
      </c>
      <c r="F87" s="391" t="s">
        <v>1237</v>
      </c>
      <c r="G87" s="118">
        <v>0</v>
      </c>
      <c r="H87" s="374">
        <v>0</v>
      </c>
      <c r="I87" s="375">
        <v>0</v>
      </c>
      <c r="J87" s="98">
        <f t="shared" si="5"/>
        <v>0</v>
      </c>
    </row>
    <row r="88" spans="1:10" ht="14.95" thickBot="1" x14ac:dyDescent="0.3">
      <c r="A88" s="19" t="s">
        <v>938</v>
      </c>
      <c r="B88" s="117">
        <v>0</v>
      </c>
      <c r="C88" s="53">
        <v>0</v>
      </c>
      <c r="D88" s="361">
        <v>0</v>
      </c>
      <c r="E88" s="6">
        <f t="shared" si="4"/>
        <v>0</v>
      </c>
      <c r="F88" s="391" t="s">
        <v>1003</v>
      </c>
      <c r="G88" s="118">
        <v>0</v>
      </c>
      <c r="H88" s="374">
        <v>0</v>
      </c>
      <c r="I88" s="375">
        <v>0</v>
      </c>
      <c r="J88" s="98">
        <f t="shared" si="5"/>
        <v>0</v>
      </c>
    </row>
    <row r="89" spans="1:10" ht="14.95" thickBot="1" x14ac:dyDescent="0.3">
      <c r="A89" s="19" t="s">
        <v>1011</v>
      </c>
      <c r="B89" s="117">
        <v>0</v>
      </c>
      <c r="C89" s="53">
        <v>0</v>
      </c>
      <c r="D89" s="361">
        <v>0</v>
      </c>
      <c r="E89" s="6">
        <f t="shared" si="4"/>
        <v>0</v>
      </c>
      <c r="F89" s="391" t="s">
        <v>232</v>
      </c>
      <c r="G89" s="118">
        <v>0</v>
      </c>
      <c r="H89" s="374">
        <v>0</v>
      </c>
      <c r="I89" s="375">
        <v>0</v>
      </c>
      <c r="J89" s="98">
        <f t="shared" si="5"/>
        <v>0</v>
      </c>
    </row>
    <row r="90" spans="1:10" ht="14.95" thickBot="1" x14ac:dyDescent="0.3">
      <c r="A90" s="19" t="s">
        <v>1234</v>
      </c>
      <c r="B90" s="117">
        <v>0</v>
      </c>
      <c r="C90" s="53">
        <v>0</v>
      </c>
      <c r="D90" s="361">
        <v>0</v>
      </c>
      <c r="E90" s="6">
        <f t="shared" si="4"/>
        <v>0</v>
      </c>
      <c r="F90" s="391" t="s">
        <v>1236</v>
      </c>
      <c r="G90" s="118">
        <v>0</v>
      </c>
      <c r="H90" s="374">
        <v>0</v>
      </c>
      <c r="I90" s="375">
        <v>0</v>
      </c>
      <c r="J90" s="98">
        <f t="shared" si="5"/>
        <v>0</v>
      </c>
    </row>
    <row r="91" spans="1:10" ht="14.95" thickBot="1" x14ac:dyDescent="0.3">
      <c r="A91" s="19" t="s">
        <v>160</v>
      </c>
      <c r="B91" s="117">
        <v>0</v>
      </c>
      <c r="C91" s="53">
        <v>0</v>
      </c>
      <c r="D91" s="361">
        <v>0</v>
      </c>
      <c r="E91" s="6">
        <f t="shared" ref="E91:E110" si="6">SUM(B91:D91)</f>
        <v>0</v>
      </c>
      <c r="F91" s="391" t="s">
        <v>1011</v>
      </c>
      <c r="G91" s="118">
        <v>0</v>
      </c>
      <c r="H91" s="374">
        <v>0</v>
      </c>
      <c r="I91" s="375">
        <v>0</v>
      </c>
      <c r="J91" s="98">
        <f t="shared" ref="J91:J110" si="7">SUM(G91:I91)</f>
        <v>0</v>
      </c>
    </row>
    <row r="92" spans="1:10" ht="14.95" thickBot="1" x14ac:dyDescent="0.3">
      <c r="A92" s="19" t="s">
        <v>57</v>
      </c>
      <c r="B92" s="117">
        <v>0</v>
      </c>
      <c r="C92" s="53">
        <v>0</v>
      </c>
      <c r="D92" s="361">
        <v>0</v>
      </c>
      <c r="E92" s="6">
        <f t="shared" si="6"/>
        <v>0</v>
      </c>
      <c r="F92" s="391" t="s">
        <v>1234</v>
      </c>
      <c r="G92" s="118">
        <v>0</v>
      </c>
      <c r="H92" s="374">
        <v>0</v>
      </c>
      <c r="I92" s="375">
        <v>0</v>
      </c>
      <c r="J92" s="98">
        <f t="shared" si="7"/>
        <v>0</v>
      </c>
    </row>
    <row r="93" spans="1:10" ht="14.95" thickBot="1" x14ac:dyDescent="0.3">
      <c r="A93" s="19" t="s">
        <v>422</v>
      </c>
      <c r="B93" s="117">
        <v>0</v>
      </c>
      <c r="C93" s="53">
        <v>0</v>
      </c>
      <c r="D93" s="361">
        <v>0</v>
      </c>
      <c r="E93" s="6">
        <f t="shared" si="6"/>
        <v>0</v>
      </c>
      <c r="F93" s="391" t="s">
        <v>160</v>
      </c>
      <c r="G93" s="118">
        <v>0</v>
      </c>
      <c r="H93" s="374">
        <v>0</v>
      </c>
      <c r="I93" s="375">
        <v>0</v>
      </c>
      <c r="J93" s="98">
        <f t="shared" si="7"/>
        <v>0</v>
      </c>
    </row>
    <row r="94" spans="1:10" ht="14.95" thickBot="1" x14ac:dyDescent="0.3">
      <c r="A94" s="19" t="s">
        <v>1006</v>
      </c>
      <c r="B94" s="117">
        <v>0</v>
      </c>
      <c r="C94" s="53">
        <v>0</v>
      </c>
      <c r="D94" s="361">
        <v>0</v>
      </c>
      <c r="E94" s="6">
        <f t="shared" si="6"/>
        <v>0</v>
      </c>
      <c r="F94" s="391" t="s">
        <v>422</v>
      </c>
      <c r="G94" s="118">
        <v>0</v>
      </c>
      <c r="H94" s="374">
        <v>0</v>
      </c>
      <c r="I94" s="375">
        <v>0</v>
      </c>
      <c r="J94" s="98">
        <f t="shared" si="7"/>
        <v>0</v>
      </c>
    </row>
    <row r="95" spans="1:10" ht="14.95" thickBot="1" x14ac:dyDescent="0.3">
      <c r="A95" s="19" t="s">
        <v>116</v>
      </c>
      <c r="B95" s="117">
        <v>0</v>
      </c>
      <c r="C95" s="53">
        <v>0</v>
      </c>
      <c r="D95" s="361">
        <v>0</v>
      </c>
      <c r="E95" s="6">
        <f t="shared" si="6"/>
        <v>0</v>
      </c>
      <c r="F95" s="391" t="s">
        <v>1006</v>
      </c>
      <c r="G95" s="118">
        <v>0</v>
      </c>
      <c r="H95" s="374">
        <v>0</v>
      </c>
      <c r="I95" s="375">
        <v>0</v>
      </c>
      <c r="J95" s="98">
        <f t="shared" si="7"/>
        <v>0</v>
      </c>
    </row>
    <row r="96" spans="1:10" ht="14.95" thickBot="1" x14ac:dyDescent="0.3">
      <c r="A96" s="19" t="s">
        <v>53</v>
      </c>
      <c r="B96" s="117">
        <v>0</v>
      </c>
      <c r="C96" s="53">
        <v>0</v>
      </c>
      <c r="D96" s="361">
        <v>0</v>
      </c>
      <c r="E96" s="6">
        <f t="shared" si="6"/>
        <v>0</v>
      </c>
      <c r="F96" s="391" t="s">
        <v>116</v>
      </c>
      <c r="G96" s="118">
        <v>0</v>
      </c>
      <c r="H96" s="374">
        <v>0</v>
      </c>
      <c r="I96" s="375">
        <v>0</v>
      </c>
      <c r="J96" s="98">
        <f t="shared" si="7"/>
        <v>0</v>
      </c>
    </row>
    <row r="97" spans="1:10" ht="14.95" thickBot="1" x14ac:dyDescent="0.3">
      <c r="A97" s="19" t="s">
        <v>1726</v>
      </c>
      <c r="B97" s="117">
        <v>0</v>
      </c>
      <c r="C97" s="53">
        <v>0</v>
      </c>
      <c r="D97" s="361">
        <v>0</v>
      </c>
      <c r="E97" s="6">
        <f t="shared" si="6"/>
        <v>0</v>
      </c>
      <c r="F97" s="391" t="s">
        <v>53</v>
      </c>
      <c r="G97" s="118">
        <v>0</v>
      </c>
      <c r="H97" s="374">
        <v>0</v>
      </c>
      <c r="I97" s="375">
        <v>0</v>
      </c>
      <c r="J97" s="98">
        <f t="shared" si="7"/>
        <v>0</v>
      </c>
    </row>
    <row r="98" spans="1:10" ht="14.95" thickBot="1" x14ac:dyDescent="0.3">
      <c r="A98" s="19" t="s">
        <v>175</v>
      </c>
      <c r="B98" s="117">
        <v>0</v>
      </c>
      <c r="C98" s="53">
        <v>0</v>
      </c>
      <c r="D98" s="361">
        <v>0</v>
      </c>
      <c r="E98" s="6">
        <f t="shared" si="6"/>
        <v>0</v>
      </c>
      <c r="F98" s="391" t="s">
        <v>1726</v>
      </c>
      <c r="G98" s="118">
        <v>0</v>
      </c>
      <c r="H98" s="374">
        <v>0</v>
      </c>
      <c r="I98" s="375">
        <v>0</v>
      </c>
      <c r="J98" s="98">
        <f t="shared" si="7"/>
        <v>0</v>
      </c>
    </row>
    <row r="99" spans="1:10" ht="14.95" thickBot="1" x14ac:dyDescent="0.3">
      <c r="A99" s="19" t="s">
        <v>126</v>
      </c>
      <c r="B99" s="117">
        <v>0</v>
      </c>
      <c r="C99" s="53">
        <v>0</v>
      </c>
      <c r="D99" s="361">
        <v>0</v>
      </c>
      <c r="E99" s="6">
        <f t="shared" si="6"/>
        <v>0</v>
      </c>
      <c r="F99" s="391" t="s">
        <v>175</v>
      </c>
      <c r="G99" s="118">
        <v>0</v>
      </c>
      <c r="H99" s="374">
        <v>0</v>
      </c>
      <c r="I99" s="375">
        <v>0</v>
      </c>
      <c r="J99" s="98">
        <f t="shared" si="7"/>
        <v>0</v>
      </c>
    </row>
    <row r="100" spans="1:10" ht="14.95" thickBot="1" x14ac:dyDescent="0.3">
      <c r="A100" s="19" t="s">
        <v>1238</v>
      </c>
      <c r="B100" s="117">
        <v>0</v>
      </c>
      <c r="C100" s="53">
        <v>0</v>
      </c>
      <c r="D100" s="361">
        <v>0</v>
      </c>
      <c r="E100" s="6">
        <f t="shared" si="6"/>
        <v>0</v>
      </c>
      <c r="F100" s="391" t="s">
        <v>126</v>
      </c>
      <c r="G100" s="118">
        <v>0</v>
      </c>
      <c r="H100" s="374">
        <v>0</v>
      </c>
      <c r="I100" s="375">
        <v>0</v>
      </c>
      <c r="J100" s="98">
        <f t="shared" si="7"/>
        <v>0</v>
      </c>
    </row>
    <row r="101" spans="1:10" ht="14.95" thickBot="1" x14ac:dyDescent="0.3">
      <c r="A101" s="19" t="s">
        <v>239</v>
      </c>
      <c r="B101" s="117">
        <v>0</v>
      </c>
      <c r="C101" s="53">
        <v>0</v>
      </c>
      <c r="D101" s="361">
        <v>0</v>
      </c>
      <c r="E101" s="6">
        <f t="shared" si="6"/>
        <v>0</v>
      </c>
      <c r="F101" s="391" t="s">
        <v>1238</v>
      </c>
      <c r="G101" s="118">
        <v>0</v>
      </c>
      <c r="H101" s="374">
        <v>0</v>
      </c>
      <c r="I101" s="375">
        <v>0</v>
      </c>
      <c r="J101" s="98">
        <f t="shared" si="7"/>
        <v>0</v>
      </c>
    </row>
    <row r="102" spans="1:10" ht="14.95" thickBot="1" x14ac:dyDescent="0.3">
      <c r="A102" s="19" t="s">
        <v>1008</v>
      </c>
      <c r="B102" s="117">
        <v>0</v>
      </c>
      <c r="C102" s="53">
        <v>0</v>
      </c>
      <c r="D102" s="361">
        <v>0</v>
      </c>
      <c r="E102" s="6">
        <f t="shared" si="6"/>
        <v>0</v>
      </c>
      <c r="F102" s="391" t="s">
        <v>239</v>
      </c>
      <c r="G102" s="118">
        <v>0</v>
      </c>
      <c r="H102" s="374">
        <v>0</v>
      </c>
      <c r="I102" s="375">
        <v>0</v>
      </c>
      <c r="J102" s="98">
        <f t="shared" si="7"/>
        <v>0</v>
      </c>
    </row>
    <row r="103" spans="1:10" ht="14.95" thickBot="1" x14ac:dyDescent="0.3">
      <c r="A103" s="19" t="s">
        <v>176</v>
      </c>
      <c r="B103" s="117">
        <v>0</v>
      </c>
      <c r="C103" s="53">
        <v>0</v>
      </c>
      <c r="D103" s="361">
        <v>0</v>
      </c>
      <c r="E103" s="6">
        <f t="shared" si="6"/>
        <v>0</v>
      </c>
      <c r="F103" s="391" t="s">
        <v>1008</v>
      </c>
      <c r="G103" s="118">
        <v>0</v>
      </c>
      <c r="H103" s="374">
        <v>0</v>
      </c>
      <c r="I103" s="375">
        <v>0</v>
      </c>
      <c r="J103" s="98">
        <f t="shared" si="7"/>
        <v>0</v>
      </c>
    </row>
    <row r="104" spans="1:10" ht="14.95" thickBot="1" x14ac:dyDescent="0.3">
      <c r="A104" s="19" t="s">
        <v>110</v>
      </c>
      <c r="B104" s="117">
        <v>0</v>
      </c>
      <c r="C104" s="53">
        <v>0</v>
      </c>
      <c r="D104" s="361">
        <v>0</v>
      </c>
      <c r="E104" s="6">
        <f t="shared" si="6"/>
        <v>0</v>
      </c>
      <c r="F104" s="391" t="s">
        <v>110</v>
      </c>
      <c r="G104" s="118">
        <v>0</v>
      </c>
      <c r="H104" s="374">
        <v>0</v>
      </c>
      <c r="I104" s="375">
        <v>0</v>
      </c>
      <c r="J104" s="98">
        <f t="shared" si="7"/>
        <v>0</v>
      </c>
    </row>
    <row r="105" spans="1:10" ht="14.95" thickBot="1" x14ac:dyDescent="0.3">
      <c r="A105" s="19" t="s">
        <v>1026</v>
      </c>
      <c r="B105" s="117">
        <v>0</v>
      </c>
      <c r="C105" s="53">
        <v>0</v>
      </c>
      <c r="D105" s="361">
        <v>0</v>
      </c>
      <c r="E105" s="6">
        <f t="shared" si="6"/>
        <v>0</v>
      </c>
      <c r="F105" s="391" t="s">
        <v>1026</v>
      </c>
      <c r="G105" s="118">
        <v>0</v>
      </c>
      <c r="H105" s="374">
        <v>0</v>
      </c>
      <c r="I105" s="375">
        <v>0</v>
      </c>
      <c r="J105" s="98">
        <f t="shared" si="7"/>
        <v>0</v>
      </c>
    </row>
    <row r="106" spans="1:10" ht="14.95" thickBot="1" x14ac:dyDescent="0.3">
      <c r="A106" s="19" t="s">
        <v>923</v>
      </c>
      <c r="B106" s="117">
        <v>0</v>
      </c>
      <c r="C106" s="53">
        <v>0</v>
      </c>
      <c r="D106" s="361">
        <v>0</v>
      </c>
      <c r="E106" s="6">
        <f t="shared" si="6"/>
        <v>0</v>
      </c>
      <c r="F106" s="391" t="s">
        <v>923</v>
      </c>
      <c r="G106" s="118">
        <v>0</v>
      </c>
      <c r="H106" s="374">
        <v>0</v>
      </c>
      <c r="I106" s="375">
        <v>0</v>
      </c>
      <c r="J106" s="98">
        <f t="shared" si="7"/>
        <v>0</v>
      </c>
    </row>
    <row r="107" spans="1:10" ht="14.95" thickBot="1" x14ac:dyDescent="0.3">
      <c r="A107" s="19" t="s">
        <v>217</v>
      </c>
      <c r="B107" s="117">
        <v>0</v>
      </c>
      <c r="C107" s="53">
        <v>0</v>
      </c>
      <c r="D107" s="361">
        <v>0</v>
      </c>
      <c r="E107" s="6">
        <f t="shared" si="6"/>
        <v>0</v>
      </c>
      <c r="F107" s="391" t="s">
        <v>217</v>
      </c>
      <c r="G107" s="118">
        <v>0</v>
      </c>
      <c r="H107" s="374">
        <v>0</v>
      </c>
      <c r="I107" s="375">
        <v>0</v>
      </c>
      <c r="J107" s="98">
        <f t="shared" si="7"/>
        <v>0</v>
      </c>
    </row>
    <row r="108" spans="1:10" ht="14.95" thickBot="1" x14ac:dyDescent="0.3">
      <c r="A108" s="19" t="s">
        <v>922</v>
      </c>
      <c r="B108" s="117">
        <v>0</v>
      </c>
      <c r="C108" s="53">
        <v>0</v>
      </c>
      <c r="D108" s="361">
        <v>0</v>
      </c>
      <c r="E108" s="6">
        <f t="shared" si="6"/>
        <v>0</v>
      </c>
      <c r="F108" s="391" t="s">
        <v>922</v>
      </c>
      <c r="G108" s="118">
        <v>0</v>
      </c>
      <c r="H108" s="374">
        <v>0</v>
      </c>
      <c r="I108" s="375">
        <v>0</v>
      </c>
      <c r="J108" s="98">
        <f t="shared" si="7"/>
        <v>0</v>
      </c>
    </row>
    <row r="109" spans="1:10" ht="14.95" thickBot="1" x14ac:dyDescent="0.3">
      <c r="A109" s="19" t="s">
        <v>174</v>
      </c>
      <c r="B109" s="117">
        <v>0</v>
      </c>
      <c r="C109" s="53">
        <v>0</v>
      </c>
      <c r="D109" s="361">
        <v>0</v>
      </c>
      <c r="E109" s="6">
        <f t="shared" si="6"/>
        <v>0</v>
      </c>
      <c r="F109" s="391" t="s">
        <v>174</v>
      </c>
      <c r="G109" s="118">
        <v>0</v>
      </c>
      <c r="H109" s="374">
        <v>0</v>
      </c>
      <c r="I109" s="375">
        <v>0</v>
      </c>
      <c r="J109" s="98">
        <f t="shared" si="7"/>
        <v>0</v>
      </c>
    </row>
    <row r="110" spans="1:10" ht="14.95" thickBot="1" x14ac:dyDescent="0.3">
      <c r="A110" s="19" t="s">
        <v>1010</v>
      </c>
      <c r="B110" s="117">
        <v>0</v>
      </c>
      <c r="C110" s="53">
        <v>0</v>
      </c>
      <c r="D110" s="361">
        <v>0</v>
      </c>
      <c r="E110" s="6">
        <f t="shared" si="6"/>
        <v>0</v>
      </c>
      <c r="F110" s="391" t="s">
        <v>1010</v>
      </c>
      <c r="G110" s="118">
        <v>0</v>
      </c>
      <c r="H110" s="374">
        <v>0</v>
      </c>
      <c r="I110" s="375">
        <v>0</v>
      </c>
      <c r="J110" s="98">
        <f t="shared" si="7"/>
        <v>0</v>
      </c>
    </row>
    <row r="111" spans="1:10" ht="14.95" thickBot="1" x14ac:dyDescent="0.3">
      <c r="A111" s="19" t="s">
        <v>3</v>
      </c>
      <c r="B111" s="117">
        <f>SUM(B59:B110)</f>
        <v>43</v>
      </c>
      <c r="C111" s="53">
        <f t="shared" ref="C111:E111" si="8">SUM(C59:C110)</f>
        <v>10</v>
      </c>
      <c r="D111" s="361">
        <f t="shared" si="8"/>
        <v>17</v>
      </c>
      <c r="E111" s="6">
        <f t="shared" si="8"/>
        <v>70</v>
      </c>
      <c r="F111" s="391" t="s">
        <v>3</v>
      </c>
      <c r="G111" s="118">
        <f t="shared" ref="G111:J111" si="9">SUM(G59:G110)</f>
        <v>395</v>
      </c>
      <c r="H111" s="374">
        <f t="shared" si="9"/>
        <v>102</v>
      </c>
      <c r="I111" s="375">
        <f t="shared" si="9"/>
        <v>128</v>
      </c>
      <c r="J111" s="98">
        <f t="shared" si="9"/>
        <v>625</v>
      </c>
    </row>
    <row r="112" spans="1:10" x14ac:dyDescent="0.25">
      <c r="A112" s="65" t="s">
        <v>171</v>
      </c>
      <c r="G112" s="299"/>
    </row>
    <row r="113" spans="7:7" x14ac:dyDescent="0.25">
      <c r="G113" s="299"/>
    </row>
    <row r="114" spans="7:7" x14ac:dyDescent="0.25">
      <c r="G114" s="299"/>
    </row>
    <row r="115" spans="7:7" x14ac:dyDescent="0.25">
      <c r="G115" s="299"/>
    </row>
    <row r="116" spans="7:7" x14ac:dyDescent="0.25">
      <c r="G116" s="299"/>
    </row>
    <row r="117" spans="7:7" x14ac:dyDescent="0.25">
      <c r="G117" s="299"/>
    </row>
    <row r="118" spans="7:7" x14ac:dyDescent="0.25">
      <c r="G118" s="299"/>
    </row>
    <row r="119" spans="7:7" x14ac:dyDescent="0.25">
      <c r="G119" s="299"/>
    </row>
    <row r="120" spans="7:7" x14ac:dyDescent="0.25">
      <c r="G120" s="299"/>
    </row>
    <row r="121" spans="7:7" x14ac:dyDescent="0.25">
      <c r="G121" s="299"/>
    </row>
    <row r="122" spans="7:7" x14ac:dyDescent="0.25">
      <c r="G122" s="299"/>
    </row>
    <row r="123" spans="7:7" x14ac:dyDescent="0.25">
      <c r="G123" s="299"/>
    </row>
    <row r="124" spans="7:7" x14ac:dyDescent="0.25">
      <c r="G124" s="299"/>
    </row>
    <row r="125" spans="7:7" x14ac:dyDescent="0.25">
      <c r="G125" s="299"/>
    </row>
    <row r="126" spans="7:7" x14ac:dyDescent="0.25">
      <c r="G126" s="299"/>
    </row>
    <row r="127" spans="7:7" x14ac:dyDescent="0.25">
      <c r="G127" s="299"/>
    </row>
    <row r="128" spans="7:7" x14ac:dyDescent="0.25">
      <c r="G128" s="299"/>
    </row>
    <row r="129" spans="7:7" x14ac:dyDescent="0.25">
      <c r="G129" s="299"/>
    </row>
    <row r="130" spans="7:7" x14ac:dyDescent="0.25">
      <c r="G130" s="299"/>
    </row>
    <row r="131" spans="7:7" x14ac:dyDescent="0.25">
      <c r="G131" s="299"/>
    </row>
    <row r="132" spans="7:7" x14ac:dyDescent="0.25">
      <c r="G132" s="299"/>
    </row>
    <row r="133" spans="7:7" x14ac:dyDescent="0.25">
      <c r="G133" s="299"/>
    </row>
    <row r="134" spans="7:7" x14ac:dyDescent="0.25">
      <c r="G134" s="299"/>
    </row>
    <row r="135" spans="7:7" x14ac:dyDescent="0.25">
      <c r="G135" s="299"/>
    </row>
    <row r="136" spans="7:7" x14ac:dyDescent="0.25">
      <c r="G136" s="299"/>
    </row>
    <row r="137" spans="7:7" x14ac:dyDescent="0.25">
      <c r="G137" s="299"/>
    </row>
    <row r="138" spans="7:7" x14ac:dyDescent="0.25">
      <c r="G138" s="299"/>
    </row>
    <row r="139" spans="7:7" x14ac:dyDescent="0.25">
      <c r="G139" s="299"/>
    </row>
    <row r="140" spans="7:7" x14ac:dyDescent="0.25">
      <c r="G140" s="299"/>
    </row>
    <row r="141" spans="7:7" x14ac:dyDescent="0.25">
      <c r="G141" s="299"/>
    </row>
    <row r="142" spans="7:7" x14ac:dyDescent="0.25">
      <c r="G142" s="299"/>
    </row>
    <row r="143" spans="7:7" x14ac:dyDescent="0.25">
      <c r="G143" s="299"/>
    </row>
    <row r="144" spans="7:7" x14ac:dyDescent="0.25">
      <c r="G144" s="299"/>
    </row>
    <row r="145" spans="7:7" x14ac:dyDescent="0.25">
      <c r="G145" s="299"/>
    </row>
    <row r="146" spans="7:7" x14ac:dyDescent="0.25">
      <c r="G146" s="299"/>
    </row>
    <row r="147" spans="7:7" x14ac:dyDescent="0.25">
      <c r="G147" s="299"/>
    </row>
    <row r="148" spans="7:7" x14ac:dyDescent="0.25">
      <c r="G148" s="299"/>
    </row>
    <row r="149" spans="7:7" x14ac:dyDescent="0.25">
      <c r="G149" s="299"/>
    </row>
    <row r="150" spans="7:7" x14ac:dyDescent="0.25">
      <c r="G150" s="299"/>
    </row>
    <row r="151" spans="7:7" x14ac:dyDescent="0.25">
      <c r="G151" s="299"/>
    </row>
    <row r="152" spans="7:7" x14ac:dyDescent="0.25">
      <c r="G152" s="299"/>
    </row>
    <row r="153" spans="7:7" x14ac:dyDescent="0.25">
      <c r="G153" s="299"/>
    </row>
    <row r="154" spans="7:7" x14ac:dyDescent="0.25">
      <c r="G154" s="299"/>
    </row>
    <row r="155" spans="7:7" x14ac:dyDescent="0.25">
      <c r="G155" s="299"/>
    </row>
    <row r="156" spans="7:7" x14ac:dyDescent="0.25">
      <c r="G156" s="299"/>
    </row>
    <row r="157" spans="7:7" x14ac:dyDescent="0.25">
      <c r="G157" s="299"/>
    </row>
    <row r="158" spans="7:7" x14ac:dyDescent="0.25">
      <c r="G158" s="299"/>
    </row>
    <row r="159" spans="7:7" x14ac:dyDescent="0.25">
      <c r="G159" s="299"/>
    </row>
    <row r="160" spans="7:7" x14ac:dyDescent="0.25">
      <c r="G160" s="299"/>
    </row>
    <row r="161" spans="7:7" x14ac:dyDescent="0.25">
      <c r="G161" s="299"/>
    </row>
    <row r="162" spans="7:7" x14ac:dyDescent="0.25">
      <c r="G162" s="299"/>
    </row>
    <row r="163" spans="7:7" x14ac:dyDescent="0.25">
      <c r="G163" s="299"/>
    </row>
    <row r="164" spans="7:7" x14ac:dyDescent="0.25">
      <c r="G164" s="299"/>
    </row>
    <row r="165" spans="7:7" x14ac:dyDescent="0.25">
      <c r="G165" s="299"/>
    </row>
    <row r="166" spans="7:7" x14ac:dyDescent="0.25">
      <c r="G166" s="299"/>
    </row>
    <row r="167" spans="7:7" x14ac:dyDescent="0.25">
      <c r="G167" s="299"/>
    </row>
    <row r="168" spans="7:7" x14ac:dyDescent="0.25">
      <c r="G168" s="299"/>
    </row>
    <row r="169" spans="7:7" x14ac:dyDescent="0.25">
      <c r="G169" s="299"/>
    </row>
    <row r="170" spans="7:7" x14ac:dyDescent="0.25">
      <c r="G170" s="299"/>
    </row>
    <row r="171" spans="7:7" x14ac:dyDescent="0.25">
      <c r="G171" s="299"/>
    </row>
  </sheetData>
  <sortState xmlns:xlrd2="http://schemas.microsoft.com/office/spreadsheetml/2017/richdata2" ref="F60:J111">
    <sortCondition descending="1" ref="J60:J111"/>
  </sortState>
  <mergeCells count="26">
    <mergeCell ref="A1:J1"/>
    <mergeCell ref="AL1:AN2"/>
    <mergeCell ref="K24:K25"/>
    <mergeCell ref="L24:N25"/>
    <mergeCell ref="AI1:AK2"/>
    <mergeCell ref="R1:S2"/>
    <mergeCell ref="K15:K16"/>
    <mergeCell ref="K1:K2"/>
    <mergeCell ref="L1:N2"/>
    <mergeCell ref="O1:Q2"/>
    <mergeCell ref="AF1:AH2"/>
    <mergeCell ref="W1:Y2"/>
    <mergeCell ref="R15:T16"/>
    <mergeCell ref="AB15:AD16"/>
    <mergeCell ref="O24:Q25"/>
    <mergeCell ref="AB24:AD25"/>
    <mergeCell ref="K34:AD34"/>
    <mergeCell ref="AC1:AE2"/>
    <mergeCell ref="AE15:AG16"/>
    <mergeCell ref="T1:V2"/>
    <mergeCell ref="K33:W33"/>
    <mergeCell ref="O15:Q16"/>
    <mergeCell ref="L15:N16"/>
    <mergeCell ref="U15:W16"/>
    <mergeCell ref="U24:W25"/>
    <mergeCell ref="R24:T2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X103"/>
  <sheetViews>
    <sheetView topLeftCell="A73" zoomScaleNormal="100" workbookViewId="0">
      <selection activeCell="B90" sqref="B90"/>
    </sheetView>
  </sheetViews>
  <sheetFormatPr defaultRowHeight="14.3" x14ac:dyDescent="0.25"/>
  <cols>
    <col min="1" max="1" width="16.625" customWidth="1"/>
    <col min="2" max="2" width="3.75" customWidth="1"/>
    <col min="3" max="3" width="4.125" customWidth="1"/>
    <col min="4" max="5" width="4.75" customWidth="1"/>
    <col min="6" max="6" width="16.625" customWidth="1"/>
    <col min="7" max="10" width="5.25" customWidth="1"/>
    <col min="11" max="11" width="16" customWidth="1"/>
    <col min="12" max="17" width="5.625" customWidth="1"/>
    <col min="18" max="40" width="5.75" customWidth="1"/>
    <col min="41" max="41" width="14.125" bestFit="1" customWidth="1"/>
    <col min="43" max="43" width="9.25" bestFit="1" customWidth="1"/>
  </cols>
  <sheetData>
    <row r="1" spans="1:50" ht="14.95" customHeight="1" thickBot="1" x14ac:dyDescent="0.3">
      <c r="A1" s="535" t="s">
        <v>1251</v>
      </c>
      <c r="B1" s="536"/>
      <c r="C1" s="536"/>
      <c r="D1" s="536"/>
      <c r="E1" s="536"/>
      <c r="F1" s="536"/>
      <c r="G1" s="536"/>
      <c r="H1" s="536"/>
      <c r="I1" s="536"/>
      <c r="J1" s="537"/>
      <c r="K1" s="478" t="s">
        <v>1324</v>
      </c>
      <c r="L1" s="463" t="s">
        <v>49</v>
      </c>
      <c r="M1" s="464"/>
      <c r="N1" s="465"/>
      <c r="O1" s="486" t="s">
        <v>202</v>
      </c>
      <c r="P1" s="487"/>
      <c r="Q1" s="488"/>
      <c r="R1" s="492" t="s">
        <v>62</v>
      </c>
      <c r="S1" s="493"/>
      <c r="T1" s="457" t="s">
        <v>124</v>
      </c>
      <c r="U1" s="458"/>
      <c r="V1" s="459"/>
      <c r="W1" s="457" t="s">
        <v>1070</v>
      </c>
      <c r="X1" s="458"/>
      <c r="Y1" s="459"/>
      <c r="Z1" s="127"/>
      <c r="AA1" s="127"/>
      <c r="AB1" s="127"/>
      <c r="AC1" s="457" t="s">
        <v>598</v>
      </c>
      <c r="AD1" s="458"/>
      <c r="AE1" s="459"/>
      <c r="AF1" s="457" t="s">
        <v>254</v>
      </c>
      <c r="AG1" s="458"/>
      <c r="AH1" s="459"/>
      <c r="AI1" s="457" t="s">
        <v>213</v>
      </c>
      <c r="AJ1" s="458"/>
      <c r="AK1" s="459"/>
      <c r="AL1" s="457" t="s">
        <v>242</v>
      </c>
      <c r="AM1" s="458"/>
      <c r="AN1" s="459"/>
      <c r="AP1" s="5" t="s">
        <v>819</v>
      </c>
      <c r="AQ1" s="5"/>
      <c r="AR1" s="5"/>
      <c r="AU1" s="5" t="s">
        <v>820</v>
      </c>
    </row>
    <row r="2" spans="1:50" ht="14.95" customHeight="1" thickBot="1" x14ac:dyDescent="0.3">
      <c r="A2" s="280" t="s">
        <v>0</v>
      </c>
      <c r="B2" s="217" t="s">
        <v>1072</v>
      </c>
      <c r="C2" s="254" t="s">
        <v>127</v>
      </c>
      <c r="D2" s="360" t="s">
        <v>1073</v>
      </c>
      <c r="E2" s="289" t="s">
        <v>1</v>
      </c>
      <c r="F2" s="282" t="s">
        <v>2</v>
      </c>
      <c r="G2" s="313" t="s">
        <v>1072</v>
      </c>
      <c r="H2" s="256" t="s">
        <v>127</v>
      </c>
      <c r="I2" s="362" t="s">
        <v>1073</v>
      </c>
      <c r="J2" s="285" t="s">
        <v>1</v>
      </c>
      <c r="K2" s="479"/>
      <c r="L2" s="466"/>
      <c r="M2" s="467"/>
      <c r="N2" s="468"/>
      <c r="O2" s="489"/>
      <c r="P2" s="490"/>
      <c r="Q2" s="491"/>
      <c r="R2" s="494"/>
      <c r="S2" s="495"/>
      <c r="T2" s="460"/>
      <c r="U2" s="461"/>
      <c r="V2" s="462"/>
      <c r="W2" s="460"/>
      <c r="X2" s="461"/>
      <c r="Y2" s="462"/>
      <c r="Z2" s="127"/>
      <c r="AA2" s="127"/>
      <c r="AB2" s="127"/>
      <c r="AC2" s="460"/>
      <c r="AD2" s="461"/>
      <c r="AE2" s="462"/>
      <c r="AF2" s="460"/>
      <c r="AG2" s="461"/>
      <c r="AH2" s="462"/>
      <c r="AI2" s="460"/>
      <c r="AJ2" s="461"/>
      <c r="AK2" s="462"/>
      <c r="AL2" s="460"/>
      <c r="AM2" s="461"/>
      <c r="AN2" s="462"/>
      <c r="AP2" t="s">
        <v>514</v>
      </c>
      <c r="AQ2" t="s">
        <v>260</v>
      </c>
      <c r="AR2" t="s">
        <v>438</v>
      </c>
      <c r="AS2">
        <v>1458</v>
      </c>
      <c r="AU2" t="s">
        <v>403</v>
      </c>
      <c r="AV2" t="s">
        <v>264</v>
      </c>
      <c r="AW2" t="s">
        <v>442</v>
      </c>
      <c r="AX2">
        <v>50</v>
      </c>
    </row>
    <row r="3" spans="1:50" ht="14.95" customHeight="1" thickBot="1" x14ac:dyDescent="0.3">
      <c r="A3" s="281" t="s">
        <v>163</v>
      </c>
      <c r="B3" s="117">
        <v>0</v>
      </c>
      <c r="C3" s="255">
        <v>0</v>
      </c>
      <c r="D3" s="361">
        <v>1</v>
      </c>
      <c r="E3" s="290">
        <f>SUM(B3:D3)</f>
        <v>1</v>
      </c>
      <c r="F3" s="283" t="s">
        <v>163</v>
      </c>
      <c r="G3" s="309">
        <v>0</v>
      </c>
      <c r="H3" s="257">
        <v>0</v>
      </c>
      <c r="I3" s="363">
        <v>5</v>
      </c>
      <c r="J3" s="286">
        <f>SUM(G3:I3)</f>
        <v>5</v>
      </c>
      <c r="K3" s="37" t="s">
        <v>87</v>
      </c>
      <c r="L3" s="15" t="s">
        <v>243</v>
      </c>
      <c r="M3" s="15" t="s">
        <v>42</v>
      </c>
      <c r="N3" s="15" t="s">
        <v>43</v>
      </c>
      <c r="O3" s="67" t="s">
        <v>243</v>
      </c>
      <c r="P3" s="1" t="s">
        <v>42</v>
      </c>
      <c r="Q3" s="1" t="s">
        <v>43</v>
      </c>
      <c r="R3" s="4" t="s">
        <v>63</v>
      </c>
      <c r="S3" s="4" t="s">
        <v>957</v>
      </c>
      <c r="T3" s="119" t="s">
        <v>243</v>
      </c>
      <c r="U3" s="119" t="s">
        <v>42</v>
      </c>
      <c r="V3" s="119" t="s">
        <v>43</v>
      </c>
      <c r="W3" s="124" t="s">
        <v>243</v>
      </c>
      <c r="X3" s="119" t="s">
        <v>42</v>
      </c>
      <c r="Y3" s="119" t="s">
        <v>43</v>
      </c>
      <c r="Z3" s="60"/>
      <c r="AA3" s="60"/>
      <c r="AB3" s="60"/>
      <c r="AC3" s="124" t="s">
        <v>243</v>
      </c>
      <c r="AD3" s="119" t="s">
        <v>42</v>
      </c>
      <c r="AE3" s="119" t="s">
        <v>43</v>
      </c>
      <c r="AF3" s="119" t="s">
        <v>243</v>
      </c>
      <c r="AG3" s="119" t="s">
        <v>42</v>
      </c>
      <c r="AH3" s="119" t="s">
        <v>43</v>
      </c>
      <c r="AI3" s="119" t="s">
        <v>243</v>
      </c>
      <c r="AJ3" s="119" t="s">
        <v>42</v>
      </c>
      <c r="AK3" s="119" t="s">
        <v>43</v>
      </c>
      <c r="AL3" s="119" t="s">
        <v>243</v>
      </c>
      <c r="AM3" s="119" t="s">
        <v>42</v>
      </c>
      <c r="AN3" s="119" t="s">
        <v>43</v>
      </c>
      <c r="AP3" t="s">
        <v>784</v>
      </c>
      <c r="AQ3" t="s">
        <v>260</v>
      </c>
      <c r="AR3" t="s">
        <v>342</v>
      </c>
      <c r="AS3">
        <v>1238</v>
      </c>
      <c r="AU3" t="s">
        <v>569</v>
      </c>
      <c r="AV3" t="s">
        <v>264</v>
      </c>
      <c r="AW3" t="s">
        <v>492</v>
      </c>
      <c r="AX3">
        <v>33</v>
      </c>
    </row>
    <row r="4" spans="1:50" ht="14.95" customHeight="1" thickBot="1" x14ac:dyDescent="0.3">
      <c r="A4" s="281" t="s">
        <v>1250</v>
      </c>
      <c r="B4" s="117">
        <v>1</v>
      </c>
      <c r="C4" s="255">
        <v>0</v>
      </c>
      <c r="D4" s="361">
        <v>0</v>
      </c>
      <c r="E4" s="290">
        <f t="shared" ref="E4:E48" si="0">SUM(B4:D4)</f>
        <v>1</v>
      </c>
      <c r="F4" s="283" t="s">
        <v>1250</v>
      </c>
      <c r="G4" s="309">
        <v>168</v>
      </c>
      <c r="H4" s="257">
        <v>23</v>
      </c>
      <c r="I4" s="363">
        <v>0</v>
      </c>
      <c r="J4" s="286">
        <f t="shared" ref="J4:J49" si="1">SUM(G4:I4)</f>
        <v>191</v>
      </c>
      <c r="K4" s="281" t="s">
        <v>1256</v>
      </c>
      <c r="L4" s="290">
        <v>66</v>
      </c>
      <c r="M4" s="290">
        <v>78</v>
      </c>
      <c r="N4" s="291">
        <f t="shared" ref="N4:N5" si="2">SUM(L4/M4)*100</f>
        <v>84.615384615384613</v>
      </c>
      <c r="O4" s="290">
        <v>0</v>
      </c>
      <c r="P4" s="290">
        <v>1</v>
      </c>
      <c r="Q4" s="291">
        <f>SUM(O4/P4)*100</f>
        <v>0</v>
      </c>
      <c r="R4" s="290">
        <v>-1</v>
      </c>
      <c r="S4" s="290">
        <v>-1</v>
      </c>
      <c r="T4" s="290">
        <v>38</v>
      </c>
      <c r="U4" s="290">
        <v>52</v>
      </c>
      <c r="V4" s="291">
        <f>SUM(T4/U4)*100</f>
        <v>73.076923076923066</v>
      </c>
      <c r="W4" s="292">
        <v>24</v>
      </c>
      <c r="X4" s="292">
        <v>31</v>
      </c>
      <c r="Y4" s="291">
        <f t="shared" ref="Y4" si="3">SUM(W4/X4)*100</f>
        <v>77.41935483870968</v>
      </c>
      <c r="Z4" s="348"/>
      <c r="AA4" s="348"/>
      <c r="AB4" s="348"/>
      <c r="AC4" s="292">
        <v>31</v>
      </c>
      <c r="AD4" s="292">
        <v>43</v>
      </c>
      <c r="AE4" s="291">
        <f t="shared" ref="AE4" si="4">SUM(AC4/AD4)*100</f>
        <v>72.093023255813947</v>
      </c>
      <c r="AF4" s="290">
        <v>63</v>
      </c>
      <c r="AG4" s="290">
        <v>73</v>
      </c>
      <c r="AH4" s="291">
        <f t="shared" ref="AH4" si="5">SUM(AF4/AG4)*100</f>
        <v>86.301369863013704</v>
      </c>
      <c r="AI4" s="290">
        <v>79</v>
      </c>
      <c r="AJ4" s="290">
        <v>93</v>
      </c>
      <c r="AK4" s="291">
        <f>SUM(AI4/AJ4)*100</f>
        <v>84.946236559139791</v>
      </c>
      <c r="AL4" s="290">
        <v>57</v>
      </c>
      <c r="AM4" s="290">
        <v>77</v>
      </c>
      <c r="AN4" s="290">
        <v>65</v>
      </c>
      <c r="AP4" t="s">
        <v>785</v>
      </c>
      <c r="AQ4" t="s">
        <v>263</v>
      </c>
      <c r="AR4" t="s">
        <v>356</v>
      </c>
      <c r="AS4">
        <v>528</v>
      </c>
      <c r="AU4" t="s">
        <v>388</v>
      </c>
      <c r="AV4" t="s">
        <v>262</v>
      </c>
      <c r="AW4" t="s">
        <v>436</v>
      </c>
      <c r="AX4">
        <v>30</v>
      </c>
    </row>
    <row r="5" spans="1:50" ht="14.95" customHeight="1" thickBot="1" x14ac:dyDescent="0.3">
      <c r="A5" s="281" t="s">
        <v>1062</v>
      </c>
      <c r="B5" s="117">
        <v>0</v>
      </c>
      <c r="C5" s="255">
        <v>0</v>
      </c>
      <c r="D5" s="361">
        <v>3</v>
      </c>
      <c r="E5" s="290">
        <f t="shared" si="0"/>
        <v>3</v>
      </c>
      <c r="F5" s="283" t="s">
        <v>1062</v>
      </c>
      <c r="G5" s="309">
        <v>0</v>
      </c>
      <c r="H5" s="257">
        <v>0</v>
      </c>
      <c r="I5" s="363">
        <v>15</v>
      </c>
      <c r="J5" s="286">
        <f t="shared" si="1"/>
        <v>15</v>
      </c>
      <c r="K5" s="281" t="s">
        <v>131</v>
      </c>
      <c r="L5" s="290">
        <v>12</v>
      </c>
      <c r="M5" s="290">
        <v>16</v>
      </c>
      <c r="N5" s="291">
        <f t="shared" si="2"/>
        <v>75</v>
      </c>
      <c r="O5" s="290" t="s">
        <v>50</v>
      </c>
      <c r="P5" s="290" t="s">
        <v>50</v>
      </c>
      <c r="Q5" s="290" t="s">
        <v>50</v>
      </c>
      <c r="R5" s="290">
        <v>1</v>
      </c>
      <c r="S5" s="290">
        <v>2</v>
      </c>
      <c r="T5" s="290">
        <v>23</v>
      </c>
      <c r="U5" s="290">
        <v>28</v>
      </c>
      <c r="V5" s="291">
        <f>SUM(T5/U5)*100</f>
        <v>82.142857142857139</v>
      </c>
      <c r="W5" s="294" t="s">
        <v>50</v>
      </c>
      <c r="X5" s="290" t="s">
        <v>50</v>
      </c>
      <c r="Y5" s="290" t="s">
        <v>50</v>
      </c>
      <c r="Z5" s="349"/>
      <c r="AA5" s="349"/>
      <c r="AB5" s="349"/>
      <c r="AC5" s="294" t="s">
        <v>50</v>
      </c>
      <c r="AD5" s="290" t="s">
        <v>50</v>
      </c>
      <c r="AE5" s="290" t="s">
        <v>50</v>
      </c>
      <c r="AF5" s="290" t="s">
        <v>50</v>
      </c>
      <c r="AG5" s="290" t="s">
        <v>50</v>
      </c>
      <c r="AH5" s="290" t="s">
        <v>50</v>
      </c>
      <c r="AI5" s="290" t="s">
        <v>50</v>
      </c>
      <c r="AJ5" s="290" t="s">
        <v>50</v>
      </c>
      <c r="AK5" s="290" t="s">
        <v>50</v>
      </c>
      <c r="AL5" s="290" t="s">
        <v>50</v>
      </c>
      <c r="AM5" s="290" t="s">
        <v>50</v>
      </c>
      <c r="AN5" s="290" t="s">
        <v>50</v>
      </c>
      <c r="AP5" t="s">
        <v>287</v>
      </c>
      <c r="AQ5" t="s">
        <v>270</v>
      </c>
      <c r="AR5" t="s">
        <v>658</v>
      </c>
      <c r="AS5">
        <v>423</v>
      </c>
      <c r="AU5" t="s">
        <v>785</v>
      </c>
      <c r="AV5" t="s">
        <v>263</v>
      </c>
      <c r="AW5" t="s">
        <v>356</v>
      </c>
      <c r="AX5">
        <v>30</v>
      </c>
    </row>
    <row r="6" spans="1:50" ht="14.95" customHeight="1" thickBot="1" x14ac:dyDescent="0.3">
      <c r="A6" s="281" t="s">
        <v>30</v>
      </c>
      <c r="B6" s="117">
        <v>2</v>
      </c>
      <c r="C6" s="255">
        <v>3</v>
      </c>
      <c r="D6" s="361">
        <v>1</v>
      </c>
      <c r="E6" s="290">
        <f t="shared" si="0"/>
        <v>6</v>
      </c>
      <c r="F6" s="284" t="s">
        <v>30</v>
      </c>
      <c r="G6" s="309">
        <v>10</v>
      </c>
      <c r="H6" s="257">
        <v>15</v>
      </c>
      <c r="I6" s="363">
        <v>5</v>
      </c>
      <c r="J6" s="286">
        <f t="shared" si="1"/>
        <v>30</v>
      </c>
      <c r="K6" s="281" t="s">
        <v>1027</v>
      </c>
      <c r="L6" s="290" t="s">
        <v>50</v>
      </c>
      <c r="M6" s="290" t="s">
        <v>50</v>
      </c>
      <c r="N6" s="290" t="s">
        <v>50</v>
      </c>
      <c r="O6" s="290" t="s">
        <v>50</v>
      </c>
      <c r="P6" s="290" t="s">
        <v>50</v>
      </c>
      <c r="Q6" s="290" t="s">
        <v>50</v>
      </c>
      <c r="R6" s="290" t="s">
        <v>64</v>
      </c>
      <c r="S6" s="290">
        <v>1</v>
      </c>
      <c r="T6" s="290" t="s">
        <v>50</v>
      </c>
      <c r="U6" s="290" t="s">
        <v>50</v>
      </c>
      <c r="V6" s="290" t="s">
        <v>50</v>
      </c>
      <c r="W6" s="290" t="s">
        <v>50</v>
      </c>
      <c r="X6" s="290" t="s">
        <v>50</v>
      </c>
      <c r="Y6" s="290" t="s">
        <v>50</v>
      </c>
      <c r="Z6" s="349"/>
      <c r="AA6" s="349"/>
      <c r="AB6" s="349"/>
      <c r="AC6" s="292" t="s">
        <v>50</v>
      </c>
      <c r="AD6" s="290" t="s">
        <v>50</v>
      </c>
      <c r="AE6" s="290" t="s">
        <v>50</v>
      </c>
      <c r="AF6" s="290" t="s">
        <v>50</v>
      </c>
      <c r="AG6" s="290" t="s">
        <v>50</v>
      </c>
      <c r="AH6" s="290" t="s">
        <v>50</v>
      </c>
      <c r="AI6" s="290" t="s">
        <v>50</v>
      </c>
      <c r="AJ6" s="290" t="s">
        <v>50</v>
      </c>
      <c r="AK6" s="290" t="s">
        <v>50</v>
      </c>
      <c r="AL6" s="290" t="s">
        <v>50</v>
      </c>
      <c r="AM6" s="290" t="s">
        <v>50</v>
      </c>
      <c r="AN6" s="290" t="s">
        <v>50</v>
      </c>
      <c r="AP6" t="s">
        <v>523</v>
      </c>
      <c r="AQ6" t="s">
        <v>262</v>
      </c>
      <c r="AR6" t="s">
        <v>444</v>
      </c>
      <c r="AS6">
        <v>338</v>
      </c>
      <c r="AU6" t="s">
        <v>497</v>
      </c>
      <c r="AV6" t="s">
        <v>268</v>
      </c>
      <c r="AW6" t="s">
        <v>360</v>
      </c>
      <c r="AX6">
        <v>25</v>
      </c>
    </row>
    <row r="7" spans="1:50" ht="14.95" customHeight="1" thickBot="1" x14ac:dyDescent="0.3">
      <c r="A7" s="281" t="s">
        <v>1826</v>
      </c>
      <c r="B7" s="117">
        <v>0</v>
      </c>
      <c r="C7" s="255">
        <v>1</v>
      </c>
      <c r="D7" s="361">
        <v>0</v>
      </c>
      <c r="E7" s="290">
        <f t="shared" si="0"/>
        <v>1</v>
      </c>
      <c r="F7" s="284" t="s">
        <v>1826</v>
      </c>
      <c r="G7" s="309">
        <v>0</v>
      </c>
      <c r="H7" s="257">
        <v>5</v>
      </c>
      <c r="I7" s="363">
        <v>0</v>
      </c>
      <c r="J7" s="286">
        <f t="shared" si="1"/>
        <v>5</v>
      </c>
      <c r="K7" s="281" t="s">
        <v>1028</v>
      </c>
      <c r="L7" s="290">
        <v>10</v>
      </c>
      <c r="M7" s="290">
        <v>16</v>
      </c>
      <c r="N7" s="291">
        <f t="shared" ref="N7" si="6">SUM(L7/M7)*100</f>
        <v>62.5</v>
      </c>
      <c r="O7" s="290" t="s">
        <v>50</v>
      </c>
      <c r="P7" s="290" t="s">
        <v>50</v>
      </c>
      <c r="Q7" s="290" t="s">
        <v>50</v>
      </c>
      <c r="R7" s="290">
        <v>8</v>
      </c>
      <c r="S7" s="290">
        <v>3</v>
      </c>
      <c r="T7" s="290">
        <v>5</v>
      </c>
      <c r="U7" s="290">
        <v>8</v>
      </c>
      <c r="V7" s="291">
        <f>SUM(T7/U7)*100</f>
        <v>62.5</v>
      </c>
      <c r="W7" s="294" t="s">
        <v>50</v>
      </c>
      <c r="X7" s="290" t="s">
        <v>50</v>
      </c>
      <c r="Y7" s="290" t="s">
        <v>50</v>
      </c>
      <c r="Z7" s="349"/>
      <c r="AA7" s="349"/>
      <c r="AB7" s="349"/>
      <c r="AC7" s="294" t="s">
        <v>50</v>
      </c>
      <c r="AD7" s="290" t="s">
        <v>50</v>
      </c>
      <c r="AE7" s="290" t="s">
        <v>50</v>
      </c>
      <c r="AF7" s="290" t="s">
        <v>50</v>
      </c>
      <c r="AG7" s="290" t="s">
        <v>50</v>
      </c>
      <c r="AH7" s="290" t="s">
        <v>50</v>
      </c>
      <c r="AI7" s="290" t="s">
        <v>50</v>
      </c>
      <c r="AJ7" s="290" t="s">
        <v>50</v>
      </c>
      <c r="AK7" s="290" t="s">
        <v>50</v>
      </c>
      <c r="AL7" s="290" t="s">
        <v>50</v>
      </c>
      <c r="AM7" s="290" t="s">
        <v>50</v>
      </c>
      <c r="AN7" s="290" t="s">
        <v>50</v>
      </c>
      <c r="AP7" t="s">
        <v>786</v>
      </c>
      <c r="AQ7" t="s">
        <v>260</v>
      </c>
      <c r="AR7" t="s">
        <v>316</v>
      </c>
      <c r="AS7">
        <v>285</v>
      </c>
      <c r="AU7" t="s">
        <v>788</v>
      </c>
      <c r="AV7" t="s">
        <v>277</v>
      </c>
      <c r="AW7" t="s">
        <v>462</v>
      </c>
      <c r="AX7">
        <v>25</v>
      </c>
    </row>
    <row r="8" spans="1:50" ht="14.95" customHeight="1" thickBot="1" x14ac:dyDescent="0.3">
      <c r="A8" s="281" t="s">
        <v>92</v>
      </c>
      <c r="B8" s="117">
        <v>8</v>
      </c>
      <c r="C8" s="255">
        <v>2</v>
      </c>
      <c r="D8" s="361">
        <v>1</v>
      </c>
      <c r="E8" s="290">
        <f t="shared" si="0"/>
        <v>11</v>
      </c>
      <c r="F8" s="284" t="s">
        <v>92</v>
      </c>
      <c r="G8" s="309">
        <v>40</v>
      </c>
      <c r="H8" s="257">
        <v>10</v>
      </c>
      <c r="I8" s="363">
        <v>5</v>
      </c>
      <c r="J8" s="286">
        <f t="shared" si="1"/>
        <v>55</v>
      </c>
      <c r="K8" s="281" t="s">
        <v>220</v>
      </c>
      <c r="L8" s="290">
        <v>3</v>
      </c>
      <c r="M8" s="290">
        <v>3</v>
      </c>
      <c r="N8" s="290">
        <v>100</v>
      </c>
      <c r="O8" s="290" t="s">
        <v>50</v>
      </c>
      <c r="P8" s="290" t="s">
        <v>50</v>
      </c>
      <c r="Q8" s="290" t="s">
        <v>50</v>
      </c>
      <c r="R8" s="290">
        <v>3</v>
      </c>
      <c r="S8" s="290">
        <v>10</v>
      </c>
      <c r="T8" s="290" t="s">
        <v>50</v>
      </c>
      <c r="U8" s="290" t="s">
        <v>50</v>
      </c>
      <c r="V8" s="290" t="s">
        <v>50</v>
      </c>
      <c r="W8" s="290" t="s">
        <v>50</v>
      </c>
      <c r="X8" s="290" t="s">
        <v>50</v>
      </c>
      <c r="Y8" s="290" t="s">
        <v>50</v>
      </c>
      <c r="Z8" s="349"/>
      <c r="AA8" s="349"/>
      <c r="AB8" s="349"/>
      <c r="AC8" s="290" t="s">
        <v>50</v>
      </c>
      <c r="AD8" s="290" t="s">
        <v>50</v>
      </c>
      <c r="AE8" s="290" t="s">
        <v>50</v>
      </c>
      <c r="AF8" s="290" t="s">
        <v>50</v>
      </c>
      <c r="AG8" s="290" t="s">
        <v>50</v>
      </c>
      <c r="AH8" s="290" t="s">
        <v>50</v>
      </c>
      <c r="AI8" s="290" t="s">
        <v>50</v>
      </c>
      <c r="AJ8" s="290" t="s">
        <v>50</v>
      </c>
      <c r="AK8" s="290" t="s">
        <v>50</v>
      </c>
      <c r="AL8" s="290" t="s">
        <v>50</v>
      </c>
      <c r="AM8" s="290" t="s">
        <v>50</v>
      </c>
      <c r="AN8" s="290" t="s">
        <v>50</v>
      </c>
      <c r="AP8" t="s">
        <v>403</v>
      </c>
      <c r="AQ8" t="s">
        <v>264</v>
      </c>
      <c r="AR8" t="s">
        <v>442</v>
      </c>
      <c r="AS8">
        <v>250</v>
      </c>
      <c r="AU8" t="s">
        <v>791</v>
      </c>
      <c r="AV8" t="s">
        <v>264</v>
      </c>
      <c r="AW8" t="s">
        <v>448</v>
      </c>
      <c r="AX8">
        <v>24</v>
      </c>
    </row>
    <row r="9" spans="1:50" ht="14.95" customHeight="1" thickBot="1" x14ac:dyDescent="0.3">
      <c r="A9" s="281" t="s">
        <v>165</v>
      </c>
      <c r="B9" s="117">
        <v>0</v>
      </c>
      <c r="C9" s="255">
        <v>0</v>
      </c>
      <c r="D9" s="361">
        <v>0</v>
      </c>
      <c r="E9" s="290">
        <f t="shared" si="0"/>
        <v>0</v>
      </c>
      <c r="F9" s="284" t="s">
        <v>165</v>
      </c>
      <c r="G9" s="309">
        <v>0</v>
      </c>
      <c r="H9" s="257">
        <v>0</v>
      </c>
      <c r="I9" s="363">
        <v>0</v>
      </c>
      <c r="J9" s="286">
        <f t="shared" si="1"/>
        <v>0</v>
      </c>
      <c r="K9" s="281" t="s">
        <v>981</v>
      </c>
      <c r="L9" s="290" t="s">
        <v>50</v>
      </c>
      <c r="M9" s="290" t="s">
        <v>50</v>
      </c>
      <c r="N9" s="290" t="s">
        <v>50</v>
      </c>
      <c r="O9" s="290" t="s">
        <v>50</v>
      </c>
      <c r="P9" s="290" t="s">
        <v>50</v>
      </c>
      <c r="Q9" s="290" t="s">
        <v>50</v>
      </c>
      <c r="R9" s="290" t="s">
        <v>50</v>
      </c>
      <c r="S9" s="290">
        <v>-1</v>
      </c>
      <c r="T9" s="290" t="s">
        <v>50</v>
      </c>
      <c r="U9" s="290" t="s">
        <v>50</v>
      </c>
      <c r="V9" s="290" t="s">
        <v>50</v>
      </c>
      <c r="W9" s="294" t="s">
        <v>50</v>
      </c>
      <c r="X9" s="290" t="s">
        <v>50</v>
      </c>
      <c r="Y9" s="290" t="s">
        <v>50</v>
      </c>
      <c r="Z9" s="349"/>
      <c r="AA9" s="349"/>
      <c r="AB9" s="349"/>
      <c r="AC9" s="294" t="s">
        <v>50</v>
      </c>
      <c r="AD9" s="290" t="s">
        <v>50</v>
      </c>
      <c r="AE9" s="290" t="s">
        <v>50</v>
      </c>
      <c r="AF9" s="290" t="s">
        <v>50</v>
      </c>
      <c r="AG9" s="290" t="s">
        <v>50</v>
      </c>
      <c r="AH9" s="290" t="s">
        <v>50</v>
      </c>
      <c r="AI9" s="290" t="s">
        <v>50</v>
      </c>
      <c r="AJ9" s="290" t="s">
        <v>50</v>
      </c>
      <c r="AK9" s="290" t="s">
        <v>50</v>
      </c>
      <c r="AL9" s="290" t="s">
        <v>50</v>
      </c>
      <c r="AM9" s="290" t="s">
        <v>50</v>
      </c>
      <c r="AN9" s="290" t="s">
        <v>50</v>
      </c>
      <c r="AP9" t="s">
        <v>443</v>
      </c>
      <c r="AQ9" t="s">
        <v>260</v>
      </c>
      <c r="AR9" t="s">
        <v>557</v>
      </c>
      <c r="AS9">
        <v>244</v>
      </c>
      <c r="AU9" t="s">
        <v>792</v>
      </c>
      <c r="AV9" t="s">
        <v>263</v>
      </c>
      <c r="AW9" t="s">
        <v>444</v>
      </c>
      <c r="AX9">
        <v>22</v>
      </c>
    </row>
    <row r="10" spans="1:50" ht="14.95" customHeight="1" thickBot="1" x14ac:dyDescent="0.3">
      <c r="A10" s="281" t="s">
        <v>1147</v>
      </c>
      <c r="B10" s="117">
        <v>0</v>
      </c>
      <c r="C10" s="255">
        <v>0</v>
      </c>
      <c r="D10" s="361">
        <v>0</v>
      </c>
      <c r="E10" s="290">
        <f t="shared" si="0"/>
        <v>0</v>
      </c>
      <c r="F10" s="284" t="s">
        <v>1147</v>
      </c>
      <c r="G10" s="309">
        <v>0</v>
      </c>
      <c r="H10" s="257">
        <v>0</v>
      </c>
      <c r="I10" s="363">
        <v>0</v>
      </c>
      <c r="J10" s="286">
        <f t="shared" si="1"/>
        <v>0</v>
      </c>
      <c r="K10" s="281" t="s">
        <v>245</v>
      </c>
      <c r="L10" s="290">
        <v>2</v>
      </c>
      <c r="M10" s="290">
        <v>2</v>
      </c>
      <c r="N10" s="291">
        <f t="shared" ref="N10" si="7">SUM(L10/M10)*100</f>
        <v>100</v>
      </c>
      <c r="O10" s="290" t="s">
        <v>50</v>
      </c>
      <c r="P10" s="290" t="s">
        <v>50</v>
      </c>
      <c r="Q10" s="290" t="s">
        <v>50</v>
      </c>
      <c r="R10" s="290">
        <v>4</v>
      </c>
      <c r="S10" s="290">
        <v>4</v>
      </c>
      <c r="T10" s="290">
        <v>25</v>
      </c>
      <c r="U10" s="290">
        <v>38</v>
      </c>
      <c r="V10" s="291">
        <f>SUM(T10/U10)*100</f>
        <v>65.789473684210535</v>
      </c>
      <c r="W10" s="294">
        <v>9</v>
      </c>
      <c r="X10" s="290">
        <v>14</v>
      </c>
      <c r="Y10" s="291">
        <f>SUM(W10/X10)*100</f>
        <v>64.285714285714292</v>
      </c>
      <c r="Z10" s="348"/>
      <c r="AA10" s="348"/>
      <c r="AB10" s="348"/>
      <c r="AC10" s="294">
        <v>0</v>
      </c>
      <c r="AD10" s="290">
        <v>1</v>
      </c>
      <c r="AE10" s="291">
        <f>SUM(AC10/AD10)*100</f>
        <v>0</v>
      </c>
      <c r="AF10" s="290" t="s">
        <v>50</v>
      </c>
      <c r="AG10" s="290" t="s">
        <v>50</v>
      </c>
      <c r="AH10" s="290" t="s">
        <v>50</v>
      </c>
      <c r="AI10" s="290" t="s">
        <v>50</v>
      </c>
      <c r="AJ10" s="290" t="s">
        <v>50</v>
      </c>
      <c r="AK10" s="290" t="s">
        <v>50</v>
      </c>
      <c r="AL10" s="290" t="s">
        <v>50</v>
      </c>
      <c r="AM10" s="290" t="s">
        <v>50</v>
      </c>
      <c r="AN10" s="290" t="s">
        <v>50</v>
      </c>
      <c r="AP10" t="s">
        <v>569</v>
      </c>
      <c r="AQ10" t="s">
        <v>264</v>
      </c>
      <c r="AR10" t="s">
        <v>492</v>
      </c>
      <c r="AS10">
        <v>165</v>
      </c>
      <c r="AU10" t="s">
        <v>582</v>
      </c>
      <c r="AV10" t="s">
        <v>262</v>
      </c>
      <c r="AW10" t="s">
        <v>436</v>
      </c>
      <c r="AX10">
        <v>22</v>
      </c>
    </row>
    <row r="11" spans="1:50" ht="14.95" customHeight="1" thickBot="1" x14ac:dyDescent="0.3">
      <c r="A11" s="281" t="s">
        <v>1023</v>
      </c>
      <c r="B11" s="117">
        <v>0</v>
      </c>
      <c r="C11" s="255">
        <v>0</v>
      </c>
      <c r="D11" s="361">
        <v>0</v>
      </c>
      <c r="E11" s="290">
        <f t="shared" si="0"/>
        <v>0</v>
      </c>
      <c r="F11" s="284" t="s">
        <v>1023</v>
      </c>
      <c r="G11" s="309">
        <v>0</v>
      </c>
      <c r="H11" s="257">
        <v>0</v>
      </c>
      <c r="I11" s="363">
        <v>0</v>
      </c>
      <c r="J11" s="286">
        <f t="shared" si="1"/>
        <v>0</v>
      </c>
      <c r="AP11" t="s">
        <v>787</v>
      </c>
      <c r="AQ11" t="s">
        <v>259</v>
      </c>
      <c r="AR11" t="s">
        <v>404</v>
      </c>
      <c r="AS11">
        <v>162</v>
      </c>
      <c r="AU11" t="s">
        <v>794</v>
      </c>
      <c r="AV11" t="s">
        <v>268</v>
      </c>
      <c r="AW11" t="s">
        <v>350</v>
      </c>
      <c r="AX11">
        <v>20</v>
      </c>
    </row>
    <row r="12" spans="1:50" ht="14.95" customHeight="1" thickBot="1" x14ac:dyDescent="0.3">
      <c r="A12" s="281" t="s">
        <v>1802</v>
      </c>
      <c r="B12" s="117">
        <v>3</v>
      </c>
      <c r="C12" s="255">
        <v>1</v>
      </c>
      <c r="D12" s="361">
        <v>0</v>
      </c>
      <c r="E12" s="290">
        <f t="shared" si="0"/>
        <v>4</v>
      </c>
      <c r="F12" s="284" t="s">
        <v>1802</v>
      </c>
      <c r="G12" s="309">
        <v>15</v>
      </c>
      <c r="H12" s="257">
        <v>5</v>
      </c>
      <c r="I12" s="363">
        <v>0</v>
      </c>
      <c r="J12" s="286">
        <f t="shared" si="1"/>
        <v>20</v>
      </c>
      <c r="K12" s="507" t="s">
        <v>1323</v>
      </c>
      <c r="L12" s="463" t="s">
        <v>49</v>
      </c>
      <c r="M12" s="464"/>
      <c r="N12" s="465"/>
      <c r="O12" s="457" t="s">
        <v>1258</v>
      </c>
      <c r="P12" s="458"/>
      <c r="Q12" s="459"/>
      <c r="R12" s="457" t="s">
        <v>1748</v>
      </c>
      <c r="S12" s="458"/>
      <c r="T12" s="459"/>
      <c r="U12" s="457" t="s">
        <v>1749</v>
      </c>
      <c r="V12" s="458"/>
      <c r="W12" s="459"/>
      <c r="X12" s="149"/>
      <c r="Y12" s="175"/>
      <c r="Z12" s="175"/>
      <c r="AA12" s="175"/>
      <c r="AB12" s="175"/>
      <c r="AC12" s="457" t="s">
        <v>1750</v>
      </c>
      <c r="AD12" s="458"/>
      <c r="AE12" s="459"/>
      <c r="AF12" s="457" t="s">
        <v>1751</v>
      </c>
      <c r="AG12" s="458"/>
      <c r="AH12" s="459"/>
      <c r="AP12" t="s">
        <v>388</v>
      </c>
      <c r="AQ12" t="s">
        <v>262</v>
      </c>
      <c r="AR12" t="s">
        <v>436</v>
      </c>
      <c r="AS12">
        <v>150</v>
      </c>
      <c r="AU12" t="s">
        <v>795</v>
      </c>
      <c r="AV12" t="s">
        <v>268</v>
      </c>
      <c r="AW12" t="s">
        <v>327</v>
      </c>
      <c r="AX12">
        <v>20</v>
      </c>
    </row>
    <row r="13" spans="1:50" ht="14.95" customHeight="1" thickBot="1" x14ac:dyDescent="0.3">
      <c r="A13" s="281" t="s">
        <v>975</v>
      </c>
      <c r="B13" s="117">
        <v>0</v>
      </c>
      <c r="C13" s="255">
        <v>2</v>
      </c>
      <c r="D13" s="361">
        <v>1</v>
      </c>
      <c r="E13" s="290">
        <f t="shared" si="0"/>
        <v>3</v>
      </c>
      <c r="F13" s="284" t="s">
        <v>975</v>
      </c>
      <c r="G13" s="309">
        <v>0</v>
      </c>
      <c r="H13" s="257">
        <v>10</v>
      </c>
      <c r="I13" s="363">
        <v>5</v>
      </c>
      <c r="J13" s="286">
        <f t="shared" si="1"/>
        <v>15</v>
      </c>
      <c r="K13" s="508"/>
      <c r="L13" s="466"/>
      <c r="M13" s="467"/>
      <c r="N13" s="468"/>
      <c r="O13" s="460"/>
      <c r="P13" s="461"/>
      <c r="Q13" s="462"/>
      <c r="R13" s="460"/>
      <c r="S13" s="461"/>
      <c r="T13" s="462"/>
      <c r="U13" s="460"/>
      <c r="V13" s="461"/>
      <c r="W13" s="462"/>
      <c r="X13" s="176"/>
      <c r="Y13" s="175"/>
      <c r="Z13" s="175"/>
      <c r="AA13" s="175"/>
      <c r="AB13" s="175"/>
      <c r="AC13" s="460"/>
      <c r="AD13" s="461"/>
      <c r="AE13" s="462"/>
      <c r="AF13" s="460"/>
      <c r="AG13" s="461"/>
      <c r="AH13" s="462"/>
      <c r="AP13" t="s">
        <v>497</v>
      </c>
      <c r="AQ13" t="s">
        <v>268</v>
      </c>
      <c r="AR13" t="s">
        <v>360</v>
      </c>
      <c r="AS13">
        <v>125</v>
      </c>
      <c r="AU13" t="s">
        <v>796</v>
      </c>
      <c r="AV13" t="s">
        <v>268</v>
      </c>
      <c r="AW13" t="s">
        <v>632</v>
      </c>
      <c r="AX13">
        <v>20</v>
      </c>
    </row>
    <row r="14" spans="1:50" ht="14.95" customHeight="1" thickBot="1" x14ac:dyDescent="0.3">
      <c r="A14" s="281" t="s">
        <v>218</v>
      </c>
      <c r="B14" s="117">
        <v>0</v>
      </c>
      <c r="C14" s="255">
        <v>1</v>
      </c>
      <c r="D14" s="361">
        <v>2</v>
      </c>
      <c r="E14" s="290">
        <f t="shared" si="0"/>
        <v>3</v>
      </c>
      <c r="F14" s="284" t="s">
        <v>218</v>
      </c>
      <c r="G14" s="309">
        <v>0</v>
      </c>
      <c r="H14" s="257">
        <v>5</v>
      </c>
      <c r="I14" s="363">
        <v>10</v>
      </c>
      <c r="J14" s="286">
        <f t="shared" si="1"/>
        <v>15</v>
      </c>
      <c r="K14" s="37" t="s">
        <v>87</v>
      </c>
      <c r="L14" s="15" t="s">
        <v>243</v>
      </c>
      <c r="M14" s="15" t="s">
        <v>42</v>
      </c>
      <c r="N14" s="15" t="s">
        <v>43</v>
      </c>
      <c r="O14" s="119" t="s">
        <v>243</v>
      </c>
      <c r="P14" s="119" t="s">
        <v>42</v>
      </c>
      <c r="Q14" s="119" t="s">
        <v>43</v>
      </c>
      <c r="R14" s="119" t="s">
        <v>243</v>
      </c>
      <c r="S14" s="119" t="s">
        <v>42</v>
      </c>
      <c r="T14" s="119" t="s">
        <v>43</v>
      </c>
      <c r="U14" s="124" t="s">
        <v>243</v>
      </c>
      <c r="V14" s="119" t="s">
        <v>42</v>
      </c>
      <c r="W14" s="119" t="s">
        <v>43</v>
      </c>
      <c r="AC14" s="124" t="s">
        <v>243</v>
      </c>
      <c r="AD14" s="119" t="s">
        <v>42</v>
      </c>
      <c r="AE14" s="119" t="s">
        <v>43</v>
      </c>
      <c r="AF14" s="124" t="s">
        <v>243</v>
      </c>
      <c r="AG14" s="119" t="s">
        <v>42</v>
      </c>
      <c r="AH14" s="119" t="s">
        <v>43</v>
      </c>
      <c r="AP14" t="s">
        <v>788</v>
      </c>
      <c r="AQ14" t="s">
        <v>277</v>
      </c>
      <c r="AR14" t="s">
        <v>462</v>
      </c>
      <c r="AS14">
        <v>125</v>
      </c>
      <c r="AU14" t="s">
        <v>756</v>
      </c>
      <c r="AV14" t="s">
        <v>274</v>
      </c>
      <c r="AW14" t="s">
        <v>346</v>
      </c>
      <c r="AX14">
        <v>20</v>
      </c>
    </row>
    <row r="15" spans="1:50" ht="14.95" customHeight="1" thickBot="1" x14ac:dyDescent="0.3">
      <c r="A15" s="281" t="s">
        <v>976</v>
      </c>
      <c r="B15" s="117">
        <v>0</v>
      </c>
      <c r="C15" s="255">
        <v>0</v>
      </c>
      <c r="D15" s="361">
        <v>0</v>
      </c>
      <c r="E15" s="290">
        <f t="shared" si="0"/>
        <v>0</v>
      </c>
      <c r="F15" s="283" t="s">
        <v>976</v>
      </c>
      <c r="G15" s="309">
        <v>0</v>
      </c>
      <c r="H15" s="257">
        <v>0</v>
      </c>
      <c r="I15" s="363">
        <v>0</v>
      </c>
      <c r="J15" s="286">
        <f t="shared" si="1"/>
        <v>0</v>
      </c>
      <c r="K15" s="281" t="s">
        <v>1256</v>
      </c>
      <c r="L15" s="290">
        <v>10</v>
      </c>
      <c r="M15" s="290">
        <v>15</v>
      </c>
      <c r="N15" s="291">
        <f t="shared" ref="N15:N17" si="8">SUM(L15/M15)*100</f>
        <v>66.666666666666657</v>
      </c>
      <c r="O15" s="290">
        <v>15</v>
      </c>
      <c r="P15" s="290">
        <v>16</v>
      </c>
      <c r="Q15" s="291">
        <f>SUM(O15/P15)*100</f>
        <v>93.75</v>
      </c>
      <c r="R15" s="292">
        <v>30</v>
      </c>
      <c r="S15" s="292">
        <v>39</v>
      </c>
      <c r="T15" s="291">
        <f t="shared" ref="T15" si="9">SUM(R15/S15)*100</f>
        <v>76.923076923076934</v>
      </c>
      <c r="U15" s="292">
        <v>22</v>
      </c>
      <c r="V15" s="292">
        <v>30</v>
      </c>
      <c r="W15" s="291">
        <f t="shared" ref="W15" si="10">SUM(U15/V15)*100</f>
        <v>73.333333333333329</v>
      </c>
      <c r="X15" s="293"/>
      <c r="Y15" s="293"/>
      <c r="Z15" s="293"/>
      <c r="AA15" s="293"/>
      <c r="AB15" s="293"/>
      <c r="AC15" s="294">
        <v>19</v>
      </c>
      <c r="AD15" s="290">
        <v>24</v>
      </c>
      <c r="AE15" s="291">
        <f>SUM(AC15/AD15)*100</f>
        <v>79.166666666666657</v>
      </c>
      <c r="AF15" s="294">
        <v>21</v>
      </c>
      <c r="AG15" s="290">
        <v>21</v>
      </c>
      <c r="AH15" s="291">
        <f>SUM(AF15/AG15)*100</f>
        <v>100</v>
      </c>
      <c r="AP15" t="s">
        <v>789</v>
      </c>
      <c r="AQ15" t="s">
        <v>790</v>
      </c>
      <c r="AR15" t="s">
        <v>327</v>
      </c>
      <c r="AS15">
        <v>124</v>
      </c>
      <c r="AU15" t="s">
        <v>509</v>
      </c>
      <c r="AV15" t="s">
        <v>276</v>
      </c>
      <c r="AW15" t="s">
        <v>477</v>
      </c>
      <c r="AX15">
        <v>19</v>
      </c>
    </row>
    <row r="16" spans="1:50" ht="14.95" customHeight="1" thickBot="1" x14ac:dyDescent="0.3">
      <c r="A16" s="281" t="s">
        <v>977</v>
      </c>
      <c r="B16" s="117">
        <v>6</v>
      </c>
      <c r="C16" s="255">
        <v>0</v>
      </c>
      <c r="D16" s="361">
        <v>1</v>
      </c>
      <c r="E16" s="290">
        <f t="shared" si="0"/>
        <v>7</v>
      </c>
      <c r="F16" s="283" t="s">
        <v>131</v>
      </c>
      <c r="G16" s="309">
        <v>55</v>
      </c>
      <c r="H16" s="257">
        <v>0</v>
      </c>
      <c r="I16" s="363">
        <v>8</v>
      </c>
      <c r="J16" s="286">
        <f t="shared" si="1"/>
        <v>63</v>
      </c>
      <c r="K16" s="281" t="s">
        <v>1028</v>
      </c>
      <c r="L16" s="290">
        <v>19</v>
      </c>
      <c r="M16" s="290">
        <v>23</v>
      </c>
      <c r="N16" s="291">
        <f t="shared" si="8"/>
        <v>82.608695652173907</v>
      </c>
      <c r="O16" s="295" t="s">
        <v>50</v>
      </c>
      <c r="P16" s="295" t="s">
        <v>50</v>
      </c>
      <c r="Q16" s="295" t="s">
        <v>50</v>
      </c>
      <c r="R16" s="295" t="s">
        <v>50</v>
      </c>
      <c r="S16" s="295" t="s">
        <v>50</v>
      </c>
      <c r="T16" s="295" t="s">
        <v>50</v>
      </c>
      <c r="U16" s="295" t="s">
        <v>50</v>
      </c>
      <c r="V16" s="295" t="s">
        <v>50</v>
      </c>
      <c r="W16" s="295" t="s">
        <v>50</v>
      </c>
      <c r="X16" s="293"/>
      <c r="Y16" s="293"/>
      <c r="Z16" s="293"/>
      <c r="AA16" s="293"/>
      <c r="AB16" s="293"/>
      <c r="AC16" s="292" t="s">
        <v>50</v>
      </c>
      <c r="AD16" s="295" t="s">
        <v>50</v>
      </c>
      <c r="AE16" s="295" t="s">
        <v>50</v>
      </c>
      <c r="AF16" s="295" t="s">
        <v>50</v>
      </c>
      <c r="AG16" s="295" t="s">
        <v>50</v>
      </c>
      <c r="AH16" s="295" t="s">
        <v>50</v>
      </c>
      <c r="AP16" t="s">
        <v>791</v>
      </c>
      <c r="AQ16" t="s">
        <v>264</v>
      </c>
      <c r="AR16" t="s">
        <v>448</v>
      </c>
      <c r="AS16">
        <v>120</v>
      </c>
      <c r="AU16" t="s">
        <v>797</v>
      </c>
      <c r="AV16" t="s">
        <v>272</v>
      </c>
      <c r="AW16" t="s">
        <v>351</v>
      </c>
      <c r="AX16">
        <v>18</v>
      </c>
    </row>
    <row r="17" spans="1:50" ht="14.95" customHeight="1" thickBot="1" x14ac:dyDescent="0.3">
      <c r="A17" s="281" t="s">
        <v>1253</v>
      </c>
      <c r="B17" s="117">
        <v>1</v>
      </c>
      <c r="C17" s="255">
        <v>1</v>
      </c>
      <c r="D17" s="361">
        <v>0</v>
      </c>
      <c r="E17" s="290">
        <f t="shared" si="0"/>
        <v>2</v>
      </c>
      <c r="F17" s="283" t="s">
        <v>1253</v>
      </c>
      <c r="G17" s="309">
        <v>5</v>
      </c>
      <c r="H17" s="257">
        <v>5</v>
      </c>
      <c r="I17" s="363">
        <v>0</v>
      </c>
      <c r="J17" s="286">
        <f t="shared" si="1"/>
        <v>10</v>
      </c>
      <c r="K17" s="281" t="s">
        <v>220</v>
      </c>
      <c r="L17" s="290">
        <v>7</v>
      </c>
      <c r="M17" s="290">
        <v>7</v>
      </c>
      <c r="N17" s="291">
        <f t="shared" si="8"/>
        <v>100</v>
      </c>
      <c r="O17" s="295" t="s">
        <v>50</v>
      </c>
      <c r="P17" s="295" t="s">
        <v>50</v>
      </c>
      <c r="Q17" s="295" t="s">
        <v>50</v>
      </c>
      <c r="R17" s="295" t="s">
        <v>50</v>
      </c>
      <c r="S17" s="295" t="s">
        <v>50</v>
      </c>
      <c r="T17" s="295" t="s">
        <v>50</v>
      </c>
      <c r="U17" s="295" t="s">
        <v>50</v>
      </c>
      <c r="V17" s="295" t="s">
        <v>50</v>
      </c>
      <c r="W17" s="295" t="s">
        <v>50</v>
      </c>
      <c r="X17" s="293"/>
      <c r="Y17" s="293"/>
      <c r="Z17" s="293"/>
      <c r="AA17" s="293"/>
      <c r="AB17" s="293"/>
      <c r="AC17" s="295" t="s">
        <v>50</v>
      </c>
      <c r="AD17" s="295" t="s">
        <v>50</v>
      </c>
      <c r="AE17" s="295" t="s">
        <v>50</v>
      </c>
      <c r="AF17" s="295" t="s">
        <v>50</v>
      </c>
      <c r="AG17" s="295" t="s">
        <v>50</v>
      </c>
      <c r="AH17" s="295" t="s">
        <v>50</v>
      </c>
      <c r="AP17" t="s">
        <v>792</v>
      </c>
      <c r="AQ17" t="s">
        <v>263</v>
      </c>
      <c r="AR17" t="s">
        <v>444</v>
      </c>
      <c r="AS17">
        <v>119</v>
      </c>
      <c r="AU17" t="s">
        <v>789</v>
      </c>
      <c r="AV17" t="s">
        <v>790</v>
      </c>
      <c r="AW17" t="s">
        <v>327</v>
      </c>
      <c r="AX17">
        <v>18</v>
      </c>
    </row>
    <row r="18" spans="1:50" ht="14.95" customHeight="1" thickBot="1" x14ac:dyDescent="0.3">
      <c r="A18" s="281" t="s">
        <v>1027</v>
      </c>
      <c r="B18" s="117">
        <v>2</v>
      </c>
      <c r="C18" s="255">
        <v>0</v>
      </c>
      <c r="D18" s="361">
        <v>2</v>
      </c>
      <c r="E18" s="290">
        <f t="shared" si="0"/>
        <v>4</v>
      </c>
      <c r="F18" s="283" t="s">
        <v>1027</v>
      </c>
      <c r="G18" s="309">
        <v>10</v>
      </c>
      <c r="H18" s="257">
        <v>0</v>
      </c>
      <c r="I18" s="363">
        <v>12</v>
      </c>
      <c r="J18" s="286">
        <f t="shared" si="1"/>
        <v>22</v>
      </c>
      <c r="K18" s="280" t="s">
        <v>245</v>
      </c>
      <c r="L18" s="295" t="s">
        <v>50</v>
      </c>
      <c r="M18" s="295" t="s">
        <v>50</v>
      </c>
      <c r="N18" s="295" t="s">
        <v>50</v>
      </c>
      <c r="O18" s="295">
        <v>11</v>
      </c>
      <c r="P18" s="295">
        <v>16</v>
      </c>
      <c r="Q18" s="296">
        <f>SUM(O18/P18)*100</f>
        <v>68.75</v>
      </c>
      <c r="R18" s="295">
        <v>0</v>
      </c>
      <c r="S18" s="295">
        <v>1</v>
      </c>
      <c r="T18" s="296">
        <f>SUM(R18/S18)*100</f>
        <v>0</v>
      </c>
      <c r="U18" s="292" t="s">
        <v>50</v>
      </c>
      <c r="V18" s="295" t="s">
        <v>50</v>
      </c>
      <c r="W18" s="295" t="s">
        <v>50</v>
      </c>
      <c r="X18" s="293"/>
      <c r="Y18" s="293"/>
      <c r="Z18" s="293"/>
      <c r="AA18" s="293"/>
      <c r="AB18" s="293"/>
      <c r="AC18" s="294" t="s">
        <v>50</v>
      </c>
      <c r="AD18" s="290" t="s">
        <v>50</v>
      </c>
      <c r="AE18" s="290" t="s">
        <v>50</v>
      </c>
      <c r="AF18" s="294" t="s">
        <v>50</v>
      </c>
      <c r="AG18" s="290" t="s">
        <v>50</v>
      </c>
      <c r="AH18" s="290" t="s">
        <v>50</v>
      </c>
      <c r="AP18" t="s">
        <v>582</v>
      </c>
      <c r="AQ18" t="s">
        <v>262</v>
      </c>
      <c r="AR18" t="s">
        <v>436</v>
      </c>
      <c r="AS18">
        <v>110</v>
      </c>
      <c r="AU18" t="s">
        <v>523</v>
      </c>
      <c r="AV18" t="s">
        <v>262</v>
      </c>
      <c r="AW18" t="s">
        <v>444</v>
      </c>
      <c r="AX18">
        <v>17</v>
      </c>
    </row>
    <row r="19" spans="1:50" ht="14.95" customHeight="1" thickBot="1" x14ac:dyDescent="0.3">
      <c r="A19" s="281" t="s">
        <v>219</v>
      </c>
      <c r="B19" s="117">
        <v>1</v>
      </c>
      <c r="C19" s="255">
        <v>0</v>
      </c>
      <c r="D19" s="361">
        <v>1</v>
      </c>
      <c r="E19" s="290">
        <f t="shared" si="0"/>
        <v>2</v>
      </c>
      <c r="F19" s="283" t="s">
        <v>219</v>
      </c>
      <c r="G19" s="309">
        <v>5</v>
      </c>
      <c r="H19" s="257">
        <v>0</v>
      </c>
      <c r="I19" s="363">
        <v>5</v>
      </c>
      <c r="J19" s="286">
        <f t="shared" si="1"/>
        <v>10</v>
      </c>
      <c r="K19" s="281" t="s">
        <v>981</v>
      </c>
      <c r="L19" s="290" t="s">
        <v>50</v>
      </c>
      <c r="M19" s="290" t="s">
        <v>50</v>
      </c>
      <c r="N19" s="290" t="s">
        <v>50</v>
      </c>
      <c r="O19" s="290">
        <v>0</v>
      </c>
      <c r="P19" s="290">
        <v>1</v>
      </c>
      <c r="Q19" s="291">
        <f>SUM(O19/P19)*100</f>
        <v>0</v>
      </c>
      <c r="R19" s="290" t="s">
        <v>50</v>
      </c>
      <c r="S19" s="290" t="s">
        <v>50</v>
      </c>
      <c r="T19" s="290" t="s">
        <v>50</v>
      </c>
      <c r="U19" s="294" t="s">
        <v>50</v>
      </c>
      <c r="V19" s="290" t="s">
        <v>50</v>
      </c>
      <c r="W19" s="290" t="s">
        <v>50</v>
      </c>
      <c r="X19" s="293"/>
      <c r="Y19" s="293"/>
      <c r="Z19" s="293"/>
      <c r="AA19" s="293"/>
      <c r="AB19" s="293"/>
      <c r="AC19" s="294" t="s">
        <v>50</v>
      </c>
      <c r="AD19" s="290" t="s">
        <v>50</v>
      </c>
      <c r="AE19" s="290" t="s">
        <v>50</v>
      </c>
      <c r="AF19" s="294" t="s">
        <v>50</v>
      </c>
      <c r="AG19" s="290" t="s">
        <v>50</v>
      </c>
      <c r="AH19" s="290" t="s">
        <v>50</v>
      </c>
      <c r="AP19" t="s">
        <v>793</v>
      </c>
      <c r="AQ19" t="s">
        <v>270</v>
      </c>
      <c r="AR19" t="s">
        <v>291</v>
      </c>
      <c r="AS19">
        <v>103</v>
      </c>
      <c r="AU19" t="s">
        <v>798</v>
      </c>
      <c r="AV19" t="s">
        <v>284</v>
      </c>
      <c r="AW19" t="s">
        <v>729</v>
      </c>
      <c r="AX19">
        <v>16</v>
      </c>
    </row>
    <row r="20" spans="1:50" ht="14.95" customHeight="1" thickBot="1" x14ac:dyDescent="0.3">
      <c r="A20" s="281" t="s">
        <v>1028</v>
      </c>
      <c r="B20" s="117">
        <v>0</v>
      </c>
      <c r="C20" s="255">
        <v>0</v>
      </c>
      <c r="D20" s="361">
        <v>2</v>
      </c>
      <c r="E20" s="290">
        <f t="shared" si="0"/>
        <v>2</v>
      </c>
      <c r="F20" s="283" t="s">
        <v>1028</v>
      </c>
      <c r="G20" s="309">
        <v>25</v>
      </c>
      <c r="H20" s="257">
        <v>38</v>
      </c>
      <c r="I20" s="363">
        <v>62</v>
      </c>
      <c r="J20" s="286">
        <f t="shared" si="1"/>
        <v>125</v>
      </c>
      <c r="K20" s="281" t="s">
        <v>131</v>
      </c>
      <c r="L20" s="290" t="s">
        <v>50</v>
      </c>
      <c r="M20" s="290" t="s">
        <v>50</v>
      </c>
      <c r="N20" s="290" t="s">
        <v>50</v>
      </c>
      <c r="O20" s="290">
        <v>1</v>
      </c>
      <c r="P20" s="290">
        <v>2</v>
      </c>
      <c r="Q20" s="291">
        <f>SUM(O20/P20)*100</f>
        <v>50</v>
      </c>
      <c r="R20" s="290" t="s">
        <v>50</v>
      </c>
      <c r="S20" s="290" t="s">
        <v>50</v>
      </c>
      <c r="T20" s="290" t="s">
        <v>50</v>
      </c>
      <c r="U20" s="294" t="s">
        <v>50</v>
      </c>
      <c r="V20" s="290" t="s">
        <v>50</v>
      </c>
      <c r="W20" s="290" t="s">
        <v>50</v>
      </c>
      <c r="X20" s="293"/>
      <c r="Y20" s="293"/>
      <c r="Z20" s="293"/>
      <c r="AA20" s="293"/>
      <c r="AB20" s="293"/>
      <c r="AC20" s="294" t="s">
        <v>50</v>
      </c>
      <c r="AD20" s="290" t="s">
        <v>50</v>
      </c>
      <c r="AE20" s="290" t="s">
        <v>50</v>
      </c>
      <c r="AF20" s="294" t="s">
        <v>50</v>
      </c>
      <c r="AG20" s="290" t="s">
        <v>50</v>
      </c>
      <c r="AH20" s="290" t="s">
        <v>50</v>
      </c>
      <c r="AP20" t="s">
        <v>794</v>
      </c>
      <c r="AQ20" t="s">
        <v>268</v>
      </c>
      <c r="AR20" t="s">
        <v>350</v>
      </c>
      <c r="AS20">
        <v>100</v>
      </c>
      <c r="AU20" t="s">
        <v>799</v>
      </c>
      <c r="AV20" t="s">
        <v>275</v>
      </c>
      <c r="AW20" t="s">
        <v>366</v>
      </c>
      <c r="AX20">
        <v>16</v>
      </c>
    </row>
    <row r="21" spans="1:50" ht="14.95" customHeight="1" thickBot="1" x14ac:dyDescent="0.3">
      <c r="A21" s="281" t="s">
        <v>77</v>
      </c>
      <c r="B21" s="117">
        <v>0</v>
      </c>
      <c r="C21" s="255">
        <v>3</v>
      </c>
      <c r="D21" s="361">
        <v>1</v>
      </c>
      <c r="E21" s="290">
        <f t="shared" si="0"/>
        <v>4</v>
      </c>
      <c r="F21" s="283" t="s">
        <v>77</v>
      </c>
      <c r="G21" s="309">
        <v>0</v>
      </c>
      <c r="H21" s="257">
        <v>15</v>
      </c>
      <c r="I21" s="363">
        <v>5</v>
      </c>
      <c r="J21" s="286">
        <f t="shared" si="1"/>
        <v>20</v>
      </c>
      <c r="AP21" t="s">
        <v>795</v>
      </c>
      <c r="AQ21" t="s">
        <v>268</v>
      </c>
      <c r="AR21" t="s">
        <v>327</v>
      </c>
      <c r="AS21">
        <v>100</v>
      </c>
      <c r="AU21" t="s">
        <v>800</v>
      </c>
      <c r="AV21" t="s">
        <v>278</v>
      </c>
      <c r="AW21" t="s">
        <v>801</v>
      </c>
      <c r="AX21">
        <v>16</v>
      </c>
    </row>
    <row r="22" spans="1:50" ht="14.95" customHeight="1" thickBot="1" x14ac:dyDescent="0.3">
      <c r="A22" s="281" t="s">
        <v>5</v>
      </c>
      <c r="B22" s="117">
        <v>2</v>
      </c>
      <c r="C22" s="255">
        <v>0</v>
      </c>
      <c r="D22" s="361">
        <v>0</v>
      </c>
      <c r="E22" s="290">
        <f t="shared" si="0"/>
        <v>2</v>
      </c>
      <c r="F22" s="283" t="s">
        <v>5</v>
      </c>
      <c r="G22" s="309">
        <v>10</v>
      </c>
      <c r="H22" s="257">
        <v>0</v>
      </c>
      <c r="I22" s="363">
        <v>0</v>
      </c>
      <c r="J22" s="286">
        <f t="shared" si="1"/>
        <v>10</v>
      </c>
      <c r="K22" s="538" t="s">
        <v>956</v>
      </c>
      <c r="L22" s="457" t="s">
        <v>1070</v>
      </c>
      <c r="M22" s="458"/>
      <c r="N22" s="459"/>
      <c r="O22" s="174"/>
      <c r="P22" s="174"/>
      <c r="Q22" s="174"/>
      <c r="AP22" t="s">
        <v>796</v>
      </c>
      <c r="AQ22" t="s">
        <v>268</v>
      </c>
      <c r="AR22" t="s">
        <v>632</v>
      </c>
      <c r="AS22">
        <v>100</v>
      </c>
      <c r="AU22" t="s">
        <v>607</v>
      </c>
      <c r="AV22" t="s">
        <v>272</v>
      </c>
      <c r="AW22" t="s">
        <v>291</v>
      </c>
      <c r="AX22">
        <v>15</v>
      </c>
    </row>
    <row r="23" spans="1:50" ht="14.95" customHeight="1" thickBot="1" x14ac:dyDescent="0.3">
      <c r="A23" s="281" t="s">
        <v>99</v>
      </c>
      <c r="B23" s="117">
        <v>0</v>
      </c>
      <c r="C23" s="255">
        <v>0</v>
      </c>
      <c r="D23" s="361">
        <v>0</v>
      </c>
      <c r="E23" s="290">
        <f t="shared" si="0"/>
        <v>0</v>
      </c>
      <c r="F23" s="283" t="s">
        <v>99</v>
      </c>
      <c r="G23" s="309">
        <v>0</v>
      </c>
      <c r="H23" s="257">
        <v>0</v>
      </c>
      <c r="I23" s="363">
        <v>0</v>
      </c>
      <c r="J23" s="286">
        <f t="shared" si="1"/>
        <v>0</v>
      </c>
      <c r="K23" s="539"/>
      <c r="L23" s="460"/>
      <c r="M23" s="461"/>
      <c r="N23" s="462"/>
      <c r="O23" s="174"/>
      <c r="P23" s="174"/>
      <c r="Q23" s="174"/>
      <c r="AP23" t="s">
        <v>756</v>
      </c>
      <c r="AQ23" t="s">
        <v>274</v>
      </c>
      <c r="AR23" t="s">
        <v>346</v>
      </c>
      <c r="AS23">
        <v>100</v>
      </c>
      <c r="AU23" t="s">
        <v>802</v>
      </c>
      <c r="AV23" t="s">
        <v>279</v>
      </c>
      <c r="AW23" t="s">
        <v>319</v>
      </c>
      <c r="AX23">
        <v>15</v>
      </c>
    </row>
    <row r="24" spans="1:50" ht="14.95" customHeight="1" thickBot="1" x14ac:dyDescent="0.3">
      <c r="A24" s="281" t="s">
        <v>108</v>
      </c>
      <c r="B24" s="117">
        <v>2</v>
      </c>
      <c r="C24" s="255">
        <v>0</v>
      </c>
      <c r="D24" s="361">
        <v>0</v>
      </c>
      <c r="E24" s="290">
        <f t="shared" si="0"/>
        <v>2</v>
      </c>
      <c r="F24" s="283" t="s">
        <v>108</v>
      </c>
      <c r="G24" s="309">
        <v>10</v>
      </c>
      <c r="H24" s="257">
        <v>0</v>
      </c>
      <c r="I24" s="363">
        <v>0</v>
      </c>
      <c r="J24" s="287">
        <f t="shared" si="1"/>
        <v>10</v>
      </c>
      <c r="K24" s="37" t="s">
        <v>87</v>
      </c>
      <c r="L24" s="158" t="s">
        <v>243</v>
      </c>
      <c r="M24" s="162" t="s">
        <v>42</v>
      </c>
      <c r="N24" s="162" t="s">
        <v>43</v>
      </c>
      <c r="AP24" t="s">
        <v>509</v>
      </c>
      <c r="AQ24" t="s">
        <v>276</v>
      </c>
      <c r="AR24" t="s">
        <v>477</v>
      </c>
      <c r="AS24">
        <v>95</v>
      </c>
      <c r="AU24" t="s">
        <v>803</v>
      </c>
      <c r="AV24" t="s">
        <v>283</v>
      </c>
      <c r="AW24" t="s">
        <v>583</v>
      </c>
      <c r="AX24">
        <v>15</v>
      </c>
    </row>
    <row r="25" spans="1:50" ht="14.95" customHeight="1" thickBot="1" x14ac:dyDescent="0.3">
      <c r="A25" s="281" t="s">
        <v>119</v>
      </c>
      <c r="B25" s="117">
        <v>0</v>
      </c>
      <c r="C25" s="255">
        <v>0</v>
      </c>
      <c r="D25" s="361">
        <v>0</v>
      </c>
      <c r="E25" s="290">
        <f t="shared" si="0"/>
        <v>0</v>
      </c>
      <c r="F25" s="283" t="s">
        <v>119</v>
      </c>
      <c r="G25" s="309">
        <v>0</v>
      </c>
      <c r="H25" s="257">
        <v>0</v>
      </c>
      <c r="I25" s="363">
        <v>0</v>
      </c>
      <c r="J25" s="288">
        <f t="shared" si="1"/>
        <v>0</v>
      </c>
      <c r="K25" s="281" t="s">
        <v>245</v>
      </c>
      <c r="L25" s="290">
        <v>9</v>
      </c>
      <c r="M25" s="290">
        <v>12</v>
      </c>
      <c r="N25" s="291">
        <f>SUM(L25/M25)*100</f>
        <v>75</v>
      </c>
      <c r="AP25" t="s">
        <v>593</v>
      </c>
      <c r="AQ25" t="s">
        <v>272</v>
      </c>
      <c r="AR25" t="s">
        <v>478</v>
      </c>
      <c r="AS25">
        <v>93</v>
      </c>
      <c r="AU25" t="s">
        <v>804</v>
      </c>
      <c r="AW25" t="s">
        <v>327</v>
      </c>
      <c r="AX25">
        <v>14</v>
      </c>
    </row>
    <row r="26" spans="1:50" ht="14.95" customHeight="1" thickBot="1" x14ac:dyDescent="0.3">
      <c r="A26" s="281" t="s">
        <v>220</v>
      </c>
      <c r="B26" s="117">
        <v>4</v>
      </c>
      <c r="C26" s="255">
        <v>2</v>
      </c>
      <c r="D26" s="361">
        <v>0</v>
      </c>
      <c r="E26" s="290">
        <f t="shared" si="0"/>
        <v>6</v>
      </c>
      <c r="F26" s="283" t="s">
        <v>220</v>
      </c>
      <c r="G26" s="309">
        <v>27</v>
      </c>
      <c r="H26" s="257">
        <v>24</v>
      </c>
      <c r="I26" s="363">
        <v>0</v>
      </c>
      <c r="J26" s="286">
        <f t="shared" si="1"/>
        <v>51</v>
      </c>
      <c r="K26" s="281" t="s">
        <v>131</v>
      </c>
      <c r="L26" s="290" t="s">
        <v>50</v>
      </c>
      <c r="M26" s="290" t="s">
        <v>50</v>
      </c>
      <c r="N26" s="290" t="s">
        <v>50</v>
      </c>
      <c r="AP26" t="s">
        <v>797</v>
      </c>
      <c r="AQ26" t="s">
        <v>272</v>
      </c>
      <c r="AR26" t="s">
        <v>351</v>
      </c>
      <c r="AS26">
        <v>90</v>
      </c>
      <c r="AU26" t="s">
        <v>805</v>
      </c>
      <c r="AV26" t="s">
        <v>262</v>
      </c>
      <c r="AW26" t="s">
        <v>486</v>
      </c>
      <c r="AX26">
        <v>14</v>
      </c>
    </row>
    <row r="27" spans="1:50" ht="14.95" customHeight="1" thickBot="1" x14ac:dyDescent="0.3">
      <c r="A27" s="281" t="s">
        <v>1255</v>
      </c>
      <c r="B27" s="117">
        <v>2</v>
      </c>
      <c r="C27" s="255">
        <v>1</v>
      </c>
      <c r="D27" s="361">
        <v>1</v>
      </c>
      <c r="E27" s="290">
        <f t="shared" si="0"/>
        <v>4</v>
      </c>
      <c r="F27" s="283" t="s">
        <v>1255</v>
      </c>
      <c r="G27" s="309">
        <v>10</v>
      </c>
      <c r="H27" s="257">
        <v>5</v>
      </c>
      <c r="I27" s="363">
        <v>5</v>
      </c>
      <c r="J27" s="286">
        <f t="shared" si="1"/>
        <v>20</v>
      </c>
      <c r="K27" s="167"/>
      <c r="L27" s="189"/>
      <c r="M27" s="189"/>
      <c r="N27" s="189"/>
      <c r="AF27" s="46"/>
      <c r="AP27" t="s">
        <v>798</v>
      </c>
      <c r="AQ27" t="s">
        <v>284</v>
      </c>
      <c r="AR27" t="s">
        <v>729</v>
      </c>
      <c r="AS27">
        <v>80</v>
      </c>
      <c r="AU27" t="s">
        <v>593</v>
      </c>
      <c r="AV27" t="s">
        <v>272</v>
      </c>
      <c r="AW27" t="s">
        <v>478</v>
      </c>
      <c r="AX27">
        <v>13</v>
      </c>
    </row>
    <row r="28" spans="1:50" ht="14.95" customHeight="1" thickBot="1" x14ac:dyDescent="0.3">
      <c r="A28" s="281" t="s">
        <v>164</v>
      </c>
      <c r="B28" s="117">
        <v>1</v>
      </c>
      <c r="C28" s="255">
        <v>0</v>
      </c>
      <c r="D28" s="361">
        <v>0</v>
      </c>
      <c r="E28" s="290">
        <f t="shared" si="0"/>
        <v>1</v>
      </c>
      <c r="F28" s="283" t="s">
        <v>164</v>
      </c>
      <c r="G28" s="309">
        <v>5</v>
      </c>
      <c r="H28" s="257">
        <v>0</v>
      </c>
      <c r="I28" s="363">
        <v>0</v>
      </c>
      <c r="J28" s="286">
        <f t="shared" si="1"/>
        <v>5</v>
      </c>
      <c r="K28" s="474" t="s">
        <v>1071</v>
      </c>
      <c r="L28" s="463" t="s">
        <v>49</v>
      </c>
      <c r="M28" s="464"/>
      <c r="N28" s="465"/>
      <c r="O28" s="457" t="s">
        <v>124</v>
      </c>
      <c r="P28" s="458"/>
      <c r="Q28" s="459"/>
      <c r="R28" s="457" t="s">
        <v>1070</v>
      </c>
      <c r="S28" s="458"/>
      <c r="T28" s="459"/>
      <c r="U28" s="457" t="s">
        <v>254</v>
      </c>
      <c r="V28" s="458"/>
      <c r="W28" s="459"/>
      <c r="AC28" s="457" t="s">
        <v>186</v>
      </c>
      <c r="AD28" s="458"/>
      <c r="AE28" s="459"/>
      <c r="AP28" t="s">
        <v>799</v>
      </c>
      <c r="AQ28" t="s">
        <v>275</v>
      </c>
      <c r="AR28" t="s">
        <v>366</v>
      </c>
      <c r="AS28">
        <v>80</v>
      </c>
      <c r="AU28" t="s">
        <v>511</v>
      </c>
      <c r="AV28" t="s">
        <v>278</v>
      </c>
      <c r="AW28" t="s">
        <v>450</v>
      </c>
      <c r="AX28">
        <v>12</v>
      </c>
    </row>
    <row r="29" spans="1:50" ht="14.95" customHeight="1" thickBot="1" x14ac:dyDescent="0.3">
      <c r="A29" s="281" t="s">
        <v>221</v>
      </c>
      <c r="B29" s="117">
        <v>2</v>
      </c>
      <c r="C29" s="255">
        <v>1</v>
      </c>
      <c r="D29" s="361">
        <v>1</v>
      </c>
      <c r="E29" s="290">
        <f t="shared" si="0"/>
        <v>4</v>
      </c>
      <c r="F29" s="283" t="s">
        <v>221</v>
      </c>
      <c r="G29" s="309">
        <v>10</v>
      </c>
      <c r="H29" s="257">
        <v>5</v>
      </c>
      <c r="I29" s="363">
        <v>5</v>
      </c>
      <c r="J29" s="286">
        <f t="shared" si="1"/>
        <v>20</v>
      </c>
      <c r="K29" s="475"/>
      <c r="L29" s="466"/>
      <c r="M29" s="467"/>
      <c r="N29" s="468"/>
      <c r="O29" s="460"/>
      <c r="P29" s="461"/>
      <c r="Q29" s="462"/>
      <c r="R29" s="460"/>
      <c r="S29" s="461"/>
      <c r="T29" s="462"/>
      <c r="U29" s="460"/>
      <c r="V29" s="461"/>
      <c r="W29" s="462"/>
      <c r="AC29" s="460"/>
      <c r="AD29" s="461"/>
      <c r="AE29" s="462"/>
      <c r="AP29" t="s">
        <v>800</v>
      </c>
      <c r="AQ29" t="s">
        <v>278</v>
      </c>
      <c r="AR29" t="s">
        <v>801</v>
      </c>
      <c r="AS29">
        <v>80</v>
      </c>
      <c r="AU29" t="s">
        <v>806</v>
      </c>
      <c r="AV29" t="s">
        <v>268</v>
      </c>
      <c r="AW29" t="s">
        <v>368</v>
      </c>
      <c r="AX29">
        <v>12</v>
      </c>
    </row>
    <row r="30" spans="1:50" ht="14.95" customHeight="1" thickBot="1" x14ac:dyDescent="0.3">
      <c r="A30" s="281" t="s">
        <v>245</v>
      </c>
      <c r="B30" s="117">
        <v>0</v>
      </c>
      <c r="C30" s="255">
        <v>0</v>
      </c>
      <c r="D30" s="361">
        <v>0</v>
      </c>
      <c r="E30" s="290">
        <f t="shared" si="0"/>
        <v>0</v>
      </c>
      <c r="F30" s="283" t="s">
        <v>245</v>
      </c>
      <c r="G30" s="309">
        <v>5</v>
      </c>
      <c r="H30" s="257">
        <v>0</v>
      </c>
      <c r="I30" s="363">
        <v>0</v>
      </c>
      <c r="J30" s="286">
        <f t="shared" si="1"/>
        <v>5</v>
      </c>
      <c r="K30" s="37" t="s">
        <v>87</v>
      </c>
      <c r="L30" s="15" t="s">
        <v>243</v>
      </c>
      <c r="M30" s="15" t="s">
        <v>42</v>
      </c>
      <c r="N30" s="15" t="s">
        <v>43</v>
      </c>
      <c r="O30" s="119" t="s">
        <v>243</v>
      </c>
      <c r="P30" s="119" t="s">
        <v>42</v>
      </c>
      <c r="Q30" s="119" t="s">
        <v>43</v>
      </c>
      <c r="R30" s="119" t="s">
        <v>243</v>
      </c>
      <c r="S30" s="119" t="s">
        <v>42</v>
      </c>
      <c r="T30" s="119" t="s">
        <v>43</v>
      </c>
      <c r="U30" s="124" t="s">
        <v>243</v>
      </c>
      <c r="V30" s="119" t="s">
        <v>42</v>
      </c>
      <c r="W30" s="119" t="s">
        <v>43</v>
      </c>
      <c r="AC30" s="124" t="s">
        <v>243</v>
      </c>
      <c r="AD30" s="119" t="s">
        <v>42</v>
      </c>
      <c r="AE30" s="119" t="s">
        <v>43</v>
      </c>
      <c r="AP30" t="s">
        <v>607</v>
      </c>
      <c r="AQ30" t="s">
        <v>272</v>
      </c>
      <c r="AR30" t="s">
        <v>291</v>
      </c>
      <c r="AS30">
        <v>75</v>
      </c>
      <c r="AU30" t="s">
        <v>581</v>
      </c>
      <c r="AV30" t="s">
        <v>284</v>
      </c>
      <c r="AW30" t="s">
        <v>436</v>
      </c>
      <c r="AX30">
        <v>11</v>
      </c>
    </row>
    <row r="31" spans="1:50" ht="14.95" customHeight="1" thickBot="1" x14ac:dyDescent="0.3">
      <c r="A31" s="281" t="s">
        <v>200</v>
      </c>
      <c r="B31" s="117">
        <v>3</v>
      </c>
      <c r="C31" s="255">
        <v>2</v>
      </c>
      <c r="D31" s="361">
        <v>1</v>
      </c>
      <c r="E31" s="290">
        <f t="shared" si="0"/>
        <v>6</v>
      </c>
      <c r="F31" s="283" t="s">
        <v>200</v>
      </c>
      <c r="G31" s="309">
        <v>15</v>
      </c>
      <c r="H31" s="257">
        <v>10</v>
      </c>
      <c r="I31" s="363">
        <v>5</v>
      </c>
      <c r="J31" s="286">
        <f t="shared" si="1"/>
        <v>30</v>
      </c>
      <c r="K31" s="297" t="s">
        <v>1028</v>
      </c>
      <c r="L31" s="290">
        <v>24</v>
      </c>
      <c r="M31" s="290">
        <v>35</v>
      </c>
      <c r="N31" s="291">
        <f>SUM(L31/M31)*100</f>
        <v>68.571428571428569</v>
      </c>
      <c r="O31" s="290">
        <v>7</v>
      </c>
      <c r="P31" s="290">
        <v>8</v>
      </c>
      <c r="Q31" s="291">
        <f>SUM(O31/P31)*100</f>
        <v>87.5</v>
      </c>
      <c r="R31" s="290" t="s">
        <v>50</v>
      </c>
      <c r="S31" s="290" t="s">
        <v>50</v>
      </c>
      <c r="T31" s="290" t="s">
        <v>50</v>
      </c>
      <c r="U31" s="294" t="s">
        <v>50</v>
      </c>
      <c r="V31" s="290" t="s">
        <v>50</v>
      </c>
      <c r="W31" s="290" t="s">
        <v>50</v>
      </c>
      <c r="X31" s="293"/>
      <c r="Y31" s="293"/>
      <c r="Z31" s="293"/>
      <c r="AA31" s="293"/>
      <c r="AB31" s="293"/>
      <c r="AC31" s="294" t="s">
        <v>50</v>
      </c>
      <c r="AD31" s="290" t="s">
        <v>50</v>
      </c>
      <c r="AE31" s="290" t="s">
        <v>50</v>
      </c>
      <c r="AP31" t="s">
        <v>802</v>
      </c>
      <c r="AQ31" t="s">
        <v>279</v>
      </c>
      <c r="AR31" t="s">
        <v>319</v>
      </c>
      <c r="AS31">
        <v>75</v>
      </c>
      <c r="AU31" t="s">
        <v>629</v>
      </c>
      <c r="AV31" t="s">
        <v>268</v>
      </c>
      <c r="AW31" t="s">
        <v>288</v>
      </c>
      <c r="AX31">
        <v>11</v>
      </c>
    </row>
    <row r="32" spans="1:50" ht="14.95" customHeight="1" thickBot="1" x14ac:dyDescent="0.3">
      <c r="A32" s="281" t="s">
        <v>1032</v>
      </c>
      <c r="B32" s="117">
        <v>3</v>
      </c>
      <c r="C32" s="255">
        <v>7</v>
      </c>
      <c r="D32" s="361">
        <v>1</v>
      </c>
      <c r="E32" s="290">
        <f t="shared" si="0"/>
        <v>11</v>
      </c>
      <c r="F32" s="283" t="s">
        <v>1032</v>
      </c>
      <c r="G32" s="309">
        <v>15</v>
      </c>
      <c r="H32" s="257">
        <v>35</v>
      </c>
      <c r="I32" s="363">
        <v>5</v>
      </c>
      <c r="J32" s="286">
        <f t="shared" si="1"/>
        <v>55</v>
      </c>
      <c r="K32" s="297" t="s">
        <v>131</v>
      </c>
      <c r="L32" s="290">
        <v>1</v>
      </c>
      <c r="M32" s="290">
        <v>1</v>
      </c>
      <c r="N32" s="291">
        <f t="shared" ref="N32" si="11">SUM(L32/M32)*100</f>
        <v>100</v>
      </c>
      <c r="O32" s="290">
        <v>4</v>
      </c>
      <c r="P32" s="290">
        <v>5</v>
      </c>
      <c r="Q32" s="291">
        <f t="shared" ref="Q32" si="12">SUM(O32/P32)*100</f>
        <v>80</v>
      </c>
      <c r="R32" s="290" t="s">
        <v>50</v>
      </c>
      <c r="S32" s="290" t="s">
        <v>50</v>
      </c>
      <c r="T32" s="290" t="s">
        <v>50</v>
      </c>
      <c r="U32" s="294" t="s">
        <v>50</v>
      </c>
      <c r="V32" s="290" t="s">
        <v>50</v>
      </c>
      <c r="W32" s="290" t="s">
        <v>50</v>
      </c>
      <c r="X32" s="293"/>
      <c r="Y32" s="293"/>
      <c r="Z32" s="293"/>
      <c r="AA32" s="293"/>
      <c r="AB32" s="293"/>
      <c r="AC32" s="294" t="s">
        <v>50</v>
      </c>
      <c r="AD32" s="290" t="s">
        <v>50</v>
      </c>
      <c r="AE32" s="290" t="s">
        <v>50</v>
      </c>
      <c r="AP32" t="s">
        <v>803</v>
      </c>
      <c r="AQ32" t="s">
        <v>283</v>
      </c>
      <c r="AR32" t="s">
        <v>583</v>
      </c>
      <c r="AS32">
        <v>75</v>
      </c>
      <c r="AU32" t="s">
        <v>786</v>
      </c>
      <c r="AV32" t="s">
        <v>260</v>
      </c>
      <c r="AW32" t="s">
        <v>316</v>
      </c>
      <c r="AX32">
        <v>10</v>
      </c>
    </row>
    <row r="33" spans="1:50" ht="14.95" customHeight="1" thickBot="1" x14ac:dyDescent="0.3">
      <c r="A33" s="281" t="s">
        <v>196</v>
      </c>
      <c r="B33" s="117">
        <v>0</v>
      </c>
      <c r="C33" s="255">
        <v>1</v>
      </c>
      <c r="D33" s="361">
        <v>0</v>
      </c>
      <c r="E33" s="290">
        <f t="shared" si="0"/>
        <v>1</v>
      </c>
      <c r="F33" s="283" t="s">
        <v>196</v>
      </c>
      <c r="G33" s="309">
        <v>0</v>
      </c>
      <c r="H33" s="257">
        <v>5</v>
      </c>
      <c r="I33" s="363">
        <v>0</v>
      </c>
      <c r="J33" s="286">
        <f t="shared" si="1"/>
        <v>5</v>
      </c>
      <c r="K33" s="297" t="s">
        <v>1027</v>
      </c>
      <c r="L33" s="290">
        <v>1</v>
      </c>
      <c r="M33" s="290">
        <v>1</v>
      </c>
      <c r="N33" s="291">
        <f t="shared" ref="N33" si="13">SUM(L33/M33)*100</f>
        <v>100</v>
      </c>
      <c r="O33" s="290" t="s">
        <v>50</v>
      </c>
      <c r="P33" s="290" t="s">
        <v>50</v>
      </c>
      <c r="Q33" s="290" t="s">
        <v>50</v>
      </c>
      <c r="R33" s="290" t="s">
        <v>50</v>
      </c>
      <c r="S33" s="290" t="s">
        <v>50</v>
      </c>
      <c r="T33" s="290" t="s">
        <v>50</v>
      </c>
      <c r="U33" s="294" t="s">
        <v>50</v>
      </c>
      <c r="V33" s="290" t="s">
        <v>50</v>
      </c>
      <c r="W33" s="290" t="s">
        <v>50</v>
      </c>
      <c r="X33" s="293"/>
      <c r="Y33" s="293"/>
      <c r="Z33" s="293"/>
      <c r="AA33" s="293"/>
      <c r="AB33" s="293"/>
      <c r="AC33" s="294" t="s">
        <v>50</v>
      </c>
      <c r="AD33" s="290" t="s">
        <v>50</v>
      </c>
      <c r="AE33" s="290" t="s">
        <v>50</v>
      </c>
      <c r="AP33" t="s">
        <v>804</v>
      </c>
      <c r="AR33" t="s">
        <v>327</v>
      </c>
      <c r="AS33">
        <v>70</v>
      </c>
      <c r="AU33" t="s">
        <v>807</v>
      </c>
      <c r="AV33" t="s">
        <v>283</v>
      </c>
      <c r="AW33" t="s">
        <v>350</v>
      </c>
      <c r="AX33">
        <v>10</v>
      </c>
    </row>
    <row r="34" spans="1:50" ht="14.95" customHeight="1" thickBot="1" x14ac:dyDescent="0.3">
      <c r="A34" s="281" t="s">
        <v>1252</v>
      </c>
      <c r="B34" s="117">
        <v>7</v>
      </c>
      <c r="C34" s="255">
        <v>2</v>
      </c>
      <c r="D34" s="361">
        <v>2</v>
      </c>
      <c r="E34" s="290">
        <f t="shared" si="0"/>
        <v>11</v>
      </c>
      <c r="F34" s="283" t="s">
        <v>1252</v>
      </c>
      <c r="G34" s="309">
        <v>35</v>
      </c>
      <c r="H34" s="257">
        <v>10</v>
      </c>
      <c r="I34" s="363">
        <v>10</v>
      </c>
      <c r="J34" s="286">
        <f t="shared" si="1"/>
        <v>55</v>
      </c>
      <c r="K34" t="s">
        <v>1257</v>
      </c>
      <c r="R34" t="s">
        <v>87</v>
      </c>
      <c r="AP34" t="s">
        <v>805</v>
      </c>
      <c r="AQ34" t="s">
        <v>262</v>
      </c>
      <c r="AR34" t="s">
        <v>486</v>
      </c>
      <c r="AS34">
        <v>70</v>
      </c>
      <c r="AU34" t="s">
        <v>808</v>
      </c>
      <c r="AV34" t="s">
        <v>264</v>
      </c>
      <c r="AW34" t="s">
        <v>462</v>
      </c>
      <c r="AX34">
        <v>10</v>
      </c>
    </row>
    <row r="35" spans="1:50" ht="14.95" customHeight="1" thickBot="1" x14ac:dyDescent="0.3">
      <c r="A35" s="281" t="s">
        <v>978</v>
      </c>
      <c r="B35" s="117">
        <v>0</v>
      </c>
      <c r="C35" s="255">
        <v>0</v>
      </c>
      <c r="D35" s="361">
        <v>0</v>
      </c>
      <c r="E35" s="290">
        <f t="shared" si="0"/>
        <v>0</v>
      </c>
      <c r="F35" s="283" t="s">
        <v>978</v>
      </c>
      <c r="G35" s="309">
        <v>0</v>
      </c>
      <c r="H35" s="257">
        <v>0</v>
      </c>
      <c r="I35" s="363">
        <v>0</v>
      </c>
      <c r="J35" s="286">
        <f t="shared" si="1"/>
        <v>0</v>
      </c>
      <c r="R35" t="s">
        <v>87</v>
      </c>
      <c r="AP35" t="s">
        <v>511</v>
      </c>
      <c r="AQ35" t="s">
        <v>278</v>
      </c>
      <c r="AR35" t="s">
        <v>450</v>
      </c>
      <c r="AS35">
        <v>60</v>
      </c>
      <c r="AU35" t="s">
        <v>784</v>
      </c>
      <c r="AV35" t="s">
        <v>260</v>
      </c>
      <c r="AW35" t="s">
        <v>342</v>
      </c>
      <c r="AX35">
        <v>9</v>
      </c>
    </row>
    <row r="36" spans="1:50" ht="14.95" customHeight="1" thickBot="1" x14ac:dyDescent="0.3">
      <c r="A36" s="281" t="s">
        <v>1753</v>
      </c>
      <c r="B36" s="117">
        <v>1</v>
      </c>
      <c r="C36" s="255">
        <v>0</v>
      </c>
      <c r="D36" s="361">
        <v>0</v>
      </c>
      <c r="E36" s="290">
        <f t="shared" si="0"/>
        <v>1</v>
      </c>
      <c r="F36" s="283" t="s">
        <v>1753</v>
      </c>
      <c r="G36" s="309">
        <v>5</v>
      </c>
      <c r="H36" s="257">
        <v>0</v>
      </c>
      <c r="I36" s="363">
        <v>0</v>
      </c>
      <c r="J36" s="286">
        <f t="shared" si="1"/>
        <v>5</v>
      </c>
      <c r="AP36" t="s">
        <v>806</v>
      </c>
      <c r="AQ36" t="s">
        <v>268</v>
      </c>
      <c r="AR36" t="s">
        <v>368</v>
      </c>
      <c r="AS36">
        <v>60</v>
      </c>
      <c r="AU36" t="s">
        <v>514</v>
      </c>
      <c r="AV36" t="s">
        <v>260</v>
      </c>
      <c r="AW36" t="s">
        <v>438</v>
      </c>
      <c r="AX36">
        <v>9</v>
      </c>
    </row>
    <row r="37" spans="1:50" ht="14.95" customHeight="1" thickBot="1" x14ac:dyDescent="0.3">
      <c r="A37" s="281" t="s">
        <v>7</v>
      </c>
      <c r="B37" s="117">
        <v>1</v>
      </c>
      <c r="C37" s="255">
        <v>1</v>
      </c>
      <c r="D37" s="361">
        <v>0</v>
      </c>
      <c r="E37" s="290">
        <f t="shared" si="0"/>
        <v>2</v>
      </c>
      <c r="F37" s="283" t="s">
        <v>7</v>
      </c>
      <c r="G37" s="309">
        <v>7</v>
      </c>
      <c r="H37" s="257">
        <v>7</v>
      </c>
      <c r="I37" s="363">
        <v>0</v>
      </c>
      <c r="J37" s="286">
        <f t="shared" si="1"/>
        <v>14</v>
      </c>
      <c r="AP37" t="s">
        <v>629</v>
      </c>
      <c r="AQ37" t="s">
        <v>268</v>
      </c>
      <c r="AR37" t="s">
        <v>288</v>
      </c>
      <c r="AS37">
        <v>57</v>
      </c>
      <c r="AU37" t="s">
        <v>809</v>
      </c>
      <c r="AV37" t="s">
        <v>283</v>
      </c>
      <c r="AW37" t="s">
        <v>366</v>
      </c>
      <c r="AX37">
        <v>9</v>
      </c>
    </row>
    <row r="38" spans="1:50" ht="14.95" customHeight="1" thickBot="1" x14ac:dyDescent="0.3">
      <c r="A38" s="281" t="s">
        <v>979</v>
      </c>
      <c r="B38" s="117">
        <v>0</v>
      </c>
      <c r="C38" s="255">
        <v>0</v>
      </c>
      <c r="D38" s="361">
        <v>0</v>
      </c>
      <c r="E38" s="290">
        <f t="shared" si="0"/>
        <v>0</v>
      </c>
      <c r="F38" s="283" t="s">
        <v>979</v>
      </c>
      <c r="G38" s="309">
        <v>0</v>
      </c>
      <c r="H38" s="257">
        <v>0</v>
      </c>
      <c r="I38" s="363">
        <v>0</v>
      </c>
      <c r="J38" s="286">
        <f t="shared" si="1"/>
        <v>0</v>
      </c>
      <c r="AP38" t="s">
        <v>581</v>
      </c>
      <c r="AQ38" t="s">
        <v>284</v>
      </c>
      <c r="AR38" t="s">
        <v>436</v>
      </c>
      <c r="AS38">
        <v>55</v>
      </c>
      <c r="AU38" t="s">
        <v>811</v>
      </c>
      <c r="AV38" t="s">
        <v>277</v>
      </c>
      <c r="AW38" t="s">
        <v>586</v>
      </c>
      <c r="AX38">
        <v>8</v>
      </c>
    </row>
    <row r="39" spans="1:50" ht="14.95" customHeight="1" thickBot="1" x14ac:dyDescent="0.3">
      <c r="A39" s="281" t="s">
        <v>1031</v>
      </c>
      <c r="B39" s="117">
        <v>0</v>
      </c>
      <c r="C39" s="255">
        <v>0</v>
      </c>
      <c r="D39" s="361">
        <v>0</v>
      </c>
      <c r="E39" s="290">
        <f t="shared" si="0"/>
        <v>0</v>
      </c>
      <c r="F39" s="283" t="s">
        <v>1031</v>
      </c>
      <c r="G39" s="309">
        <v>0</v>
      </c>
      <c r="H39" s="257">
        <v>0</v>
      </c>
      <c r="I39" s="363">
        <v>0</v>
      </c>
      <c r="J39" s="286">
        <f t="shared" si="1"/>
        <v>0</v>
      </c>
      <c r="AP39" t="s">
        <v>807</v>
      </c>
      <c r="AQ39" t="s">
        <v>283</v>
      </c>
      <c r="AR39" t="s">
        <v>350</v>
      </c>
      <c r="AS39">
        <v>50</v>
      </c>
      <c r="AU39" t="s">
        <v>812</v>
      </c>
      <c r="AV39" t="s">
        <v>277</v>
      </c>
      <c r="AW39" t="s">
        <v>360</v>
      </c>
      <c r="AX39">
        <v>8</v>
      </c>
    </row>
    <row r="40" spans="1:50" ht="14.95" customHeight="1" thickBot="1" x14ac:dyDescent="0.3">
      <c r="A40" s="281" t="s">
        <v>921</v>
      </c>
      <c r="B40" s="117">
        <v>0</v>
      </c>
      <c r="C40" s="255">
        <v>1</v>
      </c>
      <c r="D40" s="361">
        <v>0</v>
      </c>
      <c r="E40" s="290">
        <f t="shared" si="0"/>
        <v>1</v>
      </c>
      <c r="F40" s="283" t="s">
        <v>921</v>
      </c>
      <c r="G40" s="309">
        <v>0</v>
      </c>
      <c r="H40" s="257">
        <v>5</v>
      </c>
      <c r="I40" s="363">
        <v>0</v>
      </c>
      <c r="J40" s="286">
        <f t="shared" si="1"/>
        <v>5</v>
      </c>
      <c r="AP40" t="s">
        <v>808</v>
      </c>
      <c r="AQ40" t="s">
        <v>264</v>
      </c>
      <c r="AR40" t="s">
        <v>462</v>
      </c>
      <c r="AS40">
        <v>50</v>
      </c>
      <c r="AU40" t="s">
        <v>535</v>
      </c>
      <c r="AV40" t="s">
        <v>268</v>
      </c>
      <c r="AW40" t="s">
        <v>557</v>
      </c>
      <c r="AX40">
        <v>7</v>
      </c>
    </row>
    <row r="41" spans="1:50" ht="14.95" customHeight="1" thickBot="1" x14ac:dyDescent="0.3">
      <c r="A41" s="281" t="s">
        <v>981</v>
      </c>
      <c r="B41" s="117">
        <v>12</v>
      </c>
      <c r="C41" s="255">
        <v>2</v>
      </c>
      <c r="D41" s="361">
        <v>3</v>
      </c>
      <c r="E41" s="290">
        <f t="shared" si="0"/>
        <v>17</v>
      </c>
      <c r="F41" s="283" t="s">
        <v>981</v>
      </c>
      <c r="G41" s="309">
        <v>60</v>
      </c>
      <c r="H41" s="257">
        <v>10</v>
      </c>
      <c r="I41" s="363">
        <v>15</v>
      </c>
      <c r="J41" s="286">
        <f t="shared" si="1"/>
        <v>85</v>
      </c>
      <c r="AP41" t="s">
        <v>809</v>
      </c>
      <c r="AQ41" t="s">
        <v>283</v>
      </c>
      <c r="AR41" t="s">
        <v>366</v>
      </c>
      <c r="AS41">
        <v>45</v>
      </c>
      <c r="AU41" t="s">
        <v>813</v>
      </c>
      <c r="AV41" t="s">
        <v>272</v>
      </c>
      <c r="AW41" t="s">
        <v>316</v>
      </c>
      <c r="AX41">
        <v>7</v>
      </c>
    </row>
    <row r="42" spans="1:50" ht="14.95" customHeight="1" thickBot="1" x14ac:dyDescent="0.3">
      <c r="A42" s="281" t="s">
        <v>980</v>
      </c>
      <c r="B42" s="117">
        <v>2</v>
      </c>
      <c r="C42" s="255">
        <v>2</v>
      </c>
      <c r="D42" s="361">
        <v>0</v>
      </c>
      <c r="E42" s="290">
        <f t="shared" si="0"/>
        <v>4</v>
      </c>
      <c r="F42" s="283" t="s">
        <v>980</v>
      </c>
      <c r="G42" s="309">
        <v>10</v>
      </c>
      <c r="H42" s="257">
        <v>10</v>
      </c>
      <c r="I42" s="363">
        <v>0</v>
      </c>
      <c r="J42" s="286">
        <f t="shared" si="1"/>
        <v>20</v>
      </c>
      <c r="AP42" t="s">
        <v>810</v>
      </c>
      <c r="AR42" t="s">
        <v>562</v>
      </c>
      <c r="AS42">
        <v>42</v>
      </c>
      <c r="AU42" t="s">
        <v>814</v>
      </c>
      <c r="AV42" t="s">
        <v>264</v>
      </c>
      <c r="AW42" t="s">
        <v>305</v>
      </c>
      <c r="AX42">
        <v>7</v>
      </c>
    </row>
    <row r="43" spans="1:50" ht="14.95" customHeight="1" thickBot="1" x14ac:dyDescent="0.3">
      <c r="A43" s="281" t="s">
        <v>1804</v>
      </c>
      <c r="B43" s="117">
        <v>2</v>
      </c>
      <c r="C43" s="255">
        <v>5</v>
      </c>
      <c r="D43" s="361">
        <v>0</v>
      </c>
      <c r="E43" s="290">
        <f t="shared" si="0"/>
        <v>7</v>
      </c>
      <c r="F43" s="283" t="s">
        <v>1804</v>
      </c>
      <c r="G43" s="309">
        <v>10</v>
      </c>
      <c r="H43" s="257">
        <v>25</v>
      </c>
      <c r="I43" s="363">
        <v>0</v>
      </c>
      <c r="J43" s="286">
        <f t="shared" si="1"/>
        <v>35</v>
      </c>
      <c r="AP43" t="s">
        <v>811</v>
      </c>
      <c r="AQ43" t="s">
        <v>277</v>
      </c>
      <c r="AR43" t="s">
        <v>586</v>
      </c>
      <c r="AS43">
        <v>40</v>
      </c>
    </row>
    <row r="44" spans="1:50" ht="14.95" customHeight="1" thickBot="1" x14ac:dyDescent="0.3">
      <c r="A44" s="281" t="s">
        <v>210</v>
      </c>
      <c r="B44" s="117">
        <v>0</v>
      </c>
      <c r="C44" s="255">
        <v>0</v>
      </c>
      <c r="D44" s="361">
        <v>0</v>
      </c>
      <c r="E44" s="290">
        <f t="shared" si="0"/>
        <v>0</v>
      </c>
      <c r="F44" s="283" t="s">
        <v>210</v>
      </c>
      <c r="G44" s="309">
        <v>0</v>
      </c>
      <c r="H44" s="257">
        <v>0</v>
      </c>
      <c r="I44" s="363">
        <v>0</v>
      </c>
      <c r="J44" s="286">
        <f t="shared" si="1"/>
        <v>0</v>
      </c>
      <c r="AP44" t="s">
        <v>812</v>
      </c>
      <c r="AQ44" t="s">
        <v>277</v>
      </c>
      <c r="AR44" t="s">
        <v>360</v>
      </c>
      <c r="AS44">
        <v>40</v>
      </c>
    </row>
    <row r="45" spans="1:50" ht="14.95" customHeight="1" thickBot="1" x14ac:dyDescent="0.3">
      <c r="A45" s="281" t="s">
        <v>180</v>
      </c>
      <c r="B45" s="117">
        <v>4</v>
      </c>
      <c r="C45" s="255">
        <v>1</v>
      </c>
      <c r="D45" s="361">
        <v>2</v>
      </c>
      <c r="E45" s="290">
        <f t="shared" si="0"/>
        <v>7</v>
      </c>
      <c r="F45" s="283" t="s">
        <v>180</v>
      </c>
      <c r="G45" s="309">
        <v>20</v>
      </c>
      <c r="H45" s="257">
        <v>5</v>
      </c>
      <c r="I45" s="363">
        <v>10</v>
      </c>
      <c r="J45" s="286">
        <f t="shared" si="1"/>
        <v>35</v>
      </c>
      <c r="AP45" t="s">
        <v>535</v>
      </c>
      <c r="AQ45" t="s">
        <v>268</v>
      </c>
      <c r="AR45" t="s">
        <v>557</v>
      </c>
      <c r="AS45">
        <v>38</v>
      </c>
    </row>
    <row r="46" spans="1:50" ht="14.95" customHeight="1" thickBot="1" x14ac:dyDescent="0.3">
      <c r="A46" s="281" t="s">
        <v>949</v>
      </c>
      <c r="B46" s="117">
        <v>0</v>
      </c>
      <c r="C46" s="255">
        <v>1</v>
      </c>
      <c r="D46" s="361">
        <v>0</v>
      </c>
      <c r="E46" s="290">
        <f t="shared" si="0"/>
        <v>1</v>
      </c>
      <c r="F46" s="283" t="s">
        <v>949</v>
      </c>
      <c r="G46" s="309">
        <v>0</v>
      </c>
      <c r="H46" s="257">
        <v>5</v>
      </c>
      <c r="I46" s="363">
        <v>0</v>
      </c>
      <c r="J46" s="286">
        <f t="shared" si="1"/>
        <v>5</v>
      </c>
      <c r="AP46" t="s">
        <v>813</v>
      </c>
      <c r="AQ46" t="s">
        <v>272</v>
      </c>
      <c r="AR46" t="s">
        <v>316</v>
      </c>
      <c r="AS46">
        <v>35</v>
      </c>
    </row>
    <row r="47" spans="1:50" ht="14.95" customHeight="1" thickBot="1" x14ac:dyDescent="0.3">
      <c r="A47" s="281" t="s">
        <v>982</v>
      </c>
      <c r="B47" s="117">
        <v>0</v>
      </c>
      <c r="C47" s="255">
        <v>0</v>
      </c>
      <c r="D47" s="361">
        <v>2</v>
      </c>
      <c r="E47" s="290">
        <f t="shared" si="0"/>
        <v>2</v>
      </c>
      <c r="F47" s="283" t="s">
        <v>982</v>
      </c>
      <c r="G47" s="309">
        <v>0</v>
      </c>
      <c r="H47" s="257">
        <v>0</v>
      </c>
      <c r="I47" s="363">
        <v>10</v>
      </c>
      <c r="J47" s="286">
        <f t="shared" si="1"/>
        <v>10</v>
      </c>
      <c r="AP47" t="s">
        <v>814</v>
      </c>
      <c r="AQ47" t="s">
        <v>264</v>
      </c>
      <c r="AR47" t="s">
        <v>305</v>
      </c>
      <c r="AS47">
        <v>35</v>
      </c>
    </row>
    <row r="48" spans="1:50" ht="14.95" customHeight="1" thickBot="1" x14ac:dyDescent="0.3">
      <c r="A48" s="281" t="s">
        <v>984</v>
      </c>
      <c r="B48" s="117">
        <v>1</v>
      </c>
      <c r="C48" s="255">
        <v>0</v>
      </c>
      <c r="D48" s="361">
        <v>0</v>
      </c>
      <c r="E48" s="290">
        <f t="shared" si="0"/>
        <v>1</v>
      </c>
      <c r="F48" s="283" t="s">
        <v>984</v>
      </c>
      <c r="G48" s="309">
        <v>5</v>
      </c>
      <c r="H48" s="257">
        <v>0</v>
      </c>
      <c r="I48" s="363">
        <v>0</v>
      </c>
      <c r="J48" s="286">
        <f t="shared" si="1"/>
        <v>5</v>
      </c>
      <c r="AP48" t="s">
        <v>815</v>
      </c>
      <c r="AR48" t="s">
        <v>816</v>
      </c>
      <c r="AS48">
        <v>34</v>
      </c>
    </row>
    <row r="49" spans="1:45" ht="14.95" customHeight="1" thickBot="1" x14ac:dyDescent="0.3">
      <c r="A49" s="281" t="s">
        <v>6</v>
      </c>
      <c r="B49" s="117">
        <v>2</v>
      </c>
      <c r="C49" s="255">
        <v>0</v>
      </c>
      <c r="D49" s="361">
        <v>1</v>
      </c>
      <c r="E49" s="290">
        <f>SUM(B49:D49)</f>
        <v>3</v>
      </c>
      <c r="F49" s="283" t="s">
        <v>6</v>
      </c>
      <c r="G49" s="309">
        <v>10</v>
      </c>
      <c r="H49" s="257">
        <v>0</v>
      </c>
      <c r="I49" s="363">
        <v>5</v>
      </c>
      <c r="J49" s="286">
        <f t="shared" si="1"/>
        <v>15</v>
      </c>
      <c r="AP49" t="s">
        <v>817</v>
      </c>
      <c r="AQ49" t="s">
        <v>296</v>
      </c>
      <c r="AR49" t="s">
        <v>587</v>
      </c>
      <c r="AS49">
        <v>33</v>
      </c>
    </row>
    <row r="50" spans="1:45" ht="14.95" customHeight="1" thickBot="1" x14ac:dyDescent="0.3">
      <c r="A50" s="281" t="s">
        <v>3</v>
      </c>
      <c r="B50" s="117">
        <f>SUM(B3:B49)</f>
        <v>75</v>
      </c>
      <c r="C50" s="255">
        <f>SUM(C3:C49)</f>
        <v>43</v>
      </c>
      <c r="D50" s="361">
        <f>SUM(D3:D49)</f>
        <v>30</v>
      </c>
      <c r="E50" s="290">
        <f>SUM(B50:D50)</f>
        <v>148</v>
      </c>
      <c r="F50" s="283" t="s">
        <v>3</v>
      </c>
      <c r="G50" s="309">
        <f>SUM(G3:G49)</f>
        <v>602</v>
      </c>
      <c r="H50" s="257">
        <f>SUM(H3:H49)</f>
        <v>292</v>
      </c>
      <c r="I50" s="363">
        <f>SUM(I3:I49)</f>
        <v>207</v>
      </c>
      <c r="J50" s="286">
        <f>SUM(G50:I50)</f>
        <v>1101</v>
      </c>
      <c r="AP50" t="s">
        <v>611</v>
      </c>
      <c r="AQ50" t="s">
        <v>260</v>
      </c>
      <c r="AR50" t="s">
        <v>818</v>
      </c>
      <c r="AS50">
        <v>33</v>
      </c>
    </row>
    <row r="51" spans="1:45" ht="14.95" customHeight="1" x14ac:dyDescent="0.25">
      <c r="A51" s="469" t="s">
        <v>1854</v>
      </c>
      <c r="B51" s="532"/>
      <c r="C51" s="532"/>
      <c r="D51" s="532"/>
      <c r="E51" s="532"/>
      <c r="F51" s="532"/>
      <c r="G51" s="532"/>
      <c r="H51" s="532"/>
      <c r="I51" s="532"/>
      <c r="J51" s="532"/>
    </row>
    <row r="52" spans="1:45" ht="14.95" customHeight="1" x14ac:dyDescent="0.25">
      <c r="A52" s="533" t="s">
        <v>1855</v>
      </c>
      <c r="B52" s="534"/>
      <c r="C52" s="534"/>
      <c r="D52" s="534"/>
      <c r="E52" s="534"/>
      <c r="F52" s="534"/>
      <c r="G52" s="534"/>
      <c r="H52" s="534"/>
      <c r="I52" s="534"/>
      <c r="J52" s="534"/>
    </row>
    <row r="53" spans="1:45" ht="15.8" thickBot="1" x14ac:dyDescent="0.3">
      <c r="A53" s="109" t="s">
        <v>45</v>
      </c>
      <c r="B53" s="299"/>
      <c r="E53" s="437"/>
      <c r="G53" s="299"/>
    </row>
    <row r="54" spans="1:45" ht="15.8" thickBot="1" x14ac:dyDescent="0.3">
      <c r="A54" s="280" t="s">
        <v>0</v>
      </c>
      <c r="B54" s="217" t="s">
        <v>1072</v>
      </c>
      <c r="C54" s="254" t="s">
        <v>127</v>
      </c>
      <c r="D54" s="360" t="s">
        <v>1073</v>
      </c>
      <c r="E54" s="289" t="s">
        <v>1</v>
      </c>
      <c r="F54" s="282" t="s">
        <v>2</v>
      </c>
      <c r="G54" s="313" t="s">
        <v>1072</v>
      </c>
      <c r="H54" s="256" t="s">
        <v>127</v>
      </c>
      <c r="I54" s="362" t="s">
        <v>1073</v>
      </c>
      <c r="J54" s="285" t="s">
        <v>1</v>
      </c>
    </row>
    <row r="55" spans="1:45" ht="15.8" thickBot="1" x14ac:dyDescent="0.3">
      <c r="A55" s="281" t="s">
        <v>981</v>
      </c>
      <c r="B55" s="117">
        <v>12</v>
      </c>
      <c r="C55" s="255">
        <v>2</v>
      </c>
      <c r="D55" s="361">
        <v>3</v>
      </c>
      <c r="E55" s="290">
        <f t="shared" ref="E55:E102" si="14">SUM(B55:D55)</f>
        <v>17</v>
      </c>
      <c r="F55" s="283" t="s">
        <v>1250</v>
      </c>
      <c r="G55" s="309">
        <v>168</v>
      </c>
      <c r="H55" s="257">
        <v>23</v>
      </c>
      <c r="I55" s="363">
        <v>0</v>
      </c>
      <c r="J55" s="286">
        <f t="shared" ref="J55:J102" si="15">SUM(G55:I55)</f>
        <v>191</v>
      </c>
    </row>
    <row r="56" spans="1:45" ht="15.8" thickBot="1" x14ac:dyDescent="0.3">
      <c r="A56" s="281" t="s">
        <v>92</v>
      </c>
      <c r="B56" s="117">
        <v>8</v>
      </c>
      <c r="C56" s="255">
        <v>2</v>
      </c>
      <c r="D56" s="361">
        <v>1</v>
      </c>
      <c r="E56" s="290">
        <f t="shared" si="14"/>
        <v>11</v>
      </c>
      <c r="F56" s="283" t="s">
        <v>1028</v>
      </c>
      <c r="G56" s="309">
        <v>25</v>
      </c>
      <c r="H56" s="257">
        <v>38</v>
      </c>
      <c r="I56" s="363">
        <v>62</v>
      </c>
      <c r="J56" s="286">
        <f t="shared" si="15"/>
        <v>125</v>
      </c>
    </row>
    <row r="57" spans="1:45" ht="15.8" thickBot="1" x14ac:dyDescent="0.3">
      <c r="A57" s="281" t="s">
        <v>1032</v>
      </c>
      <c r="B57" s="117">
        <v>3</v>
      </c>
      <c r="C57" s="255">
        <v>7</v>
      </c>
      <c r="D57" s="361">
        <v>1</v>
      </c>
      <c r="E57" s="290">
        <f t="shared" si="14"/>
        <v>11</v>
      </c>
      <c r="F57" s="283" t="s">
        <v>981</v>
      </c>
      <c r="G57" s="309">
        <v>60</v>
      </c>
      <c r="H57" s="257">
        <v>10</v>
      </c>
      <c r="I57" s="363">
        <v>15</v>
      </c>
      <c r="J57" s="286">
        <f t="shared" si="15"/>
        <v>85</v>
      </c>
    </row>
    <row r="58" spans="1:45" ht="15.8" thickBot="1" x14ac:dyDescent="0.3">
      <c r="A58" s="281" t="s">
        <v>1252</v>
      </c>
      <c r="B58" s="117">
        <v>7</v>
      </c>
      <c r="C58" s="255">
        <v>2</v>
      </c>
      <c r="D58" s="361">
        <v>2</v>
      </c>
      <c r="E58" s="290">
        <f t="shared" si="14"/>
        <v>11</v>
      </c>
      <c r="F58" s="284" t="s">
        <v>131</v>
      </c>
      <c r="G58" s="309">
        <v>55</v>
      </c>
      <c r="H58" s="257">
        <v>0</v>
      </c>
      <c r="I58" s="363">
        <v>8</v>
      </c>
      <c r="J58" s="286">
        <f t="shared" si="15"/>
        <v>63</v>
      </c>
    </row>
    <row r="59" spans="1:45" ht="15.8" thickBot="1" x14ac:dyDescent="0.3">
      <c r="A59" s="281" t="s">
        <v>977</v>
      </c>
      <c r="B59" s="117">
        <v>6</v>
      </c>
      <c r="C59" s="255">
        <v>0</v>
      </c>
      <c r="D59" s="361">
        <v>1</v>
      </c>
      <c r="E59" s="290">
        <f t="shared" si="14"/>
        <v>7</v>
      </c>
      <c r="F59" s="284" t="s">
        <v>92</v>
      </c>
      <c r="G59" s="309">
        <v>40</v>
      </c>
      <c r="H59" s="257">
        <v>10</v>
      </c>
      <c r="I59" s="363">
        <v>5</v>
      </c>
      <c r="J59" s="286">
        <f t="shared" si="15"/>
        <v>55</v>
      </c>
    </row>
    <row r="60" spans="1:45" ht="15.8" thickBot="1" x14ac:dyDescent="0.3">
      <c r="A60" s="281" t="s">
        <v>1804</v>
      </c>
      <c r="B60" s="117">
        <v>2</v>
      </c>
      <c r="C60" s="255">
        <v>5</v>
      </c>
      <c r="D60" s="361">
        <v>0</v>
      </c>
      <c r="E60" s="290">
        <f t="shared" si="14"/>
        <v>7</v>
      </c>
      <c r="F60" s="284" t="s">
        <v>1032</v>
      </c>
      <c r="G60" s="309">
        <v>15</v>
      </c>
      <c r="H60" s="257">
        <v>35</v>
      </c>
      <c r="I60" s="363">
        <v>5</v>
      </c>
      <c r="J60" s="286">
        <f t="shared" si="15"/>
        <v>55</v>
      </c>
    </row>
    <row r="61" spans="1:45" ht="15.8" thickBot="1" x14ac:dyDescent="0.3">
      <c r="A61" s="281" t="s">
        <v>180</v>
      </c>
      <c r="B61" s="117">
        <v>4</v>
      </c>
      <c r="C61" s="255">
        <v>1</v>
      </c>
      <c r="D61" s="361">
        <v>2</v>
      </c>
      <c r="E61" s="290">
        <f t="shared" si="14"/>
        <v>7</v>
      </c>
      <c r="F61" s="284" t="s">
        <v>1252</v>
      </c>
      <c r="G61" s="309">
        <v>35</v>
      </c>
      <c r="H61" s="257">
        <v>10</v>
      </c>
      <c r="I61" s="363">
        <v>10</v>
      </c>
      <c r="J61" s="286">
        <f t="shared" si="15"/>
        <v>55</v>
      </c>
    </row>
    <row r="62" spans="1:45" ht="15.8" thickBot="1" x14ac:dyDescent="0.3">
      <c r="A62" s="281" t="s">
        <v>30</v>
      </c>
      <c r="B62" s="117">
        <v>2</v>
      </c>
      <c r="C62" s="255">
        <v>3</v>
      </c>
      <c r="D62" s="361">
        <v>1</v>
      </c>
      <c r="E62" s="290">
        <f t="shared" si="14"/>
        <v>6</v>
      </c>
      <c r="F62" s="284" t="s">
        <v>220</v>
      </c>
      <c r="G62" s="309">
        <v>27</v>
      </c>
      <c r="H62" s="257">
        <v>24</v>
      </c>
      <c r="I62" s="363">
        <v>0</v>
      </c>
      <c r="J62" s="286">
        <f t="shared" si="15"/>
        <v>51</v>
      </c>
    </row>
    <row r="63" spans="1:45" ht="15.8" thickBot="1" x14ac:dyDescent="0.3">
      <c r="A63" s="281" t="s">
        <v>220</v>
      </c>
      <c r="B63" s="117">
        <v>4</v>
      </c>
      <c r="C63" s="255">
        <v>2</v>
      </c>
      <c r="D63" s="361">
        <v>0</v>
      </c>
      <c r="E63" s="290">
        <f t="shared" si="14"/>
        <v>6</v>
      </c>
      <c r="F63" s="284" t="s">
        <v>1804</v>
      </c>
      <c r="G63" s="309">
        <v>10</v>
      </c>
      <c r="H63" s="257">
        <v>25</v>
      </c>
      <c r="I63" s="363">
        <v>0</v>
      </c>
      <c r="J63" s="286">
        <f t="shared" si="15"/>
        <v>35</v>
      </c>
    </row>
    <row r="64" spans="1:45" ht="15.8" thickBot="1" x14ac:dyDescent="0.3">
      <c r="A64" s="281" t="s">
        <v>200</v>
      </c>
      <c r="B64" s="117">
        <v>3</v>
      </c>
      <c r="C64" s="255">
        <v>2</v>
      </c>
      <c r="D64" s="361">
        <v>1</v>
      </c>
      <c r="E64" s="290">
        <f t="shared" si="14"/>
        <v>6</v>
      </c>
      <c r="F64" s="284" t="s">
        <v>180</v>
      </c>
      <c r="G64" s="309">
        <v>20</v>
      </c>
      <c r="H64" s="257">
        <v>5</v>
      </c>
      <c r="I64" s="363">
        <v>10</v>
      </c>
      <c r="J64" s="286">
        <f t="shared" si="15"/>
        <v>35</v>
      </c>
    </row>
    <row r="65" spans="1:10" ht="15.8" thickBot="1" x14ac:dyDescent="0.3">
      <c r="A65" s="281" t="s">
        <v>1802</v>
      </c>
      <c r="B65" s="117">
        <v>3</v>
      </c>
      <c r="C65" s="255">
        <v>1</v>
      </c>
      <c r="D65" s="361">
        <v>0</v>
      </c>
      <c r="E65" s="290">
        <f t="shared" si="14"/>
        <v>4</v>
      </c>
      <c r="F65" s="284" t="s">
        <v>30</v>
      </c>
      <c r="G65" s="309">
        <v>10</v>
      </c>
      <c r="H65" s="257">
        <v>15</v>
      </c>
      <c r="I65" s="363">
        <v>5</v>
      </c>
      <c r="J65" s="286">
        <f t="shared" si="15"/>
        <v>30</v>
      </c>
    </row>
    <row r="66" spans="1:10" ht="15.8" thickBot="1" x14ac:dyDescent="0.3">
      <c r="A66" s="281" t="s">
        <v>1027</v>
      </c>
      <c r="B66" s="117">
        <v>2</v>
      </c>
      <c r="C66" s="255">
        <v>0</v>
      </c>
      <c r="D66" s="361">
        <v>2</v>
      </c>
      <c r="E66" s="290">
        <f t="shared" si="14"/>
        <v>4</v>
      </c>
      <c r="F66" s="284" t="s">
        <v>200</v>
      </c>
      <c r="G66" s="309">
        <v>15</v>
      </c>
      <c r="H66" s="257">
        <v>10</v>
      </c>
      <c r="I66" s="363">
        <v>5</v>
      </c>
      <c r="J66" s="286">
        <f t="shared" si="15"/>
        <v>30</v>
      </c>
    </row>
    <row r="67" spans="1:10" ht="15.8" thickBot="1" x14ac:dyDescent="0.3">
      <c r="A67" s="281" t="s">
        <v>77</v>
      </c>
      <c r="B67" s="117">
        <v>0</v>
      </c>
      <c r="C67" s="255">
        <v>3</v>
      </c>
      <c r="D67" s="361">
        <v>1</v>
      </c>
      <c r="E67" s="290">
        <f t="shared" si="14"/>
        <v>4</v>
      </c>
      <c r="F67" s="283" t="s">
        <v>1027</v>
      </c>
      <c r="G67" s="309">
        <v>10</v>
      </c>
      <c r="H67" s="257">
        <v>0</v>
      </c>
      <c r="I67" s="363">
        <v>12</v>
      </c>
      <c r="J67" s="286">
        <f t="shared" si="15"/>
        <v>22</v>
      </c>
    </row>
    <row r="68" spans="1:10" ht="15.8" thickBot="1" x14ac:dyDescent="0.3">
      <c r="A68" s="281" t="s">
        <v>1255</v>
      </c>
      <c r="B68" s="117">
        <v>2</v>
      </c>
      <c r="C68" s="255">
        <v>1</v>
      </c>
      <c r="D68" s="361">
        <v>1</v>
      </c>
      <c r="E68" s="290">
        <f t="shared" si="14"/>
        <v>4</v>
      </c>
      <c r="F68" s="283" t="s">
        <v>1802</v>
      </c>
      <c r="G68" s="309">
        <v>15</v>
      </c>
      <c r="H68" s="257">
        <v>5</v>
      </c>
      <c r="I68" s="363">
        <v>0</v>
      </c>
      <c r="J68" s="286">
        <f t="shared" si="15"/>
        <v>20</v>
      </c>
    </row>
    <row r="69" spans="1:10" ht="15.8" thickBot="1" x14ac:dyDescent="0.3">
      <c r="A69" s="281" t="s">
        <v>221</v>
      </c>
      <c r="B69" s="117">
        <v>2</v>
      </c>
      <c r="C69" s="255">
        <v>1</v>
      </c>
      <c r="D69" s="361">
        <v>1</v>
      </c>
      <c r="E69" s="290">
        <f t="shared" si="14"/>
        <v>4</v>
      </c>
      <c r="F69" s="283" t="s">
        <v>77</v>
      </c>
      <c r="G69" s="309">
        <v>0</v>
      </c>
      <c r="H69" s="257">
        <v>15</v>
      </c>
      <c r="I69" s="363">
        <v>5</v>
      </c>
      <c r="J69" s="286">
        <f t="shared" si="15"/>
        <v>20</v>
      </c>
    </row>
    <row r="70" spans="1:10" ht="15.8" thickBot="1" x14ac:dyDescent="0.3">
      <c r="A70" s="281" t="s">
        <v>980</v>
      </c>
      <c r="B70" s="117">
        <v>2</v>
      </c>
      <c r="C70" s="255">
        <v>2</v>
      </c>
      <c r="D70" s="361">
        <v>0</v>
      </c>
      <c r="E70" s="290">
        <f t="shared" si="14"/>
        <v>4</v>
      </c>
      <c r="F70" s="283" t="s">
        <v>1255</v>
      </c>
      <c r="G70" s="309">
        <v>10</v>
      </c>
      <c r="H70" s="257">
        <v>5</v>
      </c>
      <c r="I70" s="363">
        <v>5</v>
      </c>
      <c r="J70" s="286">
        <f t="shared" si="15"/>
        <v>20</v>
      </c>
    </row>
    <row r="71" spans="1:10" ht="15.8" thickBot="1" x14ac:dyDescent="0.3">
      <c r="A71" s="281" t="s">
        <v>1062</v>
      </c>
      <c r="B71" s="117">
        <v>0</v>
      </c>
      <c r="C71" s="255">
        <v>0</v>
      </c>
      <c r="D71" s="361">
        <v>3</v>
      </c>
      <c r="E71" s="290">
        <f t="shared" si="14"/>
        <v>3</v>
      </c>
      <c r="F71" s="283" t="s">
        <v>221</v>
      </c>
      <c r="G71" s="309">
        <v>10</v>
      </c>
      <c r="H71" s="257">
        <v>5</v>
      </c>
      <c r="I71" s="363">
        <v>5</v>
      </c>
      <c r="J71" s="286">
        <f t="shared" si="15"/>
        <v>20</v>
      </c>
    </row>
    <row r="72" spans="1:10" ht="15.8" thickBot="1" x14ac:dyDescent="0.3">
      <c r="A72" s="281" t="s">
        <v>975</v>
      </c>
      <c r="B72" s="117">
        <v>0</v>
      </c>
      <c r="C72" s="255">
        <v>2</v>
      </c>
      <c r="D72" s="361">
        <v>1</v>
      </c>
      <c r="E72" s="290">
        <f t="shared" si="14"/>
        <v>3</v>
      </c>
      <c r="F72" s="283" t="s">
        <v>980</v>
      </c>
      <c r="G72" s="309">
        <v>10</v>
      </c>
      <c r="H72" s="257">
        <v>10</v>
      </c>
      <c r="I72" s="363">
        <v>0</v>
      </c>
      <c r="J72" s="286">
        <f t="shared" si="15"/>
        <v>20</v>
      </c>
    </row>
    <row r="73" spans="1:10" ht="15.8" thickBot="1" x14ac:dyDescent="0.3">
      <c r="A73" s="281" t="s">
        <v>218</v>
      </c>
      <c r="B73" s="117">
        <v>0</v>
      </c>
      <c r="C73" s="255">
        <v>1</v>
      </c>
      <c r="D73" s="361">
        <v>2</v>
      </c>
      <c r="E73" s="290">
        <f t="shared" si="14"/>
        <v>3</v>
      </c>
      <c r="F73" s="283" t="s">
        <v>1062</v>
      </c>
      <c r="G73" s="309">
        <v>0</v>
      </c>
      <c r="H73" s="257">
        <v>0</v>
      </c>
      <c r="I73" s="363">
        <v>15</v>
      </c>
      <c r="J73" s="286">
        <f t="shared" si="15"/>
        <v>15</v>
      </c>
    </row>
    <row r="74" spans="1:10" ht="15.8" thickBot="1" x14ac:dyDescent="0.3">
      <c r="A74" s="281" t="s">
        <v>6</v>
      </c>
      <c r="B74" s="117">
        <v>2</v>
      </c>
      <c r="C74" s="255">
        <v>0</v>
      </c>
      <c r="D74" s="361">
        <v>1</v>
      </c>
      <c r="E74" s="290">
        <f t="shared" si="14"/>
        <v>3</v>
      </c>
      <c r="F74" s="283" t="s">
        <v>975</v>
      </c>
      <c r="G74" s="309">
        <v>0</v>
      </c>
      <c r="H74" s="257">
        <v>10</v>
      </c>
      <c r="I74" s="363">
        <v>5</v>
      </c>
      <c r="J74" s="286">
        <f t="shared" si="15"/>
        <v>15</v>
      </c>
    </row>
    <row r="75" spans="1:10" ht="15.8" thickBot="1" x14ac:dyDescent="0.3">
      <c r="A75" s="281" t="s">
        <v>1253</v>
      </c>
      <c r="B75" s="117">
        <v>1</v>
      </c>
      <c r="C75" s="255">
        <v>1</v>
      </c>
      <c r="D75" s="361">
        <v>0</v>
      </c>
      <c r="E75" s="290">
        <f t="shared" si="14"/>
        <v>2</v>
      </c>
      <c r="F75" s="283" t="s">
        <v>218</v>
      </c>
      <c r="G75" s="309">
        <v>0</v>
      </c>
      <c r="H75" s="257">
        <v>5</v>
      </c>
      <c r="I75" s="363">
        <v>10</v>
      </c>
      <c r="J75" s="286">
        <f t="shared" si="15"/>
        <v>15</v>
      </c>
    </row>
    <row r="76" spans="1:10" ht="15.8" thickBot="1" x14ac:dyDescent="0.3">
      <c r="A76" s="281" t="s">
        <v>219</v>
      </c>
      <c r="B76" s="117">
        <v>1</v>
      </c>
      <c r="C76" s="255">
        <v>0</v>
      </c>
      <c r="D76" s="361">
        <v>1</v>
      </c>
      <c r="E76" s="290">
        <f t="shared" si="14"/>
        <v>2</v>
      </c>
      <c r="F76" s="283" t="s">
        <v>6</v>
      </c>
      <c r="G76" s="309">
        <v>10</v>
      </c>
      <c r="H76" s="257">
        <v>0</v>
      </c>
      <c r="I76" s="363">
        <v>5</v>
      </c>
      <c r="J76" s="287">
        <f t="shared" si="15"/>
        <v>15</v>
      </c>
    </row>
    <row r="77" spans="1:10" ht="15.8" thickBot="1" x14ac:dyDescent="0.3">
      <c r="A77" s="281" t="s">
        <v>1028</v>
      </c>
      <c r="B77" s="117">
        <v>0</v>
      </c>
      <c r="C77" s="255">
        <v>0</v>
      </c>
      <c r="D77" s="361">
        <v>2</v>
      </c>
      <c r="E77" s="290">
        <f t="shared" si="14"/>
        <v>2</v>
      </c>
      <c r="F77" s="283" t="s">
        <v>7</v>
      </c>
      <c r="G77" s="309">
        <v>7</v>
      </c>
      <c r="H77" s="257">
        <v>7</v>
      </c>
      <c r="I77" s="363">
        <v>0</v>
      </c>
      <c r="J77" s="288">
        <f t="shared" si="15"/>
        <v>14</v>
      </c>
    </row>
    <row r="78" spans="1:10" ht="15.8" thickBot="1" x14ac:dyDescent="0.3">
      <c r="A78" s="281" t="s">
        <v>5</v>
      </c>
      <c r="B78" s="117">
        <v>2</v>
      </c>
      <c r="C78" s="255">
        <v>0</v>
      </c>
      <c r="D78" s="361">
        <v>0</v>
      </c>
      <c r="E78" s="290">
        <f t="shared" si="14"/>
        <v>2</v>
      </c>
      <c r="F78" s="283" t="s">
        <v>1253</v>
      </c>
      <c r="G78" s="309">
        <v>5</v>
      </c>
      <c r="H78" s="257">
        <v>5</v>
      </c>
      <c r="I78" s="363">
        <v>0</v>
      </c>
      <c r="J78" s="286">
        <f t="shared" si="15"/>
        <v>10</v>
      </c>
    </row>
    <row r="79" spans="1:10" ht="15.8" thickBot="1" x14ac:dyDescent="0.3">
      <c r="A79" s="281" t="s">
        <v>108</v>
      </c>
      <c r="B79" s="117">
        <v>2</v>
      </c>
      <c r="C79" s="255">
        <v>0</v>
      </c>
      <c r="D79" s="361">
        <v>0</v>
      </c>
      <c r="E79" s="290">
        <f t="shared" si="14"/>
        <v>2</v>
      </c>
      <c r="F79" s="283" t="s">
        <v>219</v>
      </c>
      <c r="G79" s="309">
        <v>5</v>
      </c>
      <c r="H79" s="257">
        <v>0</v>
      </c>
      <c r="I79" s="363">
        <v>5</v>
      </c>
      <c r="J79" s="286">
        <f t="shared" si="15"/>
        <v>10</v>
      </c>
    </row>
    <row r="80" spans="1:10" ht="15.8" thickBot="1" x14ac:dyDescent="0.3">
      <c r="A80" s="281" t="s">
        <v>7</v>
      </c>
      <c r="B80" s="117">
        <v>1</v>
      </c>
      <c r="C80" s="255">
        <v>1</v>
      </c>
      <c r="D80" s="361">
        <v>0</v>
      </c>
      <c r="E80" s="290">
        <f t="shared" si="14"/>
        <v>2</v>
      </c>
      <c r="F80" s="283" t="s">
        <v>5</v>
      </c>
      <c r="G80" s="309">
        <v>10</v>
      </c>
      <c r="H80" s="257">
        <v>0</v>
      </c>
      <c r="I80" s="363">
        <v>0</v>
      </c>
      <c r="J80" s="286">
        <f t="shared" si="15"/>
        <v>10</v>
      </c>
    </row>
    <row r="81" spans="1:10" ht="15.8" thickBot="1" x14ac:dyDescent="0.3">
      <c r="A81" s="281" t="s">
        <v>982</v>
      </c>
      <c r="B81" s="117">
        <v>0</v>
      </c>
      <c r="C81" s="255">
        <v>0</v>
      </c>
      <c r="D81" s="361">
        <v>2</v>
      </c>
      <c r="E81" s="290">
        <f t="shared" si="14"/>
        <v>2</v>
      </c>
      <c r="F81" s="283" t="s">
        <v>108</v>
      </c>
      <c r="G81" s="309">
        <v>10</v>
      </c>
      <c r="H81" s="257">
        <v>0</v>
      </c>
      <c r="I81" s="363">
        <v>0</v>
      </c>
      <c r="J81" s="286">
        <f t="shared" si="15"/>
        <v>10</v>
      </c>
    </row>
    <row r="82" spans="1:10" ht="15.8" thickBot="1" x14ac:dyDescent="0.3">
      <c r="A82" s="281" t="s">
        <v>163</v>
      </c>
      <c r="B82" s="117">
        <v>0</v>
      </c>
      <c r="C82" s="255">
        <v>0</v>
      </c>
      <c r="D82" s="361">
        <v>1</v>
      </c>
      <c r="E82" s="290">
        <f t="shared" si="14"/>
        <v>1</v>
      </c>
      <c r="F82" s="283" t="s">
        <v>982</v>
      </c>
      <c r="G82" s="309">
        <v>0</v>
      </c>
      <c r="H82" s="257">
        <v>0</v>
      </c>
      <c r="I82" s="363">
        <v>10</v>
      </c>
      <c r="J82" s="286">
        <f t="shared" si="15"/>
        <v>10</v>
      </c>
    </row>
    <row r="83" spans="1:10" ht="15.8" thickBot="1" x14ac:dyDescent="0.3">
      <c r="A83" s="281" t="s">
        <v>1250</v>
      </c>
      <c r="B83" s="117">
        <v>1</v>
      </c>
      <c r="C83" s="255">
        <v>0</v>
      </c>
      <c r="D83" s="361">
        <v>0</v>
      </c>
      <c r="E83" s="290">
        <f t="shared" si="14"/>
        <v>1</v>
      </c>
      <c r="F83" s="283" t="s">
        <v>163</v>
      </c>
      <c r="G83" s="309">
        <v>0</v>
      </c>
      <c r="H83" s="257">
        <v>0</v>
      </c>
      <c r="I83" s="363">
        <v>5</v>
      </c>
      <c r="J83" s="286">
        <f t="shared" si="15"/>
        <v>5</v>
      </c>
    </row>
    <row r="84" spans="1:10" ht="15.8" thickBot="1" x14ac:dyDescent="0.3">
      <c r="A84" s="281" t="s">
        <v>1826</v>
      </c>
      <c r="B84" s="117">
        <v>0</v>
      </c>
      <c r="C84" s="255">
        <v>1</v>
      </c>
      <c r="D84" s="361">
        <v>0</v>
      </c>
      <c r="E84" s="290">
        <f t="shared" si="14"/>
        <v>1</v>
      </c>
      <c r="F84" s="283" t="s">
        <v>1826</v>
      </c>
      <c r="G84" s="309">
        <v>0</v>
      </c>
      <c r="H84" s="257">
        <v>5</v>
      </c>
      <c r="I84" s="363">
        <v>0</v>
      </c>
      <c r="J84" s="286">
        <f t="shared" si="15"/>
        <v>5</v>
      </c>
    </row>
    <row r="85" spans="1:10" ht="15.8" thickBot="1" x14ac:dyDescent="0.3">
      <c r="A85" s="281" t="s">
        <v>164</v>
      </c>
      <c r="B85" s="117">
        <v>1</v>
      </c>
      <c r="C85" s="255">
        <v>0</v>
      </c>
      <c r="D85" s="361">
        <v>0</v>
      </c>
      <c r="E85" s="290">
        <f t="shared" si="14"/>
        <v>1</v>
      </c>
      <c r="F85" s="283" t="s">
        <v>164</v>
      </c>
      <c r="G85" s="309">
        <v>5</v>
      </c>
      <c r="H85" s="257">
        <v>0</v>
      </c>
      <c r="I85" s="363">
        <v>0</v>
      </c>
      <c r="J85" s="286">
        <f t="shared" si="15"/>
        <v>5</v>
      </c>
    </row>
    <row r="86" spans="1:10" ht="15.8" thickBot="1" x14ac:dyDescent="0.3">
      <c r="A86" s="281" t="s">
        <v>196</v>
      </c>
      <c r="B86" s="117">
        <v>0</v>
      </c>
      <c r="C86" s="255">
        <v>1</v>
      </c>
      <c r="D86" s="361">
        <v>0</v>
      </c>
      <c r="E86" s="290">
        <f t="shared" si="14"/>
        <v>1</v>
      </c>
      <c r="F86" s="283" t="s">
        <v>245</v>
      </c>
      <c r="G86" s="309">
        <v>5</v>
      </c>
      <c r="H86" s="257">
        <v>0</v>
      </c>
      <c r="I86" s="363">
        <v>0</v>
      </c>
      <c r="J86" s="286">
        <f t="shared" si="15"/>
        <v>5</v>
      </c>
    </row>
    <row r="87" spans="1:10" ht="15.8" thickBot="1" x14ac:dyDescent="0.3">
      <c r="A87" s="281" t="s">
        <v>1753</v>
      </c>
      <c r="B87" s="117">
        <v>1</v>
      </c>
      <c r="C87" s="255">
        <v>0</v>
      </c>
      <c r="D87" s="361">
        <v>0</v>
      </c>
      <c r="E87" s="290">
        <f t="shared" si="14"/>
        <v>1</v>
      </c>
      <c r="F87" s="283" t="s">
        <v>196</v>
      </c>
      <c r="G87" s="309">
        <v>0</v>
      </c>
      <c r="H87" s="257">
        <v>5</v>
      </c>
      <c r="I87" s="363">
        <v>0</v>
      </c>
      <c r="J87" s="286">
        <f t="shared" si="15"/>
        <v>5</v>
      </c>
    </row>
    <row r="88" spans="1:10" ht="15.8" thickBot="1" x14ac:dyDescent="0.3">
      <c r="A88" s="281" t="s">
        <v>921</v>
      </c>
      <c r="B88" s="117">
        <v>0</v>
      </c>
      <c r="C88" s="255">
        <v>1</v>
      </c>
      <c r="D88" s="361">
        <v>0</v>
      </c>
      <c r="E88" s="290">
        <f t="shared" si="14"/>
        <v>1</v>
      </c>
      <c r="F88" s="283" t="s">
        <v>1753</v>
      </c>
      <c r="G88" s="309">
        <v>5</v>
      </c>
      <c r="H88" s="257">
        <v>0</v>
      </c>
      <c r="I88" s="363">
        <v>0</v>
      </c>
      <c r="J88" s="286">
        <f t="shared" si="15"/>
        <v>5</v>
      </c>
    </row>
    <row r="89" spans="1:10" ht="15.8" thickBot="1" x14ac:dyDescent="0.3">
      <c r="A89" s="281" t="s">
        <v>949</v>
      </c>
      <c r="B89" s="117">
        <v>0</v>
      </c>
      <c r="C89" s="255">
        <v>1</v>
      </c>
      <c r="D89" s="361">
        <v>0</v>
      </c>
      <c r="E89" s="290">
        <f t="shared" si="14"/>
        <v>1</v>
      </c>
      <c r="F89" s="283" t="s">
        <v>921</v>
      </c>
      <c r="G89" s="309">
        <v>0</v>
      </c>
      <c r="H89" s="257">
        <v>5</v>
      </c>
      <c r="I89" s="363">
        <v>0</v>
      </c>
      <c r="J89" s="286">
        <f t="shared" si="15"/>
        <v>5</v>
      </c>
    </row>
    <row r="90" spans="1:10" ht="15.8" thickBot="1" x14ac:dyDescent="0.3">
      <c r="A90" s="281" t="s">
        <v>984</v>
      </c>
      <c r="B90" s="117">
        <v>1</v>
      </c>
      <c r="C90" s="255">
        <v>0</v>
      </c>
      <c r="D90" s="361">
        <v>0</v>
      </c>
      <c r="E90" s="290">
        <f t="shared" si="14"/>
        <v>1</v>
      </c>
      <c r="F90" s="283" t="s">
        <v>949</v>
      </c>
      <c r="G90" s="309">
        <v>0</v>
      </c>
      <c r="H90" s="257">
        <v>5</v>
      </c>
      <c r="I90" s="363">
        <v>0</v>
      </c>
      <c r="J90" s="286">
        <f t="shared" si="15"/>
        <v>5</v>
      </c>
    </row>
    <row r="91" spans="1:10" ht="15.8" thickBot="1" x14ac:dyDescent="0.3">
      <c r="A91" s="281" t="s">
        <v>165</v>
      </c>
      <c r="B91" s="117">
        <v>0</v>
      </c>
      <c r="C91" s="255">
        <v>0</v>
      </c>
      <c r="D91" s="361">
        <v>0</v>
      </c>
      <c r="E91" s="290">
        <f t="shared" si="14"/>
        <v>0</v>
      </c>
      <c r="F91" s="283" t="s">
        <v>984</v>
      </c>
      <c r="G91" s="309">
        <v>5</v>
      </c>
      <c r="H91" s="257">
        <v>0</v>
      </c>
      <c r="I91" s="363">
        <v>0</v>
      </c>
      <c r="J91" s="286">
        <f t="shared" si="15"/>
        <v>5</v>
      </c>
    </row>
    <row r="92" spans="1:10" ht="15.8" thickBot="1" x14ac:dyDescent="0.3">
      <c r="A92" s="281" t="s">
        <v>1147</v>
      </c>
      <c r="B92" s="117">
        <v>0</v>
      </c>
      <c r="C92" s="255">
        <v>0</v>
      </c>
      <c r="D92" s="361">
        <v>0</v>
      </c>
      <c r="E92" s="290">
        <f t="shared" si="14"/>
        <v>0</v>
      </c>
      <c r="F92" s="283" t="s">
        <v>165</v>
      </c>
      <c r="G92" s="309">
        <v>0</v>
      </c>
      <c r="H92" s="257">
        <v>0</v>
      </c>
      <c r="I92" s="363">
        <v>0</v>
      </c>
      <c r="J92" s="286">
        <f t="shared" si="15"/>
        <v>0</v>
      </c>
    </row>
    <row r="93" spans="1:10" ht="15.8" thickBot="1" x14ac:dyDescent="0.3">
      <c r="A93" s="281" t="s">
        <v>1023</v>
      </c>
      <c r="B93" s="117">
        <v>0</v>
      </c>
      <c r="C93" s="255">
        <v>0</v>
      </c>
      <c r="D93" s="361">
        <v>0</v>
      </c>
      <c r="E93" s="290">
        <f t="shared" si="14"/>
        <v>0</v>
      </c>
      <c r="F93" s="283" t="s">
        <v>1147</v>
      </c>
      <c r="G93" s="309">
        <v>0</v>
      </c>
      <c r="H93" s="257">
        <v>0</v>
      </c>
      <c r="I93" s="363">
        <v>0</v>
      </c>
      <c r="J93" s="286">
        <f t="shared" si="15"/>
        <v>0</v>
      </c>
    </row>
    <row r="94" spans="1:10" ht="15.8" thickBot="1" x14ac:dyDescent="0.3">
      <c r="A94" s="281" t="s">
        <v>976</v>
      </c>
      <c r="B94" s="117">
        <v>0</v>
      </c>
      <c r="C94" s="255">
        <v>0</v>
      </c>
      <c r="D94" s="361">
        <v>0</v>
      </c>
      <c r="E94" s="290">
        <f t="shared" si="14"/>
        <v>0</v>
      </c>
      <c r="F94" s="283" t="s">
        <v>1023</v>
      </c>
      <c r="G94" s="309">
        <v>0</v>
      </c>
      <c r="H94" s="257">
        <v>0</v>
      </c>
      <c r="I94" s="363">
        <v>0</v>
      </c>
      <c r="J94" s="286">
        <f t="shared" si="15"/>
        <v>0</v>
      </c>
    </row>
    <row r="95" spans="1:10" ht="15.8" thickBot="1" x14ac:dyDescent="0.3">
      <c r="A95" s="281" t="s">
        <v>99</v>
      </c>
      <c r="B95" s="117">
        <v>0</v>
      </c>
      <c r="C95" s="255">
        <v>0</v>
      </c>
      <c r="D95" s="361">
        <v>0</v>
      </c>
      <c r="E95" s="290">
        <f t="shared" si="14"/>
        <v>0</v>
      </c>
      <c r="F95" s="283" t="s">
        <v>976</v>
      </c>
      <c r="G95" s="309">
        <v>0</v>
      </c>
      <c r="H95" s="257">
        <v>0</v>
      </c>
      <c r="I95" s="363">
        <v>0</v>
      </c>
      <c r="J95" s="286">
        <f t="shared" si="15"/>
        <v>0</v>
      </c>
    </row>
    <row r="96" spans="1:10" ht="15.8" thickBot="1" x14ac:dyDescent="0.3">
      <c r="A96" s="281" t="s">
        <v>119</v>
      </c>
      <c r="B96" s="117">
        <v>0</v>
      </c>
      <c r="C96" s="255">
        <v>0</v>
      </c>
      <c r="D96" s="361">
        <v>0</v>
      </c>
      <c r="E96" s="290">
        <f t="shared" si="14"/>
        <v>0</v>
      </c>
      <c r="F96" s="283" t="s">
        <v>99</v>
      </c>
      <c r="G96" s="309">
        <v>0</v>
      </c>
      <c r="H96" s="257">
        <v>0</v>
      </c>
      <c r="I96" s="363">
        <v>0</v>
      </c>
      <c r="J96" s="286">
        <f t="shared" si="15"/>
        <v>0</v>
      </c>
    </row>
    <row r="97" spans="1:10" ht="15.8" thickBot="1" x14ac:dyDescent="0.3">
      <c r="A97" s="281" t="s">
        <v>245</v>
      </c>
      <c r="B97" s="117">
        <v>0</v>
      </c>
      <c r="C97" s="255">
        <v>0</v>
      </c>
      <c r="D97" s="361">
        <v>0</v>
      </c>
      <c r="E97" s="290">
        <f t="shared" si="14"/>
        <v>0</v>
      </c>
      <c r="F97" s="283" t="s">
        <v>119</v>
      </c>
      <c r="G97" s="309">
        <v>0</v>
      </c>
      <c r="H97" s="257">
        <v>0</v>
      </c>
      <c r="I97" s="363">
        <v>0</v>
      </c>
      <c r="J97" s="286">
        <f t="shared" si="15"/>
        <v>0</v>
      </c>
    </row>
    <row r="98" spans="1:10" ht="15.8" thickBot="1" x14ac:dyDescent="0.3">
      <c r="A98" s="281" t="s">
        <v>978</v>
      </c>
      <c r="B98" s="117">
        <v>0</v>
      </c>
      <c r="C98" s="255">
        <v>0</v>
      </c>
      <c r="D98" s="361">
        <v>0</v>
      </c>
      <c r="E98" s="290">
        <f t="shared" si="14"/>
        <v>0</v>
      </c>
      <c r="F98" s="283" t="s">
        <v>978</v>
      </c>
      <c r="G98" s="309">
        <v>0</v>
      </c>
      <c r="H98" s="257">
        <v>0</v>
      </c>
      <c r="I98" s="363">
        <v>0</v>
      </c>
      <c r="J98" s="286">
        <f t="shared" si="15"/>
        <v>0</v>
      </c>
    </row>
    <row r="99" spans="1:10" ht="15.8" thickBot="1" x14ac:dyDescent="0.3">
      <c r="A99" s="281" t="s">
        <v>979</v>
      </c>
      <c r="B99" s="117">
        <v>0</v>
      </c>
      <c r="C99" s="255">
        <v>0</v>
      </c>
      <c r="D99" s="361">
        <v>0</v>
      </c>
      <c r="E99" s="290">
        <f t="shared" si="14"/>
        <v>0</v>
      </c>
      <c r="F99" s="283" t="s">
        <v>979</v>
      </c>
      <c r="G99" s="309">
        <v>0</v>
      </c>
      <c r="H99" s="257">
        <v>0</v>
      </c>
      <c r="I99" s="363">
        <v>0</v>
      </c>
      <c r="J99" s="286">
        <f t="shared" si="15"/>
        <v>0</v>
      </c>
    </row>
    <row r="100" spans="1:10" ht="15.8" thickBot="1" x14ac:dyDescent="0.3">
      <c r="A100" s="281" t="s">
        <v>1031</v>
      </c>
      <c r="B100" s="117">
        <v>0</v>
      </c>
      <c r="C100" s="255">
        <v>0</v>
      </c>
      <c r="D100" s="361">
        <v>0</v>
      </c>
      <c r="E100" s="290">
        <f t="shared" si="14"/>
        <v>0</v>
      </c>
      <c r="F100" s="283" t="s">
        <v>1031</v>
      </c>
      <c r="G100" s="309">
        <v>0</v>
      </c>
      <c r="H100" s="257">
        <v>0</v>
      </c>
      <c r="I100" s="363">
        <v>0</v>
      </c>
      <c r="J100" s="286">
        <f t="shared" si="15"/>
        <v>0</v>
      </c>
    </row>
    <row r="101" spans="1:10" ht="15.8" thickBot="1" x14ac:dyDescent="0.3">
      <c r="A101" s="281" t="s">
        <v>210</v>
      </c>
      <c r="B101" s="117">
        <v>0</v>
      </c>
      <c r="C101" s="255">
        <v>0</v>
      </c>
      <c r="D101" s="361">
        <v>0</v>
      </c>
      <c r="E101" s="290">
        <f t="shared" si="14"/>
        <v>0</v>
      </c>
      <c r="F101" s="283" t="s">
        <v>210</v>
      </c>
      <c r="G101" s="309">
        <v>0</v>
      </c>
      <c r="H101" s="257">
        <v>0</v>
      </c>
      <c r="I101" s="363">
        <v>0</v>
      </c>
      <c r="J101" s="286">
        <f t="shared" si="15"/>
        <v>0</v>
      </c>
    </row>
    <row r="102" spans="1:10" ht="15.8" thickBot="1" x14ac:dyDescent="0.3">
      <c r="A102" s="281" t="s">
        <v>3</v>
      </c>
      <c r="B102" s="117">
        <f>SUM(B55:B101)</f>
        <v>75</v>
      </c>
      <c r="C102" s="255">
        <f>SUM(C55:C101)</f>
        <v>43</v>
      </c>
      <c r="D102" s="361">
        <f>SUM(D55:D101)</f>
        <v>30</v>
      </c>
      <c r="E102" s="290">
        <f t="shared" si="14"/>
        <v>148</v>
      </c>
      <c r="F102" s="283" t="s">
        <v>3</v>
      </c>
      <c r="G102" s="309">
        <f>SUM(G55:G101)</f>
        <v>602</v>
      </c>
      <c r="H102" s="257">
        <f>SUM(H55:H101)</f>
        <v>292</v>
      </c>
      <c r="I102" s="363">
        <f>SUM(I55:I101)</f>
        <v>207</v>
      </c>
      <c r="J102" s="286">
        <f t="shared" si="15"/>
        <v>1101</v>
      </c>
    </row>
    <row r="103" spans="1:10" x14ac:dyDescent="0.25">
      <c r="A103" s="65" t="s">
        <v>171</v>
      </c>
    </row>
  </sheetData>
  <sortState xmlns:xlrd2="http://schemas.microsoft.com/office/spreadsheetml/2017/richdata2" ref="F55:J101">
    <sortCondition descending="1" ref="J55:J101"/>
  </sortState>
  <mergeCells count="28">
    <mergeCell ref="A1:J1"/>
    <mergeCell ref="K22:K23"/>
    <mergeCell ref="L22:N23"/>
    <mergeCell ref="W1:Y2"/>
    <mergeCell ref="R12:T13"/>
    <mergeCell ref="T1:V2"/>
    <mergeCell ref="O12:Q13"/>
    <mergeCell ref="R28:T29"/>
    <mergeCell ref="AF12:AH13"/>
    <mergeCell ref="O28:Q29"/>
    <mergeCell ref="AC12:AE13"/>
    <mergeCell ref="AC28:AE29"/>
    <mergeCell ref="A51:J51"/>
    <mergeCell ref="A52:J52"/>
    <mergeCell ref="AL1:AN2"/>
    <mergeCell ref="K28:K29"/>
    <mergeCell ref="L28:N29"/>
    <mergeCell ref="AI1:AK2"/>
    <mergeCell ref="R1:S2"/>
    <mergeCell ref="K12:K13"/>
    <mergeCell ref="K1:K2"/>
    <mergeCell ref="L1:N2"/>
    <mergeCell ref="O1:Q2"/>
    <mergeCell ref="AF1:AH2"/>
    <mergeCell ref="L12:N13"/>
    <mergeCell ref="AC1:AE2"/>
    <mergeCell ref="U12:W13"/>
    <mergeCell ref="U28:W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T92"/>
  <sheetViews>
    <sheetView workbookViewId="0">
      <selection activeCell="T20" sqref="T20"/>
    </sheetView>
  </sheetViews>
  <sheetFormatPr defaultRowHeight="14.3" x14ac:dyDescent="0.25"/>
  <cols>
    <col min="1" max="1" width="18.375" bestFit="1" customWidth="1"/>
    <col min="2" max="2" width="3.75" customWidth="1"/>
    <col min="3" max="3" width="4.125" customWidth="1"/>
    <col min="4" max="5" width="4.75" customWidth="1"/>
    <col min="6" max="6" width="18.375" bestFit="1" customWidth="1"/>
    <col min="7" max="10" width="5.25" customWidth="1"/>
    <col min="11" max="11" width="16.375" customWidth="1"/>
    <col min="12" max="37" width="5.75" customWidth="1"/>
    <col min="38" max="38" width="17.375" bestFit="1" customWidth="1"/>
    <col min="43" max="43" width="17.375" bestFit="1" customWidth="1"/>
  </cols>
  <sheetData>
    <row r="1" spans="1:46" ht="14.95" customHeight="1" thickBot="1" x14ac:dyDescent="0.3">
      <c r="A1" s="540" t="s">
        <v>1263</v>
      </c>
      <c r="B1" s="541"/>
      <c r="C1" s="541"/>
      <c r="D1" s="541"/>
      <c r="E1" s="541"/>
      <c r="F1" s="541"/>
      <c r="G1" s="541"/>
      <c r="H1" s="541"/>
      <c r="I1" s="541"/>
      <c r="J1" s="542"/>
      <c r="K1" s="478" t="s">
        <v>1324</v>
      </c>
      <c r="L1" s="463" t="s">
        <v>49</v>
      </c>
      <c r="M1" s="464"/>
      <c r="N1" s="465"/>
      <c r="O1" s="486" t="s">
        <v>202</v>
      </c>
      <c r="P1" s="487"/>
      <c r="Q1" s="488"/>
      <c r="R1" s="492" t="s">
        <v>62</v>
      </c>
      <c r="S1" s="493"/>
      <c r="T1" s="457" t="s">
        <v>124</v>
      </c>
      <c r="U1" s="458"/>
      <c r="V1" s="459"/>
      <c r="W1" s="457" t="s">
        <v>1070</v>
      </c>
      <c r="X1" s="458"/>
      <c r="Y1" s="459"/>
      <c r="Z1" s="298"/>
      <c r="AA1" s="189"/>
      <c r="AB1" s="331"/>
      <c r="AC1" s="457" t="s">
        <v>598</v>
      </c>
      <c r="AD1" s="458"/>
      <c r="AE1" s="459"/>
      <c r="AF1" s="457" t="s">
        <v>254</v>
      </c>
      <c r="AG1" s="458"/>
      <c r="AH1" s="459"/>
      <c r="AI1" s="457" t="s">
        <v>186</v>
      </c>
      <c r="AJ1" s="458"/>
      <c r="AK1" s="459"/>
      <c r="AL1" s="5" t="s">
        <v>406</v>
      </c>
      <c r="AM1" s="5"/>
      <c r="AN1" s="5"/>
      <c r="AQ1" s="5" t="s">
        <v>407</v>
      </c>
    </row>
    <row r="2" spans="1:46" ht="14.95" customHeight="1" thickBot="1" x14ac:dyDescent="0.3">
      <c r="A2" s="199" t="s">
        <v>0</v>
      </c>
      <c r="B2" s="325" t="s">
        <v>1072</v>
      </c>
      <c r="C2" s="200" t="s">
        <v>127</v>
      </c>
      <c r="D2" s="364" t="s">
        <v>1073</v>
      </c>
      <c r="E2" s="201" t="s">
        <v>1</v>
      </c>
      <c r="F2" s="202" t="s">
        <v>2</v>
      </c>
      <c r="G2" s="327" t="s">
        <v>1072</v>
      </c>
      <c r="H2" s="203" t="s">
        <v>127</v>
      </c>
      <c r="I2" s="366" t="s">
        <v>1073</v>
      </c>
      <c r="J2" s="204" t="s">
        <v>1</v>
      </c>
      <c r="K2" s="479"/>
      <c r="L2" s="466"/>
      <c r="M2" s="467"/>
      <c r="N2" s="468"/>
      <c r="O2" s="489"/>
      <c r="P2" s="490"/>
      <c r="Q2" s="491"/>
      <c r="R2" s="494"/>
      <c r="S2" s="495"/>
      <c r="T2" s="460"/>
      <c r="U2" s="461"/>
      <c r="V2" s="462"/>
      <c r="W2" s="460"/>
      <c r="X2" s="461"/>
      <c r="Y2" s="462"/>
      <c r="Z2" s="152"/>
      <c r="AA2" s="153"/>
      <c r="AB2" s="332"/>
      <c r="AC2" s="460"/>
      <c r="AD2" s="461"/>
      <c r="AE2" s="462"/>
      <c r="AF2" s="460"/>
      <c r="AG2" s="461"/>
      <c r="AH2" s="462"/>
      <c r="AI2" s="460"/>
      <c r="AJ2" s="461"/>
      <c r="AK2" s="462"/>
      <c r="AL2" t="s">
        <v>324</v>
      </c>
      <c r="AM2" t="s">
        <v>260</v>
      </c>
      <c r="AN2" t="s">
        <v>325</v>
      </c>
      <c r="AO2">
        <v>1870</v>
      </c>
      <c r="AQ2" t="s">
        <v>332</v>
      </c>
      <c r="AR2" t="s">
        <v>264</v>
      </c>
      <c r="AS2" t="s">
        <v>333</v>
      </c>
      <c r="AT2">
        <v>90</v>
      </c>
    </row>
    <row r="3" spans="1:46" ht="14.95" customHeight="1" thickBot="1" x14ac:dyDescent="0.3">
      <c r="A3" s="179" t="s">
        <v>1725</v>
      </c>
      <c r="B3" s="326">
        <v>2</v>
      </c>
      <c r="C3" s="192">
        <v>8</v>
      </c>
      <c r="D3" s="365">
        <v>0</v>
      </c>
      <c r="E3" s="178">
        <f t="shared" ref="E3:E44" si="0">SUM(B3:D3)</f>
        <v>10</v>
      </c>
      <c r="F3" s="266" t="s">
        <v>1725</v>
      </c>
      <c r="G3" s="328">
        <v>10</v>
      </c>
      <c r="H3" s="193">
        <v>40</v>
      </c>
      <c r="I3" s="367">
        <v>0</v>
      </c>
      <c r="J3" s="114">
        <f t="shared" ref="J3:J44" si="1">SUM(G3:I3)</f>
        <v>50</v>
      </c>
      <c r="K3" s="37" t="s">
        <v>87</v>
      </c>
      <c r="L3" s="15" t="s">
        <v>243</v>
      </c>
      <c r="M3" s="15" t="s">
        <v>42</v>
      </c>
      <c r="N3" s="15" t="s">
        <v>43</v>
      </c>
      <c r="O3" s="1" t="s">
        <v>243</v>
      </c>
      <c r="P3" s="1" t="s">
        <v>42</v>
      </c>
      <c r="Q3" s="1" t="s">
        <v>43</v>
      </c>
      <c r="R3" s="4" t="s">
        <v>63</v>
      </c>
      <c r="S3" s="4" t="s">
        <v>957</v>
      </c>
      <c r="T3" s="119" t="s">
        <v>243</v>
      </c>
      <c r="U3" s="119" t="s">
        <v>42</v>
      </c>
      <c r="V3" s="119" t="s">
        <v>43</v>
      </c>
      <c r="W3" s="119" t="s">
        <v>243</v>
      </c>
      <c r="X3" s="119" t="s">
        <v>42</v>
      </c>
      <c r="Y3" s="119" t="s">
        <v>43</v>
      </c>
      <c r="Z3" s="152"/>
      <c r="AA3" s="153"/>
      <c r="AB3" s="332"/>
      <c r="AC3" s="124" t="s">
        <v>243</v>
      </c>
      <c r="AD3" s="119" t="s">
        <v>42</v>
      </c>
      <c r="AE3" s="119" t="s">
        <v>43</v>
      </c>
      <c r="AF3" s="119" t="s">
        <v>243</v>
      </c>
      <c r="AG3" s="119" t="s">
        <v>42</v>
      </c>
      <c r="AH3" s="119" t="s">
        <v>43</v>
      </c>
      <c r="AI3" s="119" t="s">
        <v>243</v>
      </c>
      <c r="AJ3" s="119" t="s">
        <v>42</v>
      </c>
      <c r="AK3" s="119" t="s">
        <v>43</v>
      </c>
      <c r="AL3" t="s">
        <v>326</v>
      </c>
      <c r="AM3" t="s">
        <v>260</v>
      </c>
      <c r="AN3" t="s">
        <v>327</v>
      </c>
      <c r="AO3">
        <v>590</v>
      </c>
      <c r="AQ3" t="s">
        <v>334</v>
      </c>
      <c r="AR3" t="s">
        <v>264</v>
      </c>
      <c r="AS3" t="s">
        <v>335</v>
      </c>
      <c r="AT3">
        <v>75</v>
      </c>
    </row>
    <row r="4" spans="1:46" ht="14.95" customHeight="1" thickBot="1" x14ac:dyDescent="0.3">
      <c r="A4" s="179" t="s">
        <v>168</v>
      </c>
      <c r="B4" s="326">
        <v>3</v>
      </c>
      <c r="C4" s="192">
        <v>1</v>
      </c>
      <c r="D4" s="365">
        <v>1</v>
      </c>
      <c r="E4" s="178">
        <f t="shared" si="0"/>
        <v>5</v>
      </c>
      <c r="F4" s="180" t="s">
        <v>168</v>
      </c>
      <c r="G4" s="328">
        <v>15</v>
      </c>
      <c r="H4" s="193">
        <v>5</v>
      </c>
      <c r="I4" s="367">
        <v>5</v>
      </c>
      <c r="J4" s="114">
        <f t="shared" si="1"/>
        <v>25</v>
      </c>
      <c r="K4" s="179" t="s">
        <v>320</v>
      </c>
      <c r="L4" s="183">
        <v>40</v>
      </c>
      <c r="M4" s="183">
        <v>48</v>
      </c>
      <c r="N4" s="184">
        <f t="shared" ref="N4:N6" si="2">SUM(L4/M4)*100</f>
        <v>83.333333333333343</v>
      </c>
      <c r="O4" s="183">
        <v>5</v>
      </c>
      <c r="P4" s="183">
        <v>7</v>
      </c>
      <c r="Q4" s="184">
        <f t="shared" ref="Q4:Q6" si="3">SUM(O4/P4)*100</f>
        <v>71.428571428571431</v>
      </c>
      <c r="R4" s="183">
        <v>1</v>
      </c>
      <c r="S4" s="183">
        <v>1</v>
      </c>
      <c r="T4" s="183">
        <v>58</v>
      </c>
      <c r="U4" s="183">
        <v>69</v>
      </c>
      <c r="V4" s="184">
        <f t="shared" ref="V4" si="4">SUM(T4/U4)*100</f>
        <v>84.05797101449275</v>
      </c>
      <c r="W4" s="183">
        <v>40</v>
      </c>
      <c r="X4" s="183">
        <v>48</v>
      </c>
      <c r="Y4" s="184">
        <f t="shared" ref="Y4:Y12" si="5">SUM(W4/X4)*100</f>
        <v>83.333333333333343</v>
      </c>
      <c r="Z4" s="152"/>
      <c r="AA4" s="153"/>
      <c r="AB4" s="332"/>
      <c r="AC4" s="186" t="s">
        <v>50</v>
      </c>
      <c r="AD4" s="183" t="s">
        <v>50</v>
      </c>
      <c r="AE4" s="183" t="s">
        <v>50</v>
      </c>
      <c r="AF4" s="183" t="s">
        <v>50</v>
      </c>
      <c r="AG4" s="183" t="s">
        <v>50</v>
      </c>
      <c r="AH4" s="183" t="s">
        <v>50</v>
      </c>
      <c r="AI4" s="183" t="s">
        <v>50</v>
      </c>
      <c r="AJ4" s="183" t="s">
        <v>50</v>
      </c>
      <c r="AK4" s="183" t="s">
        <v>50</v>
      </c>
      <c r="AL4" t="s">
        <v>328</v>
      </c>
      <c r="AM4" t="s">
        <v>270</v>
      </c>
      <c r="AN4" t="s">
        <v>329</v>
      </c>
      <c r="AO4">
        <v>470</v>
      </c>
      <c r="AQ4" t="s">
        <v>337</v>
      </c>
      <c r="AR4" t="s">
        <v>263</v>
      </c>
      <c r="AS4" t="s">
        <v>338</v>
      </c>
      <c r="AT4">
        <v>33</v>
      </c>
    </row>
    <row r="5" spans="1:46" ht="14.95" customHeight="1" thickBot="1" x14ac:dyDescent="0.3">
      <c r="A5" s="179" t="s">
        <v>1828</v>
      </c>
      <c r="B5" s="326">
        <v>0</v>
      </c>
      <c r="C5" s="192">
        <v>1</v>
      </c>
      <c r="D5" s="365">
        <v>0</v>
      </c>
      <c r="E5" s="178">
        <f t="shared" si="0"/>
        <v>1</v>
      </c>
      <c r="F5" s="180" t="s">
        <v>1828</v>
      </c>
      <c r="G5" s="328">
        <v>0</v>
      </c>
      <c r="H5" s="193">
        <v>5</v>
      </c>
      <c r="I5" s="367">
        <v>0</v>
      </c>
      <c r="J5" s="114">
        <f t="shared" si="1"/>
        <v>5</v>
      </c>
      <c r="K5" s="179" t="s">
        <v>207</v>
      </c>
      <c r="L5" s="183" t="s">
        <v>50</v>
      </c>
      <c r="M5" s="183" t="s">
        <v>50</v>
      </c>
      <c r="N5" s="183" t="s">
        <v>50</v>
      </c>
      <c r="O5" s="183" t="s">
        <v>50</v>
      </c>
      <c r="P5" s="183" t="s">
        <v>50</v>
      </c>
      <c r="Q5" s="183" t="s">
        <v>50</v>
      </c>
      <c r="R5" s="183" t="s">
        <v>50</v>
      </c>
      <c r="S5" s="183" t="s">
        <v>50</v>
      </c>
      <c r="T5" s="183" t="s">
        <v>50</v>
      </c>
      <c r="U5" s="183" t="s">
        <v>50</v>
      </c>
      <c r="V5" s="183" t="s">
        <v>50</v>
      </c>
      <c r="W5" s="183" t="s">
        <v>50</v>
      </c>
      <c r="X5" s="183" t="s">
        <v>50</v>
      </c>
      <c r="Y5" s="183" t="s">
        <v>50</v>
      </c>
      <c r="Z5" s="152"/>
      <c r="AA5" s="153"/>
      <c r="AB5" s="332"/>
      <c r="AC5" s="186" t="s">
        <v>50</v>
      </c>
      <c r="AD5" s="183" t="s">
        <v>50</v>
      </c>
      <c r="AE5" s="183" t="s">
        <v>50</v>
      </c>
      <c r="AF5" s="183" t="s">
        <v>50</v>
      </c>
      <c r="AG5" s="183" t="s">
        <v>50</v>
      </c>
      <c r="AH5" s="183" t="s">
        <v>50</v>
      </c>
      <c r="AI5" s="183" t="s">
        <v>50</v>
      </c>
      <c r="AJ5" s="183" t="s">
        <v>50</v>
      </c>
      <c r="AK5" s="183" t="s">
        <v>50</v>
      </c>
      <c r="AL5" t="s">
        <v>330</v>
      </c>
      <c r="AM5" t="s">
        <v>263</v>
      </c>
      <c r="AN5" t="s">
        <v>331</v>
      </c>
      <c r="AO5">
        <v>460</v>
      </c>
      <c r="AQ5" t="s">
        <v>324</v>
      </c>
      <c r="AR5" t="s">
        <v>260</v>
      </c>
      <c r="AS5" t="s">
        <v>325</v>
      </c>
      <c r="AT5">
        <v>28</v>
      </c>
    </row>
    <row r="6" spans="1:46" ht="14.95" customHeight="1" thickBot="1" x14ac:dyDescent="0.3">
      <c r="A6" s="179" t="s">
        <v>991</v>
      </c>
      <c r="B6" s="326">
        <v>2</v>
      </c>
      <c r="C6" s="192">
        <v>1</v>
      </c>
      <c r="D6" s="365">
        <v>1</v>
      </c>
      <c r="E6" s="178">
        <f t="shared" si="0"/>
        <v>4</v>
      </c>
      <c r="F6" s="180" t="s">
        <v>991</v>
      </c>
      <c r="G6" s="328">
        <v>10</v>
      </c>
      <c r="H6" s="193">
        <v>20</v>
      </c>
      <c r="I6" s="367">
        <v>12</v>
      </c>
      <c r="J6" s="114">
        <f t="shared" si="1"/>
        <v>42</v>
      </c>
      <c r="K6" s="179" t="s">
        <v>992</v>
      </c>
      <c r="L6" s="183">
        <v>8</v>
      </c>
      <c r="M6" s="183">
        <v>17</v>
      </c>
      <c r="N6" s="184">
        <f t="shared" si="2"/>
        <v>47.058823529411761</v>
      </c>
      <c r="O6" s="183">
        <v>0</v>
      </c>
      <c r="P6" s="183">
        <v>1</v>
      </c>
      <c r="Q6" s="184">
        <f t="shared" si="3"/>
        <v>0</v>
      </c>
      <c r="R6" s="183">
        <v>-2</v>
      </c>
      <c r="S6" s="183">
        <v>-2</v>
      </c>
      <c r="T6" s="183">
        <v>30</v>
      </c>
      <c r="U6" s="183">
        <v>40</v>
      </c>
      <c r="V6" s="184">
        <f t="shared" ref="V6:V8" si="6">SUM(T6/U6)*100</f>
        <v>75</v>
      </c>
      <c r="W6" s="183" t="s">
        <v>50</v>
      </c>
      <c r="X6" s="183" t="s">
        <v>50</v>
      </c>
      <c r="Y6" s="183" t="s">
        <v>50</v>
      </c>
      <c r="Z6" s="152"/>
      <c r="AA6" s="153"/>
      <c r="AB6" s="332"/>
      <c r="AC6" s="186" t="s">
        <v>50</v>
      </c>
      <c r="AD6" s="183" t="s">
        <v>50</v>
      </c>
      <c r="AE6" s="183" t="s">
        <v>50</v>
      </c>
      <c r="AF6" s="183" t="s">
        <v>50</v>
      </c>
      <c r="AG6" s="183" t="s">
        <v>50</v>
      </c>
      <c r="AH6" s="183" t="s">
        <v>50</v>
      </c>
      <c r="AI6" s="183" t="s">
        <v>50</v>
      </c>
      <c r="AJ6" s="183" t="s">
        <v>50</v>
      </c>
      <c r="AK6" s="183" t="s">
        <v>50</v>
      </c>
      <c r="AL6" t="s">
        <v>332</v>
      </c>
      <c r="AM6" t="s">
        <v>264</v>
      </c>
      <c r="AN6" t="s">
        <v>333</v>
      </c>
      <c r="AO6">
        <v>450</v>
      </c>
      <c r="AQ6" t="s">
        <v>349</v>
      </c>
      <c r="AR6" t="s">
        <v>264</v>
      </c>
      <c r="AS6" t="s">
        <v>350</v>
      </c>
      <c r="AT6">
        <v>20</v>
      </c>
    </row>
    <row r="7" spans="1:46" ht="14.95" customHeight="1" thickBot="1" x14ac:dyDescent="0.3">
      <c r="A7" s="179" t="s">
        <v>955</v>
      </c>
      <c r="B7" s="326">
        <v>0</v>
      </c>
      <c r="C7" s="192">
        <v>1</v>
      </c>
      <c r="D7" s="365">
        <v>0</v>
      </c>
      <c r="E7" s="178">
        <f t="shared" si="0"/>
        <v>1</v>
      </c>
      <c r="F7" s="180" t="s">
        <v>955</v>
      </c>
      <c r="G7" s="328">
        <v>0</v>
      </c>
      <c r="H7" s="193">
        <v>5</v>
      </c>
      <c r="I7" s="367">
        <v>0</v>
      </c>
      <c r="J7" s="114">
        <f t="shared" si="1"/>
        <v>5</v>
      </c>
      <c r="K7" s="179" t="s">
        <v>1794</v>
      </c>
      <c r="L7" s="183">
        <v>26</v>
      </c>
      <c r="M7" s="183">
        <v>34</v>
      </c>
      <c r="N7" s="184">
        <f t="shared" ref="N7" si="7">SUM(L7/M7)*100</f>
        <v>76.470588235294116</v>
      </c>
      <c r="O7" s="183" t="s">
        <v>50</v>
      </c>
      <c r="P7" s="183" t="s">
        <v>50</v>
      </c>
      <c r="Q7" s="183" t="s">
        <v>50</v>
      </c>
      <c r="R7" s="183">
        <v>3</v>
      </c>
      <c r="S7" s="183">
        <v>3</v>
      </c>
      <c r="T7" s="183" t="s">
        <v>50</v>
      </c>
      <c r="U7" s="183" t="s">
        <v>50</v>
      </c>
      <c r="V7" s="183" t="s">
        <v>50</v>
      </c>
      <c r="W7" s="183" t="s">
        <v>50</v>
      </c>
      <c r="X7" s="183" t="s">
        <v>50</v>
      </c>
      <c r="Y7" s="183" t="s">
        <v>50</v>
      </c>
      <c r="Z7" s="152"/>
      <c r="AA7" s="153"/>
      <c r="AB7" s="332"/>
      <c r="AC7" s="183" t="s">
        <v>50</v>
      </c>
      <c r="AD7" s="183" t="s">
        <v>50</v>
      </c>
      <c r="AE7" s="183" t="s">
        <v>50</v>
      </c>
      <c r="AF7" s="183" t="s">
        <v>50</v>
      </c>
      <c r="AG7" s="183" t="s">
        <v>50</v>
      </c>
      <c r="AH7" s="183" t="s">
        <v>50</v>
      </c>
      <c r="AI7" s="183" t="s">
        <v>50</v>
      </c>
      <c r="AJ7" s="183" t="s">
        <v>50</v>
      </c>
      <c r="AK7" s="183" t="s">
        <v>50</v>
      </c>
      <c r="AL7" t="s">
        <v>334</v>
      </c>
      <c r="AM7" t="s">
        <v>264</v>
      </c>
      <c r="AN7" t="s">
        <v>335</v>
      </c>
      <c r="AO7">
        <v>375</v>
      </c>
      <c r="AQ7" t="s">
        <v>354</v>
      </c>
      <c r="AR7" t="s">
        <v>264</v>
      </c>
      <c r="AS7" t="s">
        <v>293</v>
      </c>
      <c r="AT7">
        <v>18</v>
      </c>
    </row>
    <row r="8" spans="1:46" ht="14.95" customHeight="1" thickBot="1" x14ac:dyDescent="0.3">
      <c r="A8" s="179" t="s">
        <v>929</v>
      </c>
      <c r="B8" s="326">
        <v>1</v>
      </c>
      <c r="C8" s="192">
        <v>0</v>
      </c>
      <c r="D8" s="365">
        <v>0</v>
      </c>
      <c r="E8" s="178">
        <f t="shared" si="0"/>
        <v>1</v>
      </c>
      <c r="F8" s="180" t="s">
        <v>929</v>
      </c>
      <c r="G8" s="328">
        <v>5</v>
      </c>
      <c r="H8" s="193">
        <v>0</v>
      </c>
      <c r="I8" s="367">
        <v>0</v>
      </c>
      <c r="J8" s="114">
        <f t="shared" si="1"/>
        <v>5</v>
      </c>
      <c r="K8" s="179" t="s">
        <v>991</v>
      </c>
      <c r="L8" s="183">
        <v>0</v>
      </c>
      <c r="M8" s="183">
        <v>3</v>
      </c>
      <c r="N8" s="184">
        <f t="shared" ref="N8:N9" si="8">SUM(L8/M8)*100</f>
        <v>0</v>
      </c>
      <c r="O8" s="183" t="s">
        <v>50</v>
      </c>
      <c r="P8" s="183" t="s">
        <v>50</v>
      </c>
      <c r="Q8" s="183" t="s">
        <v>50</v>
      </c>
      <c r="R8" s="183">
        <v>-3</v>
      </c>
      <c r="S8" s="183">
        <v>3</v>
      </c>
      <c r="T8" s="183">
        <v>2</v>
      </c>
      <c r="U8" s="183">
        <v>4</v>
      </c>
      <c r="V8" s="184">
        <f t="shared" si="6"/>
        <v>50</v>
      </c>
      <c r="W8" s="183" t="s">
        <v>50</v>
      </c>
      <c r="X8" s="183" t="s">
        <v>50</v>
      </c>
      <c r="Y8" s="183" t="s">
        <v>50</v>
      </c>
      <c r="Z8" s="152"/>
      <c r="AA8" s="153"/>
      <c r="AB8" s="332"/>
      <c r="AC8" s="186" t="s">
        <v>50</v>
      </c>
      <c r="AD8" s="183" t="s">
        <v>50</v>
      </c>
      <c r="AE8" s="183" t="s">
        <v>50</v>
      </c>
      <c r="AF8" s="183" t="s">
        <v>50</v>
      </c>
      <c r="AG8" s="183" t="s">
        <v>50</v>
      </c>
      <c r="AH8" s="183" t="s">
        <v>50</v>
      </c>
      <c r="AI8" s="183" t="s">
        <v>50</v>
      </c>
      <c r="AJ8" s="183" t="s">
        <v>50</v>
      </c>
      <c r="AK8" s="183" t="s">
        <v>50</v>
      </c>
      <c r="AL8" t="s">
        <v>336</v>
      </c>
      <c r="AM8" t="s">
        <v>260</v>
      </c>
      <c r="AN8" t="s">
        <v>299</v>
      </c>
      <c r="AO8">
        <v>273</v>
      </c>
      <c r="AQ8" t="s">
        <v>355</v>
      </c>
      <c r="AR8" t="s">
        <v>284</v>
      </c>
      <c r="AS8" t="s">
        <v>356</v>
      </c>
      <c r="AT8">
        <v>18</v>
      </c>
    </row>
    <row r="9" spans="1:46" ht="14.95" customHeight="1" thickBot="1" x14ac:dyDescent="0.3">
      <c r="A9" s="179" t="s">
        <v>992</v>
      </c>
      <c r="B9" s="326">
        <v>3</v>
      </c>
      <c r="C9" s="192">
        <v>1</v>
      </c>
      <c r="D9" s="365">
        <v>0</v>
      </c>
      <c r="E9" s="178">
        <f t="shared" si="0"/>
        <v>4</v>
      </c>
      <c r="F9" s="180" t="s">
        <v>992</v>
      </c>
      <c r="G9" s="328">
        <v>34</v>
      </c>
      <c r="H9" s="193">
        <v>45</v>
      </c>
      <c r="I9" s="367">
        <v>0</v>
      </c>
      <c r="J9" s="114">
        <f t="shared" si="1"/>
        <v>79</v>
      </c>
      <c r="K9" s="179" t="s">
        <v>1057</v>
      </c>
      <c r="L9" s="183">
        <v>0</v>
      </c>
      <c r="M9" s="183">
        <v>1</v>
      </c>
      <c r="N9" s="184">
        <f t="shared" si="8"/>
        <v>0</v>
      </c>
      <c r="O9" s="183" t="s">
        <v>50</v>
      </c>
      <c r="P9" s="183" t="s">
        <v>50</v>
      </c>
      <c r="Q9" s="183" t="s">
        <v>50</v>
      </c>
      <c r="R9" s="183">
        <v>-1</v>
      </c>
      <c r="S9" s="183">
        <v>-1</v>
      </c>
      <c r="T9" s="183" t="s">
        <v>50</v>
      </c>
      <c r="U9" s="183" t="s">
        <v>50</v>
      </c>
      <c r="V9" s="183" t="s">
        <v>50</v>
      </c>
      <c r="W9" s="183" t="s">
        <v>50</v>
      </c>
      <c r="X9" s="183" t="s">
        <v>50</v>
      </c>
      <c r="Y9" s="183" t="s">
        <v>50</v>
      </c>
      <c r="Z9" s="152"/>
      <c r="AA9" s="153"/>
      <c r="AB9" s="332"/>
      <c r="AC9" s="186" t="s">
        <v>50</v>
      </c>
      <c r="AD9" s="183" t="s">
        <v>50</v>
      </c>
      <c r="AE9" s="183" t="s">
        <v>50</v>
      </c>
      <c r="AF9" s="183" t="s">
        <v>50</v>
      </c>
      <c r="AG9" s="183" t="s">
        <v>50</v>
      </c>
      <c r="AH9" s="183" t="s">
        <v>50</v>
      </c>
      <c r="AI9" s="183" t="s">
        <v>50</v>
      </c>
      <c r="AJ9" s="183" t="s">
        <v>50</v>
      </c>
      <c r="AK9" s="183" t="s">
        <v>50</v>
      </c>
      <c r="AL9" t="s">
        <v>337</v>
      </c>
      <c r="AM9" t="s">
        <v>263</v>
      </c>
      <c r="AN9" t="s">
        <v>338</v>
      </c>
      <c r="AO9">
        <v>177</v>
      </c>
      <c r="AQ9" t="s">
        <v>300</v>
      </c>
      <c r="AR9" t="s">
        <v>271</v>
      </c>
      <c r="AS9" t="s">
        <v>351</v>
      </c>
      <c r="AT9">
        <v>17</v>
      </c>
    </row>
    <row r="10" spans="1:46" ht="14.95" customHeight="1" thickBot="1" x14ac:dyDescent="0.3">
      <c r="A10" s="179" t="s">
        <v>1812</v>
      </c>
      <c r="B10" s="326">
        <v>1</v>
      </c>
      <c r="C10" s="192">
        <v>0</v>
      </c>
      <c r="D10" s="365">
        <v>0</v>
      </c>
      <c r="E10" s="178">
        <f t="shared" si="0"/>
        <v>1</v>
      </c>
      <c r="F10" s="180" t="s">
        <v>1812</v>
      </c>
      <c r="G10" s="328">
        <v>5</v>
      </c>
      <c r="H10" s="193">
        <v>0</v>
      </c>
      <c r="I10" s="367">
        <v>0</v>
      </c>
      <c r="J10" s="114">
        <f t="shared" si="1"/>
        <v>5</v>
      </c>
      <c r="K10" s="179" t="s">
        <v>1043</v>
      </c>
      <c r="L10" s="183">
        <v>1</v>
      </c>
      <c r="M10" s="183">
        <v>1</v>
      </c>
      <c r="N10" s="183">
        <v>100</v>
      </c>
      <c r="O10" s="183" t="s">
        <v>50</v>
      </c>
      <c r="P10" s="183" t="s">
        <v>50</v>
      </c>
      <c r="Q10" s="183" t="s">
        <v>50</v>
      </c>
      <c r="R10" s="183">
        <v>1</v>
      </c>
      <c r="S10" s="183">
        <v>1</v>
      </c>
      <c r="T10" s="183" t="s">
        <v>50</v>
      </c>
      <c r="U10" s="183" t="s">
        <v>50</v>
      </c>
      <c r="V10" s="183" t="s">
        <v>50</v>
      </c>
      <c r="W10" s="183">
        <v>1</v>
      </c>
      <c r="X10" s="183">
        <v>2</v>
      </c>
      <c r="Y10" s="184">
        <f t="shared" si="5"/>
        <v>50</v>
      </c>
      <c r="Z10" s="152"/>
      <c r="AA10" s="153"/>
      <c r="AB10" s="332"/>
      <c r="AC10" s="186" t="s">
        <v>50</v>
      </c>
      <c r="AD10" s="183" t="s">
        <v>50</v>
      </c>
      <c r="AE10" s="183" t="s">
        <v>50</v>
      </c>
      <c r="AF10" s="183" t="s">
        <v>50</v>
      </c>
      <c r="AG10" s="183" t="s">
        <v>50</v>
      </c>
      <c r="AH10" s="183" t="s">
        <v>50</v>
      </c>
      <c r="AI10" s="183" t="s">
        <v>50</v>
      </c>
      <c r="AJ10" s="183" t="s">
        <v>50</v>
      </c>
      <c r="AK10" s="183" t="s">
        <v>50</v>
      </c>
      <c r="AL10" t="s">
        <v>339</v>
      </c>
      <c r="AM10" t="s">
        <v>259</v>
      </c>
      <c r="AN10" t="s">
        <v>340</v>
      </c>
      <c r="AO10">
        <v>177</v>
      </c>
      <c r="AQ10" t="s">
        <v>359</v>
      </c>
      <c r="AR10" t="s">
        <v>271</v>
      </c>
      <c r="AS10" t="s">
        <v>360</v>
      </c>
      <c r="AT10">
        <v>16</v>
      </c>
    </row>
    <row r="11" spans="1:46" ht="14.95" customHeight="1" thickBot="1" x14ac:dyDescent="0.3">
      <c r="A11" s="179" t="s">
        <v>1794</v>
      </c>
      <c r="B11" s="326">
        <v>0</v>
      </c>
      <c r="C11" s="192">
        <v>0</v>
      </c>
      <c r="D11" s="365">
        <v>0</v>
      </c>
      <c r="E11" s="178">
        <f t="shared" si="0"/>
        <v>0</v>
      </c>
      <c r="F11" s="180" t="s">
        <v>1794</v>
      </c>
      <c r="G11" s="328">
        <v>71</v>
      </c>
      <c r="H11" s="193">
        <v>4</v>
      </c>
      <c r="I11" s="367">
        <v>6</v>
      </c>
      <c r="J11" s="114">
        <f t="shared" si="1"/>
        <v>81</v>
      </c>
      <c r="K11" s="179" t="s">
        <v>1764</v>
      </c>
      <c r="L11" s="183" t="s">
        <v>50</v>
      </c>
      <c r="M11" s="183" t="s">
        <v>50</v>
      </c>
      <c r="N11" s="183" t="s">
        <v>50</v>
      </c>
      <c r="O11" s="183" t="s">
        <v>50</v>
      </c>
      <c r="P11" s="183" t="s">
        <v>50</v>
      </c>
      <c r="Q11" s="183" t="s">
        <v>50</v>
      </c>
      <c r="R11" s="183" t="s">
        <v>64</v>
      </c>
      <c r="S11" s="183">
        <v>-1</v>
      </c>
      <c r="T11" s="183" t="s">
        <v>50</v>
      </c>
      <c r="U11" s="183" t="s">
        <v>50</v>
      </c>
      <c r="V11" s="183" t="s">
        <v>50</v>
      </c>
      <c r="W11" s="183" t="s">
        <v>50</v>
      </c>
      <c r="X11" s="183" t="s">
        <v>50</v>
      </c>
      <c r="Y11" s="183" t="s">
        <v>50</v>
      </c>
      <c r="Z11" s="152"/>
      <c r="AA11" s="153"/>
      <c r="AB11" s="332"/>
      <c r="AC11" s="183" t="s">
        <v>50</v>
      </c>
      <c r="AD11" s="183" t="s">
        <v>50</v>
      </c>
      <c r="AE11" s="183" t="s">
        <v>50</v>
      </c>
      <c r="AF11" s="183" t="s">
        <v>50</v>
      </c>
      <c r="AG11" s="183" t="s">
        <v>50</v>
      </c>
      <c r="AH11" s="183" t="s">
        <v>50</v>
      </c>
      <c r="AI11" s="183" t="s">
        <v>50</v>
      </c>
      <c r="AJ11" s="183" t="s">
        <v>50</v>
      </c>
      <c r="AK11" s="183" t="s">
        <v>50</v>
      </c>
      <c r="AL11" t="s">
        <v>341</v>
      </c>
      <c r="AM11" t="s">
        <v>259</v>
      </c>
      <c r="AN11" t="s">
        <v>342</v>
      </c>
      <c r="AO11">
        <v>153</v>
      </c>
      <c r="AQ11" t="s">
        <v>341</v>
      </c>
      <c r="AR11" t="s">
        <v>259</v>
      </c>
      <c r="AS11" t="s">
        <v>342</v>
      </c>
      <c r="AT11">
        <v>15</v>
      </c>
    </row>
    <row r="12" spans="1:46" ht="14.95" customHeight="1" thickBot="1" x14ac:dyDescent="0.3">
      <c r="A12" s="179" t="s">
        <v>4</v>
      </c>
      <c r="B12" s="326">
        <v>3</v>
      </c>
      <c r="C12" s="192">
        <v>0</v>
      </c>
      <c r="D12" s="365">
        <v>0</v>
      </c>
      <c r="E12" s="178">
        <f t="shared" si="0"/>
        <v>3</v>
      </c>
      <c r="F12" s="180" t="s">
        <v>4</v>
      </c>
      <c r="G12" s="328">
        <v>15</v>
      </c>
      <c r="H12" s="193">
        <v>0</v>
      </c>
      <c r="I12" s="367">
        <v>0</v>
      </c>
      <c r="J12" s="114">
        <f t="shared" si="1"/>
        <v>15</v>
      </c>
      <c r="K12" s="179" t="s">
        <v>116</v>
      </c>
      <c r="L12" s="183">
        <v>0</v>
      </c>
      <c r="M12" s="183">
        <v>1</v>
      </c>
      <c r="N12" s="184">
        <f t="shared" ref="N12" si="9">SUM(L12/M12)*100</f>
        <v>0</v>
      </c>
      <c r="O12" s="183" t="s">
        <v>50</v>
      </c>
      <c r="P12" s="183" t="s">
        <v>50</v>
      </c>
      <c r="Q12" s="183" t="s">
        <v>50</v>
      </c>
      <c r="R12" s="183">
        <v>-2</v>
      </c>
      <c r="S12" s="183">
        <v>-1</v>
      </c>
      <c r="T12" s="183" t="s">
        <v>50</v>
      </c>
      <c r="U12" s="183" t="s">
        <v>50</v>
      </c>
      <c r="V12" s="183" t="s">
        <v>50</v>
      </c>
      <c r="W12" s="183">
        <v>2</v>
      </c>
      <c r="X12" s="183">
        <v>5</v>
      </c>
      <c r="Y12" s="184">
        <f t="shared" si="5"/>
        <v>40</v>
      </c>
      <c r="Z12" s="152"/>
      <c r="AA12" s="153"/>
      <c r="AB12" s="332"/>
      <c r="AC12" s="186" t="s">
        <v>50</v>
      </c>
      <c r="AD12" s="183" t="s">
        <v>50</v>
      </c>
      <c r="AE12" s="183" t="s">
        <v>50</v>
      </c>
      <c r="AF12" s="183" t="s">
        <v>50</v>
      </c>
      <c r="AG12" s="183" t="s">
        <v>50</v>
      </c>
      <c r="AH12" s="183" t="s">
        <v>50</v>
      </c>
      <c r="AI12" s="183" t="s">
        <v>50</v>
      </c>
      <c r="AJ12" s="183" t="s">
        <v>50</v>
      </c>
      <c r="AK12" s="183" t="s">
        <v>50</v>
      </c>
      <c r="AL12" t="s">
        <v>343</v>
      </c>
      <c r="AM12" t="s">
        <v>268</v>
      </c>
      <c r="AN12" t="s">
        <v>344</v>
      </c>
      <c r="AO12">
        <v>131</v>
      </c>
      <c r="AQ12" t="s">
        <v>363</v>
      </c>
      <c r="AR12" t="s">
        <v>268</v>
      </c>
      <c r="AS12" t="s">
        <v>364</v>
      </c>
      <c r="AT12">
        <v>15</v>
      </c>
    </row>
    <row r="13" spans="1:46" ht="14.95" customHeight="1" thickBot="1" x14ac:dyDescent="0.3">
      <c r="A13" s="179" t="s">
        <v>167</v>
      </c>
      <c r="B13" s="326">
        <v>0</v>
      </c>
      <c r="C13" s="192">
        <v>0</v>
      </c>
      <c r="D13" s="365">
        <v>0</v>
      </c>
      <c r="E13" s="178">
        <f t="shared" si="0"/>
        <v>0</v>
      </c>
      <c r="F13" s="180" t="s">
        <v>167</v>
      </c>
      <c r="G13" s="328">
        <v>0</v>
      </c>
      <c r="H13" s="193">
        <v>0</v>
      </c>
      <c r="I13" s="367">
        <v>0</v>
      </c>
      <c r="J13" s="114">
        <f t="shared" si="1"/>
        <v>0</v>
      </c>
      <c r="AL13" t="s">
        <v>345</v>
      </c>
      <c r="AM13" t="s">
        <v>268</v>
      </c>
      <c r="AN13" t="s">
        <v>346</v>
      </c>
      <c r="AO13">
        <v>123</v>
      </c>
      <c r="AQ13" t="s">
        <v>365</v>
      </c>
      <c r="AR13" t="s">
        <v>268</v>
      </c>
      <c r="AS13" t="s">
        <v>366</v>
      </c>
      <c r="AT13">
        <v>15</v>
      </c>
    </row>
    <row r="14" spans="1:46" ht="14.95" customHeight="1" thickBot="1" x14ac:dyDescent="0.3">
      <c r="A14" s="179" t="s">
        <v>77</v>
      </c>
      <c r="B14" s="326">
        <v>0</v>
      </c>
      <c r="C14" s="192">
        <v>0</v>
      </c>
      <c r="D14" s="365">
        <v>0</v>
      </c>
      <c r="E14" s="178">
        <f t="shared" si="0"/>
        <v>0</v>
      </c>
      <c r="F14" s="180" t="s">
        <v>77</v>
      </c>
      <c r="G14" s="328">
        <v>0</v>
      </c>
      <c r="H14" s="193">
        <v>0</v>
      </c>
      <c r="I14" s="367">
        <v>0</v>
      </c>
      <c r="J14" s="114">
        <f t="shared" si="1"/>
        <v>0</v>
      </c>
      <c r="K14" s="507" t="s">
        <v>1323</v>
      </c>
      <c r="L14" s="463" t="s">
        <v>49</v>
      </c>
      <c r="M14" s="464"/>
      <c r="N14" s="465"/>
      <c r="O14" s="457" t="s">
        <v>124</v>
      </c>
      <c r="P14" s="458"/>
      <c r="Q14" s="459"/>
      <c r="R14" s="457" t="s">
        <v>1264</v>
      </c>
      <c r="S14" s="458"/>
      <c r="T14" s="459"/>
      <c r="U14" s="457" t="s">
        <v>598</v>
      </c>
      <c r="V14" s="458"/>
      <c r="W14" s="459"/>
      <c r="X14" s="127"/>
      <c r="Y14" s="127"/>
      <c r="Z14" s="127"/>
      <c r="AC14" s="457" t="s">
        <v>254</v>
      </c>
      <c r="AD14" s="458"/>
      <c r="AE14" s="459"/>
      <c r="AF14" s="457" t="s">
        <v>186</v>
      </c>
      <c r="AG14" s="458"/>
      <c r="AH14" s="459"/>
      <c r="AL14" t="s">
        <v>347</v>
      </c>
      <c r="AM14" t="s">
        <v>259</v>
      </c>
      <c r="AN14" t="s">
        <v>294</v>
      </c>
      <c r="AO14">
        <v>110</v>
      </c>
      <c r="AQ14" t="s">
        <v>369</v>
      </c>
      <c r="AR14" t="s">
        <v>276</v>
      </c>
      <c r="AS14" t="s">
        <v>351</v>
      </c>
      <c r="AT14">
        <v>14</v>
      </c>
    </row>
    <row r="15" spans="1:46" ht="14.95" customHeight="1" thickBot="1" x14ac:dyDescent="0.3">
      <c r="A15" s="179" t="s">
        <v>1044</v>
      </c>
      <c r="B15" s="326">
        <v>0</v>
      </c>
      <c r="C15" s="192">
        <v>2</v>
      </c>
      <c r="D15" s="365">
        <v>0</v>
      </c>
      <c r="E15" s="178">
        <f t="shared" si="0"/>
        <v>2</v>
      </c>
      <c r="F15" s="180" t="s">
        <v>1045</v>
      </c>
      <c r="G15" s="328">
        <v>0</v>
      </c>
      <c r="H15" s="193">
        <v>10</v>
      </c>
      <c r="I15" s="367">
        <v>0</v>
      </c>
      <c r="J15" s="114">
        <f t="shared" si="1"/>
        <v>10</v>
      </c>
      <c r="K15" s="508"/>
      <c r="L15" s="466"/>
      <c r="M15" s="467"/>
      <c r="N15" s="468"/>
      <c r="O15" s="460"/>
      <c r="P15" s="461"/>
      <c r="Q15" s="462"/>
      <c r="R15" s="460"/>
      <c r="S15" s="461"/>
      <c r="T15" s="462"/>
      <c r="U15" s="460"/>
      <c r="V15" s="461"/>
      <c r="W15" s="462"/>
      <c r="X15" s="127"/>
      <c r="Y15" s="127"/>
      <c r="Z15" s="127"/>
      <c r="AC15" s="460"/>
      <c r="AD15" s="461"/>
      <c r="AE15" s="462"/>
      <c r="AF15" s="460"/>
      <c r="AG15" s="461"/>
      <c r="AH15" s="462"/>
      <c r="AL15" t="s">
        <v>348</v>
      </c>
      <c r="AM15" t="s">
        <v>260</v>
      </c>
      <c r="AN15" t="s">
        <v>303</v>
      </c>
      <c r="AO15">
        <v>104</v>
      </c>
      <c r="AQ15" t="s">
        <v>352</v>
      </c>
      <c r="AR15" t="s">
        <v>260</v>
      </c>
      <c r="AS15" t="s">
        <v>353</v>
      </c>
      <c r="AT15">
        <v>14</v>
      </c>
    </row>
    <row r="16" spans="1:46" ht="14.95" customHeight="1" thickBot="1" x14ac:dyDescent="0.3">
      <c r="A16" s="179" t="s">
        <v>1043</v>
      </c>
      <c r="B16" s="326">
        <v>3</v>
      </c>
      <c r="C16" s="192">
        <v>0</v>
      </c>
      <c r="D16" s="365">
        <v>0</v>
      </c>
      <c r="E16" s="178">
        <f t="shared" si="0"/>
        <v>3</v>
      </c>
      <c r="F16" s="180" t="s">
        <v>1043</v>
      </c>
      <c r="G16" s="328">
        <v>17</v>
      </c>
      <c r="H16" s="193">
        <v>0</v>
      </c>
      <c r="I16" s="367">
        <v>0</v>
      </c>
      <c r="J16" s="114">
        <f t="shared" si="1"/>
        <v>17</v>
      </c>
      <c r="K16" s="37" t="s">
        <v>87</v>
      </c>
      <c r="L16" s="15" t="s">
        <v>243</v>
      </c>
      <c r="M16" s="15" t="s">
        <v>42</v>
      </c>
      <c r="N16" s="15" t="s">
        <v>43</v>
      </c>
      <c r="O16" s="119" t="s">
        <v>243</v>
      </c>
      <c r="P16" s="119" t="s">
        <v>42</v>
      </c>
      <c r="Q16" s="119" t="s">
        <v>43</v>
      </c>
      <c r="R16" s="119" t="s">
        <v>243</v>
      </c>
      <c r="S16" s="119" t="s">
        <v>42</v>
      </c>
      <c r="T16" s="119" t="s">
        <v>43</v>
      </c>
      <c r="U16" s="124" t="s">
        <v>243</v>
      </c>
      <c r="V16" s="119" t="s">
        <v>42</v>
      </c>
      <c r="W16" s="119" t="s">
        <v>43</v>
      </c>
      <c r="AC16" s="124" t="s">
        <v>243</v>
      </c>
      <c r="AD16" s="119" t="s">
        <v>42</v>
      </c>
      <c r="AE16" s="119" t="s">
        <v>43</v>
      </c>
      <c r="AF16" s="158" t="s">
        <v>243</v>
      </c>
      <c r="AG16" s="162" t="s">
        <v>42</v>
      </c>
      <c r="AH16" s="162" t="s">
        <v>43</v>
      </c>
      <c r="AL16" t="s">
        <v>349</v>
      </c>
      <c r="AM16" t="s">
        <v>264</v>
      </c>
      <c r="AN16" t="s">
        <v>350</v>
      </c>
      <c r="AO16">
        <v>100</v>
      </c>
      <c r="AQ16" t="s">
        <v>370</v>
      </c>
      <c r="AR16" t="s">
        <v>264</v>
      </c>
      <c r="AS16" t="s">
        <v>371</v>
      </c>
      <c r="AT16">
        <v>14</v>
      </c>
    </row>
    <row r="17" spans="1:46" ht="14.95" customHeight="1" thickBot="1" x14ac:dyDescent="0.3">
      <c r="A17" s="179" t="s">
        <v>166</v>
      </c>
      <c r="B17" s="326">
        <v>0</v>
      </c>
      <c r="C17" s="192">
        <v>0</v>
      </c>
      <c r="D17" s="365">
        <v>0</v>
      </c>
      <c r="E17" s="178">
        <f t="shared" si="0"/>
        <v>0</v>
      </c>
      <c r="F17" s="180" t="s">
        <v>166</v>
      </c>
      <c r="G17" s="328">
        <v>0</v>
      </c>
      <c r="H17" s="193">
        <v>0</v>
      </c>
      <c r="I17" s="367">
        <v>0</v>
      </c>
      <c r="J17" s="114">
        <f t="shared" si="1"/>
        <v>0</v>
      </c>
      <c r="K17" s="179" t="s">
        <v>320</v>
      </c>
      <c r="L17" s="183">
        <v>4</v>
      </c>
      <c r="M17" s="183">
        <v>4</v>
      </c>
      <c r="N17" s="183">
        <v>100</v>
      </c>
      <c r="O17" s="183">
        <v>5</v>
      </c>
      <c r="P17" s="183">
        <v>6</v>
      </c>
      <c r="Q17" s="184">
        <f t="shared" ref="Q17:Q20" si="10">SUM(O17/P17)*100</f>
        <v>83.333333333333343</v>
      </c>
      <c r="R17" s="183">
        <v>8</v>
      </c>
      <c r="S17" s="183">
        <v>10</v>
      </c>
      <c r="T17" s="184">
        <f>SUM(R17/S17)*100</f>
        <v>80</v>
      </c>
      <c r="U17" s="185">
        <v>6</v>
      </c>
      <c r="V17" s="183">
        <v>16</v>
      </c>
      <c r="W17" s="184">
        <f>SUM(U17/V17)*100</f>
        <v>37.5</v>
      </c>
      <c r="AC17" s="186">
        <v>7</v>
      </c>
      <c r="AD17" s="183">
        <v>8</v>
      </c>
      <c r="AE17" s="184">
        <f>SUM(AC17/AD17)*100</f>
        <v>87.5</v>
      </c>
      <c r="AF17" s="186" t="s">
        <v>50</v>
      </c>
      <c r="AG17" s="183" t="s">
        <v>50</v>
      </c>
      <c r="AH17" s="183" t="s">
        <v>50</v>
      </c>
      <c r="AI17" s="120"/>
      <c r="AJ17" s="120"/>
      <c r="AL17" t="s">
        <v>300</v>
      </c>
      <c r="AM17" t="s">
        <v>271</v>
      </c>
      <c r="AN17" t="s">
        <v>351</v>
      </c>
      <c r="AO17">
        <v>94</v>
      </c>
      <c r="AQ17" t="s">
        <v>372</v>
      </c>
      <c r="AR17" t="s">
        <v>284</v>
      </c>
      <c r="AS17" t="s">
        <v>373</v>
      </c>
      <c r="AT17">
        <v>14</v>
      </c>
    </row>
    <row r="18" spans="1:46" ht="14.95" customHeight="1" thickBot="1" x14ac:dyDescent="0.3">
      <c r="A18" s="179" t="s">
        <v>993</v>
      </c>
      <c r="B18" s="326">
        <v>0</v>
      </c>
      <c r="C18" s="192">
        <v>0</v>
      </c>
      <c r="D18" s="365">
        <v>0</v>
      </c>
      <c r="E18" s="178">
        <f t="shared" si="0"/>
        <v>0</v>
      </c>
      <c r="F18" s="180" t="s">
        <v>993</v>
      </c>
      <c r="G18" s="328">
        <v>0</v>
      </c>
      <c r="H18" s="193">
        <v>0</v>
      </c>
      <c r="I18" s="367">
        <v>0</v>
      </c>
      <c r="J18" s="114">
        <f t="shared" si="1"/>
        <v>0</v>
      </c>
      <c r="K18" s="179" t="s">
        <v>992</v>
      </c>
      <c r="L18" s="183">
        <v>20</v>
      </c>
      <c r="M18" s="183">
        <v>27</v>
      </c>
      <c r="N18" s="184">
        <f t="shared" ref="N18:N20" si="11">SUM(L18/M18)*100</f>
        <v>74.074074074074076</v>
      </c>
      <c r="O18" s="183">
        <v>8</v>
      </c>
      <c r="P18" s="183">
        <v>9</v>
      </c>
      <c r="Q18" s="184">
        <f t="shared" si="10"/>
        <v>88.888888888888886</v>
      </c>
      <c r="R18" s="183" t="s">
        <v>50</v>
      </c>
      <c r="S18" s="183" t="s">
        <v>50</v>
      </c>
      <c r="T18" s="183" t="s">
        <v>50</v>
      </c>
      <c r="U18" s="186" t="s">
        <v>50</v>
      </c>
      <c r="V18" s="183" t="s">
        <v>50</v>
      </c>
      <c r="W18" s="183" t="s">
        <v>50</v>
      </c>
      <c r="AC18" s="185" t="s">
        <v>50</v>
      </c>
      <c r="AD18" s="183" t="s">
        <v>50</v>
      </c>
      <c r="AE18" s="183" t="s">
        <v>50</v>
      </c>
      <c r="AF18" s="186" t="s">
        <v>50</v>
      </c>
      <c r="AG18" s="183" t="s">
        <v>50</v>
      </c>
      <c r="AH18" s="183" t="s">
        <v>50</v>
      </c>
      <c r="AI18" s="120"/>
      <c r="AJ18" s="120"/>
      <c r="AL18" t="s">
        <v>352</v>
      </c>
      <c r="AM18" t="s">
        <v>260</v>
      </c>
      <c r="AN18" t="s">
        <v>353</v>
      </c>
      <c r="AO18">
        <v>93</v>
      </c>
      <c r="AQ18" t="s">
        <v>374</v>
      </c>
      <c r="AR18" t="s">
        <v>276</v>
      </c>
      <c r="AS18" t="s">
        <v>375</v>
      </c>
      <c r="AT18">
        <v>14</v>
      </c>
    </row>
    <row r="19" spans="1:46" ht="14.95" customHeight="1" thickBot="1" x14ac:dyDescent="0.3">
      <c r="A19" s="179" t="s">
        <v>1261</v>
      </c>
      <c r="B19" s="326">
        <v>0</v>
      </c>
      <c r="C19" s="192">
        <v>0</v>
      </c>
      <c r="D19" s="365">
        <v>0</v>
      </c>
      <c r="E19" s="178">
        <f t="shared" si="0"/>
        <v>0</v>
      </c>
      <c r="F19" s="180" t="s">
        <v>1261</v>
      </c>
      <c r="G19" s="328">
        <v>0</v>
      </c>
      <c r="H19" s="193">
        <v>0</v>
      </c>
      <c r="I19" s="367">
        <v>0</v>
      </c>
      <c r="J19" s="114">
        <f t="shared" si="1"/>
        <v>0</v>
      </c>
      <c r="K19" s="179" t="s">
        <v>1794</v>
      </c>
      <c r="L19" s="183">
        <v>2</v>
      </c>
      <c r="M19" s="183">
        <v>2</v>
      </c>
      <c r="N19" s="184">
        <f t="shared" si="11"/>
        <v>100</v>
      </c>
      <c r="O19" s="183" t="s">
        <v>50</v>
      </c>
      <c r="P19" s="183" t="s">
        <v>50</v>
      </c>
      <c r="Q19" s="183" t="s">
        <v>50</v>
      </c>
      <c r="R19" s="183" t="s">
        <v>50</v>
      </c>
      <c r="S19" s="183" t="s">
        <v>50</v>
      </c>
      <c r="T19" s="183" t="s">
        <v>50</v>
      </c>
      <c r="U19" s="183" t="s">
        <v>50</v>
      </c>
      <c r="V19" s="183" t="s">
        <v>50</v>
      </c>
      <c r="W19" s="183" t="s">
        <v>50</v>
      </c>
      <c r="AC19" s="183" t="s">
        <v>50</v>
      </c>
      <c r="AD19" s="183" t="s">
        <v>50</v>
      </c>
      <c r="AE19" s="183" t="s">
        <v>50</v>
      </c>
      <c r="AF19" s="183" t="s">
        <v>50</v>
      </c>
      <c r="AG19" s="183" t="s">
        <v>50</v>
      </c>
      <c r="AH19" s="183" t="s">
        <v>50</v>
      </c>
      <c r="AI19" s="120"/>
      <c r="AJ19" s="120"/>
      <c r="AL19" t="s">
        <v>354</v>
      </c>
      <c r="AM19" t="s">
        <v>264</v>
      </c>
      <c r="AN19" t="s">
        <v>293</v>
      </c>
      <c r="AO19">
        <v>90</v>
      </c>
      <c r="AQ19" t="s">
        <v>328</v>
      </c>
      <c r="AR19" t="s">
        <v>270</v>
      </c>
      <c r="AS19" t="s">
        <v>329</v>
      </c>
      <c r="AT19">
        <v>13</v>
      </c>
    </row>
    <row r="20" spans="1:46" ht="14.95" customHeight="1" thickBot="1" x14ac:dyDescent="0.3">
      <c r="A20" s="179" t="s">
        <v>1260</v>
      </c>
      <c r="B20" s="326">
        <v>0</v>
      </c>
      <c r="C20" s="192">
        <v>0</v>
      </c>
      <c r="D20" s="365">
        <v>0</v>
      </c>
      <c r="E20" s="178">
        <f t="shared" si="0"/>
        <v>0</v>
      </c>
      <c r="F20" s="180" t="s">
        <v>1260</v>
      </c>
      <c r="G20" s="328">
        <v>0</v>
      </c>
      <c r="H20" s="193">
        <v>0</v>
      </c>
      <c r="I20" s="367">
        <v>0</v>
      </c>
      <c r="J20" s="114">
        <f t="shared" si="1"/>
        <v>0</v>
      </c>
      <c r="K20" s="179" t="s">
        <v>991</v>
      </c>
      <c r="L20" s="183">
        <v>7</v>
      </c>
      <c r="M20" s="183">
        <v>10</v>
      </c>
      <c r="N20" s="184">
        <f t="shared" si="11"/>
        <v>70</v>
      </c>
      <c r="O20" s="183">
        <v>4</v>
      </c>
      <c r="P20" s="183">
        <v>6</v>
      </c>
      <c r="Q20" s="184">
        <f t="shared" si="10"/>
        <v>66.666666666666657</v>
      </c>
      <c r="R20" s="183" t="s">
        <v>50</v>
      </c>
      <c r="S20" s="183" t="s">
        <v>50</v>
      </c>
      <c r="T20" s="183" t="s">
        <v>50</v>
      </c>
      <c r="U20" s="186" t="s">
        <v>50</v>
      </c>
      <c r="V20" s="183" t="s">
        <v>50</v>
      </c>
      <c r="W20" s="183" t="s">
        <v>50</v>
      </c>
      <c r="AC20" s="185" t="s">
        <v>50</v>
      </c>
      <c r="AD20" s="183" t="s">
        <v>50</v>
      </c>
      <c r="AE20" s="183" t="s">
        <v>50</v>
      </c>
      <c r="AF20" s="186" t="s">
        <v>50</v>
      </c>
      <c r="AG20" s="183" t="s">
        <v>50</v>
      </c>
      <c r="AH20" s="183" t="s">
        <v>50</v>
      </c>
      <c r="AI20" s="120"/>
      <c r="AJ20" s="120"/>
      <c r="AL20" t="s">
        <v>355</v>
      </c>
      <c r="AM20" t="s">
        <v>284</v>
      </c>
      <c r="AN20" t="s">
        <v>356</v>
      </c>
      <c r="AO20">
        <v>90</v>
      </c>
      <c r="AQ20" t="s">
        <v>367</v>
      </c>
      <c r="AR20" t="s">
        <v>263</v>
      </c>
      <c r="AS20" t="s">
        <v>368</v>
      </c>
      <c r="AT20">
        <v>12</v>
      </c>
    </row>
    <row r="21" spans="1:46" ht="14.95" customHeight="1" thickBot="1" x14ac:dyDescent="0.3">
      <c r="A21" s="179" t="s">
        <v>918</v>
      </c>
      <c r="B21" s="326">
        <v>1</v>
      </c>
      <c r="C21" s="192">
        <v>0</v>
      </c>
      <c r="D21" s="365">
        <v>0</v>
      </c>
      <c r="E21" s="178">
        <f t="shared" si="0"/>
        <v>1</v>
      </c>
      <c r="F21" s="180" t="s">
        <v>918</v>
      </c>
      <c r="G21" s="328">
        <v>5</v>
      </c>
      <c r="H21" s="193">
        <v>0</v>
      </c>
      <c r="I21" s="367">
        <v>0</v>
      </c>
      <c r="J21" s="114">
        <f t="shared" si="1"/>
        <v>5</v>
      </c>
      <c r="AF21" s="121" t="s">
        <v>87</v>
      </c>
      <c r="AG21" s="121" t="s">
        <v>87</v>
      </c>
      <c r="AL21" t="s">
        <v>357</v>
      </c>
      <c r="AM21" t="s">
        <v>260</v>
      </c>
      <c r="AN21" t="s">
        <v>358</v>
      </c>
      <c r="AO21">
        <v>82</v>
      </c>
      <c r="AQ21" t="s">
        <v>382</v>
      </c>
      <c r="AR21" t="s">
        <v>264</v>
      </c>
      <c r="AS21" t="s">
        <v>366</v>
      </c>
      <c r="AT21">
        <v>11</v>
      </c>
    </row>
    <row r="22" spans="1:46" ht="14.95" customHeight="1" thickBot="1" x14ac:dyDescent="0.3">
      <c r="A22" s="179" t="s">
        <v>113</v>
      </c>
      <c r="B22" s="326">
        <v>0</v>
      </c>
      <c r="C22" s="192">
        <v>0</v>
      </c>
      <c r="D22" s="365">
        <v>0</v>
      </c>
      <c r="E22" s="178">
        <f t="shared" si="0"/>
        <v>0</v>
      </c>
      <c r="F22" s="180" t="s">
        <v>113</v>
      </c>
      <c r="G22" s="328">
        <v>0</v>
      </c>
      <c r="H22" s="193">
        <v>0</v>
      </c>
      <c r="I22" s="367">
        <v>0</v>
      </c>
      <c r="J22" s="114">
        <f t="shared" si="1"/>
        <v>0</v>
      </c>
      <c r="K22" s="474" t="s">
        <v>1071</v>
      </c>
      <c r="L22" s="463" t="s">
        <v>49</v>
      </c>
      <c r="M22" s="464"/>
      <c r="N22" s="465"/>
      <c r="O22" s="457" t="s">
        <v>124</v>
      </c>
      <c r="P22" s="458"/>
      <c r="Q22" s="459"/>
      <c r="R22" s="457" t="s">
        <v>1070</v>
      </c>
      <c r="S22" s="458"/>
      <c r="T22" s="459"/>
      <c r="U22" s="457" t="s">
        <v>254</v>
      </c>
      <c r="V22" s="458"/>
      <c r="W22" s="459"/>
      <c r="AC22" s="457" t="s">
        <v>186</v>
      </c>
      <c r="AD22" s="458"/>
      <c r="AE22" s="459"/>
      <c r="AL22" t="s">
        <v>359</v>
      </c>
      <c r="AM22" t="s">
        <v>271</v>
      </c>
      <c r="AN22" t="s">
        <v>360</v>
      </c>
      <c r="AO22">
        <v>80</v>
      </c>
      <c r="AQ22" t="s">
        <v>383</v>
      </c>
      <c r="AR22" t="s">
        <v>272</v>
      </c>
      <c r="AS22" t="s">
        <v>384</v>
      </c>
      <c r="AT22">
        <v>11</v>
      </c>
    </row>
    <row r="23" spans="1:46" ht="14.95" customHeight="1" thickBot="1" x14ac:dyDescent="0.3">
      <c r="A23" s="179" t="s">
        <v>320</v>
      </c>
      <c r="B23" s="326">
        <v>2</v>
      </c>
      <c r="C23" s="192">
        <v>0</v>
      </c>
      <c r="D23" s="365">
        <v>0</v>
      </c>
      <c r="E23" s="178">
        <f t="shared" si="0"/>
        <v>2</v>
      </c>
      <c r="F23" s="180" t="s">
        <v>320</v>
      </c>
      <c r="G23" s="328">
        <v>114</v>
      </c>
      <c r="H23" s="193">
        <v>18</v>
      </c>
      <c r="I23" s="367">
        <v>0</v>
      </c>
      <c r="J23" s="114">
        <f t="shared" si="1"/>
        <v>132</v>
      </c>
      <c r="K23" s="475"/>
      <c r="L23" s="466"/>
      <c r="M23" s="467"/>
      <c r="N23" s="468"/>
      <c r="O23" s="460"/>
      <c r="P23" s="461"/>
      <c r="Q23" s="462"/>
      <c r="R23" s="460"/>
      <c r="S23" s="461"/>
      <c r="T23" s="462"/>
      <c r="U23" s="460"/>
      <c r="V23" s="461"/>
      <c r="W23" s="462"/>
      <c r="AC23" s="460"/>
      <c r="AD23" s="461"/>
      <c r="AE23" s="462"/>
      <c r="AL23" t="s">
        <v>361</v>
      </c>
      <c r="AM23" t="s">
        <v>260</v>
      </c>
      <c r="AN23" t="s">
        <v>362</v>
      </c>
      <c r="AO23">
        <v>78</v>
      </c>
      <c r="AQ23" t="s">
        <v>386</v>
      </c>
      <c r="AR23" t="s">
        <v>276</v>
      </c>
      <c r="AS23" t="s">
        <v>387</v>
      </c>
      <c r="AT23">
        <v>10</v>
      </c>
    </row>
    <row r="24" spans="1:46" ht="14.95" customHeight="1" thickBot="1" x14ac:dyDescent="0.3">
      <c r="A24" s="179" t="s">
        <v>116</v>
      </c>
      <c r="B24" s="326">
        <v>4</v>
      </c>
      <c r="C24" s="192">
        <v>4</v>
      </c>
      <c r="D24" s="365">
        <v>0</v>
      </c>
      <c r="E24" s="178">
        <f t="shared" si="0"/>
        <v>8</v>
      </c>
      <c r="F24" s="180" t="s">
        <v>116</v>
      </c>
      <c r="G24" s="328">
        <v>20</v>
      </c>
      <c r="H24" s="193">
        <v>20</v>
      </c>
      <c r="I24" s="367">
        <v>0</v>
      </c>
      <c r="J24" s="114">
        <f t="shared" si="1"/>
        <v>40</v>
      </c>
      <c r="K24" s="37" t="s">
        <v>87</v>
      </c>
      <c r="L24" s="15" t="s">
        <v>243</v>
      </c>
      <c r="M24" s="15" t="s">
        <v>42</v>
      </c>
      <c r="N24" s="15" t="s">
        <v>43</v>
      </c>
      <c r="O24" s="119" t="s">
        <v>243</v>
      </c>
      <c r="P24" s="119" t="s">
        <v>42</v>
      </c>
      <c r="Q24" s="119" t="s">
        <v>43</v>
      </c>
      <c r="R24" s="119" t="s">
        <v>243</v>
      </c>
      <c r="S24" s="119" t="s">
        <v>42</v>
      </c>
      <c r="T24" s="119" t="s">
        <v>43</v>
      </c>
      <c r="U24" s="124" t="s">
        <v>243</v>
      </c>
      <c r="V24" s="119" t="s">
        <v>42</v>
      </c>
      <c r="W24" s="119" t="s">
        <v>43</v>
      </c>
      <c r="AC24" s="124" t="s">
        <v>243</v>
      </c>
      <c r="AD24" s="119" t="s">
        <v>42</v>
      </c>
      <c r="AE24" s="119" t="s">
        <v>43</v>
      </c>
      <c r="AL24" t="s">
        <v>363</v>
      </c>
      <c r="AM24" t="s">
        <v>268</v>
      </c>
      <c r="AN24" t="s">
        <v>364</v>
      </c>
      <c r="AO24">
        <v>75</v>
      </c>
      <c r="AQ24" t="s">
        <v>385</v>
      </c>
      <c r="AR24" t="s">
        <v>272</v>
      </c>
      <c r="AS24" t="s">
        <v>379</v>
      </c>
      <c r="AT24">
        <v>10</v>
      </c>
    </row>
    <row r="25" spans="1:46" ht="14.95" customHeight="1" thickBot="1" x14ac:dyDescent="0.3">
      <c r="A25" s="179" t="s">
        <v>1836</v>
      </c>
      <c r="B25" s="326">
        <v>1</v>
      </c>
      <c r="C25" s="192">
        <v>0</v>
      </c>
      <c r="D25" s="365">
        <v>0</v>
      </c>
      <c r="E25" s="178">
        <f t="shared" si="0"/>
        <v>1</v>
      </c>
      <c r="F25" s="180" t="s">
        <v>1836</v>
      </c>
      <c r="G25" s="328">
        <v>5</v>
      </c>
      <c r="H25" s="193">
        <v>0</v>
      </c>
      <c r="I25" s="367">
        <v>0</v>
      </c>
      <c r="J25" s="114">
        <f t="shared" si="1"/>
        <v>5</v>
      </c>
      <c r="K25" s="187" t="s">
        <v>992</v>
      </c>
      <c r="L25" s="183" t="s">
        <v>50</v>
      </c>
      <c r="M25" s="183" t="s">
        <v>50</v>
      </c>
      <c r="N25" s="183" t="s">
        <v>50</v>
      </c>
      <c r="O25" s="183">
        <v>1</v>
      </c>
      <c r="P25" s="183">
        <v>1</v>
      </c>
      <c r="Q25" s="184">
        <f t="shared" ref="Q25:Q30" si="12">SUM(O25/P25)*100</f>
        <v>100</v>
      </c>
      <c r="R25" s="183" t="s">
        <v>50</v>
      </c>
      <c r="S25" s="183" t="s">
        <v>50</v>
      </c>
      <c r="T25" s="183" t="s">
        <v>50</v>
      </c>
      <c r="U25" s="186" t="s">
        <v>50</v>
      </c>
      <c r="V25" s="183" t="s">
        <v>50</v>
      </c>
      <c r="W25" s="183" t="s">
        <v>50</v>
      </c>
      <c r="AC25" s="186" t="s">
        <v>50</v>
      </c>
      <c r="AD25" s="183" t="s">
        <v>50</v>
      </c>
      <c r="AE25" s="183" t="s">
        <v>50</v>
      </c>
      <c r="AL25" t="s">
        <v>365</v>
      </c>
      <c r="AM25" t="s">
        <v>268</v>
      </c>
      <c r="AN25" t="s">
        <v>366</v>
      </c>
      <c r="AO25">
        <v>75</v>
      </c>
      <c r="AQ25" t="s">
        <v>345</v>
      </c>
      <c r="AR25" t="s">
        <v>268</v>
      </c>
      <c r="AS25" t="s">
        <v>346</v>
      </c>
      <c r="AT25">
        <v>10</v>
      </c>
    </row>
    <row r="26" spans="1:46" ht="14.95" customHeight="1" thickBot="1" x14ac:dyDescent="0.3">
      <c r="A26" s="179" t="s">
        <v>222</v>
      </c>
      <c r="B26" s="326">
        <v>0</v>
      </c>
      <c r="C26" s="192">
        <v>0</v>
      </c>
      <c r="D26" s="365">
        <v>0</v>
      </c>
      <c r="E26" s="178">
        <f t="shared" si="0"/>
        <v>0</v>
      </c>
      <c r="F26" s="180" t="s">
        <v>222</v>
      </c>
      <c r="G26" s="328">
        <v>0</v>
      </c>
      <c r="H26" s="193">
        <v>0</v>
      </c>
      <c r="I26" s="367">
        <v>0</v>
      </c>
      <c r="J26" s="114">
        <f t="shared" si="1"/>
        <v>0</v>
      </c>
      <c r="K26" s="187" t="s">
        <v>991</v>
      </c>
      <c r="L26" s="183">
        <v>3</v>
      </c>
      <c r="M26" s="183">
        <v>4</v>
      </c>
      <c r="N26" s="184">
        <f t="shared" ref="N26:N29" si="13">SUM(L26/M26)*100</f>
        <v>75</v>
      </c>
      <c r="O26" s="183">
        <v>5</v>
      </c>
      <c r="P26" s="183">
        <v>7</v>
      </c>
      <c r="Q26" s="184">
        <f t="shared" si="12"/>
        <v>71.428571428571431</v>
      </c>
      <c r="R26" s="183" t="s">
        <v>50</v>
      </c>
      <c r="S26" s="183" t="s">
        <v>50</v>
      </c>
      <c r="T26" s="183" t="s">
        <v>50</v>
      </c>
      <c r="U26" s="186" t="s">
        <v>50</v>
      </c>
      <c r="V26" s="183" t="s">
        <v>50</v>
      </c>
      <c r="W26" s="183" t="s">
        <v>50</v>
      </c>
      <c r="AC26" s="186" t="s">
        <v>50</v>
      </c>
      <c r="AD26" s="183" t="s">
        <v>50</v>
      </c>
      <c r="AE26" s="183" t="s">
        <v>50</v>
      </c>
      <c r="AL26" t="s">
        <v>367</v>
      </c>
      <c r="AM26" t="s">
        <v>263</v>
      </c>
      <c r="AN26" t="s">
        <v>368</v>
      </c>
      <c r="AO26">
        <v>72</v>
      </c>
      <c r="AQ26" t="s">
        <v>388</v>
      </c>
      <c r="AR26" t="s">
        <v>262</v>
      </c>
      <c r="AS26" t="s">
        <v>286</v>
      </c>
      <c r="AT26">
        <v>10</v>
      </c>
    </row>
    <row r="27" spans="1:46" ht="14.95" customHeight="1" thickBot="1" x14ac:dyDescent="0.3">
      <c r="A27" s="179" t="s">
        <v>223</v>
      </c>
      <c r="B27" s="326">
        <v>0</v>
      </c>
      <c r="C27" s="192">
        <v>0</v>
      </c>
      <c r="D27" s="365">
        <v>0</v>
      </c>
      <c r="E27" s="178">
        <f t="shared" si="0"/>
        <v>0</v>
      </c>
      <c r="F27" s="180" t="s">
        <v>223</v>
      </c>
      <c r="G27" s="328">
        <v>0</v>
      </c>
      <c r="H27" s="193">
        <v>0</v>
      </c>
      <c r="I27" s="367">
        <v>0</v>
      </c>
      <c r="J27" s="114">
        <f t="shared" si="1"/>
        <v>0</v>
      </c>
      <c r="K27" s="187" t="s">
        <v>1794</v>
      </c>
      <c r="L27" s="183">
        <v>2</v>
      </c>
      <c r="M27" s="183">
        <v>4</v>
      </c>
      <c r="N27" s="184">
        <f t="shared" si="13"/>
        <v>50</v>
      </c>
      <c r="O27" s="183" t="s">
        <v>50</v>
      </c>
      <c r="P27" s="183" t="s">
        <v>50</v>
      </c>
      <c r="Q27" s="183" t="s">
        <v>50</v>
      </c>
      <c r="R27" s="183" t="s">
        <v>50</v>
      </c>
      <c r="S27" s="183" t="s">
        <v>50</v>
      </c>
      <c r="T27" s="183" t="s">
        <v>50</v>
      </c>
      <c r="U27" s="183" t="s">
        <v>50</v>
      </c>
      <c r="V27" s="183" t="s">
        <v>50</v>
      </c>
      <c r="W27" s="183" t="s">
        <v>50</v>
      </c>
      <c r="AC27" s="185" t="s">
        <v>50</v>
      </c>
      <c r="AD27" s="183" t="s">
        <v>50</v>
      </c>
      <c r="AE27" s="183" t="s">
        <v>50</v>
      </c>
      <c r="AL27" t="s">
        <v>369</v>
      </c>
      <c r="AM27" t="s">
        <v>276</v>
      </c>
      <c r="AN27" t="s">
        <v>351</v>
      </c>
      <c r="AO27">
        <v>70</v>
      </c>
      <c r="AQ27" t="s">
        <v>389</v>
      </c>
      <c r="AR27" t="s">
        <v>276</v>
      </c>
      <c r="AS27" t="s">
        <v>390</v>
      </c>
      <c r="AT27">
        <v>10</v>
      </c>
    </row>
    <row r="28" spans="1:46" ht="14.95" customHeight="1" thickBot="1" x14ac:dyDescent="0.3">
      <c r="A28" s="179" t="s">
        <v>207</v>
      </c>
      <c r="B28" s="326">
        <v>0</v>
      </c>
      <c r="C28" s="192">
        <v>0</v>
      </c>
      <c r="D28" s="365">
        <v>0</v>
      </c>
      <c r="E28" s="178">
        <f t="shared" si="0"/>
        <v>0</v>
      </c>
      <c r="F28" s="180" t="s">
        <v>207</v>
      </c>
      <c r="G28" s="328">
        <v>0</v>
      </c>
      <c r="H28" s="193">
        <v>0</v>
      </c>
      <c r="I28" s="367">
        <v>0</v>
      </c>
      <c r="J28" s="114">
        <f t="shared" si="1"/>
        <v>0</v>
      </c>
      <c r="K28" s="187" t="s">
        <v>1057</v>
      </c>
      <c r="L28" s="183" t="s">
        <v>50</v>
      </c>
      <c r="M28" s="183" t="s">
        <v>50</v>
      </c>
      <c r="N28" s="183" t="s">
        <v>50</v>
      </c>
      <c r="O28" s="183">
        <v>1</v>
      </c>
      <c r="P28" s="183">
        <v>1</v>
      </c>
      <c r="Q28" s="184">
        <f t="shared" si="12"/>
        <v>100</v>
      </c>
      <c r="R28" s="183" t="s">
        <v>50</v>
      </c>
      <c r="S28" s="183" t="s">
        <v>50</v>
      </c>
      <c r="T28" s="183" t="s">
        <v>50</v>
      </c>
      <c r="U28" s="186" t="s">
        <v>50</v>
      </c>
      <c r="V28" s="183" t="s">
        <v>50</v>
      </c>
      <c r="W28" s="183" t="s">
        <v>50</v>
      </c>
      <c r="AC28" s="186" t="s">
        <v>50</v>
      </c>
      <c r="AD28" s="183" t="s">
        <v>50</v>
      </c>
      <c r="AE28" s="183" t="s">
        <v>50</v>
      </c>
      <c r="AL28" t="s">
        <v>370</v>
      </c>
      <c r="AM28" t="s">
        <v>264</v>
      </c>
      <c r="AN28" t="s">
        <v>371</v>
      </c>
      <c r="AO28">
        <v>70</v>
      </c>
      <c r="AQ28" t="s">
        <v>391</v>
      </c>
      <c r="AR28" t="s">
        <v>268</v>
      </c>
      <c r="AS28" t="s">
        <v>366</v>
      </c>
      <c r="AT28">
        <v>10</v>
      </c>
    </row>
    <row r="29" spans="1:46" ht="14.95" customHeight="1" thickBot="1" x14ac:dyDescent="0.3">
      <c r="A29" s="179" t="s">
        <v>321</v>
      </c>
      <c r="B29" s="326">
        <v>0</v>
      </c>
      <c r="C29" s="192">
        <v>2</v>
      </c>
      <c r="D29" s="365">
        <v>1</v>
      </c>
      <c r="E29" s="178">
        <f t="shared" si="0"/>
        <v>3</v>
      </c>
      <c r="F29" s="180" t="s">
        <v>321</v>
      </c>
      <c r="G29" s="328">
        <v>0</v>
      </c>
      <c r="H29" s="193">
        <v>10</v>
      </c>
      <c r="I29" s="367">
        <v>5</v>
      </c>
      <c r="J29" s="114">
        <f t="shared" si="1"/>
        <v>15</v>
      </c>
      <c r="K29" s="187" t="s">
        <v>1764</v>
      </c>
      <c r="L29" s="183">
        <v>1</v>
      </c>
      <c r="M29" s="183">
        <v>2</v>
      </c>
      <c r="N29" s="184">
        <f t="shared" si="13"/>
        <v>50</v>
      </c>
      <c r="O29" s="183" t="s">
        <v>50</v>
      </c>
      <c r="P29" s="183" t="s">
        <v>50</v>
      </c>
      <c r="Q29" s="183" t="s">
        <v>50</v>
      </c>
      <c r="R29" s="183" t="s">
        <v>50</v>
      </c>
      <c r="S29" s="183" t="s">
        <v>50</v>
      </c>
      <c r="T29" s="183" t="s">
        <v>50</v>
      </c>
      <c r="U29" s="183" t="s">
        <v>50</v>
      </c>
      <c r="V29" s="183" t="s">
        <v>50</v>
      </c>
      <c r="W29" s="183" t="s">
        <v>50</v>
      </c>
      <c r="AC29" s="185" t="s">
        <v>50</v>
      </c>
      <c r="AD29" s="183" t="s">
        <v>50</v>
      </c>
      <c r="AE29" s="183" t="s">
        <v>50</v>
      </c>
      <c r="AL29" t="s">
        <v>372</v>
      </c>
      <c r="AM29" t="s">
        <v>284</v>
      </c>
      <c r="AN29" t="s">
        <v>373</v>
      </c>
      <c r="AO29">
        <v>70</v>
      </c>
      <c r="AQ29" t="s">
        <v>393</v>
      </c>
      <c r="AR29" t="s">
        <v>274</v>
      </c>
      <c r="AS29" t="s">
        <v>394</v>
      </c>
      <c r="AT29">
        <v>9</v>
      </c>
    </row>
    <row r="30" spans="1:46" ht="14.95" customHeight="1" thickBot="1" x14ac:dyDescent="0.3">
      <c r="A30" s="179" t="s">
        <v>48</v>
      </c>
      <c r="B30" s="326">
        <v>0</v>
      </c>
      <c r="C30" s="192">
        <v>0</v>
      </c>
      <c r="D30" s="365">
        <v>0</v>
      </c>
      <c r="E30" s="178">
        <f t="shared" si="0"/>
        <v>0</v>
      </c>
      <c r="F30" s="180" t="s">
        <v>48</v>
      </c>
      <c r="G30" s="328">
        <v>0</v>
      </c>
      <c r="H30" s="193">
        <v>0</v>
      </c>
      <c r="I30" s="367">
        <v>0</v>
      </c>
      <c r="J30" s="114">
        <f t="shared" si="1"/>
        <v>0</v>
      </c>
      <c r="K30" s="179" t="s">
        <v>320</v>
      </c>
      <c r="L30" s="183" t="s">
        <v>50</v>
      </c>
      <c r="M30" s="183" t="s">
        <v>50</v>
      </c>
      <c r="N30" s="183" t="s">
        <v>50</v>
      </c>
      <c r="O30" s="183">
        <v>8</v>
      </c>
      <c r="P30" s="183">
        <v>10</v>
      </c>
      <c r="Q30" s="184">
        <f t="shared" si="12"/>
        <v>80</v>
      </c>
      <c r="R30" s="183" t="s">
        <v>50</v>
      </c>
      <c r="S30" s="183" t="s">
        <v>50</v>
      </c>
      <c r="T30" s="183" t="s">
        <v>50</v>
      </c>
      <c r="U30" s="186" t="s">
        <v>50</v>
      </c>
      <c r="V30" s="183" t="s">
        <v>50</v>
      </c>
      <c r="W30" s="183" t="s">
        <v>50</v>
      </c>
      <c r="AC30" s="186" t="s">
        <v>50</v>
      </c>
      <c r="AD30" s="183" t="s">
        <v>50</v>
      </c>
      <c r="AE30" s="183" t="s">
        <v>50</v>
      </c>
      <c r="AL30" t="s">
        <v>374</v>
      </c>
      <c r="AM30" t="s">
        <v>276</v>
      </c>
      <c r="AN30" t="s">
        <v>375</v>
      </c>
      <c r="AO30">
        <v>70</v>
      </c>
      <c r="AQ30" t="s">
        <v>395</v>
      </c>
      <c r="AR30" t="s">
        <v>262</v>
      </c>
      <c r="AS30" t="s">
        <v>329</v>
      </c>
      <c r="AT30">
        <v>9</v>
      </c>
    </row>
    <row r="31" spans="1:46" ht="14.95" customHeight="1" thickBot="1" x14ac:dyDescent="0.3">
      <c r="A31" s="179" t="s">
        <v>152</v>
      </c>
      <c r="B31" s="326">
        <v>0</v>
      </c>
      <c r="C31" s="192">
        <v>0</v>
      </c>
      <c r="D31" s="365">
        <v>0</v>
      </c>
      <c r="E31" s="178">
        <f t="shared" si="0"/>
        <v>0</v>
      </c>
      <c r="F31" s="180" t="s">
        <v>152</v>
      </c>
      <c r="G31" s="328">
        <v>0</v>
      </c>
      <c r="H31" s="193">
        <v>0</v>
      </c>
      <c r="I31" s="367">
        <v>0</v>
      </c>
      <c r="J31" s="114">
        <f t="shared" si="1"/>
        <v>0</v>
      </c>
      <c r="AL31" t="s">
        <v>376</v>
      </c>
      <c r="AM31" t="s">
        <v>260</v>
      </c>
      <c r="AN31" t="s">
        <v>351</v>
      </c>
      <c r="AO31">
        <v>69</v>
      </c>
      <c r="AQ31" t="s">
        <v>396</v>
      </c>
      <c r="AR31" t="s">
        <v>274</v>
      </c>
      <c r="AS31" t="s">
        <v>311</v>
      </c>
      <c r="AT31">
        <v>9</v>
      </c>
    </row>
    <row r="32" spans="1:46" ht="14.95" customHeight="1" thickBot="1" x14ac:dyDescent="0.3">
      <c r="A32" s="179" t="s">
        <v>7</v>
      </c>
      <c r="B32" s="326">
        <v>3</v>
      </c>
      <c r="C32" s="192">
        <v>2</v>
      </c>
      <c r="D32" s="365">
        <v>1</v>
      </c>
      <c r="E32" s="178">
        <f t="shared" si="0"/>
        <v>6</v>
      </c>
      <c r="F32" s="180" t="s">
        <v>7</v>
      </c>
      <c r="G32" s="328">
        <v>21</v>
      </c>
      <c r="H32" s="193">
        <v>14</v>
      </c>
      <c r="I32" s="367">
        <v>7</v>
      </c>
      <c r="J32" s="114">
        <f t="shared" si="1"/>
        <v>42</v>
      </c>
      <c r="AL32" t="s">
        <v>377</v>
      </c>
      <c r="AM32" t="s">
        <v>378</v>
      </c>
      <c r="AN32" t="s">
        <v>379</v>
      </c>
      <c r="AO32">
        <v>68</v>
      </c>
      <c r="AQ32" t="s">
        <v>397</v>
      </c>
      <c r="AR32" t="s">
        <v>284</v>
      </c>
      <c r="AS32" t="s">
        <v>398</v>
      </c>
      <c r="AT32">
        <v>9</v>
      </c>
    </row>
    <row r="33" spans="1:46" ht="14.95" customHeight="1" thickBot="1" x14ac:dyDescent="0.3">
      <c r="A33" s="179" t="s">
        <v>322</v>
      </c>
      <c r="B33" s="326">
        <v>1</v>
      </c>
      <c r="C33" s="192">
        <v>0</v>
      </c>
      <c r="D33" s="365">
        <v>0</v>
      </c>
      <c r="E33" s="178">
        <f t="shared" si="0"/>
        <v>1</v>
      </c>
      <c r="F33" s="180" t="s">
        <v>322</v>
      </c>
      <c r="G33" s="328">
        <v>5</v>
      </c>
      <c r="H33" s="193">
        <v>0</v>
      </c>
      <c r="I33" s="367">
        <v>0</v>
      </c>
      <c r="J33" s="114">
        <f t="shared" si="1"/>
        <v>5</v>
      </c>
      <c r="AL33" t="s">
        <v>380</v>
      </c>
      <c r="AM33" t="s">
        <v>262</v>
      </c>
      <c r="AN33" t="s">
        <v>381</v>
      </c>
      <c r="AO33">
        <v>65</v>
      </c>
      <c r="AQ33" t="s">
        <v>399</v>
      </c>
      <c r="AR33" t="s">
        <v>268</v>
      </c>
      <c r="AS33" t="s">
        <v>400</v>
      </c>
      <c r="AT33">
        <v>9</v>
      </c>
    </row>
    <row r="34" spans="1:46" ht="14.95" customHeight="1" thickBot="1" x14ac:dyDescent="0.3">
      <c r="A34" s="179" t="s">
        <v>1844</v>
      </c>
      <c r="B34" s="326">
        <v>1</v>
      </c>
      <c r="C34" s="192">
        <v>0</v>
      </c>
      <c r="D34" s="365">
        <v>0</v>
      </c>
      <c r="E34" s="178">
        <f t="shared" si="0"/>
        <v>1</v>
      </c>
      <c r="F34" s="180" t="s">
        <v>1844</v>
      </c>
      <c r="G34" s="328">
        <v>5</v>
      </c>
      <c r="H34" s="193">
        <v>0</v>
      </c>
      <c r="I34" s="367">
        <v>0</v>
      </c>
      <c r="J34" s="114">
        <f t="shared" si="1"/>
        <v>5</v>
      </c>
      <c r="AL34" t="s">
        <v>382</v>
      </c>
      <c r="AM34" t="s">
        <v>264</v>
      </c>
      <c r="AN34" t="s">
        <v>366</v>
      </c>
      <c r="AO34">
        <v>55</v>
      </c>
      <c r="AQ34" t="s">
        <v>403</v>
      </c>
      <c r="AR34" t="s">
        <v>264</v>
      </c>
      <c r="AS34" t="s">
        <v>404</v>
      </c>
      <c r="AT34">
        <v>8</v>
      </c>
    </row>
    <row r="35" spans="1:46" ht="14.95" customHeight="1" thickBot="1" x14ac:dyDescent="0.3">
      <c r="A35" s="179" t="s">
        <v>1057</v>
      </c>
      <c r="B35" s="326">
        <v>0</v>
      </c>
      <c r="C35" s="192">
        <v>0</v>
      </c>
      <c r="D35" s="365">
        <v>0</v>
      </c>
      <c r="E35" s="178">
        <f t="shared" si="0"/>
        <v>0</v>
      </c>
      <c r="F35" s="180" t="s">
        <v>1057</v>
      </c>
      <c r="G35" s="328">
        <v>0</v>
      </c>
      <c r="H35" s="193">
        <v>0</v>
      </c>
      <c r="I35" s="367">
        <v>0</v>
      </c>
      <c r="J35" s="114">
        <f t="shared" si="1"/>
        <v>0</v>
      </c>
      <c r="AL35" t="s">
        <v>383</v>
      </c>
      <c r="AM35" t="s">
        <v>272</v>
      </c>
      <c r="AN35" t="s">
        <v>384</v>
      </c>
      <c r="AO35">
        <v>55</v>
      </c>
      <c r="AQ35" t="s">
        <v>401</v>
      </c>
      <c r="AR35" t="s">
        <v>262</v>
      </c>
      <c r="AS35" t="s">
        <v>398</v>
      </c>
      <c r="AT35">
        <v>8</v>
      </c>
    </row>
    <row r="36" spans="1:46" ht="14.95" customHeight="1" thickBot="1" x14ac:dyDescent="0.3">
      <c r="A36" s="179" t="s">
        <v>1056</v>
      </c>
      <c r="B36" s="326">
        <v>0</v>
      </c>
      <c r="C36" s="192">
        <v>1</v>
      </c>
      <c r="D36" s="365">
        <v>0</v>
      </c>
      <c r="E36" s="178">
        <f t="shared" si="0"/>
        <v>1</v>
      </c>
      <c r="F36" s="180" t="s">
        <v>1056</v>
      </c>
      <c r="G36" s="328">
        <v>0</v>
      </c>
      <c r="H36" s="193">
        <v>5</v>
      </c>
      <c r="I36" s="367">
        <v>0</v>
      </c>
      <c r="J36" s="114">
        <f t="shared" si="1"/>
        <v>5</v>
      </c>
      <c r="AL36" t="s">
        <v>385</v>
      </c>
      <c r="AM36" t="s">
        <v>272</v>
      </c>
      <c r="AN36" t="s">
        <v>379</v>
      </c>
      <c r="AO36">
        <v>53</v>
      </c>
      <c r="AQ36" t="s">
        <v>405</v>
      </c>
      <c r="AR36" t="s">
        <v>262</v>
      </c>
      <c r="AS36" t="s">
        <v>329</v>
      </c>
      <c r="AT36">
        <v>8</v>
      </c>
    </row>
    <row r="37" spans="1:46" ht="14.95" customHeight="1" thickBot="1" x14ac:dyDescent="0.3">
      <c r="A37" s="179" t="s">
        <v>994</v>
      </c>
      <c r="B37" s="326">
        <v>1</v>
      </c>
      <c r="C37" s="192">
        <v>1</v>
      </c>
      <c r="D37" s="365">
        <v>0</v>
      </c>
      <c r="E37" s="178">
        <f t="shared" si="0"/>
        <v>2</v>
      </c>
      <c r="F37" s="180" t="s">
        <v>994</v>
      </c>
      <c r="G37" s="328">
        <v>5</v>
      </c>
      <c r="H37" s="193">
        <v>5</v>
      </c>
      <c r="I37" s="367">
        <v>0</v>
      </c>
      <c r="J37" s="114">
        <f t="shared" si="1"/>
        <v>10</v>
      </c>
      <c r="AL37" t="s">
        <v>386</v>
      </c>
      <c r="AM37" t="s">
        <v>276</v>
      </c>
      <c r="AN37" t="s">
        <v>387</v>
      </c>
      <c r="AO37">
        <v>50</v>
      </c>
      <c r="AQ37" t="s">
        <v>402</v>
      </c>
      <c r="AR37" t="s">
        <v>272</v>
      </c>
      <c r="AS37" t="s">
        <v>329</v>
      </c>
      <c r="AT37">
        <v>8</v>
      </c>
    </row>
    <row r="38" spans="1:46" ht="14.95" customHeight="1" thickBot="1" x14ac:dyDescent="0.3">
      <c r="A38" s="179" t="s">
        <v>944</v>
      </c>
      <c r="B38" s="326">
        <v>12</v>
      </c>
      <c r="C38" s="192">
        <v>2</v>
      </c>
      <c r="D38" s="365">
        <v>0</v>
      </c>
      <c r="E38" s="178">
        <f t="shared" si="0"/>
        <v>14</v>
      </c>
      <c r="F38" s="180" t="s">
        <v>944</v>
      </c>
      <c r="G38" s="328">
        <v>60</v>
      </c>
      <c r="H38" s="193">
        <v>10</v>
      </c>
      <c r="I38" s="367">
        <v>0</v>
      </c>
      <c r="J38" s="114">
        <f t="shared" si="1"/>
        <v>70</v>
      </c>
      <c r="AL38" t="s">
        <v>388</v>
      </c>
      <c r="AM38" t="s">
        <v>262</v>
      </c>
      <c r="AN38" t="s">
        <v>286</v>
      </c>
      <c r="AO38">
        <v>50</v>
      </c>
      <c r="AQ38" t="s">
        <v>326</v>
      </c>
      <c r="AR38" t="s">
        <v>260</v>
      </c>
      <c r="AS38" t="s">
        <v>327</v>
      </c>
      <c r="AT38">
        <v>7</v>
      </c>
    </row>
    <row r="39" spans="1:46" ht="14.95" customHeight="1" thickBot="1" x14ac:dyDescent="0.3">
      <c r="A39" s="179" t="s">
        <v>995</v>
      </c>
      <c r="B39" s="326">
        <v>0</v>
      </c>
      <c r="C39" s="192">
        <v>0</v>
      </c>
      <c r="D39" s="365">
        <v>0</v>
      </c>
      <c r="E39" s="178">
        <f t="shared" si="0"/>
        <v>0</v>
      </c>
      <c r="F39" s="180" t="s">
        <v>995</v>
      </c>
      <c r="G39" s="328">
        <v>0</v>
      </c>
      <c r="H39" s="193">
        <v>0</v>
      </c>
      <c r="I39" s="367">
        <v>0</v>
      </c>
      <c r="J39" s="114">
        <f t="shared" si="1"/>
        <v>0</v>
      </c>
      <c r="AL39" t="s">
        <v>389</v>
      </c>
      <c r="AM39" t="s">
        <v>276</v>
      </c>
      <c r="AN39" t="s">
        <v>390</v>
      </c>
      <c r="AO39">
        <v>50</v>
      </c>
      <c r="AQ39" t="s">
        <v>408</v>
      </c>
      <c r="AR39" t="s">
        <v>268</v>
      </c>
      <c r="AS39" t="s">
        <v>409</v>
      </c>
      <c r="AT39">
        <v>7</v>
      </c>
    </row>
    <row r="40" spans="1:46" ht="14.95" customHeight="1" thickBot="1" x14ac:dyDescent="0.3">
      <c r="A40" s="179" t="s">
        <v>996</v>
      </c>
      <c r="B40" s="326">
        <v>0</v>
      </c>
      <c r="C40" s="192">
        <v>0</v>
      </c>
      <c r="D40" s="365">
        <v>0</v>
      </c>
      <c r="E40" s="178">
        <f t="shared" si="0"/>
        <v>0</v>
      </c>
      <c r="F40" s="180" t="s">
        <v>996</v>
      </c>
      <c r="G40" s="328">
        <v>0</v>
      </c>
      <c r="H40" s="193">
        <v>0</v>
      </c>
      <c r="I40" s="367">
        <v>0</v>
      </c>
      <c r="J40" s="114">
        <f t="shared" si="1"/>
        <v>0</v>
      </c>
      <c r="AL40" t="s">
        <v>391</v>
      </c>
      <c r="AM40" t="s">
        <v>268</v>
      </c>
      <c r="AN40" t="s">
        <v>366</v>
      </c>
      <c r="AO40">
        <v>50</v>
      </c>
      <c r="AQ40" t="s">
        <v>410</v>
      </c>
      <c r="AR40" t="s">
        <v>262</v>
      </c>
      <c r="AS40" t="s">
        <v>411</v>
      </c>
      <c r="AT40">
        <v>7</v>
      </c>
    </row>
    <row r="41" spans="1:46" ht="14.95" customHeight="1" thickBot="1" x14ac:dyDescent="0.3">
      <c r="A41" s="179" t="s">
        <v>1757</v>
      </c>
      <c r="B41" s="326">
        <v>1</v>
      </c>
      <c r="C41" s="192">
        <v>1</v>
      </c>
      <c r="D41" s="365">
        <v>1</v>
      </c>
      <c r="E41" s="178">
        <f t="shared" si="0"/>
        <v>3</v>
      </c>
      <c r="F41" s="180" t="s">
        <v>1757</v>
      </c>
      <c r="G41" s="328">
        <v>5</v>
      </c>
      <c r="H41" s="193">
        <v>5</v>
      </c>
      <c r="I41" s="367">
        <v>5</v>
      </c>
      <c r="J41" s="114">
        <f t="shared" si="1"/>
        <v>15</v>
      </c>
      <c r="AL41" t="s">
        <v>392</v>
      </c>
      <c r="AM41" t="s">
        <v>260</v>
      </c>
      <c r="AN41" t="s">
        <v>293</v>
      </c>
      <c r="AO41">
        <v>48</v>
      </c>
      <c r="AQ41" t="s">
        <v>412</v>
      </c>
      <c r="AR41" t="s">
        <v>276</v>
      </c>
      <c r="AS41" t="s">
        <v>329</v>
      </c>
      <c r="AT41">
        <v>7</v>
      </c>
    </row>
    <row r="42" spans="1:46" ht="14.95" customHeight="1" thickBot="1" x14ac:dyDescent="0.3">
      <c r="A42" s="179" t="s">
        <v>323</v>
      </c>
      <c r="B42" s="326">
        <v>4</v>
      </c>
      <c r="C42" s="192">
        <v>2</v>
      </c>
      <c r="D42" s="365">
        <v>1</v>
      </c>
      <c r="E42" s="178">
        <f t="shared" si="0"/>
        <v>7</v>
      </c>
      <c r="F42" s="180" t="s">
        <v>323</v>
      </c>
      <c r="G42" s="328">
        <v>20</v>
      </c>
      <c r="H42" s="193">
        <v>10</v>
      </c>
      <c r="I42" s="367">
        <v>5</v>
      </c>
      <c r="J42" s="114">
        <f t="shared" si="1"/>
        <v>35</v>
      </c>
      <c r="AL42" t="s">
        <v>393</v>
      </c>
      <c r="AM42" t="s">
        <v>274</v>
      </c>
      <c r="AN42" t="s">
        <v>394</v>
      </c>
      <c r="AO42">
        <v>45</v>
      </c>
      <c r="AQ42" t="s">
        <v>339</v>
      </c>
      <c r="AR42" t="s">
        <v>259</v>
      </c>
      <c r="AS42" t="s">
        <v>340</v>
      </c>
      <c r="AT42">
        <v>7</v>
      </c>
    </row>
    <row r="43" spans="1:46" ht="14.95" customHeight="1" thickBot="1" x14ac:dyDescent="0.3">
      <c r="A43" s="179" t="s">
        <v>1764</v>
      </c>
      <c r="B43" s="326">
        <v>0</v>
      </c>
      <c r="C43" s="192">
        <v>1</v>
      </c>
      <c r="D43" s="365">
        <v>0</v>
      </c>
      <c r="E43" s="178">
        <f t="shared" si="0"/>
        <v>1</v>
      </c>
      <c r="F43" s="180" t="s">
        <v>1764</v>
      </c>
      <c r="G43" s="328">
        <v>0</v>
      </c>
      <c r="H43" s="193">
        <v>5</v>
      </c>
      <c r="I43" s="367">
        <v>3</v>
      </c>
      <c r="J43" s="114">
        <f t="shared" si="1"/>
        <v>8</v>
      </c>
      <c r="AL43" t="s">
        <v>395</v>
      </c>
      <c r="AM43" t="s">
        <v>262</v>
      </c>
      <c r="AN43" t="s">
        <v>329</v>
      </c>
      <c r="AO43">
        <v>45</v>
      </c>
      <c r="AQ43" t="s">
        <v>413</v>
      </c>
      <c r="AR43" t="s">
        <v>278</v>
      </c>
      <c r="AS43" t="s">
        <v>414</v>
      </c>
      <c r="AT43">
        <v>7</v>
      </c>
    </row>
    <row r="44" spans="1:46" ht="14.95" thickBot="1" x14ac:dyDescent="0.3">
      <c r="A44" s="179" t="s">
        <v>14</v>
      </c>
      <c r="B44" s="326">
        <v>3</v>
      </c>
      <c r="C44" s="192">
        <v>0</v>
      </c>
      <c r="D44" s="365">
        <v>0</v>
      </c>
      <c r="E44" s="178">
        <f t="shared" si="0"/>
        <v>3</v>
      </c>
      <c r="F44" s="180" t="s">
        <v>14</v>
      </c>
      <c r="G44" s="328">
        <v>15</v>
      </c>
      <c r="H44" s="193">
        <v>0</v>
      </c>
      <c r="I44" s="367">
        <v>0</v>
      </c>
      <c r="J44" s="114">
        <f t="shared" si="1"/>
        <v>15</v>
      </c>
    </row>
    <row r="45" spans="1:46" ht="14.95" thickBot="1" x14ac:dyDescent="0.3">
      <c r="A45" s="179" t="s">
        <v>3</v>
      </c>
      <c r="B45" s="326">
        <f>SUM(B3:B44)</f>
        <v>52</v>
      </c>
      <c r="C45" s="192">
        <f>SUM(C3:C44)</f>
        <v>31</v>
      </c>
      <c r="D45" s="365">
        <f>SUM(D3:D44)</f>
        <v>6</v>
      </c>
      <c r="E45" s="178">
        <f>SUM(E3:E44)</f>
        <v>89</v>
      </c>
      <c r="F45" s="180" t="s">
        <v>3</v>
      </c>
      <c r="G45" s="328">
        <f>SUM(G3:G44)</f>
        <v>462</v>
      </c>
      <c r="H45" s="193">
        <f>SUM(H3:H44)</f>
        <v>236</v>
      </c>
      <c r="I45" s="367">
        <f>SUM(I3:I44)</f>
        <v>48</v>
      </c>
      <c r="J45" s="114">
        <f>SUM(J3:J44)</f>
        <v>746</v>
      </c>
    </row>
    <row r="46" spans="1:46" x14ac:dyDescent="0.25">
      <c r="B46" s="299"/>
      <c r="C46" s="104"/>
      <c r="D46" s="104"/>
      <c r="F46" s="181"/>
      <c r="G46" s="299"/>
      <c r="H46" s="104"/>
      <c r="I46" s="104"/>
    </row>
    <row r="47" spans="1:46" ht="14.95" thickBot="1" x14ac:dyDescent="0.3">
      <c r="A47" t="s">
        <v>45</v>
      </c>
      <c r="B47" s="299"/>
      <c r="C47" s="104"/>
      <c r="D47" s="104"/>
      <c r="F47" s="182"/>
      <c r="G47" s="303"/>
      <c r="H47" s="106"/>
      <c r="I47" s="106"/>
      <c r="J47" s="46"/>
    </row>
    <row r="48" spans="1:46" ht="14.95" thickBot="1" x14ac:dyDescent="0.3">
      <c r="A48" s="199" t="s">
        <v>0</v>
      </c>
      <c r="B48" s="325" t="s">
        <v>1072</v>
      </c>
      <c r="C48" s="200" t="s">
        <v>127</v>
      </c>
      <c r="D48" s="364" t="s">
        <v>1073</v>
      </c>
      <c r="E48" s="201" t="s">
        <v>1</v>
      </c>
      <c r="F48" s="202" t="s">
        <v>2</v>
      </c>
      <c r="G48" s="327" t="s">
        <v>1072</v>
      </c>
      <c r="H48" s="203" t="s">
        <v>127</v>
      </c>
      <c r="I48" s="366" t="s">
        <v>1073</v>
      </c>
      <c r="J48" s="204" t="s">
        <v>1</v>
      </c>
    </row>
    <row r="49" spans="1:10" ht="14.95" thickBot="1" x14ac:dyDescent="0.3">
      <c r="A49" s="179" t="s">
        <v>944</v>
      </c>
      <c r="B49" s="326">
        <v>12</v>
      </c>
      <c r="C49" s="192">
        <v>2</v>
      </c>
      <c r="D49" s="365">
        <v>0</v>
      </c>
      <c r="E49" s="178">
        <f t="shared" ref="E49:E90" si="14">SUM(B49:D49)</f>
        <v>14</v>
      </c>
      <c r="F49" s="266" t="s">
        <v>320</v>
      </c>
      <c r="G49" s="328">
        <v>114</v>
      </c>
      <c r="H49" s="193">
        <v>18</v>
      </c>
      <c r="I49" s="367">
        <v>0</v>
      </c>
      <c r="J49" s="114">
        <f t="shared" ref="J49:J90" si="15">SUM(G49:I49)</f>
        <v>132</v>
      </c>
    </row>
    <row r="50" spans="1:10" ht="14.95" thickBot="1" x14ac:dyDescent="0.3">
      <c r="A50" s="179" t="s">
        <v>1725</v>
      </c>
      <c r="B50" s="326">
        <v>2</v>
      </c>
      <c r="C50" s="192">
        <v>8</v>
      </c>
      <c r="D50" s="365">
        <v>0</v>
      </c>
      <c r="E50" s="178">
        <f t="shared" si="14"/>
        <v>10</v>
      </c>
      <c r="F50" s="180" t="s">
        <v>1794</v>
      </c>
      <c r="G50" s="328">
        <v>71</v>
      </c>
      <c r="H50" s="193">
        <v>4</v>
      </c>
      <c r="I50" s="367">
        <v>6</v>
      </c>
      <c r="J50" s="114">
        <f t="shared" si="15"/>
        <v>81</v>
      </c>
    </row>
    <row r="51" spans="1:10" ht="14.95" thickBot="1" x14ac:dyDescent="0.3">
      <c r="A51" s="179" t="s">
        <v>116</v>
      </c>
      <c r="B51" s="326">
        <v>4</v>
      </c>
      <c r="C51" s="192">
        <v>4</v>
      </c>
      <c r="D51" s="365">
        <v>0</v>
      </c>
      <c r="E51" s="178">
        <f t="shared" si="14"/>
        <v>8</v>
      </c>
      <c r="F51" s="180" t="s">
        <v>992</v>
      </c>
      <c r="G51" s="328">
        <v>34</v>
      </c>
      <c r="H51" s="193">
        <v>45</v>
      </c>
      <c r="I51" s="367">
        <v>0</v>
      </c>
      <c r="J51" s="114">
        <f t="shared" si="15"/>
        <v>79</v>
      </c>
    </row>
    <row r="52" spans="1:10" ht="14.95" thickBot="1" x14ac:dyDescent="0.3">
      <c r="A52" s="179" t="s">
        <v>323</v>
      </c>
      <c r="B52" s="326">
        <v>4</v>
      </c>
      <c r="C52" s="192">
        <v>2</v>
      </c>
      <c r="D52" s="365">
        <v>1</v>
      </c>
      <c r="E52" s="178">
        <f t="shared" si="14"/>
        <v>7</v>
      </c>
      <c r="F52" s="180" t="s">
        <v>944</v>
      </c>
      <c r="G52" s="328">
        <v>60</v>
      </c>
      <c r="H52" s="193">
        <v>10</v>
      </c>
      <c r="I52" s="367">
        <v>0</v>
      </c>
      <c r="J52" s="114">
        <f t="shared" si="15"/>
        <v>70</v>
      </c>
    </row>
    <row r="53" spans="1:10" ht="14.95" thickBot="1" x14ac:dyDescent="0.3">
      <c r="A53" s="179" t="s">
        <v>7</v>
      </c>
      <c r="B53" s="326">
        <v>3</v>
      </c>
      <c r="C53" s="192">
        <v>2</v>
      </c>
      <c r="D53" s="365">
        <v>1</v>
      </c>
      <c r="E53" s="178">
        <f t="shared" si="14"/>
        <v>6</v>
      </c>
      <c r="F53" s="180" t="s">
        <v>1725</v>
      </c>
      <c r="G53" s="328">
        <v>10</v>
      </c>
      <c r="H53" s="193">
        <v>40</v>
      </c>
      <c r="I53" s="367">
        <v>0</v>
      </c>
      <c r="J53" s="114">
        <f t="shared" si="15"/>
        <v>50</v>
      </c>
    </row>
    <row r="54" spans="1:10" ht="14.95" thickBot="1" x14ac:dyDescent="0.3">
      <c r="A54" s="179" t="s">
        <v>168</v>
      </c>
      <c r="B54" s="326">
        <v>3</v>
      </c>
      <c r="C54" s="192">
        <v>1</v>
      </c>
      <c r="D54" s="365">
        <v>1</v>
      </c>
      <c r="E54" s="178">
        <f t="shared" si="14"/>
        <v>5</v>
      </c>
      <c r="F54" s="180" t="s">
        <v>991</v>
      </c>
      <c r="G54" s="328">
        <v>10</v>
      </c>
      <c r="H54" s="193">
        <v>20</v>
      </c>
      <c r="I54" s="367">
        <v>12</v>
      </c>
      <c r="J54" s="114">
        <f t="shared" si="15"/>
        <v>42</v>
      </c>
    </row>
    <row r="55" spans="1:10" ht="14.95" thickBot="1" x14ac:dyDescent="0.3">
      <c r="A55" s="179" t="s">
        <v>991</v>
      </c>
      <c r="B55" s="326">
        <v>2</v>
      </c>
      <c r="C55" s="192">
        <v>1</v>
      </c>
      <c r="D55" s="365">
        <v>1</v>
      </c>
      <c r="E55" s="178">
        <f t="shared" si="14"/>
        <v>4</v>
      </c>
      <c r="F55" s="180" t="s">
        <v>7</v>
      </c>
      <c r="G55" s="328">
        <v>21</v>
      </c>
      <c r="H55" s="193">
        <v>14</v>
      </c>
      <c r="I55" s="367">
        <v>7</v>
      </c>
      <c r="J55" s="114">
        <f t="shared" si="15"/>
        <v>42</v>
      </c>
    </row>
    <row r="56" spans="1:10" ht="14.95" thickBot="1" x14ac:dyDescent="0.3">
      <c r="A56" s="179" t="s">
        <v>992</v>
      </c>
      <c r="B56" s="326">
        <v>3</v>
      </c>
      <c r="C56" s="192">
        <v>1</v>
      </c>
      <c r="D56" s="365">
        <v>0</v>
      </c>
      <c r="E56" s="178">
        <f t="shared" si="14"/>
        <v>4</v>
      </c>
      <c r="F56" s="180" t="s">
        <v>116</v>
      </c>
      <c r="G56" s="328">
        <v>20</v>
      </c>
      <c r="H56" s="193">
        <v>20</v>
      </c>
      <c r="I56" s="367">
        <v>0</v>
      </c>
      <c r="J56" s="114">
        <f t="shared" si="15"/>
        <v>40</v>
      </c>
    </row>
    <row r="57" spans="1:10" ht="14.95" thickBot="1" x14ac:dyDescent="0.3">
      <c r="A57" s="179" t="s">
        <v>4</v>
      </c>
      <c r="B57" s="326">
        <v>3</v>
      </c>
      <c r="C57" s="192">
        <v>0</v>
      </c>
      <c r="D57" s="365">
        <v>0</v>
      </c>
      <c r="E57" s="178">
        <f t="shared" si="14"/>
        <v>3</v>
      </c>
      <c r="F57" s="180" t="s">
        <v>323</v>
      </c>
      <c r="G57" s="328">
        <v>20</v>
      </c>
      <c r="H57" s="193">
        <v>10</v>
      </c>
      <c r="I57" s="367">
        <v>5</v>
      </c>
      <c r="J57" s="114">
        <f t="shared" si="15"/>
        <v>35</v>
      </c>
    </row>
    <row r="58" spans="1:10" ht="14.95" thickBot="1" x14ac:dyDescent="0.3">
      <c r="A58" s="179" t="s">
        <v>1043</v>
      </c>
      <c r="B58" s="326">
        <v>3</v>
      </c>
      <c r="C58" s="192">
        <v>0</v>
      </c>
      <c r="D58" s="365">
        <v>0</v>
      </c>
      <c r="E58" s="178">
        <f t="shared" si="14"/>
        <v>3</v>
      </c>
      <c r="F58" s="180" t="s">
        <v>168</v>
      </c>
      <c r="G58" s="328">
        <v>15</v>
      </c>
      <c r="H58" s="193">
        <v>5</v>
      </c>
      <c r="I58" s="367">
        <v>5</v>
      </c>
      <c r="J58" s="114">
        <f t="shared" si="15"/>
        <v>25</v>
      </c>
    </row>
    <row r="59" spans="1:10" ht="14.95" thickBot="1" x14ac:dyDescent="0.3">
      <c r="A59" s="179" t="s">
        <v>321</v>
      </c>
      <c r="B59" s="326">
        <v>0</v>
      </c>
      <c r="C59" s="192">
        <v>2</v>
      </c>
      <c r="D59" s="365">
        <v>1</v>
      </c>
      <c r="E59" s="178">
        <f t="shared" si="14"/>
        <v>3</v>
      </c>
      <c r="F59" s="180" t="s">
        <v>1043</v>
      </c>
      <c r="G59" s="328">
        <v>17</v>
      </c>
      <c r="H59" s="193">
        <v>0</v>
      </c>
      <c r="I59" s="367">
        <v>0</v>
      </c>
      <c r="J59" s="114">
        <f t="shared" si="15"/>
        <v>17</v>
      </c>
    </row>
    <row r="60" spans="1:10" ht="14.95" thickBot="1" x14ac:dyDescent="0.3">
      <c r="A60" s="179" t="s">
        <v>1757</v>
      </c>
      <c r="B60" s="326">
        <v>1</v>
      </c>
      <c r="C60" s="192">
        <v>1</v>
      </c>
      <c r="D60" s="365">
        <v>1</v>
      </c>
      <c r="E60" s="178">
        <f t="shared" si="14"/>
        <v>3</v>
      </c>
      <c r="F60" s="180" t="s">
        <v>4</v>
      </c>
      <c r="G60" s="328">
        <v>15</v>
      </c>
      <c r="H60" s="193">
        <v>0</v>
      </c>
      <c r="I60" s="367">
        <v>0</v>
      </c>
      <c r="J60" s="114">
        <f t="shared" si="15"/>
        <v>15</v>
      </c>
    </row>
    <row r="61" spans="1:10" ht="14.95" thickBot="1" x14ac:dyDescent="0.3">
      <c r="A61" s="179" t="s">
        <v>14</v>
      </c>
      <c r="B61" s="326">
        <v>3</v>
      </c>
      <c r="C61" s="192">
        <v>0</v>
      </c>
      <c r="D61" s="365">
        <v>0</v>
      </c>
      <c r="E61" s="178">
        <f t="shared" si="14"/>
        <v>3</v>
      </c>
      <c r="F61" s="180" t="s">
        <v>321</v>
      </c>
      <c r="G61" s="328">
        <v>0</v>
      </c>
      <c r="H61" s="193">
        <v>10</v>
      </c>
      <c r="I61" s="367">
        <v>5</v>
      </c>
      <c r="J61" s="114">
        <f t="shared" si="15"/>
        <v>15</v>
      </c>
    </row>
    <row r="62" spans="1:10" ht="14.95" thickBot="1" x14ac:dyDescent="0.3">
      <c r="A62" s="179" t="s">
        <v>1044</v>
      </c>
      <c r="B62" s="326">
        <v>0</v>
      </c>
      <c r="C62" s="192">
        <v>2</v>
      </c>
      <c r="D62" s="365">
        <v>0</v>
      </c>
      <c r="E62" s="178">
        <f t="shared" si="14"/>
        <v>2</v>
      </c>
      <c r="F62" s="180" t="s">
        <v>1757</v>
      </c>
      <c r="G62" s="328">
        <v>5</v>
      </c>
      <c r="H62" s="193">
        <v>5</v>
      </c>
      <c r="I62" s="367">
        <v>5</v>
      </c>
      <c r="J62" s="114">
        <f t="shared" si="15"/>
        <v>15</v>
      </c>
    </row>
    <row r="63" spans="1:10" ht="14.95" thickBot="1" x14ac:dyDescent="0.3">
      <c r="A63" s="179" t="s">
        <v>320</v>
      </c>
      <c r="B63" s="326">
        <v>2</v>
      </c>
      <c r="C63" s="192">
        <v>0</v>
      </c>
      <c r="D63" s="365">
        <v>0</v>
      </c>
      <c r="E63" s="178">
        <f t="shared" si="14"/>
        <v>2</v>
      </c>
      <c r="F63" s="180" t="s">
        <v>14</v>
      </c>
      <c r="G63" s="328">
        <v>15</v>
      </c>
      <c r="H63" s="193">
        <v>0</v>
      </c>
      <c r="I63" s="367">
        <v>0</v>
      </c>
      <c r="J63" s="114">
        <f t="shared" si="15"/>
        <v>15</v>
      </c>
    </row>
    <row r="64" spans="1:10" ht="14.95" thickBot="1" x14ac:dyDescent="0.3">
      <c r="A64" s="179" t="s">
        <v>994</v>
      </c>
      <c r="B64" s="326">
        <v>1</v>
      </c>
      <c r="C64" s="192">
        <v>1</v>
      </c>
      <c r="D64" s="365">
        <v>0</v>
      </c>
      <c r="E64" s="178">
        <f t="shared" si="14"/>
        <v>2</v>
      </c>
      <c r="F64" s="180" t="s">
        <v>1045</v>
      </c>
      <c r="G64" s="328">
        <v>0</v>
      </c>
      <c r="H64" s="193">
        <v>10</v>
      </c>
      <c r="I64" s="367">
        <v>0</v>
      </c>
      <c r="J64" s="114">
        <f t="shared" si="15"/>
        <v>10</v>
      </c>
    </row>
    <row r="65" spans="1:10" ht="14.95" thickBot="1" x14ac:dyDescent="0.3">
      <c r="A65" s="179" t="s">
        <v>1828</v>
      </c>
      <c r="B65" s="326">
        <v>0</v>
      </c>
      <c r="C65" s="192">
        <v>1</v>
      </c>
      <c r="D65" s="365">
        <v>0</v>
      </c>
      <c r="E65" s="178">
        <f t="shared" si="14"/>
        <v>1</v>
      </c>
      <c r="F65" s="180" t="s">
        <v>994</v>
      </c>
      <c r="G65" s="328">
        <v>5</v>
      </c>
      <c r="H65" s="193">
        <v>5</v>
      </c>
      <c r="I65" s="367">
        <v>0</v>
      </c>
      <c r="J65" s="114">
        <f t="shared" si="15"/>
        <v>10</v>
      </c>
    </row>
    <row r="66" spans="1:10" ht="14.95" thickBot="1" x14ac:dyDescent="0.3">
      <c r="A66" s="179" t="s">
        <v>955</v>
      </c>
      <c r="B66" s="326">
        <v>0</v>
      </c>
      <c r="C66" s="192">
        <v>1</v>
      </c>
      <c r="D66" s="365">
        <v>0</v>
      </c>
      <c r="E66" s="178">
        <f t="shared" si="14"/>
        <v>1</v>
      </c>
      <c r="F66" s="180" t="s">
        <v>1764</v>
      </c>
      <c r="G66" s="328">
        <v>0</v>
      </c>
      <c r="H66" s="193">
        <v>5</v>
      </c>
      <c r="I66" s="367">
        <v>3</v>
      </c>
      <c r="J66" s="114">
        <f t="shared" si="15"/>
        <v>8</v>
      </c>
    </row>
    <row r="67" spans="1:10" ht="14.95" thickBot="1" x14ac:dyDescent="0.3">
      <c r="A67" s="179" t="s">
        <v>929</v>
      </c>
      <c r="B67" s="326">
        <v>1</v>
      </c>
      <c r="C67" s="192">
        <v>0</v>
      </c>
      <c r="D67" s="365">
        <v>0</v>
      </c>
      <c r="E67" s="178">
        <f t="shared" si="14"/>
        <v>1</v>
      </c>
      <c r="F67" s="180" t="s">
        <v>1828</v>
      </c>
      <c r="G67" s="328">
        <v>0</v>
      </c>
      <c r="H67" s="193">
        <v>5</v>
      </c>
      <c r="I67" s="367">
        <v>0</v>
      </c>
      <c r="J67" s="114">
        <f t="shared" si="15"/>
        <v>5</v>
      </c>
    </row>
    <row r="68" spans="1:10" ht="14.95" thickBot="1" x14ac:dyDescent="0.3">
      <c r="A68" s="179" t="s">
        <v>1812</v>
      </c>
      <c r="B68" s="326">
        <v>1</v>
      </c>
      <c r="C68" s="192">
        <v>0</v>
      </c>
      <c r="D68" s="365">
        <v>0</v>
      </c>
      <c r="E68" s="178">
        <f t="shared" si="14"/>
        <v>1</v>
      </c>
      <c r="F68" s="180" t="s">
        <v>955</v>
      </c>
      <c r="G68" s="328">
        <v>0</v>
      </c>
      <c r="H68" s="193">
        <v>5</v>
      </c>
      <c r="I68" s="367">
        <v>0</v>
      </c>
      <c r="J68" s="114">
        <f t="shared" si="15"/>
        <v>5</v>
      </c>
    </row>
    <row r="69" spans="1:10" ht="14.95" thickBot="1" x14ac:dyDescent="0.3">
      <c r="A69" s="179" t="s">
        <v>918</v>
      </c>
      <c r="B69" s="326">
        <v>1</v>
      </c>
      <c r="C69" s="192">
        <v>0</v>
      </c>
      <c r="D69" s="365">
        <v>0</v>
      </c>
      <c r="E69" s="178">
        <f t="shared" si="14"/>
        <v>1</v>
      </c>
      <c r="F69" s="180" t="s">
        <v>929</v>
      </c>
      <c r="G69" s="328">
        <v>5</v>
      </c>
      <c r="H69" s="193">
        <v>0</v>
      </c>
      <c r="I69" s="367">
        <v>0</v>
      </c>
      <c r="J69" s="114">
        <f t="shared" si="15"/>
        <v>5</v>
      </c>
    </row>
    <row r="70" spans="1:10" ht="14.95" thickBot="1" x14ac:dyDescent="0.3">
      <c r="A70" s="179" t="s">
        <v>1836</v>
      </c>
      <c r="B70" s="326">
        <v>1</v>
      </c>
      <c r="C70" s="192">
        <v>0</v>
      </c>
      <c r="D70" s="365">
        <v>0</v>
      </c>
      <c r="E70" s="178">
        <f t="shared" si="14"/>
        <v>1</v>
      </c>
      <c r="F70" s="180" t="s">
        <v>1812</v>
      </c>
      <c r="G70" s="328">
        <v>5</v>
      </c>
      <c r="H70" s="193">
        <v>0</v>
      </c>
      <c r="I70" s="367">
        <v>0</v>
      </c>
      <c r="J70" s="114">
        <f t="shared" si="15"/>
        <v>5</v>
      </c>
    </row>
    <row r="71" spans="1:10" ht="14.95" thickBot="1" x14ac:dyDescent="0.3">
      <c r="A71" s="179" t="s">
        <v>322</v>
      </c>
      <c r="B71" s="326">
        <v>1</v>
      </c>
      <c r="C71" s="192">
        <v>0</v>
      </c>
      <c r="D71" s="365">
        <v>0</v>
      </c>
      <c r="E71" s="178">
        <f t="shared" si="14"/>
        <v>1</v>
      </c>
      <c r="F71" s="180" t="s">
        <v>918</v>
      </c>
      <c r="G71" s="328">
        <v>5</v>
      </c>
      <c r="H71" s="193">
        <v>0</v>
      </c>
      <c r="I71" s="367">
        <v>0</v>
      </c>
      <c r="J71" s="114">
        <f t="shared" si="15"/>
        <v>5</v>
      </c>
    </row>
    <row r="72" spans="1:10" ht="14.95" thickBot="1" x14ac:dyDescent="0.3">
      <c r="A72" s="179" t="s">
        <v>1844</v>
      </c>
      <c r="B72" s="326">
        <v>1</v>
      </c>
      <c r="C72" s="192">
        <v>0</v>
      </c>
      <c r="D72" s="365">
        <v>0</v>
      </c>
      <c r="E72" s="178">
        <f t="shared" si="14"/>
        <v>1</v>
      </c>
      <c r="F72" s="180" t="s">
        <v>1836</v>
      </c>
      <c r="G72" s="328">
        <v>5</v>
      </c>
      <c r="H72" s="193">
        <v>0</v>
      </c>
      <c r="I72" s="367">
        <v>0</v>
      </c>
      <c r="J72" s="114">
        <f t="shared" si="15"/>
        <v>5</v>
      </c>
    </row>
    <row r="73" spans="1:10" ht="14.95" thickBot="1" x14ac:dyDescent="0.3">
      <c r="A73" s="179" t="s">
        <v>1056</v>
      </c>
      <c r="B73" s="326">
        <v>0</v>
      </c>
      <c r="C73" s="192">
        <v>1</v>
      </c>
      <c r="D73" s="365">
        <v>0</v>
      </c>
      <c r="E73" s="178">
        <f t="shared" si="14"/>
        <v>1</v>
      </c>
      <c r="F73" s="180" t="s">
        <v>322</v>
      </c>
      <c r="G73" s="328">
        <v>5</v>
      </c>
      <c r="H73" s="193">
        <v>0</v>
      </c>
      <c r="I73" s="367">
        <v>0</v>
      </c>
      <c r="J73" s="114">
        <f t="shared" si="15"/>
        <v>5</v>
      </c>
    </row>
    <row r="74" spans="1:10" ht="14.95" thickBot="1" x14ac:dyDescent="0.3">
      <c r="A74" s="179" t="s">
        <v>1764</v>
      </c>
      <c r="B74" s="326">
        <v>0</v>
      </c>
      <c r="C74" s="192">
        <v>1</v>
      </c>
      <c r="D74" s="365">
        <v>0</v>
      </c>
      <c r="E74" s="178">
        <f t="shared" si="14"/>
        <v>1</v>
      </c>
      <c r="F74" s="180" t="s">
        <v>1844</v>
      </c>
      <c r="G74" s="328">
        <v>5</v>
      </c>
      <c r="H74" s="193">
        <v>0</v>
      </c>
      <c r="I74" s="367">
        <v>0</v>
      </c>
      <c r="J74" s="114">
        <f t="shared" si="15"/>
        <v>5</v>
      </c>
    </row>
    <row r="75" spans="1:10" ht="14.95" thickBot="1" x14ac:dyDescent="0.3">
      <c r="A75" s="179" t="s">
        <v>1794</v>
      </c>
      <c r="B75" s="326">
        <v>0</v>
      </c>
      <c r="C75" s="192">
        <v>0</v>
      </c>
      <c r="D75" s="365">
        <v>0</v>
      </c>
      <c r="E75" s="178">
        <f t="shared" si="14"/>
        <v>0</v>
      </c>
      <c r="F75" s="180" t="s">
        <v>1056</v>
      </c>
      <c r="G75" s="328">
        <v>0</v>
      </c>
      <c r="H75" s="193">
        <v>5</v>
      </c>
      <c r="I75" s="367">
        <v>0</v>
      </c>
      <c r="J75" s="114">
        <f t="shared" si="15"/>
        <v>5</v>
      </c>
    </row>
    <row r="76" spans="1:10" ht="14.95" thickBot="1" x14ac:dyDescent="0.3">
      <c r="A76" s="179" t="s">
        <v>167</v>
      </c>
      <c r="B76" s="326">
        <v>0</v>
      </c>
      <c r="C76" s="192">
        <v>0</v>
      </c>
      <c r="D76" s="365">
        <v>0</v>
      </c>
      <c r="E76" s="178">
        <f t="shared" si="14"/>
        <v>0</v>
      </c>
      <c r="F76" s="180" t="s">
        <v>167</v>
      </c>
      <c r="G76" s="328">
        <v>0</v>
      </c>
      <c r="H76" s="193">
        <v>0</v>
      </c>
      <c r="I76" s="367">
        <v>0</v>
      </c>
      <c r="J76" s="114">
        <f t="shared" si="15"/>
        <v>0</v>
      </c>
    </row>
    <row r="77" spans="1:10" ht="14.95" thickBot="1" x14ac:dyDescent="0.3">
      <c r="A77" s="179" t="s">
        <v>77</v>
      </c>
      <c r="B77" s="326">
        <v>0</v>
      </c>
      <c r="C77" s="192">
        <v>0</v>
      </c>
      <c r="D77" s="365">
        <v>0</v>
      </c>
      <c r="E77" s="178">
        <f t="shared" si="14"/>
        <v>0</v>
      </c>
      <c r="F77" s="180" t="s">
        <v>77</v>
      </c>
      <c r="G77" s="328">
        <v>0</v>
      </c>
      <c r="H77" s="193">
        <v>0</v>
      </c>
      <c r="I77" s="367">
        <v>0</v>
      </c>
      <c r="J77" s="114">
        <f t="shared" si="15"/>
        <v>0</v>
      </c>
    </row>
    <row r="78" spans="1:10" ht="14.95" thickBot="1" x14ac:dyDescent="0.3">
      <c r="A78" s="179" t="s">
        <v>166</v>
      </c>
      <c r="B78" s="326">
        <v>0</v>
      </c>
      <c r="C78" s="192">
        <v>0</v>
      </c>
      <c r="D78" s="365">
        <v>0</v>
      </c>
      <c r="E78" s="178">
        <f t="shared" si="14"/>
        <v>0</v>
      </c>
      <c r="F78" s="180" t="s">
        <v>166</v>
      </c>
      <c r="G78" s="328">
        <v>0</v>
      </c>
      <c r="H78" s="193">
        <v>0</v>
      </c>
      <c r="I78" s="367">
        <v>0</v>
      </c>
      <c r="J78" s="114">
        <f t="shared" si="15"/>
        <v>0</v>
      </c>
    </row>
    <row r="79" spans="1:10" ht="14.95" thickBot="1" x14ac:dyDescent="0.3">
      <c r="A79" s="179" t="s">
        <v>993</v>
      </c>
      <c r="B79" s="326">
        <v>0</v>
      </c>
      <c r="C79" s="192">
        <v>0</v>
      </c>
      <c r="D79" s="365">
        <v>0</v>
      </c>
      <c r="E79" s="178">
        <f t="shared" si="14"/>
        <v>0</v>
      </c>
      <c r="F79" s="180" t="s">
        <v>993</v>
      </c>
      <c r="G79" s="328">
        <v>0</v>
      </c>
      <c r="H79" s="193">
        <v>0</v>
      </c>
      <c r="I79" s="367">
        <v>0</v>
      </c>
      <c r="J79" s="114">
        <f t="shared" si="15"/>
        <v>0</v>
      </c>
    </row>
    <row r="80" spans="1:10" ht="14.95" thickBot="1" x14ac:dyDescent="0.3">
      <c r="A80" s="179" t="s">
        <v>1261</v>
      </c>
      <c r="B80" s="326">
        <v>0</v>
      </c>
      <c r="C80" s="192">
        <v>0</v>
      </c>
      <c r="D80" s="365">
        <v>0</v>
      </c>
      <c r="E80" s="178">
        <f t="shared" si="14"/>
        <v>0</v>
      </c>
      <c r="F80" s="180" t="s">
        <v>1261</v>
      </c>
      <c r="G80" s="328">
        <v>0</v>
      </c>
      <c r="H80" s="193">
        <v>0</v>
      </c>
      <c r="I80" s="367">
        <v>0</v>
      </c>
      <c r="J80" s="114">
        <f t="shared" si="15"/>
        <v>0</v>
      </c>
    </row>
    <row r="81" spans="1:10" ht="14.95" thickBot="1" x14ac:dyDescent="0.3">
      <c r="A81" s="179" t="s">
        <v>1260</v>
      </c>
      <c r="B81" s="326">
        <v>0</v>
      </c>
      <c r="C81" s="192">
        <v>0</v>
      </c>
      <c r="D81" s="365">
        <v>0</v>
      </c>
      <c r="E81" s="178">
        <f t="shared" si="14"/>
        <v>0</v>
      </c>
      <c r="F81" s="180" t="s">
        <v>1260</v>
      </c>
      <c r="G81" s="328">
        <v>0</v>
      </c>
      <c r="H81" s="193">
        <v>0</v>
      </c>
      <c r="I81" s="367">
        <v>0</v>
      </c>
      <c r="J81" s="114">
        <f t="shared" si="15"/>
        <v>0</v>
      </c>
    </row>
    <row r="82" spans="1:10" ht="14.95" thickBot="1" x14ac:dyDescent="0.3">
      <c r="A82" s="179" t="s">
        <v>113</v>
      </c>
      <c r="B82" s="326">
        <v>0</v>
      </c>
      <c r="C82" s="192">
        <v>0</v>
      </c>
      <c r="D82" s="365">
        <v>0</v>
      </c>
      <c r="E82" s="178">
        <f t="shared" si="14"/>
        <v>0</v>
      </c>
      <c r="F82" s="180" t="s">
        <v>113</v>
      </c>
      <c r="G82" s="328">
        <v>0</v>
      </c>
      <c r="H82" s="193">
        <v>0</v>
      </c>
      <c r="I82" s="367">
        <v>0</v>
      </c>
      <c r="J82" s="114">
        <f t="shared" si="15"/>
        <v>0</v>
      </c>
    </row>
    <row r="83" spans="1:10" ht="14.95" thickBot="1" x14ac:dyDescent="0.3">
      <c r="A83" s="179" t="s">
        <v>222</v>
      </c>
      <c r="B83" s="326">
        <v>0</v>
      </c>
      <c r="C83" s="192">
        <v>0</v>
      </c>
      <c r="D83" s="365">
        <v>0</v>
      </c>
      <c r="E83" s="178">
        <f t="shared" si="14"/>
        <v>0</v>
      </c>
      <c r="F83" s="180" t="s">
        <v>222</v>
      </c>
      <c r="G83" s="328">
        <v>0</v>
      </c>
      <c r="H83" s="193">
        <v>0</v>
      </c>
      <c r="I83" s="367">
        <v>0</v>
      </c>
      <c r="J83" s="114">
        <f t="shared" si="15"/>
        <v>0</v>
      </c>
    </row>
    <row r="84" spans="1:10" ht="14.95" thickBot="1" x14ac:dyDescent="0.3">
      <c r="A84" s="179" t="s">
        <v>223</v>
      </c>
      <c r="B84" s="326">
        <v>0</v>
      </c>
      <c r="C84" s="192">
        <v>0</v>
      </c>
      <c r="D84" s="365">
        <v>0</v>
      </c>
      <c r="E84" s="178">
        <f t="shared" si="14"/>
        <v>0</v>
      </c>
      <c r="F84" s="180" t="s">
        <v>223</v>
      </c>
      <c r="G84" s="328">
        <v>0</v>
      </c>
      <c r="H84" s="193">
        <v>0</v>
      </c>
      <c r="I84" s="367">
        <v>0</v>
      </c>
      <c r="J84" s="114">
        <f t="shared" si="15"/>
        <v>0</v>
      </c>
    </row>
    <row r="85" spans="1:10" ht="14.95" thickBot="1" x14ac:dyDescent="0.3">
      <c r="A85" s="179" t="s">
        <v>207</v>
      </c>
      <c r="B85" s="326">
        <v>0</v>
      </c>
      <c r="C85" s="192">
        <v>0</v>
      </c>
      <c r="D85" s="365">
        <v>0</v>
      </c>
      <c r="E85" s="178">
        <f t="shared" si="14"/>
        <v>0</v>
      </c>
      <c r="F85" s="180" t="s">
        <v>207</v>
      </c>
      <c r="G85" s="328">
        <v>0</v>
      </c>
      <c r="H85" s="193">
        <v>0</v>
      </c>
      <c r="I85" s="367">
        <v>0</v>
      </c>
      <c r="J85" s="114">
        <f t="shared" si="15"/>
        <v>0</v>
      </c>
    </row>
    <row r="86" spans="1:10" ht="14.95" thickBot="1" x14ac:dyDescent="0.3">
      <c r="A86" s="179" t="s">
        <v>48</v>
      </c>
      <c r="B86" s="326">
        <v>0</v>
      </c>
      <c r="C86" s="192">
        <v>0</v>
      </c>
      <c r="D86" s="365">
        <v>0</v>
      </c>
      <c r="E86" s="178">
        <f t="shared" si="14"/>
        <v>0</v>
      </c>
      <c r="F86" s="180" t="s">
        <v>48</v>
      </c>
      <c r="G86" s="328">
        <v>0</v>
      </c>
      <c r="H86" s="193">
        <v>0</v>
      </c>
      <c r="I86" s="367">
        <v>0</v>
      </c>
      <c r="J86" s="114">
        <f t="shared" si="15"/>
        <v>0</v>
      </c>
    </row>
    <row r="87" spans="1:10" ht="14.95" thickBot="1" x14ac:dyDescent="0.3">
      <c r="A87" s="179" t="s">
        <v>152</v>
      </c>
      <c r="B87" s="326">
        <v>0</v>
      </c>
      <c r="C87" s="192">
        <v>0</v>
      </c>
      <c r="D87" s="365">
        <v>0</v>
      </c>
      <c r="E87" s="178">
        <f t="shared" si="14"/>
        <v>0</v>
      </c>
      <c r="F87" s="180" t="s">
        <v>152</v>
      </c>
      <c r="G87" s="328">
        <v>0</v>
      </c>
      <c r="H87" s="193">
        <v>0</v>
      </c>
      <c r="I87" s="367">
        <v>0</v>
      </c>
      <c r="J87" s="114">
        <f t="shared" si="15"/>
        <v>0</v>
      </c>
    </row>
    <row r="88" spans="1:10" ht="14.95" thickBot="1" x14ac:dyDescent="0.3">
      <c r="A88" s="179" t="s">
        <v>1057</v>
      </c>
      <c r="B88" s="326">
        <v>0</v>
      </c>
      <c r="C88" s="192">
        <v>0</v>
      </c>
      <c r="D88" s="365">
        <v>0</v>
      </c>
      <c r="E88" s="178">
        <f t="shared" si="14"/>
        <v>0</v>
      </c>
      <c r="F88" s="180" t="s">
        <v>1057</v>
      </c>
      <c r="G88" s="328">
        <v>0</v>
      </c>
      <c r="H88" s="193">
        <v>0</v>
      </c>
      <c r="I88" s="367">
        <v>0</v>
      </c>
      <c r="J88" s="114">
        <f t="shared" si="15"/>
        <v>0</v>
      </c>
    </row>
    <row r="89" spans="1:10" ht="14.95" thickBot="1" x14ac:dyDescent="0.3">
      <c r="A89" s="179" t="s">
        <v>995</v>
      </c>
      <c r="B89" s="326">
        <v>0</v>
      </c>
      <c r="C89" s="192">
        <v>0</v>
      </c>
      <c r="D89" s="365">
        <v>0</v>
      </c>
      <c r="E89" s="178">
        <f t="shared" si="14"/>
        <v>0</v>
      </c>
      <c r="F89" s="180" t="s">
        <v>995</v>
      </c>
      <c r="G89" s="328">
        <v>0</v>
      </c>
      <c r="H89" s="193">
        <v>0</v>
      </c>
      <c r="I89" s="367">
        <v>0</v>
      </c>
      <c r="J89" s="114">
        <f t="shared" si="15"/>
        <v>0</v>
      </c>
    </row>
    <row r="90" spans="1:10" ht="14.95" thickBot="1" x14ac:dyDescent="0.3">
      <c r="A90" s="179" t="s">
        <v>996</v>
      </c>
      <c r="B90" s="326">
        <v>0</v>
      </c>
      <c r="C90" s="192">
        <v>0</v>
      </c>
      <c r="D90" s="365">
        <v>0</v>
      </c>
      <c r="E90" s="178">
        <f t="shared" si="14"/>
        <v>0</v>
      </c>
      <c r="F90" s="180" t="s">
        <v>996</v>
      </c>
      <c r="G90" s="328">
        <v>0</v>
      </c>
      <c r="H90" s="193">
        <v>0</v>
      </c>
      <c r="I90" s="367">
        <v>0</v>
      </c>
      <c r="J90" s="114">
        <f t="shared" si="15"/>
        <v>0</v>
      </c>
    </row>
    <row r="91" spans="1:10" ht="14.95" thickBot="1" x14ac:dyDescent="0.3">
      <c r="A91" s="179" t="s">
        <v>3</v>
      </c>
      <c r="B91" s="326">
        <f>SUM(B49:B90)</f>
        <v>52</v>
      </c>
      <c r="C91" s="192">
        <f>SUM(C49:C90)</f>
        <v>31</v>
      </c>
      <c r="D91" s="365">
        <f>SUM(D49:D90)</f>
        <v>6</v>
      </c>
      <c r="E91" s="178">
        <f>SUM(E49:E90)</f>
        <v>89</v>
      </c>
      <c r="F91" s="180" t="s">
        <v>3</v>
      </c>
      <c r="G91" s="328">
        <f>SUM(G49:G90)</f>
        <v>462</v>
      </c>
      <c r="H91" s="193">
        <f>SUM(H49:H90)</f>
        <v>236</v>
      </c>
      <c r="I91" s="367">
        <f>SUM(I49:I90)</f>
        <v>48</v>
      </c>
      <c r="J91" s="114">
        <f>SUM(J49:J90)</f>
        <v>746</v>
      </c>
    </row>
    <row r="92" spans="1:10" x14ac:dyDescent="0.25">
      <c r="A92" s="65" t="s">
        <v>171</v>
      </c>
    </row>
  </sheetData>
  <sortState xmlns:xlrd2="http://schemas.microsoft.com/office/spreadsheetml/2017/richdata2" ref="F49:J90">
    <sortCondition descending="1" ref="J49:J90"/>
  </sortState>
  <mergeCells count="23">
    <mergeCell ref="A1:J1"/>
    <mergeCell ref="O14:Q15"/>
    <mergeCell ref="R14:T15"/>
    <mergeCell ref="K22:K23"/>
    <mergeCell ref="L22:N23"/>
    <mergeCell ref="O22:Q23"/>
    <mergeCell ref="K14:K15"/>
    <mergeCell ref="R22:T23"/>
    <mergeCell ref="K1:K2"/>
    <mergeCell ref="L1:N2"/>
    <mergeCell ref="O1:Q2"/>
    <mergeCell ref="L14:N15"/>
    <mergeCell ref="U22:W23"/>
    <mergeCell ref="R1:S2"/>
    <mergeCell ref="AC1:AE2"/>
    <mergeCell ref="T1:V2"/>
    <mergeCell ref="AC22:AE23"/>
    <mergeCell ref="AI1:AK2"/>
    <mergeCell ref="AF1:AH2"/>
    <mergeCell ref="AF14:AH15"/>
    <mergeCell ref="AC14:AE15"/>
    <mergeCell ref="W1:Y2"/>
    <mergeCell ref="U14:W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1481</vt:i4>
      </vt:variant>
    </vt:vector>
  </HeadingPairs>
  <TitlesOfParts>
    <vt:vector size="1494" baseType="lpstr">
      <vt:lpstr>BTH</vt:lpstr>
      <vt:lpstr>BRI</vt:lpstr>
      <vt:lpstr>GLO</vt:lpstr>
      <vt:lpstr>EXE</vt:lpstr>
      <vt:lpstr>HAR</vt:lpstr>
      <vt:lpstr>LEIC</vt:lpstr>
      <vt:lpstr>NEW</vt:lpstr>
      <vt:lpstr>NOR</vt:lpstr>
      <vt:lpstr>SAL</vt:lpstr>
      <vt:lpstr>SAR</vt:lpstr>
      <vt:lpstr>WAS</vt:lpstr>
      <vt:lpstr>WOR</vt:lpstr>
      <vt:lpstr>OVERALL</vt:lpstr>
      <vt:lpstr>A_Wallerpts</vt:lpstr>
      <vt:lpstr>A_Wallertries</vt:lpstr>
      <vt:lpstr>Ackermannglopts</vt:lpstr>
      <vt:lpstr>Ackermannglotries</vt:lpstr>
      <vt:lpstr>Adams_Halesarpts</vt:lpstr>
      <vt:lpstr>Adams_Halesartries</vt:lpstr>
      <vt:lpstr>Adamsworpts</vt:lpstr>
      <vt:lpstr>Adamswortries</vt:lpstr>
      <vt:lpstr>afoabripts</vt:lpstr>
      <vt:lpstr>afoabritries</vt:lpstr>
      <vt:lpstr>Ah_Younewpts</vt:lpstr>
      <vt:lpstr>Ah_Younewtries</vt:lpstr>
      <vt:lpstr>Aholeleiwelshpts</vt:lpstr>
      <vt:lpstr>Aholeleiwelshtries</vt:lpstr>
      <vt:lpstr>allinsonliatt</vt:lpstr>
      <vt:lpstr>allinsonligoals</vt:lpstr>
      <vt:lpstr>Alofafartries</vt:lpstr>
      <vt:lpstr>Alofaharpts</vt:lpstr>
      <vt:lpstr>Armanddonpts</vt:lpstr>
      <vt:lpstr>Armanddontries</vt:lpstr>
      <vt:lpstr>Armitagewaspts</vt:lpstr>
      <vt:lpstr>Armitagewastries</vt:lpstr>
      <vt:lpstr>Armstrongbripts</vt:lpstr>
      <vt:lpstr>Armstrongbritries</vt:lpstr>
      <vt:lpstr>arscottnewatt</vt:lpstr>
      <vt:lpstr>arscottnewgls</vt:lpstr>
      <vt:lpstr>Arscottnewpts</vt:lpstr>
      <vt:lpstr>Arscottnewtries</vt:lpstr>
      <vt:lpstr>Ashtonsalpts</vt:lpstr>
      <vt:lpstr>Ashtonsaltries</vt:lpstr>
      <vt:lpstr>Atkinsbthatt</vt:lpstr>
      <vt:lpstr>Atkinsbthgls</vt:lpstr>
      <vt:lpstr>Atkinsbthpts</vt:lpstr>
      <vt:lpstr>Atkinsbthtries</vt:lpstr>
      <vt:lpstr>atkinsliratt</vt:lpstr>
      <vt:lpstr>atkinslirgls</vt:lpstr>
      <vt:lpstr>Atkinsonglopts</vt:lpstr>
      <vt:lpstr>Atkinsonglotries</vt:lpstr>
      <vt:lpstr>Attwooddavepts</vt:lpstr>
      <vt:lpstr>Attwooddavetries</vt:lpstr>
      <vt:lpstr>Attwoodpts</vt:lpstr>
      <vt:lpstr>Auteracharpts</vt:lpstr>
      <vt:lpstr>Auterachartries</vt:lpstr>
      <vt:lpstr>Balmainglopts</vt:lpstr>
      <vt:lpstr>Balmainglotries</vt:lpstr>
      <vt:lpstr>Banahanglopts</vt:lpstr>
      <vt:lpstr>Banahanglotries</vt:lpstr>
      <vt:lpstr>Banahantriescorrect</vt:lpstr>
      <vt:lpstr>Barbearywaspts</vt:lpstr>
      <vt:lpstr>Barbearywastrie</vt:lpstr>
      <vt:lpstr>Barbierileipts</vt:lpstr>
      <vt:lpstr>Barbierileitries</vt:lpstr>
      <vt:lpstr>Barkleyollypts</vt:lpstr>
      <vt:lpstr>Barkleyollytries</vt:lpstr>
      <vt:lpstr>barkleywelatt</vt:lpstr>
      <vt:lpstr>barkleywelgoals</vt:lpstr>
      <vt:lpstr>Barringtonrichardpts</vt:lpstr>
      <vt:lpstr>Barringtonrichardtries</vt:lpstr>
      <vt:lpstr>Barrittbradpts</vt:lpstr>
      <vt:lpstr>Barrittbradtries</vt:lpstr>
      <vt:lpstr>Barrownorpts</vt:lpstr>
      <vt:lpstr>Barrownortries</vt:lpstr>
      <vt:lpstr>Bashamnewpts</vt:lpstr>
      <vt:lpstr>Bashamnewtries</vt:lpstr>
      <vt:lpstr>Bassettwaspts</vt:lpstr>
      <vt:lpstr>Bassettwastries</vt:lpstr>
      <vt:lpstr>Batemangregpts</vt:lpstr>
      <vt:lpstr>Batemangregtries</vt:lpstr>
      <vt:lpstr>Batemanleipts</vt:lpstr>
      <vt:lpstr>Batemanleitries</vt:lpstr>
      <vt:lpstr>bathpentries</vt:lpstr>
      <vt:lpstr>bathpentriespts</vt:lpstr>
      <vt:lpstr>bathpentriesptsthisone</vt:lpstr>
      <vt:lpstr>bathpentriestriesthisone</vt:lpstr>
      <vt:lpstr>bathscorers</vt:lpstr>
      <vt:lpstr>Batleybripts</vt:lpstr>
      <vt:lpstr>Batleybritries</vt:lpstr>
      <vt:lpstr>Battyrosspts</vt:lpstr>
      <vt:lpstr>Battyrosstries</vt:lpstr>
      <vt:lpstr>Baylissbthpts</vt:lpstr>
      <vt:lpstr>Baylissbthtries</vt:lpstr>
      <vt:lpstr>Beaumontsalpts</vt:lpstr>
      <vt:lpstr>Beaumontsaltries</vt:lpstr>
      <vt:lpstr>Beckworpts</vt:lpstr>
      <vt:lpstr>Beckwortries</vt:lpstr>
      <vt:lpstr>bedlowbriatt</vt:lpstr>
      <vt:lpstr>Bedlowbrigls</vt:lpstr>
      <vt:lpstr>Bedlowbripts</vt:lpstr>
      <vt:lpstr>bedlowbritries</vt:lpstr>
      <vt:lpstr>bellleiatt</vt:lpstr>
      <vt:lpstr>Bellleigoals</vt:lpstr>
      <vt:lpstr>Bentleyjonnypts</vt:lpstr>
      <vt:lpstr>Bettencourtnewpts</vt:lpstr>
      <vt:lpstr>Bettencourtnewtries</vt:lpstr>
      <vt:lpstr>Bettysampts</vt:lpstr>
      <vt:lpstr>Bettysamtries</vt:lpstr>
      <vt:lpstr>Bevingtonbstpts</vt:lpstr>
      <vt:lpstr>Bevingtonbsttries</vt:lpstr>
      <vt:lpstr>Biggarnorpts</vt:lpstr>
      <vt:lpstr>Biggarnortries</vt:lpstr>
      <vt:lpstr>Blackworpts</vt:lpstr>
      <vt:lpstr>Blackwortries</vt:lpstr>
      <vt:lpstr>Blairnewpts</vt:lpstr>
      <vt:lpstr>Blairpts</vt:lpstr>
      <vt:lpstr>Blairtries</vt:lpstr>
      <vt:lpstr>Blamirenewpts</vt:lpstr>
      <vt:lpstr>Blamirenewtries</vt:lpstr>
      <vt:lpstr>Blommetjiesleicpts</vt:lpstr>
      <vt:lpstr>Blommetjiesleictries</vt:lpstr>
      <vt:lpstr>Bodillyexepts</vt:lpstr>
      <vt:lpstr>Bodillyexetries</vt:lpstr>
      <vt:lpstr>boschatt</vt:lpstr>
      <vt:lpstr>Boschgoals</vt:lpstr>
      <vt:lpstr>Boschmarcelopts</vt:lpstr>
      <vt:lpstr>Boschmarcelotries</vt:lpstr>
      <vt:lpstr>Bothalirpts</vt:lpstr>
      <vt:lpstr>Bothalirtries</vt:lpstr>
      <vt:lpstr>Bothmaharpts</vt:lpstr>
      <vt:lpstr>Bothmahartries</vt:lpstr>
      <vt:lpstr>boticaatt</vt:lpstr>
      <vt:lpstr>boticagoals</vt:lpstr>
      <vt:lpstr>Bowdendanpts</vt:lpstr>
      <vt:lpstr>Boyceharpts</vt:lpstr>
      <vt:lpstr>Boycehartries</vt:lpstr>
      <vt:lpstr>Braleyglopts</vt:lpstr>
      <vt:lpstr>Braleyglotries</vt:lpstr>
      <vt:lpstr>Breslerworpts</vt:lpstr>
      <vt:lpstr>Breslerwortries</vt:lpstr>
      <vt:lpstr>Brewbthpts</vt:lpstr>
      <vt:lpstr>Brewbthtries</vt:lpstr>
      <vt:lpstr>Bristowsalpts</vt:lpstr>
      <vt:lpstr>Bristowsaltries</vt:lpstr>
      <vt:lpstr>Brittonwelpts</vt:lpstr>
      <vt:lpstr>Brittonweltries</vt:lpstr>
      <vt:lpstr>Brookesnoprpts</vt:lpstr>
      <vt:lpstr>Brookesnortries</vt:lpstr>
      <vt:lpstr>Brookeswaspts</vt:lpstr>
      <vt:lpstr>Brookeswastries</vt:lpstr>
      <vt:lpstr>Brophy_Clewslirgoals</vt:lpstr>
      <vt:lpstr>brophyclewsliratt</vt:lpstr>
      <vt:lpstr>BrophyClewslirpts</vt:lpstr>
      <vt:lpstr>BrophyClewslirtries</vt:lpstr>
      <vt:lpstr>Brown</vt:lpstr>
      <vt:lpstr>brown2</vt:lpstr>
      <vt:lpstr>Brownedanielpts</vt:lpstr>
      <vt:lpstr>Brownedanieltries</vt:lpstr>
      <vt:lpstr>brownmikepts2</vt:lpstr>
      <vt:lpstr>brownmikeries</vt:lpstr>
      <vt:lpstr>Brownmiketries</vt:lpstr>
      <vt:lpstr>brownmiketriescorrect</vt:lpstr>
      <vt:lpstr>Brussownorpts</vt:lpstr>
      <vt:lpstr>Brussownortries</vt:lpstr>
      <vt:lpstr>bryantleiatt</vt:lpstr>
      <vt:lpstr>Bryantleigoals</vt:lpstr>
      <vt:lpstr>Buchananpts</vt:lpstr>
      <vt:lpstr>buchanantries</vt:lpstr>
      <vt:lpstr>Burgerjacquespts</vt:lpstr>
      <vt:lpstr>Burgerjacquestries</vt:lpstr>
      <vt:lpstr>burnsbthpts</vt:lpstr>
      <vt:lpstr>burnsbthtries</vt:lpstr>
      <vt:lpstr>burnsfreddieatt</vt:lpstr>
      <vt:lpstr>burnsfreddiegoals</vt:lpstr>
      <vt:lpstr>Burnsfreddiepts</vt:lpstr>
      <vt:lpstr>Burnsfreddietries</vt:lpstr>
      <vt:lpstr>burnsleiatt</vt:lpstr>
      <vt:lpstr>burnsleigoals</vt:lpstr>
      <vt:lpstr>Burrelllutherpts</vt:lpstr>
      <vt:lpstr>Burrellpts</vt:lpstr>
      <vt:lpstr>Burrelltries</vt:lpstr>
      <vt:lpstr>Burrelltriescorrect</vt:lpstr>
      <vt:lpstr>Burrowsnewpts</vt:lpstr>
      <vt:lpstr>Burrowsnewtries</vt:lpstr>
      <vt:lpstr>Caldwellexepts</vt:lpstr>
      <vt:lpstr>Caldwellexetries</vt:lpstr>
      <vt:lpstr>Campagnarowaspts</vt:lpstr>
      <vt:lpstr>Campagnarowastries</vt:lpstr>
      <vt:lpstr>Capstickexepts</vt:lpstr>
      <vt:lpstr>Capstickexetries</vt:lpstr>
      <vt:lpstr>Care</vt:lpstr>
      <vt:lpstr>Carepts</vt:lpstr>
      <vt:lpstr>caretries</vt:lpstr>
      <vt:lpstr>Carrick_Smithexepts</vt:lpstr>
      <vt:lpstr>Carrick_Smithexetries</vt:lpstr>
      <vt:lpstr>Carrwaspts</vt:lpstr>
      <vt:lpstr>Carrwastries</vt:lpstr>
      <vt:lpstr>Catrakilisharpts</vt:lpstr>
      <vt:lpstr>Catrakilishartries</vt:lpstr>
      <vt:lpstr>Cattnathanpts</vt:lpstr>
      <vt:lpstr>Cattnathantries</vt:lpstr>
      <vt:lpstr>chapmangloatt</vt:lpstr>
      <vt:lpstr>chapmanglogls</vt:lpstr>
      <vt:lpstr>Chapmanglopts</vt:lpstr>
      <vt:lpstr>Chapmanglotries</vt:lpstr>
      <vt:lpstr>Charterisbthpts</vt:lpstr>
      <vt:lpstr>Charterisbthtries</vt:lpstr>
      <vt:lpstr>Cheesemanharpts</vt:lpstr>
      <vt:lpstr>Cheesemanhartries</vt:lpstr>
      <vt:lpstr>Chicknewpts</vt:lpstr>
      <vt:lpstr>Chicknewtries</vt:lpstr>
      <vt:lpstr>Chisholm_Rharpts</vt:lpstr>
      <vt:lpstr>Chisholm_Rhartries</vt:lpstr>
      <vt:lpstr>Chisholmjamesharpts</vt:lpstr>
      <vt:lpstr>Chisholmjameshartries</vt:lpstr>
      <vt:lpstr>Chudleybthpts</vt:lpstr>
      <vt:lpstr>Chudleybthtries</vt:lpstr>
      <vt:lpstr>ciprianiatt</vt:lpstr>
      <vt:lpstr>ciprianigloatt</vt:lpstr>
      <vt:lpstr>ciprianiglogls</vt:lpstr>
      <vt:lpstr>Ciprianiglopts</vt:lpstr>
      <vt:lpstr>Ciprianiglotries</vt:lpstr>
      <vt:lpstr>ciprianigoals</vt:lpstr>
      <vt:lpstr>Clarkbatpts</vt:lpstr>
      <vt:lpstr>Clarkbattries</vt:lpstr>
      <vt:lpstr>cleggatt</vt:lpstr>
      <vt:lpstr>clegggoals</vt:lpstr>
      <vt:lpstr>Cleggnewpts</vt:lpstr>
      <vt:lpstr>Cleggpts</vt:lpstr>
      <vt:lpstr>cleggrorytries</vt:lpstr>
      <vt:lpstr>Cleggworpts</vt:lpstr>
      <vt:lpstr>Cleggwortries</vt:lpstr>
      <vt:lpstr>Cliffordharpts</vt:lpstr>
      <vt:lpstr>Cliffordhartries</vt:lpstr>
      <vt:lpstr>cliffsalatt</vt:lpstr>
      <vt:lpstr>Cliffsalgls</vt:lpstr>
      <vt:lpstr>Cliffwillsalpts</vt:lpstr>
      <vt:lpstr>Cliffwillsaltries</vt:lpstr>
      <vt:lpstr>Coetzerglopts</vt:lpstr>
      <vt:lpstr>Coetzerglotries</vt:lpstr>
      <vt:lpstr>Cokanasigabthpts</vt:lpstr>
      <vt:lpstr>Cokanasigabthtries</vt:lpstr>
      <vt:lpstr>Coleleipts</vt:lpstr>
      <vt:lpstr>Coleleitries</vt:lpstr>
      <vt:lpstr>Colesnorpts</vt:lpstr>
      <vt:lpstr>Colesnortries</vt:lpstr>
      <vt:lpstr>Collettnewpts</vt:lpstr>
      <vt:lpstr>Collettnewtries</vt:lpstr>
      <vt:lpstr>Collierharpts</vt:lpstr>
      <vt:lpstr>Collierhartries</vt:lpstr>
      <vt:lpstr>Collinstompts</vt:lpstr>
      <vt:lpstr>Collinstomtries</vt:lpstr>
      <vt:lpstr>Comanlirpts</vt:lpstr>
      <vt:lpstr>Comanlirtries</vt:lpstr>
      <vt:lpstr>connonnewatt</vt:lpstr>
      <vt:lpstr>connonnewgoals</vt:lpstr>
      <vt:lpstr>Connonnewptscorrect</vt:lpstr>
      <vt:lpstr>Connonnewtriescorrect</vt:lpstr>
      <vt:lpstr>Cookchrispts</vt:lpstr>
      <vt:lpstr>Cookchristries</vt:lpstr>
      <vt:lpstr>Cooper_Woolleywaspts</vt:lpstr>
      <vt:lpstr>Cooper_Woolleywastries</vt:lpstr>
      <vt:lpstr>Coopernewpts</vt:lpstr>
      <vt:lpstr>Coopernewtries</vt:lpstr>
      <vt:lpstr>Cooperwelpts</vt:lpstr>
      <vt:lpstr>Cooperweltries</vt:lpstr>
      <vt:lpstr>Cosgrovebripts</vt:lpstr>
      <vt:lpstr>Cosgrovebritries</vt:lpstr>
      <vt:lpstr>Courtlipts</vt:lpstr>
      <vt:lpstr>Courtlitries</vt:lpstr>
      <vt:lpstr>Cowan_Dickie_Lukepts</vt:lpstr>
      <vt:lpstr>Cowan_Dickie_Luketries</vt:lpstr>
      <vt:lpstr>Cowanblairtries</vt:lpstr>
      <vt:lpstr>Cowanjimmypts</vt:lpstr>
      <vt:lpstr>Cowanjimmytries</vt:lpstr>
      <vt:lpstr>Cowanlipts</vt:lpstr>
      <vt:lpstr>Cowantries</vt:lpstr>
      <vt:lpstr>Coxworpts</vt:lpstr>
      <vt:lpstr>Coxwortries</vt:lpstr>
      <vt:lpstr>Craignorpts</vt:lpstr>
      <vt:lpstr>Craignortries</vt:lpstr>
      <vt:lpstr>cranebripts</vt:lpstr>
      <vt:lpstr>Cranebritries</vt:lpstr>
      <vt:lpstr>Croftleipts</vt:lpstr>
      <vt:lpstr>Croftleitries</vt:lpstr>
      <vt:lpstr>Crossdalesarpts</vt:lpstr>
      <vt:lpstr>Crossdalesartries</vt:lpstr>
      <vt:lpstr>Crosslipts</vt:lpstr>
      <vt:lpstr>Crosslitries</vt:lpstr>
      <vt:lpstr>Crumptonharpts</vt:lpstr>
      <vt:lpstr>Crumptonhartries</vt:lpstr>
      <vt:lpstr>Crusewaspts</vt:lpstr>
      <vt:lpstr>Crusewastries</vt:lpstr>
      <vt:lpstr>Curry_Bsalpts</vt:lpstr>
      <vt:lpstr>Curry_Bsaltries</vt:lpstr>
      <vt:lpstr>Curry_Tsalpts</vt:lpstr>
      <vt:lpstr>Curry_Tsaltries</vt:lpstr>
      <vt:lpstr>Curtiswaspts</vt:lpstr>
      <vt:lpstr>Curtiswastries</vt:lpstr>
      <vt:lpstr>Dalyelliottries</vt:lpstr>
      <vt:lpstr>dalywasatt</vt:lpstr>
      <vt:lpstr>dalywasgoals</vt:lpstr>
      <vt:lpstr>Dalywaspts</vt:lpstr>
      <vt:lpstr>Danaherdeclanpts</vt:lpstr>
      <vt:lpstr>danielsbriatt</vt:lpstr>
      <vt:lpstr>Danielsbrigls</vt:lpstr>
      <vt:lpstr>Danielsbripts</vt:lpstr>
      <vt:lpstr>Danielsbritries</vt:lpstr>
      <vt:lpstr>Davidsonnewpts</vt:lpstr>
      <vt:lpstr>Davidsonnewtries</vt:lpstr>
      <vt:lpstr>Davidworpts</vt:lpstr>
      <vt:lpstr>Davidwortries</vt:lpstr>
      <vt:lpstr>Daviesalexpts</vt:lpstr>
      <vt:lpstr>Daviesalextries</vt:lpstr>
      <vt:lpstr>daviesbthatt</vt:lpstr>
      <vt:lpstr>daviesbthgls</vt:lpstr>
      <vt:lpstr>Daviesbthpts</vt:lpstr>
      <vt:lpstr>Daviesbthtries</vt:lpstr>
      <vt:lpstr>Daviesexepts</vt:lpstr>
      <vt:lpstr>Daviesexetries</vt:lpstr>
      <vt:lpstr>Daviesnorpts</vt:lpstr>
      <vt:lpstr>Daviesnortries</vt:lpstr>
      <vt:lpstr>Davisbthpts</vt:lpstr>
      <vt:lpstr>Davisbthtries</vt:lpstr>
      <vt:lpstr>Davisexepts</vt:lpstr>
      <vt:lpstr>Davisexetries</vt:lpstr>
      <vt:lpstr>Davisnorpts</vt:lpstr>
      <vt:lpstr>Davisnortries</vt:lpstr>
      <vt:lpstr>Davisonnewpts</vt:lpstr>
      <vt:lpstr>Davisonnewtries</vt:lpstr>
      <vt:lpstr>Dawebripts</vt:lpstr>
      <vt:lpstr>Dawebritries</vt:lpstr>
      <vt:lpstr>Dawidiukglopts</vt:lpstr>
      <vt:lpstr>Dawidiukglotries</vt:lpstr>
      <vt:lpstr>Dawidiuklirpts</vt:lpstr>
      <vt:lpstr>Dawidiuklirtries</vt:lpstr>
      <vt:lpstr>de_Jonghwaspts</vt:lpstr>
      <vt:lpstr>de_Jonghwastries</vt:lpstr>
      <vt:lpstr>de_Klerksalgls</vt:lpstr>
      <vt:lpstr>de_Kockneilpts</vt:lpstr>
      <vt:lpstr>de_Kockneiltries</vt:lpstr>
      <vt:lpstr>deklerksalatt</vt:lpstr>
      <vt:lpstr>Delmasbthpts</vt:lpstr>
      <vt:lpstr>Delmasbthtries</vt:lpstr>
      <vt:lpstr>Denmangarethpts</vt:lpstr>
      <vt:lpstr>Denmangarethtries</vt:lpstr>
      <vt:lpstr>Denmanglopts</vt:lpstr>
      <vt:lpstr>Denmanglotries</vt:lpstr>
      <vt:lpstr>Dennisexepts</vt:lpstr>
      <vt:lpstr>Dennisexetries</vt:lpstr>
      <vt:lpstr>Dentonglopts</vt:lpstr>
      <vt:lpstr>Dentonglotries</vt:lpstr>
      <vt:lpstr>Dentonleicpts</vt:lpstr>
      <vt:lpstr>Dentonleictries</vt:lpstr>
      <vt:lpstr>Devotoexepts</vt:lpstr>
      <vt:lpstr>Devotoexetries</vt:lpstr>
      <vt:lpstr>Dingwallnorpts</vt:lpstr>
      <vt:lpstr>Dingwallnortries</vt:lpstr>
      <vt:lpstr>dollmanatt</vt:lpstr>
      <vt:lpstr>Dollmanexepts</vt:lpstr>
      <vt:lpstr>Dollmanexetries</vt:lpstr>
      <vt:lpstr>Dollmangoals</vt:lpstr>
      <vt:lpstr>Dombrandtharpts</vt:lpstr>
      <vt:lpstr>Dombrandthartries</vt:lpstr>
      <vt:lpstr>Dorrianlipts</vt:lpstr>
      <vt:lpstr>Dorrianlitries</vt:lpstr>
      <vt:lpstr>Douglasbthpts</vt:lpstr>
      <vt:lpstr>Douglasbthtries</vt:lpstr>
      <vt:lpstr>Dowsonpts</vt:lpstr>
      <vt:lpstr>Dowsontries</vt:lpstr>
      <vt:lpstr>du_Plessissarpts</vt:lpstr>
      <vt:lpstr>du_Plessissartries</vt:lpstr>
      <vt:lpstr>du_Preez_J_Lsalpts</vt:lpstr>
      <vt:lpstr>du_Preez_J_Lsaltries</vt:lpstr>
      <vt:lpstr>du_Preezsalpts</vt:lpstr>
      <vt:lpstr>du_Preezsaltries</vt:lpstr>
      <vt:lpstr>du_Preezworpts</vt:lpstr>
      <vt:lpstr>du_Preezwortries</vt:lpstr>
      <vt:lpstr>Dunnbattries</vt:lpstr>
      <vt:lpstr>Dunntompts</vt:lpstr>
      <vt:lpstr>dupreezsalatt</vt:lpstr>
      <vt:lpstr>dupreezsalgls</vt:lpstr>
      <vt:lpstr>dupreezsalpts</vt:lpstr>
      <vt:lpstr>Earleharpts</vt:lpstr>
      <vt:lpstr>Earlehartries</vt:lpstr>
      <vt:lpstr>Earlsarpts</vt:lpstr>
      <vt:lpstr>Earlsartries</vt:lpstr>
      <vt:lpstr>eastgatewasatt</vt:lpstr>
      <vt:lpstr>eastgatewasgoals</vt:lpstr>
      <vt:lpstr>Eastgatewaspts</vt:lpstr>
      <vt:lpstr>Eastgatewastries</vt:lpstr>
      <vt:lpstr>Eastmondleictries</vt:lpstr>
      <vt:lpstr>Eastmondlicpts</vt:lpstr>
      <vt:lpstr>edenbriatt</vt:lpstr>
      <vt:lpstr>Edenbrigls</vt:lpstr>
      <vt:lpstr>Edenbripts</vt:lpstr>
      <vt:lpstr>Edenbritries</vt:lpstr>
      <vt:lpstr>Eliaharpts</vt:lpstr>
      <vt:lpstr>Eliahartries</vt:lpstr>
      <vt:lpstr>Elliottjamiepts</vt:lpstr>
      <vt:lpstr>elliottjamietries</vt:lpstr>
      <vt:lpstr>Evans_Lglopts</vt:lpstr>
      <vt:lpstr>Evans_Lglotries</vt:lpstr>
      <vt:lpstr>Evans_Oharpts</vt:lpstr>
      <vt:lpstr>Evans_Ohartries</vt:lpstr>
      <vt:lpstr>Evansbthpts</vt:lpstr>
      <vt:lpstr>Evansbthtries</vt:lpstr>
      <vt:lpstr>Evansgarethpts</vt:lpstr>
      <vt:lpstr>Evansgarethtries</vt:lpstr>
      <vt:lpstr>Evansleipts</vt:lpstr>
      <vt:lpstr>Evansleitries</vt:lpstr>
      <vt:lpstr>evanslgloatt</vt:lpstr>
      <vt:lpstr>evanslglogoals</vt:lpstr>
      <vt:lpstr>evansnickatt</vt:lpstr>
      <vt:lpstr>evansnickgoals</vt:lpstr>
      <vt:lpstr>Evanssalpts</vt:lpstr>
      <vt:lpstr>Evanssaltries</vt:lpstr>
      <vt:lpstr>Ewelsbthpts</vt:lpstr>
      <vt:lpstr>ewelsbthtries</vt:lpstr>
      <vt:lpstr>Ewersexepts</vt:lpstr>
      <vt:lpstr>Ewersexetries</vt:lpstr>
      <vt:lpstr>Fainga_anukuofapts</vt:lpstr>
      <vt:lpstr>Faletaubripts</vt:lpstr>
      <vt:lpstr>Faletaubritries</vt:lpstr>
      <vt:lpstr>Faletaubthpts</vt:lpstr>
      <vt:lpstr>Faletaubthtries</vt:lpstr>
      <vt:lpstr>Faosilivaworpts</vt:lpstr>
      <vt:lpstr>Faosilivawortries</vt:lpstr>
      <vt:lpstr>farrellatt</vt:lpstr>
      <vt:lpstr>farrellgoals</vt:lpstr>
      <vt:lpstr>Farrellowentries</vt:lpstr>
      <vt:lpstr>Farrellsarpts</vt:lpstr>
      <vt:lpstr>Fatialofaworpts</vt:lpstr>
      <vt:lpstr>Fatialofawortries</vt:lpstr>
      <vt:lpstr>Feaoleicpts</vt:lpstr>
      <vt:lpstr>Feaoleictries</vt:lpstr>
      <vt:lpstr>Fearnsalpts</vt:lpstr>
      <vt:lpstr>Fearnsaltries</vt:lpstr>
      <vt:lpstr>Fenbylipts</vt:lpstr>
      <vt:lpstr>Fenbylitries</vt:lpstr>
      <vt:lpstr>Fenton_Wellsbripts</vt:lpstr>
      <vt:lpstr>Fenton_Wellsbritries</vt:lpstr>
      <vt:lpstr>Festucciacarlopts</vt:lpstr>
      <vt:lpstr>Festucciacarlotries</vt:lpstr>
      <vt:lpstr>Figallosarpts</vt:lpstr>
      <vt:lpstr>Figallosartries</vt:lpstr>
      <vt:lpstr>Fishnorpts</vt:lpstr>
      <vt:lpstr>Fishnortries</vt:lpstr>
      <vt:lpstr>Fitzgerald__Leitries</vt:lpstr>
      <vt:lpstr>Fitzgeraldleipts</vt:lpstr>
      <vt:lpstr>floodatt</vt:lpstr>
      <vt:lpstr>floodgoals</vt:lpstr>
      <vt:lpstr>Floodnewpts</vt:lpstr>
      <vt:lpstr>Floodnewtries</vt:lpstr>
      <vt:lpstr>Floodpts</vt:lpstr>
      <vt:lpstr>Floodtobytries</vt:lpstr>
      <vt:lpstr>Flynnsalpts</vt:lpstr>
      <vt:lpstr>Flynnsaltries</vt:lpstr>
      <vt:lpstr>Ford_Jleicpts</vt:lpstr>
      <vt:lpstr>Ford_Jleictries</vt:lpstr>
      <vt:lpstr>Ford_Robinsonnorpts</vt:lpstr>
      <vt:lpstr>Ford_Robinsonnortries</vt:lpstr>
      <vt:lpstr>Fordgeorgeatt</vt:lpstr>
      <vt:lpstr>Fordgeorgegoals</vt:lpstr>
      <vt:lpstr>fordleicpts</vt:lpstr>
      <vt:lpstr>fordleictries</vt:lpstr>
      <vt:lpstr>Fosterwaspts</vt:lpstr>
      <vt:lpstr>Fosterwastries</vt:lpstr>
      <vt:lpstr>Fotuali_ibthatt</vt:lpstr>
      <vt:lpstr>Fotuali_ibthgls</vt:lpstr>
      <vt:lpstr>Fotuali_ibthpts</vt:lpstr>
      <vt:lpstr>Fotuali_ibthtries</vt:lpstr>
      <vt:lpstr>Fowlielipts</vt:lpstr>
      <vt:lpstr>Fowlietomtries</vt:lpstr>
      <vt:lpstr>Francisexepts</vt:lpstr>
      <vt:lpstr>Francisexetries</vt:lpstr>
      <vt:lpstr>Francisnorpts</vt:lpstr>
      <vt:lpstr>Francisnortries</vt:lpstr>
      <vt:lpstr>Frankslirpts</vt:lpstr>
      <vt:lpstr>Frankslirtries</vt:lpstr>
      <vt:lpstr>Franksnorpts</vt:lpstr>
      <vt:lpstr>Franksnortries</vt:lpstr>
      <vt:lpstr>Freemanexepts</vt:lpstr>
      <vt:lpstr>Freemanexetries</vt:lpstr>
      <vt:lpstr>furbanknoratt</vt:lpstr>
      <vt:lpstr>furbanknorgls</vt:lpstr>
      <vt:lpstr>Furbanknorpts</vt:lpstr>
      <vt:lpstr>Furbanknorptscorrect</vt:lpstr>
      <vt:lpstr>Furbanknortries</vt:lpstr>
      <vt:lpstr>Furbanknortriescorrect</vt:lpstr>
      <vt:lpstr>Furnonewpts</vt:lpstr>
      <vt:lpstr>Furnonewtries</vt:lpstr>
      <vt:lpstr>Galarzaglopts</vt:lpstr>
      <vt:lpstr>Galarzaglotries</vt:lpstr>
      <vt:lpstr>Galarzamarianopts</vt:lpstr>
      <vt:lpstr>Galarzamarianotries</vt:lpstr>
      <vt:lpstr>Gallaghersarpts</vt:lpstr>
      <vt:lpstr>Gallaghersartries</vt:lpstr>
      <vt:lpstr>Garveymattpts</vt:lpstr>
      <vt:lpstr>Garveymatttries</vt:lpstr>
      <vt:lpstr>Gaskellwaspts</vt:lpstr>
      <vt:lpstr>Gaskellwastries</vt:lpstr>
      <vt:lpstr>Georgesarpts</vt:lpstr>
      <vt:lpstr>Georgesartries</vt:lpstr>
      <vt:lpstr>Geraghtybripts</vt:lpstr>
      <vt:lpstr>Geraghtybritries</vt:lpstr>
      <vt:lpstr>Geraghtypts</vt:lpstr>
      <vt:lpstr>Geraghtytries</vt:lpstr>
      <vt:lpstr>Ghiraldinileipts</vt:lpstr>
      <vt:lpstr>Ghiraldinileitries</vt:lpstr>
      <vt:lpstr>Gibsonnorpts</vt:lpstr>
      <vt:lpstr>Gibsonnortries</vt:lpstr>
      <vt:lpstr>Gigenaleicpts</vt:lpstr>
      <vt:lpstr>Gigenaleictries</vt:lpstr>
      <vt:lpstr>Gilsenanlipts</vt:lpstr>
      <vt:lpstr>Gilsenanlitries</vt:lpstr>
      <vt:lpstr>Gleavelirpts</vt:lpstr>
      <vt:lpstr>Gleavelirtries</vt:lpstr>
      <vt:lpstr>goodealexatt</vt:lpstr>
      <vt:lpstr>goodealexgoals</vt:lpstr>
      <vt:lpstr>Goodealexpts</vt:lpstr>
      <vt:lpstr>goodealextries</vt:lpstr>
      <vt:lpstr>goodeandyatt</vt:lpstr>
      <vt:lpstr>goodeandygoals</vt:lpstr>
      <vt:lpstr>Goodewaspts</vt:lpstr>
      <vt:lpstr>Goodewastries</vt:lpstr>
      <vt:lpstr>Graham__Guynewpts</vt:lpstr>
      <vt:lpstr>Graham__Guynewtries</vt:lpstr>
      <vt:lpstr>Grahambripts</vt:lpstr>
      <vt:lpstr>Grahambritries</vt:lpstr>
      <vt:lpstr>Grahamnewpts</vt:lpstr>
      <vt:lpstr>Grahamnewtries</vt:lpstr>
      <vt:lpstr>Grantbatpts</vt:lpstr>
      <vt:lpstr>Grantbattries</vt:lpstr>
      <vt:lpstr>graydannyatt</vt:lpstr>
      <vt:lpstr>graydannygoals</vt:lpstr>
      <vt:lpstr>Grayharpts</vt:lpstr>
      <vt:lpstr>Grayhartries</vt:lpstr>
      <vt:lpstr>graysonnoratt</vt:lpstr>
      <vt:lpstr>graysonnorgls</vt:lpstr>
      <vt:lpstr>Graysonnorpts</vt:lpstr>
      <vt:lpstr>Graysonnortries</vt:lpstr>
      <vt:lpstr>Greenbthpts</vt:lpstr>
      <vt:lpstr>Greenbthtries</vt:lpstr>
      <vt:lpstr>Greennewpts</vt:lpstr>
      <vt:lpstr>Greennewtries</vt:lpstr>
      <vt:lpstr>Griffithssarpts</vt:lpstr>
      <vt:lpstr>Griffithssartries</vt:lpstr>
      <vt:lpstr>Groblerglopts</vt:lpstr>
      <vt:lpstr>Groblerglotrie</vt:lpstr>
      <vt:lpstr>Hainingbripts</vt:lpstr>
      <vt:lpstr>Hainingbritries</vt:lpstr>
      <vt:lpstr>Halaifonuaglopts</vt:lpstr>
      <vt:lpstr>Halaifonuaglotries</vt:lpstr>
      <vt:lpstr>Halaiwaspts</vt:lpstr>
      <vt:lpstr>Halaiwastries</vt:lpstr>
      <vt:lpstr>Hammersleynewpts</vt:lpstr>
      <vt:lpstr>Hammersleynewtries</vt:lpstr>
      <vt:lpstr>Hammonddeanpts</vt:lpstr>
      <vt:lpstr>Hammonddeantries</vt:lpstr>
      <vt:lpstr>Hampsonwasptscorrect</vt:lpstr>
      <vt:lpstr>Hampsonwastriescorrect</vt:lpstr>
      <vt:lpstr>hanrahannoratt</vt:lpstr>
      <vt:lpstr>Hanrahannorgoals</vt:lpstr>
      <vt:lpstr>Hansonglopts</vt:lpstr>
      <vt:lpstr>Hansonglotries</vt:lpstr>
      <vt:lpstr>hardwickleicatt</vt:lpstr>
      <vt:lpstr>hardwickleicgls</vt:lpstr>
      <vt:lpstr>Hardwickleicpts</vt:lpstr>
      <vt:lpstr>Hardwickleictries</vt:lpstr>
      <vt:lpstr>Harris_Bwaspts</vt:lpstr>
      <vt:lpstr>Harris_Bwastries</vt:lpstr>
      <vt:lpstr>Harrisnewpts</vt:lpstr>
      <vt:lpstr>Harrisnewtries</vt:lpstr>
      <vt:lpstr>Harrisonnorpts</vt:lpstr>
      <vt:lpstr>Harrisonnortries</vt:lpstr>
      <vt:lpstr>Harrisonsalpts</vt:lpstr>
      <vt:lpstr>Harrisonsaltris</vt:lpstr>
      <vt:lpstr>Harrisonsampts</vt:lpstr>
      <vt:lpstr>Harrisonsamtries</vt:lpstr>
      <vt:lpstr>Hartleyptscorrect</vt:lpstr>
      <vt:lpstr>Hartleytriescorrect</vt:lpstr>
      <vt:lpstr>Hartleytriesthisiscorrect</vt:lpstr>
      <vt:lpstr>Hartryscorers</vt:lpstr>
      <vt:lpstr>Haskellnorpts</vt:lpstr>
      <vt:lpstr>Haskellnortries</vt:lpstr>
      <vt:lpstr>Hawkinsnewpts</vt:lpstr>
      <vt:lpstr>Hawkinsnewtries</vt:lpstr>
      <vt:lpstr>Haywoodmikepts</vt:lpstr>
      <vt:lpstr>Haywoodmiketries</vt:lpstr>
      <vt:lpstr>Heaneyworpts</vt:lpstr>
      <vt:lpstr>Heaneywortries</vt:lpstr>
      <vt:lpstr>Hearnlirpts</vt:lpstr>
      <vt:lpstr>Hearnlirtries</vt:lpstr>
      <vt:lpstr>Heinzglopts</vt:lpstr>
      <vt:lpstr>Heinzglotries</vt:lpstr>
      <vt:lpstr>Hendricksonexepts</vt:lpstr>
      <vt:lpstr>Hendriksonexetries</vt:lpstr>
      <vt:lpstr>Hepburnexepts</vt:lpstr>
      <vt:lpstr>Hepburnexetries</vt:lpstr>
      <vt:lpstr>Hicksglopts</vt:lpstr>
      <vt:lpstr>Hicksgloptscorrect</vt:lpstr>
      <vt:lpstr>Hicksglotries</vt:lpstr>
      <vt:lpstr>Hill_Jexepts</vt:lpstr>
      <vt:lpstr>Hill_Jexetries</vt:lpstr>
      <vt:lpstr>Hill_Samexetries</vt:lpstr>
      <vt:lpstr>Hill_Sexepts</vt:lpstr>
      <vt:lpstr>Hill_Ssamexepts</vt:lpstr>
      <vt:lpstr>Hillsampts</vt:lpstr>
      <vt:lpstr>Hillsamtries</vt:lpstr>
      <vt:lpstr>Hillworpts</vt:lpstr>
      <vt:lpstr>Hillwortries</vt:lpstr>
      <vt:lpstr>hodgsoncharlieatt</vt:lpstr>
      <vt:lpstr>Hodgsoncharliegoals</vt:lpstr>
      <vt:lpstr>Hodgsonnewatt</vt:lpstr>
      <vt:lpstr>hodgsonnewattcorrect</vt:lpstr>
      <vt:lpstr>Hodgsonnewgoals</vt:lpstr>
      <vt:lpstr>Hodgsonnorpts</vt:lpstr>
      <vt:lpstr>Hodgsonnortries</vt:lpstr>
      <vt:lpstr>Holmesexepts</vt:lpstr>
      <vt:lpstr>holmesexetries</vt:lpstr>
      <vt:lpstr>Holmesleicpts</vt:lpstr>
      <vt:lpstr>Holmesleictries</vt:lpstr>
      <vt:lpstr>Homer_Tombthgoals</vt:lpstr>
      <vt:lpstr>Homer_Tombthpts</vt:lpstr>
      <vt:lpstr>Homer_Tombthtries</vt:lpstr>
      <vt:lpstr>homertombthatt</vt:lpstr>
      <vt:lpstr>hookgloatt</vt:lpstr>
      <vt:lpstr>hookglogoals</vt:lpstr>
      <vt:lpstr>Horwillharpts</vt:lpstr>
      <vt:lpstr>Horwillhartries</vt:lpstr>
      <vt:lpstr>Hoskinslirpts</vt:lpstr>
      <vt:lpstr>Hoskinslirtries</vt:lpstr>
      <vt:lpstr>Hougaardworpts</vt:lpstr>
      <vt:lpstr>Hougaardwortries</vt:lpstr>
      <vt:lpstr>Howeworpts</vt:lpstr>
      <vt:lpstr>Howewortries</vt:lpstr>
      <vt:lpstr>Hudsonglopts</vt:lpstr>
      <vt:lpstr>Hudsonglotries</vt:lpstr>
      <vt:lpstr>Hugheswaspts</vt:lpstr>
      <vt:lpstr>Hugheswastries</vt:lpstr>
      <vt:lpstr>humphreysatt</vt:lpstr>
      <vt:lpstr>humphreysgoals</vt:lpstr>
      <vt:lpstr>Humphreysworpts</vt:lpstr>
      <vt:lpstr>Humphreyswortries</vt:lpstr>
      <vt:lpstr>hutchinsonnoratt</vt:lpstr>
      <vt:lpstr>hutchinsonnorgls</vt:lpstr>
      <vt:lpstr>Hutchinsonnorpts</vt:lpstr>
      <vt:lpstr>Hutchinsonnortries</vt:lpstr>
      <vt:lpstr>Ibitoyeharpts</vt:lpstr>
      <vt:lpstr>Ibitoyehartries</vt:lpstr>
      <vt:lpstr>Ibuanokpeharpts</vt:lpstr>
      <vt:lpstr>Ibuanokpehartries</vt:lpstr>
      <vt:lpstr>Isiekwesarpts</vt:lpstr>
      <vt:lpstr>Isiekwesartries</vt:lpstr>
      <vt:lpstr>Itojesarpts</vt:lpstr>
      <vt:lpstr>Itojesartries</vt:lpstr>
      <vt:lpstr>James_Lsalpts</vt:lpstr>
      <vt:lpstr>James_Lsaltries</vt:lpstr>
      <vt:lpstr>Jamespts</vt:lpstr>
      <vt:lpstr>Jamessalatt</vt:lpstr>
      <vt:lpstr>Jamessalgls</vt:lpstr>
      <vt:lpstr>Jamessalpts</vt:lpstr>
      <vt:lpstr>Jamessaltries</vt:lpstr>
      <vt:lpstr>jamestries</vt:lpstr>
      <vt:lpstr>jameswasatt</vt:lpstr>
      <vt:lpstr>jameswasgoals</vt:lpstr>
      <vt:lpstr>Jameswaspts</vt:lpstr>
      <vt:lpstr>Jameswastries</vt:lpstr>
      <vt:lpstr>jardinewasatt</vt:lpstr>
      <vt:lpstr>jardinewasgls</vt:lpstr>
      <vt:lpstr>Jardinewaspts</vt:lpstr>
      <vt:lpstr>Jardinewastries</vt:lpstr>
      <vt:lpstr>Jeffriesbripts</vt:lpstr>
      <vt:lpstr>Jeffriesbritries</vt:lpstr>
      <vt:lpstr>Jeffriesbstpts</vt:lpstr>
      <vt:lpstr>Jeffriesbsttries</vt:lpstr>
      <vt:lpstr>Jenningssalpts</vt:lpstr>
      <vt:lpstr>Jenningssaltries</vt:lpstr>
      <vt:lpstr>Jewellsebpts</vt:lpstr>
      <vt:lpstr>Jewellsebtries</vt:lpstr>
      <vt:lpstr>Johnsalpts</vt:lpstr>
      <vt:lpstr>Johnsaltries</vt:lpstr>
      <vt:lpstr>Johnsonexepts</vt:lpstr>
      <vt:lpstr>Johnsonexetries</vt:lpstr>
      <vt:lpstr>Johnsonwaspts</vt:lpstr>
      <vt:lpstr>Johnsonwastries</vt:lpstr>
      <vt:lpstr>Jones_Jsalpts</vt:lpstr>
      <vt:lpstr>Jones_Jsaltries</vt:lpstr>
      <vt:lpstr>Jonesadamharpts</vt:lpstr>
      <vt:lpstr>Jonesadamhartries</vt:lpstr>
      <vt:lpstr>joneschristries</vt:lpstr>
      <vt:lpstr>Jonessalpts</vt:lpstr>
      <vt:lpstr>Jonessaltries</vt:lpstr>
      <vt:lpstr>Josephbatpts</vt:lpstr>
      <vt:lpstr>Josephbattries</vt:lpstr>
      <vt:lpstr>josephbthatt</vt:lpstr>
      <vt:lpstr>Josephbthgls</vt:lpstr>
      <vt:lpstr>Jouberternstpts</vt:lpstr>
      <vt:lpstr>Jouberternsttries</vt:lpstr>
      <vt:lpstr>Judgesarpts</vt:lpstr>
      <vt:lpstr>Judgesartries</vt:lpstr>
      <vt:lpstr>Kalamafonileipts</vt:lpstr>
      <vt:lpstr>Kalamafonileitries</vt:lpstr>
      <vt:lpstr>Keastexepts</vt:lpstr>
      <vt:lpstr>Keastexetries</vt:lpstr>
      <vt:lpstr>Kellawaynorpts</vt:lpstr>
      <vt:lpstr>Kellawaynortries</vt:lpstr>
      <vt:lpstr>Kerrodworpts</vt:lpstr>
      <vt:lpstr>Kerrodwortries</vt:lpstr>
      <vt:lpstr>Kibirigezachpts</vt:lpstr>
      <vt:lpstr>Kibirigezachtries</vt:lpstr>
      <vt:lpstr>Kirwancarlpts</vt:lpstr>
      <vt:lpstr>Kirwancarltries</vt:lpstr>
      <vt:lpstr>Kitchenergrahamptscorrect</vt:lpstr>
      <vt:lpstr>Kitchenergrahamtriescorrect</vt:lpstr>
      <vt:lpstr>Kpoku__Jonathansarpts</vt:lpstr>
      <vt:lpstr>Kpoku__Jonathansartries</vt:lpstr>
      <vt:lpstr>Kpokusarpts</vt:lpstr>
      <vt:lpstr>Kpokusartries</vt:lpstr>
      <vt:lpstr>Krielglopts</vt:lpstr>
      <vt:lpstr>Krielglotries</vt:lpstr>
      <vt:lpstr>Kruisgeorgepts</vt:lpstr>
      <vt:lpstr>Kruisgeorgetries</vt:lpstr>
      <vt:lpstr>Kunataniharpts</vt:lpstr>
      <vt:lpstr>Kunatanihartries</vt:lpstr>
      <vt:lpstr>Lahiffmaxbthpts</vt:lpstr>
      <vt:lpstr>lahiffmaxbthtries</vt:lpstr>
      <vt:lpstr>Lambertharpts</vt:lpstr>
      <vt:lpstr>Lamberthartries</vt:lpstr>
      <vt:lpstr>Lambripts</vt:lpstr>
      <vt:lpstr>Lambritries</vt:lpstr>
      <vt:lpstr>Lamositelesarpts</vt:lpstr>
      <vt:lpstr>Lamositelesartries</vt:lpstr>
      <vt:lpstr>lanceworatt</vt:lpstr>
      <vt:lpstr>lanceworgls</vt:lpstr>
      <vt:lpstr>Lanceworpts</vt:lpstr>
      <vt:lpstr>Lancewortries</vt:lpstr>
      <vt:lpstr>Langdonsalpts</vt:lpstr>
      <vt:lpstr>Langdonsaltries</vt:lpstr>
      <vt:lpstr>langharatt</vt:lpstr>
      <vt:lpstr>Langhargls</vt:lpstr>
      <vt:lpstr>Langharpts</vt:lpstr>
      <vt:lpstr>Langhartries</vt:lpstr>
      <vt:lpstr>Langleywaspts</vt:lpstr>
      <vt:lpstr>Langleywastries</vt:lpstr>
      <vt:lpstr>lanharatt</vt:lpstr>
      <vt:lpstr>lanhargoals</vt:lpstr>
      <vt:lpstr>lanharpts</vt:lpstr>
      <vt:lpstr>Lasikeharpts</vt:lpstr>
      <vt:lpstr>Lasikehartries</vt:lpstr>
      <vt:lpstr>Launchburywaspts</vt:lpstr>
      <vt:lpstr>Launchburywastries</vt:lpstr>
      <vt:lpstr>Lawdayexeptscorrect</vt:lpstr>
      <vt:lpstr>Lawdayexetriescorrect</vt:lpstr>
      <vt:lpstr>Lawesnorpts</vt:lpstr>
      <vt:lpstr>Lawesnortries</vt:lpstr>
      <vt:lpstr>Lawrenceworpts</vt:lpstr>
      <vt:lpstr>Lawrencewortries</vt:lpstr>
      <vt:lpstr>Laybripts</vt:lpstr>
      <vt:lpstr>Laybritries</vt:lpstr>
      <vt:lpstr>Le_Bourgeoiswaspts</vt:lpstr>
      <vt:lpstr>Le_Bourgeoiswastries</vt:lpstr>
      <vt:lpstr>Le_Rouxwaspts</vt:lpstr>
      <vt:lpstr>Le_Rouxwastries</vt:lpstr>
      <vt:lpstr>Leesexepts</vt:lpstr>
      <vt:lpstr>Leesexetries</vt:lpstr>
      <vt:lpstr>leicspentriespts</vt:lpstr>
      <vt:lpstr>leicspentriestries</vt:lpstr>
      <vt:lpstr>Leiuaalapatiwaspts</vt:lpstr>
      <vt:lpstr>Leiuawastries</vt:lpstr>
      <vt:lpstr>Leotajohnnypts</vt:lpstr>
      <vt:lpstr>Leotajohnnytries</vt:lpstr>
      <vt:lpstr>Lewingtonalextries</vt:lpstr>
      <vt:lpstr>Lewingtonpts</vt:lpstr>
      <vt:lpstr>Lewingtonsarpts</vt:lpstr>
      <vt:lpstr>Lewingtonsartries</vt:lpstr>
      <vt:lpstr>Lewingtontries</vt:lpstr>
      <vt:lpstr>Lewis_</vt:lpstr>
      <vt:lpstr>Lewisdaveharpts</vt:lpstr>
      <vt:lpstr>Lewisdavehartries</vt:lpstr>
      <vt:lpstr>Lewisrobpts</vt:lpstr>
      <vt:lpstr>Lewisrobtries</vt:lpstr>
      <vt:lpstr>Lloydlirpts</vt:lpstr>
      <vt:lpstr>Lloydlirtries</vt:lpstr>
      <vt:lpstr>Loaderlirpts</vt:lpstr>
      <vt:lpstr>Loaderlirtries</vt:lpstr>
      <vt:lpstr>Lomidzelirpts</vt:lpstr>
      <vt:lpstr>Lomidzelirtries</vt:lpstr>
      <vt:lpstr>londonirishpentriespts</vt:lpstr>
      <vt:lpstr>londonirishpentriestries</vt:lpstr>
      <vt:lpstr>Longbottomsarpts</vt:lpstr>
      <vt:lpstr>Longbottomsartries</vt:lpstr>
      <vt:lpstr>Lonsdaleexepts</vt:lpstr>
      <vt:lpstr>Lonsdaleexetries</vt:lpstr>
      <vt:lpstr>Louwfrancoispts</vt:lpstr>
      <vt:lpstr>Louwfrancoistris</vt:lpstr>
      <vt:lpstr>Lowkierantries</vt:lpstr>
      <vt:lpstr>Lowlipts</vt:lpstr>
      <vt:lpstr>Lowmoraypts</vt:lpstr>
      <vt:lpstr>Lowmoraytries</vt:lpstr>
      <vt:lpstr>Lowtriescorrect</vt:lpstr>
      <vt:lpstr>Ludlamnorpts</vt:lpstr>
      <vt:lpstr>Ludlamnortries</vt:lpstr>
      <vt:lpstr>Ludlowglopts</vt:lpstr>
      <vt:lpstr>Ludlowglotries</vt:lpstr>
      <vt:lpstr>Ma_afusalesipts</vt:lpstr>
      <vt:lpstr>Ma_afusalesitries</vt:lpstr>
      <vt:lpstr>MacKenziephilpts</vt:lpstr>
      <vt:lpstr>MacKenziephiltries</vt:lpstr>
      <vt:lpstr>MacLeodnewpts</vt:lpstr>
      <vt:lpstr>MacLeodnewtries</vt:lpstr>
      <vt:lpstr>macleodnickatt</vt:lpstr>
      <vt:lpstr>macleodnickgoals</vt:lpstr>
      <vt:lpstr>Mafipts</vt:lpstr>
      <vt:lpstr>Maitlandsarpts</vt:lpstr>
      <vt:lpstr>Maitlandsartries</vt:lpstr>
      <vt:lpstr>malinssaratt</vt:lpstr>
      <vt:lpstr>malinssargls</vt:lpstr>
      <vt:lpstr>Malinssarpts</vt:lpstr>
      <vt:lpstr>Malinssartries</vt:lpstr>
      <vt:lpstr>mallindernoratt</vt:lpstr>
      <vt:lpstr>Mallindernorgoals</vt:lpstr>
      <vt:lpstr>Mallindernorpts</vt:lpstr>
      <vt:lpstr>Mallindernortries</vt:lpstr>
      <vt:lpstr>Maraisglopts</vt:lpstr>
      <vt:lpstr>Maraisglotries</vt:lpstr>
      <vt:lpstr>Marchantharpts</vt:lpstr>
      <vt:lpstr>Marchanthartries</vt:lpstr>
      <vt:lpstr>Marfoharpts</vt:lpstr>
      <vt:lpstr>Marfohartries</vt:lpstr>
      <vt:lpstr>Marlerharpts</vt:lpstr>
      <vt:lpstr>marlertries</vt:lpstr>
      <vt:lpstr>Marshallglopts</vt:lpstr>
      <vt:lpstr>Marshalllirpts</vt:lpstr>
      <vt:lpstr>Marshalllirtries</vt:lpstr>
      <vt:lpstr>Marshallnewpts</vt:lpstr>
      <vt:lpstr>Marshallnewtries</vt:lpstr>
      <vt:lpstr>Marshallnorpts</vt:lpstr>
      <vt:lpstr>Marshallnortries</vt:lpstr>
      <vt:lpstr>Marshalltomglo</vt:lpstr>
      <vt:lpstr>Matavesi__Joelnewpts</vt:lpstr>
      <vt:lpstr>Matavesi__Joelnewtries</vt:lpstr>
      <vt:lpstr>Matavesi__Joshnewpts</vt:lpstr>
      <vt:lpstr>Matavesi__JoshnewptsCORRECT</vt:lpstr>
      <vt:lpstr>Matavesi__Joshnewtries</vt:lpstr>
      <vt:lpstr>Matthewswaspts</vt:lpstr>
      <vt:lpstr>Matthewswastries</vt:lpstr>
      <vt:lpstr>Maunderexepts</vt:lpstr>
      <vt:lpstr>Maunderexetries</vt:lpstr>
      <vt:lpstr>Mayhewlipts</vt:lpstr>
      <vt:lpstr>Mayhewlitries</vt:lpstr>
      <vt:lpstr>Mayleicpts</vt:lpstr>
      <vt:lpstr>Mayleictries</vt:lpstr>
      <vt:lpstr>Maytompts</vt:lpstr>
      <vt:lpstr>Maytomtries</vt:lpstr>
      <vt:lpstr>McAllisterglopts</vt:lpstr>
      <vt:lpstr>McAllisterglotries</vt:lpstr>
      <vt:lpstr>McCaffreywelshpts</vt:lpstr>
      <vt:lpstr>McCaffreywelshtries</vt:lpstr>
      <vt:lpstr>McConnochiebthpts</vt:lpstr>
      <vt:lpstr>McConnochiebthtries</vt:lpstr>
      <vt:lpstr>McGuigannewpts</vt:lpstr>
      <vt:lpstr>McGuigannewtries</vt:lpstr>
      <vt:lpstr>mcguigansalatt</vt:lpstr>
      <vt:lpstr>McGuigansalgoals</vt:lpstr>
      <vt:lpstr>McGuigansalpts</vt:lpstr>
      <vt:lpstr>McGuigansaltries</vt:lpstr>
      <vt:lpstr>McIntyresimonpts</vt:lpstr>
      <vt:lpstr>McIntyrewastries</vt:lpstr>
      <vt:lpstr>McKibbinlirpts</vt:lpstr>
      <vt:lpstr>McKibbinlirtries</vt:lpstr>
      <vt:lpstr>McLeanlirpts</vt:lpstr>
      <vt:lpstr>McLeanlirtries</vt:lpstr>
      <vt:lpstr>McNallyjoshpts</vt:lpstr>
      <vt:lpstr>McNallyjoshtries</vt:lpstr>
      <vt:lpstr>McNallylirpts</vt:lpstr>
      <vt:lpstr>McNallylirtries</vt:lpstr>
      <vt:lpstr>McNultyharpts</vt:lpstr>
      <vt:lpstr>McNultyhartries</vt:lpstr>
      <vt:lpstr>Mercerbatpts</vt:lpstr>
      <vt:lpstr>Mercerbattries</vt:lpstr>
      <vt:lpstr>Merrickharpts</vt:lpstr>
      <vt:lpstr>Merrickhartries</vt:lpstr>
      <vt:lpstr>Mierespts</vt:lpstr>
      <vt:lpstr>mikepts</vt:lpstr>
      <vt:lpstr>Milasinovichworpts</vt:lpstr>
      <vt:lpstr>Milasinovichwortries</vt:lpstr>
      <vt:lpstr>millerwasatt</vt:lpstr>
      <vt:lpstr>millerwasgoals</vt:lpstr>
      <vt:lpstr>Millerwaspts</vt:lpstr>
      <vt:lpstr>Millerwastries</vt:lpstr>
      <vt:lpstr>Millerworpts</vt:lpstr>
      <vt:lpstr>Millerwortries</vt:lpstr>
      <vt:lpstr>millsworatt</vt:lpstr>
      <vt:lpstr>millsworgoals</vt:lpstr>
      <vt:lpstr>Mitchellnorpts</vt:lpstr>
      <vt:lpstr>Mitchellnortries</vt:lpstr>
      <vt:lpstr>Moon_Anortries</vt:lpstr>
      <vt:lpstr>Moonnorpts</vt:lpstr>
      <vt:lpstr>Mooresalpts</vt:lpstr>
      <vt:lpstr>Mooresaltries</vt:lpstr>
      <vt:lpstr>Morganbenpts</vt:lpstr>
      <vt:lpstr>Morganbentries</vt:lpstr>
      <vt:lpstr>Moriartyglopts</vt:lpstr>
      <vt:lpstr>Moriartyglotries</vt:lpstr>
      <vt:lpstr>Morrisbenwasgtries</vt:lpstr>
      <vt:lpstr>Morrisbenwaspts</vt:lpstr>
      <vt:lpstr>Morrisharpts</vt:lpstr>
      <vt:lpstr>Morrishartries</vt:lpstr>
      <vt:lpstr>Mudarikiworpts</vt:lpstr>
      <vt:lpstr>Mudarikiwortries</vt:lpstr>
      <vt:lpstr>Mulchroneharpts</vt:lpstr>
      <vt:lpstr>Mulchronehartries</vt:lpstr>
      <vt:lpstr>Mulchronelipts</vt:lpstr>
      <vt:lpstr>MulchronelirtriesCORRECT</vt:lpstr>
      <vt:lpstr>Mulchronelitries</vt:lpstr>
      <vt:lpstr>Muldowneybripts</vt:lpstr>
      <vt:lpstr>Muldowneybritries</vt:lpstr>
      <vt:lpstr>Mulipolanewpts</vt:lpstr>
      <vt:lpstr>Mulipolanewtries</vt:lpstr>
      <vt:lpstr>Mullanwaspts</vt:lpstr>
      <vt:lpstr>Mullanwastries</vt:lpstr>
      <vt:lpstr>Mullennewpts</vt:lpstr>
      <vt:lpstr>Mullennewtries</vt:lpstr>
      <vt:lpstr>MullisGLOPTS</vt:lpstr>
      <vt:lpstr>MullisGLOTRIES</vt:lpstr>
      <vt:lpstr>Mummpts</vt:lpstr>
      <vt:lpstr>mummtries</vt:lpstr>
      <vt:lpstr>Murleyharpts</vt:lpstr>
      <vt:lpstr>Murleyhartries</vt:lpstr>
      <vt:lpstr>Myallpts</vt:lpstr>
      <vt:lpstr>Myalltries</vt:lpstr>
      <vt:lpstr>myleratt</vt:lpstr>
      <vt:lpstr>mylergoals</vt:lpstr>
      <vt:lpstr>Nagusanewpts</vt:lpstr>
      <vt:lpstr>Nagusanewtries</vt:lpstr>
      <vt:lpstr>Naiyaravoronorpts</vt:lpstr>
      <vt:lpstr>Naiyaravoronortries</vt:lpstr>
      <vt:lpstr>Narrawaylipts</vt:lpstr>
      <vt:lpstr>Narrawaylitries</vt:lpstr>
      <vt:lpstr>Naysarpts</vt:lpstr>
      <vt:lpstr>Naysartries</vt:lpstr>
      <vt:lpstr>Nealwaspts</vt:lpstr>
      <vt:lpstr>Nealwastries</vt:lpstr>
      <vt:lpstr>Neildsalpts</vt:lpstr>
      <vt:lpstr>Neildsaltries</vt:lpstr>
      <vt:lpstr>noakesliatt</vt:lpstr>
      <vt:lpstr>noakesligoals</vt:lpstr>
      <vt:lpstr>Noakeslipts</vt:lpstr>
      <vt:lpstr>Noakeslitries</vt:lpstr>
      <vt:lpstr>Noguerabthpts</vt:lpstr>
      <vt:lpstr>Noguerabthtries</vt:lpstr>
      <vt:lpstr>Nottsalpts</vt:lpstr>
      <vt:lpstr>Nottsaltries</vt:lpstr>
      <vt:lpstr>Nowellexepts</vt:lpstr>
      <vt:lpstr>Nowellexetries</vt:lpstr>
      <vt:lpstr>O_Connorptssal</vt:lpstr>
      <vt:lpstr>O_Connortriessal</vt:lpstr>
      <vt:lpstr>O_Donnellrobtries</vt:lpstr>
      <vt:lpstr>O_Sullivanwaspts</vt:lpstr>
      <vt:lpstr>O_Sullivanwastries</vt:lpstr>
      <vt:lpstr>Obanobthpts</vt:lpstr>
      <vt:lpstr>Obanobthtries</vt:lpstr>
      <vt:lpstr>Odogwusalpts</vt:lpstr>
      <vt:lpstr>Odogwusaltries</vt:lpstr>
      <vt:lpstr>Ojotopsypts</vt:lpstr>
      <vt:lpstr>Ojotopsytries</vt:lpstr>
      <vt:lpstr>Olowofela_Jleicpts</vt:lpstr>
      <vt:lpstr>Olowofela_Jleictries</vt:lpstr>
      <vt:lpstr>Olvernorpts</vt:lpstr>
      <vt:lpstr>Olvernortriescorrect</vt:lpstr>
      <vt:lpstr>Ostrikovandreitries</vt:lpstr>
      <vt:lpstr>OStrikovsalpts</vt:lpstr>
      <vt:lpstr>Owenleicpts</vt:lpstr>
      <vt:lpstr>Owenleictries</vt:lpstr>
      <vt:lpstr>Paicedavidpts</vt:lpstr>
      <vt:lpstr>Paicedavidtries</vt:lpstr>
      <vt:lpstr>Painternorpts</vt:lpstr>
      <vt:lpstr>Painternortries</vt:lpstr>
      <vt:lpstr>Palamobrispts</vt:lpstr>
      <vt:lpstr>Palamobristries</vt:lpstr>
      <vt:lpstr>Parlingexepts</vt:lpstr>
      <vt:lpstr>Parlingexetries</vt:lpstr>
      <vt:lpstr>Parlinggeoffexepts</vt:lpstr>
      <vt:lpstr>Parlingleipts</vt:lpstr>
      <vt:lpstr>Parlingleitries</vt:lpstr>
      <vt:lpstr>Paulolirpts</vt:lpstr>
      <vt:lpstr>paulolirtries</vt:lpstr>
      <vt:lpstr>Pearcesalpts</vt:lpstr>
      <vt:lpstr>Pearcesaltries</vt:lpstr>
      <vt:lpstr>Penalty_Triesbath</vt:lpstr>
      <vt:lpstr>Penalty_Triesbripts</vt:lpstr>
      <vt:lpstr>Penalty_Triesbritries</vt:lpstr>
      <vt:lpstr>Penalty_Triesexepts</vt:lpstr>
      <vt:lpstr>Penalty_Triesexetries</vt:lpstr>
      <vt:lpstr>Penalty_Triesglopts</vt:lpstr>
      <vt:lpstr>Penalty_Triesglotries</vt:lpstr>
      <vt:lpstr>Penalty_Triesharpts</vt:lpstr>
      <vt:lpstr>Penalty_Trieshartries</vt:lpstr>
      <vt:lpstr>Penalty_Trieslwelshpts</vt:lpstr>
      <vt:lpstr>Penalty_Trieslwelshtries</vt:lpstr>
      <vt:lpstr>Penalty_Triesnewpts</vt:lpstr>
      <vt:lpstr>Penalty_Triesnewtries</vt:lpstr>
      <vt:lpstr>Penalty_Triessaintspts</vt:lpstr>
      <vt:lpstr>Penalty_Triessaintstries</vt:lpstr>
      <vt:lpstr>Penalty_Triessarpts</vt:lpstr>
      <vt:lpstr>Penalty_Triessartries</vt:lpstr>
      <vt:lpstr>Penalty_Trieswaspts</vt:lpstr>
      <vt:lpstr>Penalty_Trieswastries</vt:lpstr>
      <vt:lpstr>Pennellchristries</vt:lpstr>
      <vt:lpstr>pennellworatt</vt:lpstr>
      <vt:lpstr>Pennellworgls</vt:lpstr>
      <vt:lpstr>Pennynewpts</vt:lpstr>
      <vt:lpstr>Pennynewtries</vt:lpstr>
      <vt:lpstr>Perenisebthpts</vt:lpstr>
      <vt:lpstr>Perenisebthtries</vt:lpstr>
      <vt:lpstr>Phillipsjamespts</vt:lpstr>
      <vt:lpstr>Phillipsjamessalpts</vt:lpstr>
      <vt:lpstr>Phillipsjamessaltries</vt:lpstr>
      <vt:lpstr>Phillipsjamestries</vt:lpstr>
      <vt:lpstr>Phillipsworpts</vt:lpstr>
      <vt:lpstr>Phillipswortries</vt:lpstr>
      <vt:lpstr>Picamolesnorpts</vt:lpstr>
      <vt:lpstr>Picamolesnortries</vt:lpstr>
      <vt:lpstr>Pincusbripts</vt:lpstr>
      <vt:lpstr>Pincusbritries</vt:lpstr>
      <vt:lpstr>Pisibripts</vt:lpstr>
      <vt:lpstr>Pisibritries</vt:lpstr>
      <vt:lpstr>Pisigeorgepts</vt:lpstr>
      <vt:lpstr>pisigeorgetries</vt:lpstr>
      <vt:lpstr>Pisikenptscorrect</vt:lpstr>
      <vt:lpstr>Pisikentriescorrect</vt:lpstr>
      <vt:lpstr>Piutau_Cbritriescorrect</vt:lpstr>
      <vt:lpstr>Piutaubripts</vt:lpstr>
      <vt:lpstr>Piutaubritries</vt:lpstr>
      <vt:lpstr>Polledriglopts</vt:lpstr>
      <vt:lpstr>Polledriglotries</vt:lpstr>
      <vt:lpstr>Poreckilirpts</vt:lpstr>
      <vt:lpstr>Poreckilirtries</vt:lpstr>
      <vt:lpstr>Postlethwaitesalpts</vt:lpstr>
      <vt:lpstr>Postlethwaitesaltries</vt:lpstr>
      <vt:lpstr>Potgieterworpts</vt:lpstr>
      <vt:lpstr>Potgieterwortries</vt:lpstr>
      <vt:lpstr>Powellbripts</vt:lpstr>
      <vt:lpstr>Powellbritries</vt:lpstr>
      <vt:lpstr>priestlandbthatt</vt:lpstr>
      <vt:lpstr>Priestlandbthgoals</vt:lpstr>
      <vt:lpstr>Priestlandbthpts</vt:lpstr>
      <vt:lpstr>Priestlandbthtries</vt:lpstr>
      <vt:lpstr>pts</vt:lpstr>
      <vt:lpstr>Purdyglospts</vt:lpstr>
      <vt:lpstr>Purdyglotries</vt:lpstr>
      <vt:lpstr>quinspentriespts</vt:lpstr>
      <vt:lpstr>quinspentriestries</vt:lpstr>
      <vt:lpstr>Radwannewpts</vt:lpstr>
      <vt:lpstr>Radwannewtries</vt:lpstr>
      <vt:lpstr>Randallbripts</vt:lpstr>
      <vt:lpstr>Randallbritries</vt:lpstr>
      <vt:lpstr>Ransomlirpts</vt:lpstr>
      <vt:lpstr>Ransomlirtries</vt:lpstr>
      <vt:lpstr>Rapava_Ruskinglopts</vt:lpstr>
      <vt:lpstr>Rapava_Ruskinglotries</vt:lpstr>
      <vt:lpstr>Ratuniyarawanorpts</vt:lpstr>
      <vt:lpstr>Ratuniyarawanortries</vt:lpstr>
      <vt:lpstr>Readsalpts</vt:lpstr>
      <vt:lpstr>Readsaltries</vt:lpstr>
      <vt:lpstr>redpathsalatt</vt:lpstr>
      <vt:lpstr>redpathsalegls</vt:lpstr>
      <vt:lpstr>Redpathsalpts</vt:lpstr>
      <vt:lpstr>Redpathsaltries</vt:lpstr>
      <vt:lpstr>Reevesrickypts</vt:lpstr>
      <vt:lpstr>Reevesrickytries</vt:lpstr>
      <vt:lpstr>Reffellsarpts</vt:lpstr>
      <vt:lpstr>Reffellsartries</vt:lpstr>
      <vt:lpstr>reinachnoratt</vt:lpstr>
      <vt:lpstr>reinachnorgls</vt:lpstr>
      <vt:lpstr>Reinachnorpts</vt:lpstr>
      <vt:lpstr>Reinachnortries</vt:lpstr>
      <vt:lpstr>Reynoldsnicpts</vt:lpstr>
      <vt:lpstr>Reynoldsnictries</vt:lpstr>
      <vt:lpstr>Rhodessarpts</vt:lpstr>
      <vt:lpstr>Rhodessartries</vt:lpstr>
      <vt:lpstr>Ribbansnorpts</vt:lpstr>
      <vt:lpstr>Ribbansnortries</vt:lpstr>
      <vt:lpstr>Riederwaspts</vt:lpstr>
      <vt:lpstr>Riederwastries</vt:lpstr>
      <vt:lpstr>Robertsbthpts</vt:lpstr>
      <vt:lpstr>Robertsbthtries</vt:lpstr>
      <vt:lpstr>Robinsonnewpts</vt:lpstr>
      <vt:lpstr>Robinsonnewtries</vt:lpstr>
      <vt:lpstr>Robshawharpts</vt:lpstr>
      <vt:lpstr>Robshawhartries</vt:lpstr>
      <vt:lpstr>robsobwasgoals</vt:lpstr>
      <vt:lpstr>Robsonharpts</vt:lpstr>
      <vt:lpstr>Robsonhartries</vt:lpstr>
      <vt:lpstr>robsonwasatt</vt:lpstr>
      <vt:lpstr>Robsonwaspts</vt:lpstr>
      <vt:lpstr>Robsonwastries</vt:lpstr>
      <vt:lpstr>Rokodugunibatpts</vt:lpstr>
      <vt:lpstr>Rokodugunibattries</vt:lpstr>
      <vt:lpstr>Rosssalpts</vt:lpstr>
      <vt:lpstr>Rosssaltries</vt:lpstr>
      <vt:lpstr>Rouselipts</vt:lpstr>
      <vt:lpstr>Rouselitries</vt:lpstr>
      <vt:lpstr>rousetries</vt:lpstr>
      <vt:lpstr>Rowlandswaspts</vt:lpstr>
      <vt:lpstr>Rowlandswastries</vt:lpstr>
      <vt:lpstr>Rowleypaulpts</vt:lpstr>
      <vt:lpstr>Rowleypaultries</vt:lpstr>
      <vt:lpstr>Safeglopts</vt:lpstr>
      <vt:lpstr>Safeglotries</vt:lpstr>
      <vt:lpstr>Salepenaltytriespts</vt:lpstr>
      <vt:lpstr>SalePenaltyTriestries</vt:lpstr>
      <vt:lpstr>Salmonexepts</vt:lpstr>
      <vt:lpstr>Salmonexetries</vt:lpstr>
      <vt:lpstr>Salvijulianpts</vt:lpstr>
      <vt:lpstr>Salvijuliantries</vt:lpstr>
      <vt:lpstr>Saulolirpts</vt:lpstr>
      <vt:lpstr>Saulolirtries</vt:lpstr>
      <vt:lpstr>Saundersjaredsarpts</vt:lpstr>
      <vt:lpstr>Saundersjaredsartries</vt:lpstr>
      <vt:lpstr>Savageglopts</vt:lpstr>
      <vt:lpstr>Savageglotries</vt:lpstr>
      <vt:lpstr>Schatzlirpts</vt:lpstr>
      <vt:lpstr>Schatzlirtries</vt:lpstr>
      <vt:lpstr>ScotlandWilliamsonchristianpts</vt:lpstr>
      <vt:lpstr>Scullypts</vt:lpstr>
      <vt:lpstr>Seabrookglopts</vt:lpstr>
      <vt:lpstr>Seabrookglotries</vt:lpstr>
      <vt:lpstr>searlewasatt</vt:lpstr>
      <vt:lpstr>Searlewasgls</vt:lpstr>
      <vt:lpstr>Searlewaspts</vt:lpstr>
      <vt:lpstr>Searlewastries</vt:lpstr>
      <vt:lpstr>Searlswaspts</vt:lpstr>
      <vt:lpstr>Searlswastries</vt:lpstr>
      <vt:lpstr>Segunsarpts</vt:lpstr>
      <vt:lpstr>Segunsartries</vt:lpstr>
      <vt:lpstr>Sharplesglopts</vt:lpstr>
      <vt:lpstr>Sharplesglotries</vt:lpstr>
      <vt:lpstr>Sheridaneamonnpts</vt:lpstr>
      <vt:lpstr>Sheridaneamonntries</vt:lpstr>
      <vt:lpstr>Shieldswaspts</vt:lpstr>
      <vt:lpstr>Shieldswastries</vt:lpstr>
      <vt:lpstr>Shillcockworpts</vt:lpstr>
      <vt:lpstr>Shillcockwortries</vt:lpstr>
      <vt:lpstr>shilllcockworatt</vt:lpstr>
      <vt:lpstr>shilllcockworgoals</vt:lpstr>
      <vt:lpstr>Shortexepts</vt:lpstr>
      <vt:lpstr>Shortexetries</vt:lpstr>
      <vt:lpstr>Simmonds_Sexepts</vt:lpstr>
      <vt:lpstr>Simmonds_Sexetries</vt:lpstr>
      <vt:lpstr>simmondsexeatt</vt:lpstr>
      <vt:lpstr>simmondsexegoals</vt:lpstr>
      <vt:lpstr>Simmondsexepts</vt:lpstr>
      <vt:lpstr>Simmondsexetries</vt:lpstr>
      <vt:lpstr>Simmonsleicpts</vt:lpstr>
      <vt:lpstr>Simmonsleictries</vt:lpstr>
      <vt:lpstr>Simpsonwaspts</vt:lpstr>
      <vt:lpstr>Simpsonwastries</vt:lpstr>
      <vt:lpstr>Sincklerharpts</vt:lpstr>
      <vt:lpstr>Sincklerhartries</vt:lpstr>
      <vt:lpstr>Sinclairjebbpts</vt:lpstr>
      <vt:lpstr>Sinclairjebbtries</vt:lpstr>
      <vt:lpstr>Singletonworpts</vt:lpstr>
      <vt:lpstr>Singletonwortries</vt:lpstr>
      <vt:lpstr>Sinotisinotipts</vt:lpstr>
      <vt:lpstr>Sinotisinotitries</vt:lpstr>
      <vt:lpstr>Skinner_Hexepts</vt:lpstr>
      <vt:lpstr>Skinner_Hexetries</vt:lpstr>
      <vt:lpstr>Skinnerexeatt</vt:lpstr>
      <vt:lpstr>Skinnerexegls</vt:lpstr>
      <vt:lpstr>Skinnerexepts</vt:lpstr>
      <vt:lpstr>Skinnerexetries</vt:lpstr>
      <vt:lpstr>sladeatt</vt:lpstr>
      <vt:lpstr>Sladeexepts</vt:lpstr>
      <vt:lpstr>Sladeexetries</vt:lpstr>
      <vt:lpstr>sladegoals</vt:lpstr>
      <vt:lpstr>Slaterglopts</vt:lpstr>
      <vt:lpstr>Slaterglotries</vt:lpstr>
      <vt:lpstr>slatertries</vt:lpstr>
      <vt:lpstr>Sleightholmenorpts</vt:lpstr>
      <vt:lpstr>Sleightholmenortries</vt:lpstr>
      <vt:lpstr>Smithbripts</vt:lpstr>
      <vt:lpstr>Smithbritries</vt:lpstr>
      <vt:lpstr>Smithharpts</vt:lpstr>
      <vt:lpstr>Smithhartries</vt:lpstr>
      <vt:lpstr>Smithleipts</vt:lpstr>
      <vt:lpstr>Smithleitries</vt:lpstr>
      <vt:lpstr>Socino_Snewpts</vt:lpstr>
      <vt:lpstr>Socino_Snewtries</vt:lpstr>
      <vt:lpstr>Solomonasalpts</vt:lpstr>
      <vt:lpstr>Solomonasaltries</vt:lpstr>
      <vt:lpstr>SopoagaGLSWAS</vt:lpstr>
      <vt:lpstr>SOPOAGAWASATT</vt:lpstr>
      <vt:lpstr>Sopoagawaspts</vt:lpstr>
      <vt:lpstr>Sopoagawastries</vt:lpstr>
      <vt:lpstr>Sowreynewpts</vt:lpstr>
      <vt:lpstr>Sowreynewtries</vt:lpstr>
      <vt:lpstr>spencerbenatt</vt:lpstr>
      <vt:lpstr>spencerbengoals</vt:lpstr>
      <vt:lpstr>Spencerbentries</vt:lpstr>
      <vt:lpstr>Spencerleicpts</vt:lpstr>
      <vt:lpstr>Spencerleictries</vt:lpstr>
      <vt:lpstr>Spencersarpts</vt:lpstr>
      <vt:lpstr>Spencerwillpts</vt:lpstr>
      <vt:lpstr>Spencerwilltries</vt:lpstr>
      <vt:lpstr>Spurlingsarpts</vt:lpstr>
      <vt:lpstr>Spurlingsartries</vt:lpstr>
      <vt:lpstr>Steelelipts</vt:lpstr>
      <vt:lpstr>Steelelitries</vt:lpstr>
      <vt:lpstr>steensonatt</vt:lpstr>
      <vt:lpstr>steensonexepts</vt:lpstr>
      <vt:lpstr>steensongarethtries</vt:lpstr>
      <vt:lpstr>Steensongoals</vt:lpstr>
      <vt:lpstr>Stellingmaxpts</vt:lpstr>
      <vt:lpstr>Stephensonjamestries</vt:lpstr>
      <vt:lpstr>Stevensleicpts</vt:lpstr>
      <vt:lpstr>Stevensleictries</vt:lpstr>
      <vt:lpstr>Stevensonnewpts</vt:lpstr>
      <vt:lpstr>Stevensonnewtries</vt:lpstr>
      <vt:lpstr>Strettlesarptscorrect</vt:lpstr>
      <vt:lpstr>Strettllesartries</vt:lpstr>
      <vt:lpstr>Stringersalpts</vt:lpstr>
      <vt:lpstr>Stringersaltries</vt:lpstr>
      <vt:lpstr>Strongexepts</vt:lpstr>
      <vt:lpstr>Strongexetries</vt:lpstr>
      <vt:lpstr>stuartnewatt</vt:lpstr>
      <vt:lpstr>Stuartnewgls</vt:lpstr>
      <vt:lpstr>Stuartnewpts</vt:lpstr>
      <vt:lpstr>Stuartnewtries</vt:lpstr>
      <vt:lpstr>Stuartwaspts</vt:lpstr>
      <vt:lpstr>Stuartwastries</vt:lpstr>
      <vt:lpstr>suajeremypts</vt:lpstr>
      <vt:lpstr>suajeremytries</vt:lpstr>
      <vt:lpstr>Swainstonharpts</vt:lpstr>
      <vt:lpstr>Swainstonhartries</vt:lpstr>
      <vt:lpstr>Swielnewatt</vt:lpstr>
      <vt:lpstr>Swielnewgls</vt:lpstr>
      <vt:lpstr>Swielnewpts</vt:lpstr>
      <vt:lpstr>Swielnewtries</vt:lpstr>
      <vt:lpstr>Symonsandypts</vt:lpstr>
      <vt:lpstr>Symonsharpts</vt:lpstr>
      <vt:lpstr>Symonshartries</vt:lpstr>
      <vt:lpstr>Symonsnorpts</vt:lpstr>
      <vt:lpstr>Symonsnortries</vt:lpstr>
      <vt:lpstr>Taioneexepts</vt:lpstr>
      <vt:lpstr>Taioneexetries</vt:lpstr>
      <vt:lpstr>Taitnewpts</vt:lpstr>
      <vt:lpstr>Taitnewtris</vt:lpstr>
      <vt:lpstr>Takaluanewpts</vt:lpstr>
      <vt:lpstr>takaluanewtries</vt:lpstr>
      <vt:lpstr>takuluanewatt</vt:lpstr>
      <vt:lpstr>takuluanewgoals</vt:lpstr>
      <vt:lpstr>tapuaihargls</vt:lpstr>
      <vt:lpstr>tapuaiharglsatt</vt:lpstr>
      <vt:lpstr>tapuaiharglscorrect</vt:lpstr>
      <vt:lpstr>Tapuaiharpts</vt:lpstr>
      <vt:lpstr>Tapuaihartries</vt:lpstr>
      <vt:lpstr>Taufete_eworpts</vt:lpstr>
      <vt:lpstr>Taufete_ewortries</vt:lpstr>
      <vt:lpstr>Taulavasemisitries</vt:lpstr>
      <vt:lpstr>Taylorsarpts</vt:lpstr>
      <vt:lpstr>Taylorsartries</vt:lpstr>
      <vt:lpstr>Taylortommywaspts</vt:lpstr>
      <vt:lpstr>Taylortommywastries</vt:lpstr>
      <vt:lpstr>Terryglopts</vt:lpstr>
      <vt:lpstr>Terryglotries</vt:lpstr>
      <vt:lpstr>Thacker_Cleicpts</vt:lpstr>
      <vt:lpstr>Thacker_Cleictries</vt:lpstr>
      <vt:lpstr>Thielsarpts</vt:lpstr>
      <vt:lpstr>Thielsartries</vt:lpstr>
      <vt:lpstr>Thomas_Dbripts</vt:lpstr>
      <vt:lpstr>Thomas_Dbritries</vt:lpstr>
      <vt:lpstr>Thomas_DBRITRIESCORRECT</vt:lpstr>
      <vt:lpstr>Thomashenrybatpts</vt:lpstr>
      <vt:lpstr>Thomashenrybattries</vt:lpstr>
      <vt:lpstr>Thompson_Stringersarpts</vt:lpstr>
      <vt:lpstr>Thompson_Stringersartries</vt:lpstr>
      <vt:lpstr>Thompsonleicpts</vt:lpstr>
      <vt:lpstr>Thompsonleictries</vt:lpstr>
      <vt:lpstr>Thompstoneleipts</vt:lpstr>
      <vt:lpstr>Thompstoneleitries</vt:lpstr>
      <vt:lpstr>Thompstoneptscorrect</vt:lpstr>
      <vt:lpstr>thompstonetries</vt:lpstr>
      <vt:lpstr>Thorleygloptscorrect</vt:lpstr>
      <vt:lpstr>Thorleyglotriescorrect</vt:lpstr>
      <vt:lpstr>Thorperichardpts</vt:lpstr>
      <vt:lpstr>Thorperichardtries</vt:lpstr>
      <vt:lpstr>Tincknelljamespts</vt:lpstr>
      <vt:lpstr>Tincknelljamestries</vt:lpstr>
      <vt:lpstr>tindallgloatt</vt:lpstr>
      <vt:lpstr>tindallglogoals</vt:lpstr>
      <vt:lpstr>Tolofuasarpts</vt:lpstr>
      <vt:lpstr>Tolofuasartries</vt:lpstr>
      <vt:lpstr>Tompkinssarptscorrect</vt:lpstr>
      <vt:lpstr>Tompkinssartriescorrect</vt:lpstr>
      <vt:lpstr>toomualeicatt</vt:lpstr>
      <vt:lpstr>Toomualeicgls</vt:lpstr>
      <vt:lpstr>Toomualeipts</vt:lpstr>
      <vt:lpstr>Toomualeitries</vt:lpstr>
      <vt:lpstr>Townsendexepts</vt:lpstr>
      <vt:lpstr>Townsendexetries</vt:lpstr>
      <vt:lpstr>Trinderglopts</vt:lpstr>
      <vt:lpstr>Trindertriestries</vt:lpstr>
      <vt:lpstr>Tualanorpts</vt:lpstr>
      <vt:lpstr>TualaNORTRIES</vt:lpstr>
      <vt:lpstr>Tuilagi_Fleicpts</vt:lpstr>
      <vt:lpstr>Tuilagi_Fleictries</vt:lpstr>
      <vt:lpstr>Tuilagimanupts</vt:lpstr>
      <vt:lpstr>Tuilagimanutries</vt:lpstr>
      <vt:lpstr>Tuitavakenorpts</vt:lpstr>
      <vt:lpstr>Tuitavakenortries</vt:lpstr>
      <vt:lpstr>Tuitupousampts</vt:lpstr>
      <vt:lpstr>Tuitupousamtries</vt:lpstr>
      <vt:lpstr>twelvetreesatt</vt:lpstr>
      <vt:lpstr>Twelvetreesglopts</vt:lpstr>
      <vt:lpstr>Twelvetreesglotries</vt:lpstr>
      <vt:lpstr>twelvetreesgoals</vt:lpstr>
      <vt:lpstr>Twomeyharpts</vt:lpstr>
      <vt:lpstr>Twomeyhartries</vt:lpstr>
      <vt:lpstr>umagawasatt</vt:lpstr>
      <vt:lpstr>umagawasgoals</vt:lpstr>
      <vt:lpstr>Umagawaspts</vt:lpstr>
      <vt:lpstr>Umagawastries</vt:lpstr>
      <vt:lpstr>Underhillbthpts</vt:lpstr>
      <vt:lpstr>Underhillbthtries</vt:lpstr>
      <vt:lpstr>UrenBRITRIES</vt:lpstr>
      <vt:lpstr>Uzokwenewpts</vt:lpstr>
      <vt:lpstr>Uzokwenewtries</vt:lpstr>
      <vt:lpstr>Vailanusarpts</vt:lpstr>
      <vt:lpstr>Vailanusartries</vt:lpstr>
      <vt:lpstr>van_Bredaworpts</vt:lpstr>
      <vt:lpstr>van_Bredawortries</vt:lpstr>
      <vt:lpstr>van_der_Sluysexepts</vt:lpstr>
      <vt:lpstr>van_der_Sluysexetries</vt:lpstr>
      <vt:lpstr>van_Rensburgsalpts</vt:lpstr>
      <vt:lpstr>van_Rensburgsaltries</vt:lpstr>
      <vt:lpstr>van_Rooyenbthpts</vt:lpstr>
      <vt:lpstr>van_Rooyenbthtries</vt:lpstr>
      <vt:lpstr>van_Vuurenbthpts</vt:lpstr>
      <vt:lpstr>van_Vuurenbthtries</vt:lpstr>
      <vt:lpstr>van_Wyknorpts</vt:lpstr>
      <vt:lpstr>van_Wyknortries</vt:lpstr>
      <vt:lpstr>vanbredaworatt</vt:lpstr>
      <vt:lpstr>vanbredaworgls</vt:lpstr>
      <vt:lpstr>Veainuleipts</vt:lpstr>
      <vt:lpstr>Veainuleitries</vt:lpstr>
      <vt:lpstr>Vellacottglopts</vt:lpstr>
      <vt:lpstr>Vellacottglotries</vt:lpstr>
      <vt:lpstr>Venterworpts</vt:lpstr>
      <vt:lpstr>Venterwortries</vt:lpstr>
      <vt:lpstr>Visagieglopts</vt:lpstr>
      <vt:lpstr>Visagieglotries</vt:lpstr>
      <vt:lpstr>Vossleicpts</vt:lpstr>
      <vt:lpstr>Vossleictries</vt:lpstr>
      <vt:lpstr>Vuibripts</vt:lpstr>
      <vt:lpstr>Vuibritries</vt:lpstr>
      <vt:lpstr>Vunabthpts</vt:lpstr>
      <vt:lpstr>Vunabthtries</vt:lpstr>
      <vt:lpstr>Vunipola_Bsarpts</vt:lpstr>
      <vt:lpstr>Vunipola_Bsartries</vt:lpstr>
      <vt:lpstr>Vunipola_Msarpts</vt:lpstr>
      <vt:lpstr>Vunipola_Msartries</vt:lpstr>
      <vt:lpstr>Waldoucknewpts</vt:lpstr>
      <vt:lpstr>Waldoucknewtries</vt:lpstr>
      <vt:lpstr>Walkerbthpts</vt:lpstr>
      <vt:lpstr>Walkerbthtries</vt:lpstr>
      <vt:lpstr>Walkercharliehqtries</vt:lpstr>
      <vt:lpstr>Walkercharliepts</vt:lpstr>
      <vt:lpstr>Wallacelukepts</vt:lpstr>
      <vt:lpstr>Wallaceluketries</vt:lpstr>
      <vt:lpstr>Wallerworpts</vt:lpstr>
      <vt:lpstr>Wallerwortries</vt:lpstr>
      <vt:lpstr>Warddavepts</vt:lpstr>
      <vt:lpstr>warddavetries</vt:lpstr>
      <vt:lpstr>Warwickpaultries</vt:lpstr>
      <vt:lpstr>Watersharpts</vt:lpstr>
      <vt:lpstr>Watershartries</vt:lpstr>
      <vt:lpstr>Watsonanthonypts</vt:lpstr>
      <vt:lpstr>Watsonanthonytries</vt:lpstr>
      <vt:lpstr>Watsonwaspts</vt:lpstr>
      <vt:lpstr>Watsonwastries</vt:lpstr>
      <vt:lpstr>Webbersalpts</vt:lpstr>
      <vt:lpstr>Webbersaltries</vt:lpstr>
      <vt:lpstr>Weirworpts</vt:lpstr>
      <vt:lpstr>Weirwortries</vt:lpstr>
      <vt:lpstr>Welchwillpts</vt:lpstr>
      <vt:lpstr>Welchwilltries</vt:lpstr>
      <vt:lpstr>Wellsharrypts</vt:lpstr>
      <vt:lpstr>Wellsharrytries</vt:lpstr>
      <vt:lpstr>Wellsleicpts</vt:lpstr>
      <vt:lpstr>Wellsleictries</vt:lpstr>
      <vt:lpstr>Welshnewpts</vt:lpstr>
      <vt:lpstr>Welshnewtries</vt:lpstr>
      <vt:lpstr>Westwaspts</vt:lpstr>
      <vt:lpstr>Westwastries</vt:lpstr>
      <vt:lpstr>White_NexeptsCORRECT</vt:lpstr>
      <vt:lpstr>White_Nicexepts</vt:lpstr>
      <vt:lpstr>White_Nicexetries</vt:lpstr>
      <vt:lpstr>Whiteharpts</vt:lpstr>
      <vt:lpstr>Whitehartries</vt:lpstr>
      <vt:lpstr>Whiteleicpts</vt:lpstr>
      <vt:lpstr>Whiteleictries</vt:lpstr>
      <vt:lpstr>whiteleysaratt</vt:lpstr>
      <vt:lpstr>Whiteleysargls</vt:lpstr>
      <vt:lpstr>Whiteleysarpts</vt:lpstr>
      <vt:lpstr>Whiteleysartries</vt:lpstr>
      <vt:lpstr>Whittenpts</vt:lpstr>
      <vt:lpstr>Whittentries</vt:lpstr>
      <vt:lpstr>Wigglesworthrichardpts</vt:lpstr>
      <vt:lpstr>Wigglesworthrichardtries</vt:lpstr>
      <vt:lpstr>wigglesworthsaratt</vt:lpstr>
      <vt:lpstr>Wigglesworthsargoals</vt:lpstr>
      <vt:lpstr>Wiliamsnewtries</vt:lpstr>
      <vt:lpstr>wilkinsonsalatt</vt:lpstr>
      <vt:lpstr>wilkinsonsalgls</vt:lpstr>
      <vt:lpstr>Wilkinsonsalpts</vt:lpstr>
      <vt:lpstr>Wilkinsonsaltries</vt:lpstr>
      <vt:lpstr>Williamsbenpts</vt:lpstr>
      <vt:lpstr>Williamsbentries</vt:lpstr>
      <vt:lpstr>Williamsexepts</vt:lpstr>
      <vt:lpstr>Williamsexetries</vt:lpstr>
      <vt:lpstr>williamsglopts</vt:lpstr>
      <vt:lpstr>williamsglotries</vt:lpstr>
      <vt:lpstr>williamsnewatt</vt:lpstr>
      <vt:lpstr>Williamsnewgls</vt:lpstr>
      <vt:lpstr>Williamsnewpts</vt:lpstr>
      <vt:lpstr>williamsowenatt</vt:lpstr>
      <vt:lpstr>williamsowengoals</vt:lpstr>
      <vt:lpstr>Williamsowenpts</vt:lpstr>
      <vt:lpstr>Williamssarpts</vt:lpstr>
      <vt:lpstr>Williamssartries</vt:lpstr>
      <vt:lpstr>Williamstompts</vt:lpstr>
      <vt:lpstr>Williamstomtries</vt:lpstr>
      <vt:lpstr>Williamstomtriescorrect</vt:lpstr>
      <vt:lpstr>Williamsworpts</vt:lpstr>
      <vt:lpstr>Williamswortries</vt:lpstr>
      <vt:lpstr>Willis_Twaspts</vt:lpstr>
      <vt:lpstr>Willis_Twastries</vt:lpstr>
      <vt:lpstr>Willisonbthpts</vt:lpstr>
      <vt:lpstr>Willisonbthtries</vt:lpstr>
      <vt:lpstr>Williswaspts</vt:lpstr>
      <vt:lpstr>Williswastries</vt:lpstr>
      <vt:lpstr>Wilson__Jamesbthpts</vt:lpstr>
      <vt:lpstr>Wilson__Jamesbthptscorrect</vt:lpstr>
      <vt:lpstr>Wilson__Jamesbthtries</vt:lpstr>
      <vt:lpstr>Wilson__Jamesbthtriescorrect</vt:lpstr>
      <vt:lpstr>Wilson_Dnewpts</vt:lpstr>
      <vt:lpstr>Wilson_Dnewtries</vt:lpstr>
      <vt:lpstr>Wilson_Markpts</vt:lpstr>
      <vt:lpstr>Wilson_Marktries</vt:lpstr>
      <vt:lpstr>Wilsonbatpts</vt:lpstr>
      <vt:lpstr>Wilsonbattries</vt:lpstr>
      <vt:lpstr>wilsonjamesbthgls</vt:lpstr>
      <vt:lpstr>wilsonjbthatt</vt:lpstr>
      <vt:lpstr>Wittynewpts</vt:lpstr>
      <vt:lpstr>Wittynewtries</vt:lpstr>
      <vt:lpstr>Woodburnexepts</vt:lpstr>
      <vt:lpstr>Woodburnexetries</vt:lpstr>
      <vt:lpstr>Woodtomptscorrect</vt:lpstr>
      <vt:lpstr>Woodtomtriescorrect</vt:lpstr>
      <vt:lpstr>Woodwardglopts</vt:lpstr>
      <vt:lpstr>Woodwardglotries</vt:lpstr>
      <vt:lpstr>Woolstencroftsarpts</vt:lpstr>
      <vt:lpstr>Woolstencroftsartries</vt:lpstr>
      <vt:lpstr>Woolstencroftwaspts</vt:lpstr>
      <vt:lpstr>Woolstencroftwastries</vt:lpstr>
      <vt:lpstr>worcesterpentriespts</vt:lpstr>
      <vt:lpstr>worthleiatt</vt:lpstr>
      <vt:lpstr>worthleigoals</vt:lpstr>
      <vt:lpstr>Worthleipts</vt:lpstr>
      <vt:lpstr>Worthleitries</vt:lpstr>
      <vt:lpstr>Wrayjacksonpts</vt:lpstr>
      <vt:lpstr>Wrayjacksontries</vt:lpstr>
      <vt:lpstr>Yardesalpts</vt:lpstr>
      <vt:lpstr>Yardesaltries</vt:lpstr>
      <vt:lpstr>Yeandlejackpts</vt:lpstr>
      <vt:lpstr>Yeandlejacktries</vt:lpstr>
      <vt:lpstr>Yorkchrispts</vt:lpstr>
      <vt:lpstr>Yorkchristries</vt:lpstr>
      <vt:lpstr>Young_Gnewpts</vt:lpstr>
      <vt:lpstr>Young_Gnewtries</vt:lpstr>
      <vt:lpstr>youngsbatt</vt:lpstr>
      <vt:lpstr>Youngsbenptscorrect</vt:lpstr>
      <vt:lpstr>youngsbentries</vt:lpstr>
      <vt:lpstr>youngsbgoals</vt:lpstr>
      <vt:lpstr>youngstompts</vt:lpstr>
      <vt:lpstr>youngstomtries</vt:lpstr>
      <vt:lpstr>Youngwaspts</vt:lpstr>
      <vt:lpstr>Youngwastries</vt:lpstr>
      <vt:lpstr>Zhvaniawaspts</vt:lpstr>
      <vt:lpstr>Zhvaniawastries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</dc:creator>
  <cp:lastModifiedBy>Ade Hill</cp:lastModifiedBy>
  <dcterms:created xsi:type="dcterms:W3CDTF">2012-08-28T10:26:03Z</dcterms:created>
  <dcterms:modified xsi:type="dcterms:W3CDTF">2024-10-29T18:35:44Z</dcterms:modified>
</cp:coreProperties>
</file>