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MAJOR LEAGUE RUGBY (MLR)/2025 MLR/"/>
    </mc:Choice>
  </mc:AlternateContent>
  <xr:revisionPtr revIDLastSave="0" documentId="8_{09559E69-5CD7-486E-8C57-0C7EAF051AD1}" xr6:coauthVersionLast="47" xr6:coauthVersionMax="47" xr10:uidLastSave="{00000000-0000-0000-0000-000000000000}"/>
  <bookViews>
    <workbookView xWindow="-26192" yWindow="747" windowWidth="26301" windowHeight="14169" tabRatio="1000" xr2:uid="{7BC3A2B7-5E58-804F-BE7E-0BF9F9A45E1A}"/>
  </bookViews>
  <sheets>
    <sheet name="Anthem" sheetId="1" r:id="rId1"/>
    <sheet name="Chicago" sheetId="2" r:id="rId2"/>
    <sheet name="Houston" sheetId="3" r:id="rId3"/>
    <sheet name="LosAngeles" sheetId="8" r:id="rId4"/>
    <sheet name="Miami" sheetId="4" r:id="rId5"/>
    <sheet name="NewEngland" sheetId="5" r:id="rId6"/>
    <sheet name="NOLA" sheetId="6" r:id="rId7"/>
    <sheet name="OldGlory" sheetId="7" r:id="rId8"/>
    <sheet name="SanDiego" sheetId="9" r:id="rId9"/>
    <sheet name="Seattle" sheetId="10" r:id="rId10"/>
    <sheet name="Utah" sheetId="11" r:id="rId11"/>
    <sheet name="Results" sheetId="12" r:id="rId12"/>
    <sheet name="Stats" sheetId="13" r:id="rId13"/>
    <sheet name="Cards" sheetId="15" r:id="rId14"/>
    <sheet name="Tables" sheetId="14" r:id="rId15"/>
    <sheet name="All-Time Table" sheetId="16" r:id="rId16"/>
  </sheets>
  <externalReferences>
    <externalReference r:id="rId17"/>
  </externalReferences>
  <definedNames>
    <definedName name="_xlnm._FilterDatabase" localSheetId="15" hidden="1">'All-Time Table'!$A$27:$L$45</definedName>
    <definedName name="_xlnm._FilterDatabase" localSheetId="13" hidden="1">Cards!$A$2:$F$14</definedName>
    <definedName name="_xlnm._FilterDatabase" localSheetId="12" hidden="1">Stats!$D$18:$E$26</definedName>
    <definedName name="_xlnm._FilterDatabase" localSheetId="14" hidden="1">Tables!$A$10:$L$16</definedName>
    <definedName name="antdrawn">[1]Anthem!$AA$19</definedName>
    <definedName name="antlosingbonusscored">[1]Anthem!$I$19</definedName>
    <definedName name="antlost">[1]Anthem!$AB$19</definedName>
    <definedName name="antplayed">[1]Anthem!$Y$19</definedName>
    <definedName name="antpointsconceded">[1]Anthem!$G$19</definedName>
    <definedName name="antpointsscored">[1]Anthem!$F$19</definedName>
    <definedName name="antredcards">[1]Anthem!$O$19</definedName>
    <definedName name="anttriesconceded">[1]Anthem!$R$19</definedName>
    <definedName name="anttriesscored">[1]Anthem!$J$19</definedName>
    <definedName name="anttrybonusconceded">[1]Anthem!$P$19</definedName>
    <definedName name="anttrybonusscored">[1]Anthem!$H$19</definedName>
    <definedName name="antwon">[1]Anthem!$Z$19</definedName>
    <definedName name="antyellowcards">[1]Anthem!$N$19</definedName>
    <definedName name="chidrawn">[1]Chicago!$AA$21</definedName>
    <definedName name="chilosingbonusscored">[1]Chicago!$I$21</definedName>
    <definedName name="chilost">[1]Chicago!$AB$21</definedName>
    <definedName name="chiplayed">[1]Chicago!$Y$21</definedName>
    <definedName name="chipointsconceded">[1]Chicago!$G$21</definedName>
    <definedName name="chipointsscored">[1]Chicago!$F$21</definedName>
    <definedName name="chiredcards">[1]Chicago!$O$21</definedName>
    <definedName name="chitriesconceded">[1]Chicago!$R$21</definedName>
    <definedName name="chitriesscored">[1]Chicago!$J$21</definedName>
    <definedName name="chitrybonusconceded">[1]Chicago!$P$21</definedName>
    <definedName name="chitrybonusscored">[1]Chicago!$H$21</definedName>
    <definedName name="chiwon">[1]Chicago!$Z$21</definedName>
    <definedName name="chiyellowcards">[1]Chicago!$N$21</definedName>
    <definedName name="daldrawn">[1]Dallas!$AA$21</definedName>
    <definedName name="dallosingbonusscored">[1]Dallas!$I$21</definedName>
    <definedName name="dallost">[1]Dallas!$AB$21</definedName>
    <definedName name="dalplayed">[1]Dallas!$Y$21</definedName>
    <definedName name="dalpointsconceded">[1]Dallas!$G$21</definedName>
    <definedName name="dalpointsscored">[1]Dallas!$F$21</definedName>
    <definedName name="dalredcards">[1]Dallas!$O$21</definedName>
    <definedName name="daltriesconceded">[1]Dallas!$R$21</definedName>
    <definedName name="daltriesscored">[1]Dallas!$J$21</definedName>
    <definedName name="daltrybonusconceded">[1]Dallas!$P$21</definedName>
    <definedName name="daltrybonusscored">[1]Dallas!$H$21</definedName>
    <definedName name="dalwon">[1]Dallas!$Z$21</definedName>
    <definedName name="houdrawn">[1]Houston!$AA$20</definedName>
    <definedName name="houlosingbonusscored">[1]Houston!$I$20</definedName>
    <definedName name="houlost">[1]Houston!$AB$20</definedName>
    <definedName name="houplayed">[1]Houston!$Y$20</definedName>
    <definedName name="houpointsconceded">[1]Houston!$G$20</definedName>
    <definedName name="houpointsscored">[1]Houston!$F$20</definedName>
    <definedName name="houredcards">[1]Houston!$O$20</definedName>
    <definedName name="houtriesconceded">[1]Houston!$R$20</definedName>
    <definedName name="houtriesscored">[1]Houston!$J$20</definedName>
    <definedName name="houtrybonusconceded">[1]Houston!$P$20</definedName>
    <definedName name="houtrybonusscored">[1]Houston!$H$20</definedName>
    <definedName name="houwon">[1]Houston!$Z$20</definedName>
    <definedName name="ladrawn">'[1]Los Angeles'!$AA$19</definedName>
    <definedName name="lalosingbonusscored">'[1]Los Angeles'!$I$19</definedName>
    <definedName name="lalost">'[1]Los Angeles'!$AB$19</definedName>
    <definedName name="laplayed">'[1]Los Angeles'!$Y$19</definedName>
    <definedName name="lapointsconceded">'[1]Los Angeles'!$G$19</definedName>
    <definedName name="lapointsscored">'[1]Los Angeles'!$F$19</definedName>
    <definedName name="laredcards">'[1]Los Angeles'!$O$19</definedName>
    <definedName name="latriesconceded">'[1]Los Angeles'!$R$19</definedName>
    <definedName name="latriesscored">'[1]Los Angeles'!$J$19</definedName>
    <definedName name="latrybonusconceded">'[1]Los Angeles'!$P$19</definedName>
    <definedName name="latrybonusscored">'[1]Los Angeles'!$H$19</definedName>
    <definedName name="lawon">'[1]Los Angeles'!$Z$19</definedName>
    <definedName name="layellowcards">'[1]Los Angeles'!$N$19</definedName>
    <definedName name="miadrawn">[1]Miami!$AA$19</definedName>
    <definedName name="mialosingbonusscored">[1]Miami!$I$19</definedName>
    <definedName name="mialost">[1]Miami!$AB$19</definedName>
    <definedName name="miaplayed">[1]Miami!$Y$19</definedName>
    <definedName name="miapointsconceded">[1]Miami!$G$19</definedName>
    <definedName name="miapointsscored">[1]Miami!$F$19</definedName>
    <definedName name="miaredcards">[1]Miami!$O$19</definedName>
    <definedName name="miatriesconceded">[1]Miami!$R$19</definedName>
    <definedName name="miatriesscored">[1]Miami!$J$19</definedName>
    <definedName name="miatrybonusconceded">[1]Miami!$P$19</definedName>
    <definedName name="miatrybonusscored">[1]Miami!$H$19</definedName>
    <definedName name="miawon">[1]Miami!$Z$19</definedName>
    <definedName name="miayellowcards">[1]Miami!$N$19</definedName>
    <definedName name="newdrawn">'[1]New England'!$AA$22</definedName>
    <definedName name="newlosingbonusscored">'[1]New England'!$I$22</definedName>
    <definedName name="newlost">'[1]New England'!$AB$22</definedName>
    <definedName name="newplayed">'[1]New England'!$Y$22</definedName>
    <definedName name="newpointsconceded">'[1]New England'!$G$22</definedName>
    <definedName name="newpointsscored">'[1]New England'!$F$22</definedName>
    <definedName name="newredcards">'[1]New England'!$O$22</definedName>
    <definedName name="newtriesconceded">'[1]New England'!$R$22</definedName>
    <definedName name="newtriesscored">'[1]New England'!$J$22</definedName>
    <definedName name="newtrybonusconceded">'[1]New England'!$P$22</definedName>
    <definedName name="newtrybonusscored">'[1]New England'!$H$22</definedName>
    <definedName name="newwon">'[1]New England'!$Z$22</definedName>
    <definedName name="newyellowcards">'[1]New England'!$N$22</definedName>
    <definedName name="noladrawn">[1]NOLA!$AA$20</definedName>
    <definedName name="nolalosingbonusscored">[1]NOLA!$I$20</definedName>
    <definedName name="nolalost">[1]NOLA!$AB$20</definedName>
    <definedName name="nolaplayed">[1]NOLA!$Y$20</definedName>
    <definedName name="nolapointsconceded">[1]NOLA!$G$20</definedName>
    <definedName name="nolapointsscored">[1]NOLA!$F$20</definedName>
    <definedName name="nolaredcards">[1]NOLA!$O$20</definedName>
    <definedName name="nolatriesconceded">[1]NOLA!$R$20</definedName>
    <definedName name="nolatriesscored">[1]NOLA!$J$20</definedName>
    <definedName name="nolatrybonusconceded">[1]NOLA!$P$20</definedName>
    <definedName name="nolatrybonusscored">[1]NOLA!$H$20</definedName>
    <definedName name="nolawon">[1]NOLA!$Z$20</definedName>
    <definedName name="ogdcdrawn">'[1]Old Glory'!$AA$20</definedName>
    <definedName name="ogdclosingbonusscored">'[1]Old Glory'!$I$20</definedName>
    <definedName name="ogdclost">'[1]Old Glory'!$AB$20</definedName>
    <definedName name="ogdcplayed">'[1]Old Glory'!$Y$20</definedName>
    <definedName name="ogdcpointsconceded">'[1]Old Glory'!$G$20</definedName>
    <definedName name="ogdcpointsscored">'[1]Old Glory'!$F$20</definedName>
    <definedName name="ogdcredcards">'[1]Old Glory'!$O$20</definedName>
    <definedName name="ogdctriesconceded">'[1]Old Glory'!$R$20</definedName>
    <definedName name="ogdctriesscored">'[1]Old Glory'!$J$20</definedName>
    <definedName name="ogdctrybonusconceded">'[1]Old Glory'!$P$20</definedName>
    <definedName name="ogdctrybonusscored">'[1]Old Glory'!$H$20</definedName>
    <definedName name="ogdcwon">'[1]Old Glory'!$Z$20</definedName>
    <definedName name="ogdcyellowcards">'[1]Old Glory'!$N$20</definedName>
    <definedName name="sdldrawn">'[1]San Diego'!$AA$20</definedName>
    <definedName name="sdllosingbonusscored">'[1]San Diego'!$I$20</definedName>
    <definedName name="sdllost">'[1]San Diego'!$AB$20</definedName>
    <definedName name="sdlplayed">'[1]San Diego'!$Y$20</definedName>
    <definedName name="sdlpointsconceded">'[1]San Diego'!$G$20</definedName>
    <definedName name="sdlpointsscored">'[1]San Diego'!$F$20</definedName>
    <definedName name="sdlredcards">'[1]San Diego'!$O$20</definedName>
    <definedName name="sdltriesconceded">'[1]San Diego'!$R$20</definedName>
    <definedName name="sdltriesscored">'[1]San Diego'!$J$20</definedName>
    <definedName name="sdltrybonusconceded">'[1]San Diego'!$P$20</definedName>
    <definedName name="sdltrybonusscored">'[1]San Diego'!$H$20</definedName>
    <definedName name="sdlwon">'[1]San Diego'!$Z$20</definedName>
    <definedName name="seadrawn">[1]Seattle!$AA$22</definedName>
    <definedName name="sealosingbonusscored">[1]Seattle!$I$22</definedName>
    <definedName name="sealost">[1]Seattle!$AB$22</definedName>
    <definedName name="seaplayed">[1]Seattle!$Y$22</definedName>
    <definedName name="seapointsconceded">[1]Seattle!$G$22</definedName>
    <definedName name="seapointsscored">[1]Seattle!$F$22</definedName>
    <definedName name="searedcards">[1]Seattle!$O$22</definedName>
    <definedName name="seatriesconceded">[1]Seattle!$R$22</definedName>
    <definedName name="seatriesscored">[1]Seattle!$J$22</definedName>
    <definedName name="seatrybonusconceded">[1]Seattle!$P$22</definedName>
    <definedName name="seatrybonusscored">[1]Seattle!$H$22</definedName>
    <definedName name="seawon">[1]Seattle!$Z$22</definedName>
    <definedName name="utadrawn">[1]Utah!$AA$19</definedName>
    <definedName name="utalosingbonusscored">[1]Utah!$I$19</definedName>
    <definedName name="utalost">[1]Utah!$AB$19</definedName>
    <definedName name="utaplayed">[1]Utah!$Y$19</definedName>
    <definedName name="utapointsconceded">[1]Utah!$G$19</definedName>
    <definedName name="utapointsscored">[1]Utah!$F$19</definedName>
    <definedName name="utaredcards">[1]Utah!$O$19</definedName>
    <definedName name="utatriesconceded">[1]Utah!$R$19</definedName>
    <definedName name="utatriesscored">[1]Utah!$J$19</definedName>
    <definedName name="utatrybonusconceded">[1]Utah!$P$19</definedName>
    <definedName name="utatrybonusscored">[1]Utah!$H$19</definedName>
    <definedName name="utawon">[1]Utah!$Z$19</definedName>
    <definedName name="utayellowcards">[1]Utah!$N$19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6" l="1"/>
  <c r="H54" i="16"/>
  <c r="H58" i="16"/>
  <c r="H55" i="16"/>
  <c r="H62" i="16"/>
  <c r="H60" i="16"/>
  <c r="H56" i="16"/>
  <c r="H59" i="16"/>
  <c r="H61" i="16"/>
  <c r="H57" i="16"/>
  <c r="H63" i="16"/>
  <c r="H64" i="16"/>
  <c r="H65" i="16"/>
  <c r="H66" i="16"/>
  <c r="H52" i="16"/>
  <c r="V21" i="3"/>
  <c r="W21" i="3"/>
  <c r="X21" i="3"/>
  <c r="U21" i="3"/>
  <c r="AL22" i="11"/>
  <c r="AM22" i="11"/>
  <c r="AN22" i="11"/>
  <c r="AK22" i="11"/>
  <c r="AH22" i="11"/>
  <c r="AI22" i="11"/>
  <c r="AJ22" i="11"/>
  <c r="AG22" i="11"/>
  <c r="AD22" i="11"/>
  <c r="AE22" i="11"/>
  <c r="AF22" i="11"/>
  <c r="AC22" i="11"/>
  <c r="Z22" i="11"/>
  <c r="AA22" i="11"/>
  <c r="AB22" i="11"/>
  <c r="Y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F22" i="11"/>
  <c r="AL22" i="2"/>
  <c r="AM22" i="2"/>
  <c r="AN22" i="2"/>
  <c r="AK22" i="2"/>
  <c r="AH22" i="2"/>
  <c r="AI22" i="2"/>
  <c r="AJ22" i="2"/>
  <c r="AG22" i="2"/>
  <c r="AD22" i="2"/>
  <c r="AE22" i="2"/>
  <c r="AF22" i="2"/>
  <c r="AC22" i="2"/>
  <c r="Z22" i="2"/>
  <c r="AA22" i="2"/>
  <c r="AB22" i="2"/>
  <c r="Y22" i="2"/>
  <c r="G22" i="2"/>
  <c r="H22" i="2"/>
  <c r="I22" i="2"/>
  <c r="J22" i="2"/>
  <c r="K22" i="2"/>
  <c r="L22" i="2"/>
  <c r="M22" i="2"/>
  <c r="N22" i="2"/>
  <c r="O22" i="2"/>
  <c r="P22" i="2"/>
  <c r="Q22" i="2"/>
  <c r="R22" i="2"/>
  <c r="F22" i="2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Y21" i="8"/>
  <c r="G21" i="8"/>
  <c r="H21" i="8"/>
  <c r="I21" i="8"/>
  <c r="J21" i="8"/>
  <c r="K21" i="8"/>
  <c r="L21" i="8"/>
  <c r="M21" i="8"/>
  <c r="N21" i="8"/>
  <c r="O21" i="8"/>
  <c r="P21" i="8"/>
  <c r="Q21" i="8"/>
  <c r="R21" i="8"/>
  <c r="F21" i="8"/>
  <c r="C24" i="13" l="1"/>
  <c r="C26" i="13"/>
  <c r="C25" i="13"/>
  <c r="E19" i="13"/>
  <c r="E20" i="13"/>
  <c r="E23" i="13"/>
  <c r="C22" i="13"/>
  <c r="E25" i="13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AA22" i="7"/>
  <c r="AC22" i="7"/>
  <c r="AD22" i="7"/>
  <c r="AE22" i="7"/>
  <c r="AF22" i="7"/>
  <c r="AH22" i="7"/>
  <c r="AK22" i="7"/>
  <c r="AL22" i="7"/>
  <c r="AM22" i="7"/>
  <c r="AN22" i="7"/>
  <c r="Z21" i="7"/>
  <c r="Z22" i="7" s="1"/>
  <c r="AA21" i="7"/>
  <c r="AB21" i="7"/>
  <c r="AB22" i="7" s="1"/>
  <c r="AC21" i="7"/>
  <c r="AD21" i="7"/>
  <c r="AE21" i="7"/>
  <c r="AF21" i="7"/>
  <c r="AG21" i="7"/>
  <c r="AG22" i="7" s="1"/>
  <c r="AH21" i="7"/>
  <c r="AI21" i="7"/>
  <c r="AI22" i="7" s="1"/>
  <c r="AJ21" i="7"/>
  <c r="AJ22" i="7" s="1"/>
  <c r="AK21" i="7"/>
  <c r="AL21" i="7"/>
  <c r="AM21" i="7"/>
  <c r="AN21" i="7"/>
  <c r="Y21" i="7"/>
  <c r="Y22" i="7" s="1"/>
  <c r="H22" i="7"/>
  <c r="I22" i="7"/>
  <c r="P22" i="7"/>
  <c r="Q22" i="7"/>
  <c r="G21" i="7"/>
  <c r="G22" i="7" s="1"/>
  <c r="H21" i="7"/>
  <c r="I21" i="7"/>
  <c r="J21" i="7"/>
  <c r="J22" i="7" s="1"/>
  <c r="K21" i="7"/>
  <c r="K22" i="7" s="1"/>
  <c r="L21" i="7"/>
  <c r="L22" i="7" s="1"/>
  <c r="M21" i="7"/>
  <c r="M22" i="7" s="1"/>
  <c r="N21" i="7"/>
  <c r="N22" i="7" s="1"/>
  <c r="O21" i="7"/>
  <c r="O22" i="7" s="1"/>
  <c r="P21" i="7"/>
  <c r="Q21" i="7"/>
  <c r="R21" i="7"/>
  <c r="R22" i="7" s="1"/>
  <c r="F21" i="7"/>
  <c r="F22" i="7" s="1"/>
  <c r="AG24" i="5"/>
  <c r="AH24" i="5"/>
  <c r="AI24" i="5"/>
  <c r="AJ24" i="5"/>
  <c r="H24" i="5"/>
  <c r="I24" i="5"/>
  <c r="P24" i="5"/>
  <c r="Q24" i="5"/>
  <c r="AN23" i="5"/>
  <c r="AN24" i="5" s="1"/>
  <c r="AM23" i="5"/>
  <c r="AM24" i="5" s="1"/>
  <c r="AL23" i="5"/>
  <c r="AL24" i="5" s="1"/>
  <c r="AK23" i="5"/>
  <c r="AK24" i="5" s="1"/>
  <c r="AJ23" i="5"/>
  <c r="AI23" i="5"/>
  <c r="AH23" i="5"/>
  <c r="AG23" i="5"/>
  <c r="AF23" i="5"/>
  <c r="AF24" i="5" s="1"/>
  <c r="AE23" i="5"/>
  <c r="AE24" i="5" s="1"/>
  <c r="AD23" i="5"/>
  <c r="AD24" i="5" s="1"/>
  <c r="AC23" i="5"/>
  <c r="AC24" i="5" s="1"/>
  <c r="AB23" i="5"/>
  <c r="AB24" i="5" s="1"/>
  <c r="AA23" i="5"/>
  <c r="AA24" i="5" s="1"/>
  <c r="Z23" i="5"/>
  <c r="Z24" i="5" s="1"/>
  <c r="Y23" i="5"/>
  <c r="Y24" i="5" s="1"/>
  <c r="R23" i="5"/>
  <c r="R24" i="5" s="1"/>
  <c r="Q23" i="5"/>
  <c r="P23" i="5"/>
  <c r="O23" i="5"/>
  <c r="O24" i="5" s="1"/>
  <c r="N23" i="5"/>
  <c r="N24" i="5" s="1"/>
  <c r="M23" i="5"/>
  <c r="M24" i="5" s="1"/>
  <c r="L23" i="5"/>
  <c r="L24" i="5" s="1"/>
  <c r="K23" i="5"/>
  <c r="K24" i="5" s="1"/>
  <c r="J23" i="5"/>
  <c r="C20" i="13" s="1"/>
  <c r="I23" i="5"/>
  <c r="H23" i="5"/>
  <c r="G23" i="5"/>
  <c r="G24" i="5" s="1"/>
  <c r="F23" i="5"/>
  <c r="F24" i="5" s="1"/>
  <c r="AC22" i="4"/>
  <c r="AD22" i="4"/>
  <c r="AE22" i="4"/>
  <c r="AF22" i="4"/>
  <c r="AK22" i="4"/>
  <c r="AL22" i="4"/>
  <c r="AM22" i="4"/>
  <c r="AN22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Y21" i="4"/>
  <c r="H22" i="4"/>
  <c r="I22" i="4"/>
  <c r="P22" i="4"/>
  <c r="Q22" i="4"/>
  <c r="G21" i="4"/>
  <c r="G22" i="4" s="1"/>
  <c r="H21" i="4"/>
  <c r="I21" i="4"/>
  <c r="J21" i="4"/>
  <c r="J22" i="4" s="1"/>
  <c r="K21" i="4"/>
  <c r="K22" i="4" s="1"/>
  <c r="L21" i="4"/>
  <c r="L22" i="4" s="1"/>
  <c r="M21" i="4"/>
  <c r="M22" i="4" s="1"/>
  <c r="N21" i="4"/>
  <c r="N22" i="4" s="1"/>
  <c r="O21" i="4"/>
  <c r="O22" i="4" s="1"/>
  <c r="P21" i="4"/>
  <c r="Q21" i="4"/>
  <c r="R21" i="4"/>
  <c r="R22" i="4" s="1"/>
  <c r="F21" i="4"/>
  <c r="F22" i="4" s="1"/>
  <c r="E22" i="13"/>
  <c r="C23" i="13"/>
  <c r="AE24" i="3"/>
  <c r="Z23" i="3"/>
  <c r="AA23" i="3"/>
  <c r="AB23" i="3"/>
  <c r="AC23" i="3"/>
  <c r="AC24" i="3" s="1"/>
  <c r="AD23" i="3"/>
  <c r="AD24" i="3" s="1"/>
  <c r="AE23" i="3"/>
  <c r="AF23" i="3"/>
  <c r="AF24" i="3" s="1"/>
  <c r="AG23" i="3"/>
  <c r="AH23" i="3"/>
  <c r="AI23" i="3"/>
  <c r="AJ23" i="3"/>
  <c r="AK23" i="3"/>
  <c r="AK24" i="3" s="1"/>
  <c r="AL23" i="3"/>
  <c r="AL24" i="3" s="1"/>
  <c r="AM23" i="3"/>
  <c r="AM24" i="3" s="1"/>
  <c r="AN23" i="3"/>
  <c r="AN24" i="3" s="1"/>
  <c r="Y23" i="3"/>
  <c r="H24" i="3"/>
  <c r="I24" i="3"/>
  <c r="P24" i="3"/>
  <c r="Q24" i="3"/>
  <c r="G23" i="3"/>
  <c r="G24" i="3" s="1"/>
  <c r="H23" i="3"/>
  <c r="I23" i="3"/>
  <c r="J23" i="3"/>
  <c r="J24" i="3" s="1"/>
  <c r="K23" i="3"/>
  <c r="K24" i="3" s="1"/>
  <c r="L23" i="3"/>
  <c r="L24" i="3" s="1"/>
  <c r="M23" i="3"/>
  <c r="M24" i="3" s="1"/>
  <c r="N23" i="3"/>
  <c r="N24" i="3" s="1"/>
  <c r="O23" i="3"/>
  <c r="O24" i="3" s="1"/>
  <c r="P23" i="3"/>
  <c r="Q23" i="3"/>
  <c r="R23" i="3"/>
  <c r="R24" i="3" s="1"/>
  <c r="F23" i="3"/>
  <c r="F24" i="3" s="1"/>
  <c r="C21" i="13"/>
  <c r="E21" i="13"/>
  <c r="X19" i="8"/>
  <c r="V19" i="8"/>
  <c r="W19" i="8"/>
  <c r="U19" i="8"/>
  <c r="V19" i="4"/>
  <c r="W19" i="4"/>
  <c r="X19" i="4"/>
  <c r="U19" i="4"/>
  <c r="V19" i="10"/>
  <c r="W19" i="10"/>
  <c r="X19" i="10"/>
  <c r="U19" i="10"/>
  <c r="V19" i="7"/>
  <c r="W19" i="7"/>
  <c r="X19" i="7"/>
  <c r="U19" i="7"/>
  <c r="AF17" i="5"/>
  <c r="AE17" i="5"/>
  <c r="AD17" i="5"/>
  <c r="AC17" i="5"/>
  <c r="AB17" i="10"/>
  <c r="AJ17" i="10" s="1"/>
  <c r="AA17" i="10"/>
  <c r="AI17" i="10" s="1"/>
  <c r="Z17" i="10"/>
  <c r="AH17" i="10" s="1"/>
  <c r="Y17" i="10"/>
  <c r="AG17" i="10" s="1"/>
  <c r="V17" i="10"/>
  <c r="W17" i="10"/>
  <c r="X17" i="10"/>
  <c r="U17" i="10"/>
  <c r="AH17" i="5"/>
  <c r="AI17" i="5"/>
  <c r="AJ17" i="5"/>
  <c r="AG17" i="5"/>
  <c r="F21" i="2"/>
  <c r="F23" i="2" s="1"/>
  <c r="C19" i="13" l="1"/>
  <c r="E26" i="13"/>
  <c r="E24" i="13"/>
  <c r="J24" i="5"/>
  <c r="C28" i="13"/>
  <c r="AB14" i="1"/>
  <c r="AJ14" i="1" s="1"/>
  <c r="AA14" i="1"/>
  <c r="AI14" i="1" s="1"/>
  <c r="Z14" i="1"/>
  <c r="AH14" i="1" s="1"/>
  <c r="Y14" i="1"/>
  <c r="AG14" i="1" s="1"/>
  <c r="V14" i="1"/>
  <c r="W14" i="1"/>
  <c r="X14" i="1"/>
  <c r="U14" i="1"/>
  <c r="AB12" i="9"/>
  <c r="AJ12" i="9" s="1"/>
  <c r="AA12" i="9"/>
  <c r="AI12" i="9" s="1"/>
  <c r="Z12" i="9"/>
  <c r="AH12" i="9" s="1"/>
  <c r="AG12" i="9"/>
  <c r="Y12" i="9"/>
  <c r="V12" i="9"/>
  <c r="W12" i="9"/>
  <c r="X12" i="9"/>
  <c r="U12" i="9"/>
  <c r="V13" i="1"/>
  <c r="W13" i="1"/>
  <c r="X13" i="1"/>
  <c r="U13" i="1"/>
  <c r="AA10" i="7"/>
  <c r="AI10" i="7" s="1"/>
  <c r="AB10" i="7"/>
  <c r="AJ10" i="7" s="1"/>
  <c r="Z10" i="7"/>
  <c r="AH10" i="7" s="1"/>
  <c r="Y10" i="7"/>
  <c r="AG10" i="7" s="1"/>
  <c r="V10" i="7"/>
  <c r="W10" i="7"/>
  <c r="X10" i="7"/>
  <c r="U10" i="7"/>
  <c r="V16" i="11"/>
  <c r="W16" i="11"/>
  <c r="X16" i="11"/>
  <c r="U16" i="11"/>
  <c r="V13" i="11"/>
  <c r="W13" i="11"/>
  <c r="X13" i="11"/>
  <c r="U13" i="11"/>
  <c r="V10" i="11"/>
  <c r="W10" i="11"/>
  <c r="X10" i="11"/>
  <c r="U10" i="11"/>
  <c r="V9" i="11"/>
  <c r="W9" i="11"/>
  <c r="X9" i="11"/>
  <c r="U9" i="11"/>
  <c r="V14" i="10"/>
  <c r="W14" i="10"/>
  <c r="X14" i="10"/>
  <c r="U14" i="10"/>
  <c r="V12" i="10"/>
  <c r="W12" i="10"/>
  <c r="X12" i="10"/>
  <c r="U12" i="10"/>
  <c r="V11" i="10"/>
  <c r="W11" i="10"/>
  <c r="X11" i="10"/>
  <c r="U11" i="10"/>
  <c r="V17" i="9"/>
  <c r="W17" i="9"/>
  <c r="X17" i="9"/>
  <c r="U17" i="9"/>
  <c r="V16" i="9"/>
  <c r="W16" i="9"/>
  <c r="X16" i="9"/>
  <c r="U16" i="9"/>
  <c r="V13" i="9"/>
  <c r="W13" i="9"/>
  <c r="X13" i="9"/>
  <c r="U13" i="9"/>
  <c r="V10" i="9"/>
  <c r="W10" i="9"/>
  <c r="X10" i="9"/>
  <c r="U10" i="9"/>
  <c r="V18" i="8"/>
  <c r="W18" i="8"/>
  <c r="X18" i="8"/>
  <c r="U18" i="8"/>
  <c r="V17" i="8"/>
  <c r="W17" i="8"/>
  <c r="X17" i="8"/>
  <c r="U17" i="8"/>
  <c r="V15" i="8"/>
  <c r="W15" i="8"/>
  <c r="X15" i="8"/>
  <c r="U15" i="8"/>
  <c r="V13" i="8"/>
  <c r="W13" i="8"/>
  <c r="X13" i="8"/>
  <c r="U13" i="8"/>
  <c r="X11" i="8"/>
  <c r="V11" i="8"/>
  <c r="W11" i="8"/>
  <c r="U11" i="8"/>
  <c r="V18" i="7"/>
  <c r="W18" i="7"/>
  <c r="X18" i="7"/>
  <c r="U18" i="7"/>
  <c r="V16" i="7"/>
  <c r="W16" i="7"/>
  <c r="X16" i="7"/>
  <c r="U16" i="7"/>
  <c r="V15" i="7"/>
  <c r="W15" i="7"/>
  <c r="X15" i="7"/>
  <c r="U15" i="7"/>
  <c r="X12" i="7"/>
  <c r="V12" i="7"/>
  <c r="W12" i="7"/>
  <c r="U12" i="7"/>
  <c r="V17" i="6"/>
  <c r="W17" i="6"/>
  <c r="X17" i="6"/>
  <c r="U17" i="6"/>
  <c r="V15" i="6"/>
  <c r="W15" i="6"/>
  <c r="X15" i="6"/>
  <c r="U15" i="6"/>
  <c r="V13" i="6"/>
  <c r="W13" i="6"/>
  <c r="X13" i="6"/>
  <c r="U13" i="6"/>
  <c r="V11" i="6"/>
  <c r="W11" i="6"/>
  <c r="X11" i="6"/>
  <c r="U11" i="6"/>
  <c r="V18" i="5"/>
  <c r="W18" i="5"/>
  <c r="X18" i="5"/>
  <c r="U18" i="5"/>
  <c r="V11" i="5"/>
  <c r="W11" i="5"/>
  <c r="X11" i="5"/>
  <c r="U11" i="5"/>
  <c r="V18" i="4"/>
  <c r="W18" i="4"/>
  <c r="X18" i="4"/>
  <c r="U18" i="4"/>
  <c r="V16" i="4"/>
  <c r="W16" i="4"/>
  <c r="X16" i="4"/>
  <c r="U16" i="4"/>
  <c r="V14" i="4"/>
  <c r="W14" i="4"/>
  <c r="X14" i="4"/>
  <c r="U14" i="4"/>
  <c r="V13" i="4"/>
  <c r="W13" i="4"/>
  <c r="X13" i="4"/>
  <c r="U13" i="4"/>
  <c r="V11" i="4"/>
  <c r="W11" i="4"/>
  <c r="X11" i="4"/>
  <c r="U11" i="4"/>
  <c r="V17" i="3"/>
  <c r="W17" i="3"/>
  <c r="X17" i="3"/>
  <c r="U17" i="3"/>
  <c r="V16" i="3"/>
  <c r="W16" i="3"/>
  <c r="X16" i="3"/>
  <c r="U16" i="3"/>
  <c r="V14" i="3"/>
  <c r="W14" i="3"/>
  <c r="X14" i="3"/>
  <c r="U14" i="3"/>
  <c r="V13" i="3"/>
  <c r="W13" i="3"/>
  <c r="X13" i="3"/>
  <c r="U13" i="3"/>
  <c r="V10" i="3"/>
  <c r="W10" i="3"/>
  <c r="X10" i="3"/>
  <c r="U10" i="3"/>
  <c r="V16" i="2"/>
  <c r="W16" i="2"/>
  <c r="X16" i="2"/>
  <c r="U16" i="2"/>
  <c r="V14" i="2"/>
  <c r="W14" i="2"/>
  <c r="X14" i="2"/>
  <c r="U14" i="2"/>
  <c r="V12" i="2"/>
  <c r="W12" i="2"/>
  <c r="X12" i="2"/>
  <c r="U12" i="2"/>
  <c r="V11" i="2"/>
  <c r="W11" i="2"/>
  <c r="X11" i="2"/>
  <c r="U11" i="2"/>
  <c r="V18" i="1"/>
  <c r="W18" i="1"/>
  <c r="X18" i="1"/>
  <c r="U18" i="1"/>
  <c r="V17" i="1"/>
  <c r="W17" i="1"/>
  <c r="X17" i="1"/>
  <c r="U17" i="1"/>
  <c r="V10" i="1"/>
  <c r="W10" i="1"/>
  <c r="X10" i="1"/>
  <c r="U10" i="1"/>
  <c r="AB16" i="11"/>
  <c r="AJ16" i="11" s="1"/>
  <c r="AA16" i="11"/>
  <c r="Z16" i="11"/>
  <c r="AH16" i="11" s="1"/>
  <c r="Y16" i="11"/>
  <c r="AG16" i="11" s="1"/>
  <c r="AB15" i="11"/>
  <c r="AJ15" i="11" s="1"/>
  <c r="AA15" i="11"/>
  <c r="AI15" i="11" s="1"/>
  <c r="Z15" i="11"/>
  <c r="AH15" i="11" s="1"/>
  <c r="Y15" i="11"/>
  <c r="AG15" i="11" s="1"/>
  <c r="AB13" i="11"/>
  <c r="AJ13" i="11" s="1"/>
  <c r="AA13" i="11"/>
  <c r="AI13" i="11" s="1"/>
  <c r="Z13" i="11"/>
  <c r="AH13" i="11" s="1"/>
  <c r="Y13" i="11"/>
  <c r="AB10" i="11"/>
  <c r="AJ10" i="11" s="1"/>
  <c r="AA10" i="11"/>
  <c r="AI10" i="11" s="1"/>
  <c r="Z10" i="11"/>
  <c r="AH10" i="11" s="1"/>
  <c r="Y10" i="11"/>
  <c r="AG10" i="11" s="1"/>
  <c r="AB9" i="11"/>
  <c r="AJ9" i="11" s="1"/>
  <c r="AA9" i="11"/>
  <c r="AI9" i="11" s="1"/>
  <c r="Z9" i="11"/>
  <c r="AH9" i="11" s="1"/>
  <c r="Y9" i="11"/>
  <c r="AG9" i="11" s="1"/>
  <c r="AB14" i="10"/>
  <c r="AJ14" i="10" s="1"/>
  <c r="AA14" i="10"/>
  <c r="Y14" i="10"/>
  <c r="AG14" i="10" s="1"/>
  <c r="Z14" i="10"/>
  <c r="AH14" i="10" s="1"/>
  <c r="AB12" i="10"/>
  <c r="AJ12" i="10" s="1"/>
  <c r="AA12" i="10"/>
  <c r="Z12" i="10"/>
  <c r="AH12" i="10" s="1"/>
  <c r="Y12" i="10"/>
  <c r="AG12" i="10" s="1"/>
  <c r="AB11" i="10"/>
  <c r="AJ11" i="10" s="1"/>
  <c r="AA11" i="10"/>
  <c r="AI11" i="10" s="1"/>
  <c r="Z11" i="10"/>
  <c r="AH11" i="10" s="1"/>
  <c r="Y11" i="10"/>
  <c r="AG11" i="10" s="1"/>
  <c r="AB9" i="10"/>
  <c r="AJ9" i="10" s="1"/>
  <c r="AA9" i="10"/>
  <c r="AI9" i="10" s="1"/>
  <c r="Z9" i="10"/>
  <c r="AH9" i="10" s="1"/>
  <c r="Y9" i="10"/>
  <c r="AB17" i="9"/>
  <c r="AA17" i="9"/>
  <c r="AI17" i="9" s="1"/>
  <c r="Z17" i="9"/>
  <c r="AH17" i="9" s="1"/>
  <c r="Y17" i="9"/>
  <c r="AG17" i="9" s="1"/>
  <c r="AB16" i="9"/>
  <c r="AJ16" i="9" s="1"/>
  <c r="AA16" i="9"/>
  <c r="AI16" i="9" s="1"/>
  <c r="Z16" i="9"/>
  <c r="AH16" i="9" s="1"/>
  <c r="Y16" i="9"/>
  <c r="AG16" i="9" s="1"/>
  <c r="AB13" i="9"/>
  <c r="AJ13" i="9" s="1"/>
  <c r="AA13" i="9"/>
  <c r="Z13" i="9"/>
  <c r="AH13" i="9" s="1"/>
  <c r="Y13" i="9"/>
  <c r="AB10" i="9"/>
  <c r="AJ10" i="9" s="1"/>
  <c r="AA10" i="9"/>
  <c r="AI10" i="9" s="1"/>
  <c r="Z10" i="9"/>
  <c r="AH10" i="9" s="1"/>
  <c r="Y10" i="9"/>
  <c r="AB18" i="8"/>
  <c r="AJ18" i="8" s="1"/>
  <c r="AA18" i="8"/>
  <c r="Z18" i="8"/>
  <c r="AH18" i="8" s="1"/>
  <c r="Y18" i="8"/>
  <c r="AG18" i="8" s="1"/>
  <c r="AB17" i="8"/>
  <c r="AJ17" i="8" s="1"/>
  <c r="AA17" i="8"/>
  <c r="AI17" i="8" s="1"/>
  <c r="Z17" i="8"/>
  <c r="AH17" i="8" s="1"/>
  <c r="Y17" i="8"/>
  <c r="AG17" i="8" s="1"/>
  <c r="AB15" i="8"/>
  <c r="AJ15" i="8" s="1"/>
  <c r="AA15" i="8"/>
  <c r="AI15" i="8" s="1"/>
  <c r="Z15" i="8"/>
  <c r="AH15" i="8" s="1"/>
  <c r="Y15" i="8"/>
  <c r="AB13" i="8"/>
  <c r="AJ13" i="8" s="1"/>
  <c r="AA13" i="8"/>
  <c r="AI13" i="8" s="1"/>
  <c r="Z13" i="8"/>
  <c r="AH13" i="8" s="1"/>
  <c r="Y13" i="8"/>
  <c r="AB11" i="8"/>
  <c r="AJ11" i="8" s="1"/>
  <c r="AA11" i="8"/>
  <c r="AI11" i="8" s="1"/>
  <c r="Z11" i="8"/>
  <c r="AH11" i="8" s="1"/>
  <c r="Y11" i="8"/>
  <c r="AG11" i="8" s="1"/>
  <c r="AB9" i="8"/>
  <c r="AJ9" i="8" s="1"/>
  <c r="AA9" i="8"/>
  <c r="AI9" i="8" s="1"/>
  <c r="Z9" i="8"/>
  <c r="AH9" i="8" s="1"/>
  <c r="Y9" i="8"/>
  <c r="AB18" i="7"/>
  <c r="AA18" i="7"/>
  <c r="Z18" i="7"/>
  <c r="Y18" i="7"/>
  <c r="AB16" i="7"/>
  <c r="AJ16" i="7" s="1"/>
  <c r="AA16" i="7"/>
  <c r="AI16" i="7" s="1"/>
  <c r="Z16" i="7"/>
  <c r="Y16" i="7"/>
  <c r="AG16" i="7" s="1"/>
  <c r="AB15" i="7"/>
  <c r="AJ15" i="7" s="1"/>
  <c r="AA15" i="7"/>
  <c r="AI15" i="7" s="1"/>
  <c r="Z15" i="7"/>
  <c r="AH15" i="7" s="1"/>
  <c r="Y15" i="7"/>
  <c r="AG15" i="7" s="1"/>
  <c r="AB12" i="7"/>
  <c r="AJ12" i="7" s="1"/>
  <c r="AA12" i="7"/>
  <c r="AI12" i="7" s="1"/>
  <c r="Z12" i="7"/>
  <c r="AH12" i="7" s="1"/>
  <c r="Y12" i="7"/>
  <c r="AG12" i="7" s="1"/>
  <c r="AB17" i="6"/>
  <c r="AJ17" i="6" s="1"/>
  <c r="AA17" i="6"/>
  <c r="AI17" i="6" s="1"/>
  <c r="Z17" i="6"/>
  <c r="AH17" i="6" s="1"/>
  <c r="Y17" i="6"/>
  <c r="AG17" i="6" s="1"/>
  <c r="AB15" i="6"/>
  <c r="AJ15" i="6" s="1"/>
  <c r="AA15" i="6"/>
  <c r="Z15" i="6"/>
  <c r="AH15" i="6" s="1"/>
  <c r="Y15" i="6"/>
  <c r="AB13" i="6"/>
  <c r="AJ13" i="6" s="1"/>
  <c r="AA13" i="6"/>
  <c r="AI13" i="6" s="1"/>
  <c r="Z13" i="6"/>
  <c r="AH13" i="6" s="1"/>
  <c r="Y13" i="6"/>
  <c r="AG13" i="6" s="1"/>
  <c r="AB11" i="6"/>
  <c r="AJ11" i="6" s="1"/>
  <c r="AA11" i="6"/>
  <c r="AI11" i="6" s="1"/>
  <c r="Z11" i="6"/>
  <c r="AH11" i="6" s="1"/>
  <c r="Y11" i="6"/>
  <c r="AB9" i="6"/>
  <c r="AJ9" i="6" s="1"/>
  <c r="AA9" i="6"/>
  <c r="AI9" i="6" s="1"/>
  <c r="Z9" i="6"/>
  <c r="AH9" i="6" s="1"/>
  <c r="Y9" i="6"/>
  <c r="AG9" i="6" s="1"/>
  <c r="AB18" i="5"/>
  <c r="AJ18" i="5" s="1"/>
  <c r="AA18" i="5"/>
  <c r="Z18" i="5"/>
  <c r="AH18" i="5" s="1"/>
  <c r="Y18" i="5"/>
  <c r="AG18" i="5" s="1"/>
  <c r="AB15" i="5"/>
  <c r="AJ15" i="5" s="1"/>
  <c r="AA15" i="5"/>
  <c r="AI15" i="5" s="1"/>
  <c r="Z15" i="5"/>
  <c r="AH15" i="5" s="1"/>
  <c r="Y15" i="5"/>
  <c r="AG15" i="5" s="1"/>
  <c r="AB11" i="5"/>
  <c r="AJ11" i="5" s="1"/>
  <c r="AA11" i="5"/>
  <c r="Z11" i="5"/>
  <c r="Y11" i="5"/>
  <c r="AB18" i="4"/>
  <c r="AA18" i="4"/>
  <c r="Z18" i="4"/>
  <c r="Y18" i="4"/>
  <c r="AB16" i="4"/>
  <c r="AJ16" i="4" s="1"/>
  <c r="AA16" i="4"/>
  <c r="AI16" i="4" s="1"/>
  <c r="Z16" i="4"/>
  <c r="AH16" i="4" s="1"/>
  <c r="Y16" i="4"/>
  <c r="AG16" i="4" s="1"/>
  <c r="AB14" i="4"/>
  <c r="AJ14" i="4" s="1"/>
  <c r="AA14" i="4"/>
  <c r="AI14" i="4" s="1"/>
  <c r="Z14" i="4"/>
  <c r="AH14" i="4" s="1"/>
  <c r="Y14" i="4"/>
  <c r="AB13" i="4"/>
  <c r="AJ13" i="4" s="1"/>
  <c r="AA13" i="4"/>
  <c r="AI13" i="4" s="1"/>
  <c r="Z13" i="4"/>
  <c r="AH13" i="4" s="1"/>
  <c r="Y13" i="4"/>
  <c r="AG13" i="4" s="1"/>
  <c r="AB11" i="4"/>
  <c r="AA11" i="4"/>
  <c r="AI11" i="4" s="1"/>
  <c r="Z11" i="4"/>
  <c r="AH11" i="4" s="1"/>
  <c r="Y11" i="4"/>
  <c r="AG11" i="4" s="1"/>
  <c r="AB9" i="4"/>
  <c r="AA9" i="4"/>
  <c r="AI9" i="4" s="1"/>
  <c r="Z9" i="4"/>
  <c r="AH9" i="4" s="1"/>
  <c r="Y9" i="4"/>
  <c r="AB17" i="3"/>
  <c r="AJ17" i="3" s="1"/>
  <c r="AA17" i="3"/>
  <c r="AI17" i="3" s="1"/>
  <c r="Z17" i="3"/>
  <c r="AH17" i="3" s="1"/>
  <c r="Y17" i="3"/>
  <c r="AG17" i="3" s="1"/>
  <c r="AB16" i="3"/>
  <c r="AJ16" i="3" s="1"/>
  <c r="AA16" i="3"/>
  <c r="AI16" i="3" s="1"/>
  <c r="Z16" i="3"/>
  <c r="AH16" i="3" s="1"/>
  <c r="Y16" i="3"/>
  <c r="AG16" i="3" s="1"/>
  <c r="AB14" i="3"/>
  <c r="AJ14" i="3" s="1"/>
  <c r="AA14" i="3"/>
  <c r="AI14" i="3" s="1"/>
  <c r="Z14" i="3"/>
  <c r="AH14" i="3" s="1"/>
  <c r="Y14" i="3"/>
  <c r="AB13" i="3"/>
  <c r="AJ13" i="3" s="1"/>
  <c r="AA13" i="3"/>
  <c r="Z13" i="3"/>
  <c r="AH13" i="3" s="1"/>
  <c r="Y13" i="3"/>
  <c r="AB10" i="3"/>
  <c r="AJ10" i="3" s="1"/>
  <c r="AA10" i="3"/>
  <c r="AI10" i="3" s="1"/>
  <c r="Z10" i="3"/>
  <c r="AH10" i="3" s="1"/>
  <c r="Y10" i="3"/>
  <c r="AG10" i="3" s="1"/>
  <c r="AB16" i="2"/>
  <c r="AJ16" i="2" s="1"/>
  <c r="AA16" i="2"/>
  <c r="AI16" i="2" s="1"/>
  <c r="Z16" i="2"/>
  <c r="AH16" i="2" s="1"/>
  <c r="Y16" i="2"/>
  <c r="AG16" i="2" s="1"/>
  <c r="AB14" i="2"/>
  <c r="AJ14" i="2" s="1"/>
  <c r="AA14" i="2"/>
  <c r="AI14" i="2" s="1"/>
  <c r="Z14" i="2"/>
  <c r="AH14" i="2" s="1"/>
  <c r="Y14" i="2"/>
  <c r="AG14" i="2" s="1"/>
  <c r="AB12" i="2"/>
  <c r="AJ12" i="2" s="1"/>
  <c r="AA12" i="2"/>
  <c r="AI12" i="2" s="1"/>
  <c r="Z12" i="2"/>
  <c r="AH12" i="2" s="1"/>
  <c r="Y12" i="2"/>
  <c r="AG12" i="2" s="1"/>
  <c r="AB11" i="2"/>
  <c r="AJ11" i="2" s="1"/>
  <c r="AA11" i="2"/>
  <c r="AI11" i="2" s="1"/>
  <c r="Z11" i="2"/>
  <c r="AH11" i="2" s="1"/>
  <c r="Y11" i="2"/>
  <c r="AG11" i="2" s="1"/>
  <c r="AB9" i="2"/>
  <c r="AJ9" i="2" s="1"/>
  <c r="AA9" i="2"/>
  <c r="AI9" i="2" s="1"/>
  <c r="Z9" i="2"/>
  <c r="AH9" i="2" s="1"/>
  <c r="Y9" i="2"/>
  <c r="AG9" i="2" s="1"/>
  <c r="AB18" i="1"/>
  <c r="AJ18" i="1" s="1"/>
  <c r="AA18" i="1"/>
  <c r="AI18" i="1" s="1"/>
  <c r="Z18" i="1"/>
  <c r="AH18" i="1" s="1"/>
  <c r="Y18" i="1"/>
  <c r="AG18" i="1" s="1"/>
  <c r="Y17" i="1"/>
  <c r="AG17" i="1" s="1"/>
  <c r="AB17" i="1"/>
  <c r="AJ17" i="1" s="1"/>
  <c r="AA17" i="1"/>
  <c r="AI17" i="1" s="1"/>
  <c r="Z17" i="1"/>
  <c r="AH17" i="1" s="1"/>
  <c r="AB13" i="1"/>
  <c r="AJ13" i="1" s="1"/>
  <c r="AA13" i="1"/>
  <c r="AI13" i="1" s="1"/>
  <c r="Z13" i="1"/>
  <c r="AH13" i="1" s="1"/>
  <c r="Y13" i="1"/>
  <c r="AB10" i="1"/>
  <c r="AJ10" i="1" s="1"/>
  <c r="AA10" i="1"/>
  <c r="AI10" i="1" s="1"/>
  <c r="Z10" i="1"/>
  <c r="AH10" i="1" s="1"/>
  <c r="Y10" i="1"/>
  <c r="AG10" i="1" s="1"/>
  <c r="AI16" i="11"/>
  <c r="AG13" i="11"/>
  <c r="AI14" i="10"/>
  <c r="AI12" i="10"/>
  <c r="AG9" i="10"/>
  <c r="AJ17" i="9"/>
  <c r="AI13" i="9"/>
  <c r="AG13" i="9"/>
  <c r="AG10" i="9"/>
  <c r="AI18" i="8"/>
  <c r="AG15" i="8"/>
  <c r="AG13" i="8"/>
  <c r="AG9" i="8"/>
  <c r="AI18" i="7"/>
  <c r="AH16" i="7"/>
  <c r="AI15" i="6"/>
  <c r="AG15" i="6"/>
  <c r="AG11" i="6"/>
  <c r="AI18" i="5"/>
  <c r="AH11" i="5"/>
  <c r="AI11" i="5"/>
  <c r="AG11" i="5"/>
  <c r="AG18" i="4"/>
  <c r="AG14" i="4"/>
  <c r="AJ11" i="4"/>
  <c r="AJ9" i="4"/>
  <c r="AG9" i="4"/>
  <c r="AG14" i="3"/>
  <c r="AI13" i="3"/>
  <c r="AG13" i="3"/>
  <c r="AD9" i="3"/>
  <c r="AE9" i="3"/>
  <c r="AF9" i="3"/>
  <c r="AC9" i="3"/>
  <c r="AG13" i="1"/>
  <c r="AD18" i="11"/>
  <c r="AE18" i="11"/>
  <c r="AF18" i="11"/>
  <c r="AC18" i="11"/>
  <c r="AD17" i="11"/>
  <c r="AE17" i="11"/>
  <c r="AF17" i="11"/>
  <c r="AC17" i="11"/>
  <c r="AD14" i="11"/>
  <c r="AE14" i="11"/>
  <c r="AF14" i="11"/>
  <c r="AC14" i="11"/>
  <c r="AD12" i="11"/>
  <c r="AE12" i="11"/>
  <c r="AF12" i="11"/>
  <c r="AC12" i="11"/>
  <c r="AD11" i="11"/>
  <c r="AE11" i="11"/>
  <c r="AF11" i="11"/>
  <c r="AC11" i="11"/>
  <c r="AD18" i="10"/>
  <c r="AE18" i="10"/>
  <c r="AF18" i="10"/>
  <c r="AC18" i="10"/>
  <c r="AD16" i="10"/>
  <c r="AE16" i="10"/>
  <c r="AF16" i="10"/>
  <c r="AC16" i="10"/>
  <c r="AD15" i="10"/>
  <c r="AE15" i="10"/>
  <c r="AF15" i="10"/>
  <c r="AC15" i="10"/>
  <c r="AD13" i="10"/>
  <c r="AE13" i="10"/>
  <c r="AF13" i="10"/>
  <c r="AC13" i="10"/>
  <c r="AD10" i="10"/>
  <c r="AE10" i="10"/>
  <c r="AF10" i="10"/>
  <c r="AC10" i="10"/>
  <c r="AD18" i="9"/>
  <c r="AE18" i="9"/>
  <c r="AF18" i="9"/>
  <c r="AC18" i="9"/>
  <c r="AD15" i="9"/>
  <c r="AE15" i="9"/>
  <c r="AF15" i="9"/>
  <c r="AC15" i="9"/>
  <c r="AD14" i="9"/>
  <c r="AE14" i="9"/>
  <c r="AF14" i="9"/>
  <c r="AC14" i="9"/>
  <c r="AD11" i="9"/>
  <c r="AE11" i="9"/>
  <c r="AF11" i="9"/>
  <c r="AC11" i="9"/>
  <c r="AD9" i="9"/>
  <c r="AE9" i="9"/>
  <c r="AF9" i="9"/>
  <c r="AC9" i="9"/>
  <c r="AD16" i="8"/>
  <c r="AE16" i="8"/>
  <c r="AF16" i="8"/>
  <c r="AC16" i="8"/>
  <c r="AD14" i="8"/>
  <c r="AE14" i="8"/>
  <c r="AF14" i="8"/>
  <c r="AC14" i="8"/>
  <c r="AD12" i="8"/>
  <c r="AE12" i="8"/>
  <c r="AF12" i="8"/>
  <c r="AC12" i="8"/>
  <c r="AD10" i="8"/>
  <c r="AE10" i="8"/>
  <c r="AF10" i="8"/>
  <c r="AC10" i="8"/>
  <c r="AD17" i="7"/>
  <c r="AE17" i="7"/>
  <c r="AF17" i="7"/>
  <c r="AC17" i="7"/>
  <c r="AD14" i="7"/>
  <c r="AE14" i="7"/>
  <c r="AF14" i="7"/>
  <c r="AC14" i="7"/>
  <c r="AD13" i="7"/>
  <c r="AE13" i="7"/>
  <c r="AF13" i="7"/>
  <c r="AC13" i="7"/>
  <c r="AD11" i="7"/>
  <c r="AE11" i="7"/>
  <c r="AF11" i="7"/>
  <c r="AC11" i="7"/>
  <c r="AD9" i="7"/>
  <c r="AE9" i="7"/>
  <c r="AF9" i="7"/>
  <c r="AC9" i="7"/>
  <c r="AD18" i="6"/>
  <c r="AE18" i="6"/>
  <c r="AF18" i="6"/>
  <c r="AC18" i="6"/>
  <c r="AD16" i="6"/>
  <c r="AE16" i="6"/>
  <c r="AF16" i="6"/>
  <c r="AC16" i="6"/>
  <c r="AD14" i="6"/>
  <c r="AE14" i="6"/>
  <c r="AF14" i="6"/>
  <c r="AC14" i="6"/>
  <c r="AD12" i="6"/>
  <c r="AE12" i="6"/>
  <c r="AF12" i="6"/>
  <c r="AC12" i="6"/>
  <c r="AD10" i="6"/>
  <c r="AE10" i="6"/>
  <c r="AF10" i="6"/>
  <c r="AC10" i="6"/>
  <c r="AD16" i="5"/>
  <c r="AE16" i="5"/>
  <c r="AF16" i="5"/>
  <c r="AC16" i="5"/>
  <c r="AD14" i="5"/>
  <c r="AE14" i="5"/>
  <c r="AF14" i="5"/>
  <c r="AC14" i="5"/>
  <c r="AD13" i="5"/>
  <c r="AE13" i="5"/>
  <c r="AF13" i="5"/>
  <c r="AC13" i="5"/>
  <c r="AD12" i="5"/>
  <c r="AE12" i="5"/>
  <c r="AF12" i="5"/>
  <c r="AC12" i="5"/>
  <c r="AD10" i="5"/>
  <c r="AE10" i="5"/>
  <c r="AF10" i="5"/>
  <c r="AC10" i="5"/>
  <c r="AD9" i="5"/>
  <c r="AE9" i="5"/>
  <c r="AF9" i="5"/>
  <c r="AC9" i="5"/>
  <c r="AD17" i="4"/>
  <c r="AE17" i="4"/>
  <c r="AF17" i="4"/>
  <c r="AC17" i="4"/>
  <c r="AD15" i="4"/>
  <c r="AE15" i="4"/>
  <c r="AF15" i="4"/>
  <c r="AC15" i="4"/>
  <c r="AD12" i="4"/>
  <c r="AE12" i="4"/>
  <c r="AF12" i="4"/>
  <c r="AC12" i="4"/>
  <c r="AD10" i="4"/>
  <c r="AE10" i="4"/>
  <c r="AF10" i="4"/>
  <c r="AC10" i="4"/>
  <c r="AD18" i="3"/>
  <c r="AE18" i="3"/>
  <c r="AF18" i="3"/>
  <c r="AC18" i="3"/>
  <c r="AD12" i="3"/>
  <c r="AE12" i="3"/>
  <c r="AF12" i="3"/>
  <c r="AC12" i="3"/>
  <c r="AD11" i="3"/>
  <c r="AE11" i="3"/>
  <c r="AF11" i="3"/>
  <c r="AC11" i="3"/>
  <c r="AD18" i="2"/>
  <c r="AE18" i="2"/>
  <c r="AF18" i="2"/>
  <c r="AC18" i="2"/>
  <c r="AD17" i="2"/>
  <c r="AE17" i="2"/>
  <c r="AF17" i="2"/>
  <c r="AC17" i="2"/>
  <c r="AD15" i="2"/>
  <c r="AE15" i="2"/>
  <c r="AF15" i="2"/>
  <c r="AC15" i="2"/>
  <c r="AD13" i="2"/>
  <c r="AE13" i="2"/>
  <c r="AF13" i="2"/>
  <c r="AC13" i="2"/>
  <c r="AD10" i="2"/>
  <c r="AE10" i="2"/>
  <c r="AF10" i="2"/>
  <c r="AC10" i="2"/>
  <c r="AD16" i="1"/>
  <c r="AE16" i="1"/>
  <c r="AF16" i="1"/>
  <c r="AC16" i="1"/>
  <c r="AD15" i="1"/>
  <c r="AE15" i="1"/>
  <c r="AF15" i="1"/>
  <c r="AC15" i="1"/>
  <c r="AD12" i="1"/>
  <c r="AE12" i="1"/>
  <c r="AF12" i="1"/>
  <c r="AC12" i="1"/>
  <c r="AD11" i="1"/>
  <c r="AE11" i="1"/>
  <c r="AF11" i="1"/>
  <c r="AC11" i="1"/>
  <c r="AD9" i="1"/>
  <c r="AE9" i="1"/>
  <c r="AF9" i="1"/>
  <c r="AC9" i="1"/>
  <c r="V9" i="4"/>
  <c r="W9" i="4"/>
  <c r="X9" i="4"/>
  <c r="U9" i="4"/>
  <c r="V9" i="2"/>
  <c r="W9" i="2"/>
  <c r="X9" i="2"/>
  <c r="U9" i="2"/>
  <c r="V9" i="8"/>
  <c r="W9" i="8"/>
  <c r="X9" i="8"/>
  <c r="U9" i="8"/>
  <c r="V9" i="6"/>
  <c r="W9" i="6"/>
  <c r="X9" i="6"/>
  <c r="U9" i="6"/>
  <c r="V9" i="10"/>
  <c r="W9" i="10"/>
  <c r="X9" i="10"/>
  <c r="U9" i="10"/>
  <c r="E28" i="13" l="1"/>
  <c r="AH18" i="7"/>
  <c r="AJ18" i="7"/>
  <c r="AG18" i="7"/>
  <c r="AH18" i="4"/>
  <c r="AI18" i="4"/>
  <c r="AJ18" i="4"/>
  <c r="V8" i="7"/>
  <c r="W8" i="7"/>
  <c r="X8" i="7"/>
  <c r="U8" i="7"/>
  <c r="X8" i="1"/>
  <c r="V8" i="1"/>
  <c r="W8" i="1"/>
  <c r="U8" i="1"/>
  <c r="V8" i="5"/>
  <c r="W8" i="5"/>
  <c r="X8" i="5"/>
  <c r="U8" i="5"/>
  <c r="V8" i="9"/>
  <c r="W8" i="9"/>
  <c r="X8" i="9"/>
  <c r="U8" i="9"/>
  <c r="V8" i="2"/>
  <c r="W8" i="2"/>
  <c r="X8" i="2"/>
  <c r="U8" i="2"/>
  <c r="V7" i="11" l="1"/>
  <c r="W7" i="11"/>
  <c r="X7" i="11"/>
  <c r="U7" i="11"/>
  <c r="V8" i="4"/>
  <c r="W8" i="4"/>
  <c r="X8" i="4"/>
  <c r="U8" i="4"/>
  <c r="V7" i="8"/>
  <c r="W7" i="8"/>
  <c r="X7" i="8"/>
  <c r="U7" i="8"/>
  <c r="V7" i="3"/>
  <c r="W7" i="3"/>
  <c r="X7" i="3"/>
  <c r="U7" i="3"/>
  <c r="V7" i="5"/>
  <c r="W7" i="5"/>
  <c r="X7" i="5"/>
  <c r="U7" i="5"/>
  <c r="V6" i="10"/>
  <c r="W6" i="10"/>
  <c r="X6" i="10"/>
  <c r="U6" i="10"/>
  <c r="V6" i="11"/>
  <c r="W6" i="11"/>
  <c r="X6" i="11"/>
  <c r="U6" i="11"/>
  <c r="V6" i="6"/>
  <c r="W6" i="6"/>
  <c r="X6" i="6"/>
  <c r="U6" i="6"/>
  <c r="V6" i="7"/>
  <c r="W6" i="7"/>
  <c r="X6" i="7"/>
  <c r="U6" i="7"/>
  <c r="V5" i="8"/>
  <c r="W5" i="8"/>
  <c r="X5" i="8"/>
  <c r="U5" i="8"/>
  <c r="V5" i="5"/>
  <c r="W5" i="5"/>
  <c r="X5" i="5"/>
  <c r="U5" i="5"/>
  <c r="V6" i="1"/>
  <c r="W6" i="1"/>
  <c r="X6" i="1"/>
  <c r="U6" i="1"/>
  <c r="V6" i="3"/>
  <c r="W6" i="3"/>
  <c r="X6" i="3"/>
  <c r="U6" i="3"/>
  <c r="V6" i="2"/>
  <c r="W6" i="2"/>
  <c r="X6" i="2"/>
  <c r="U6" i="2"/>
  <c r="V4" i="5"/>
  <c r="W4" i="5"/>
  <c r="X4" i="5"/>
  <c r="U4" i="5"/>
  <c r="V4" i="10"/>
  <c r="W4" i="10"/>
  <c r="X4" i="10"/>
  <c r="U4" i="10"/>
  <c r="V5" i="9"/>
  <c r="W5" i="9"/>
  <c r="X5" i="9"/>
  <c r="U5" i="9"/>
  <c r="V5" i="6"/>
  <c r="W5" i="6"/>
  <c r="X5" i="6"/>
  <c r="U5" i="6"/>
  <c r="V5" i="4"/>
  <c r="W5" i="4"/>
  <c r="X5" i="4"/>
  <c r="U5" i="4"/>
  <c r="V4" i="3"/>
  <c r="W4" i="3"/>
  <c r="X4" i="3"/>
  <c r="U4" i="3"/>
  <c r="V3" i="11"/>
  <c r="W3" i="11"/>
  <c r="X3" i="11"/>
  <c r="U3" i="11"/>
  <c r="V4" i="6"/>
  <c r="W4" i="6"/>
  <c r="X4" i="6"/>
  <c r="U4" i="6"/>
  <c r="V4" i="9"/>
  <c r="W4" i="9"/>
  <c r="X4" i="9"/>
  <c r="U4" i="9"/>
  <c r="V3" i="10"/>
  <c r="W3" i="10"/>
  <c r="X3" i="10"/>
  <c r="U3" i="10"/>
  <c r="V3" i="2"/>
  <c r="W3" i="2"/>
  <c r="X3" i="2"/>
  <c r="U3" i="2"/>
  <c r="V3" i="1"/>
  <c r="W3" i="1"/>
  <c r="X3" i="1"/>
  <c r="U3" i="1"/>
  <c r="V3" i="7"/>
  <c r="W3" i="7"/>
  <c r="X3" i="7"/>
  <c r="U3" i="7"/>
  <c r="V3" i="5"/>
  <c r="W3" i="5"/>
  <c r="X3" i="5"/>
  <c r="U3" i="5"/>
  <c r="L34" i="16"/>
  <c r="L36" i="16"/>
  <c r="L37" i="16"/>
  <c r="L38" i="16"/>
  <c r="L40" i="16"/>
  <c r="L41" i="16"/>
  <c r="L44" i="16"/>
  <c r="I34" i="16"/>
  <c r="I36" i="16"/>
  <c r="I37" i="16"/>
  <c r="I38" i="16"/>
  <c r="I40" i="16"/>
  <c r="I41" i="16"/>
  <c r="I44" i="16"/>
  <c r="I10" i="16"/>
  <c r="I12" i="16"/>
  <c r="I13" i="16"/>
  <c r="I14" i="16"/>
  <c r="I16" i="16"/>
  <c r="I17" i="16"/>
  <c r="I20" i="16"/>
  <c r="L10" i="16"/>
  <c r="L12" i="16"/>
  <c r="L13" i="16"/>
  <c r="L14" i="16"/>
  <c r="L16" i="16"/>
  <c r="L17" i="16"/>
  <c r="L20" i="16"/>
  <c r="N32" i="15"/>
  <c r="M32" i="15"/>
  <c r="L32" i="15"/>
  <c r="K32" i="15"/>
  <c r="J32" i="15"/>
  <c r="I32" i="15"/>
  <c r="O31" i="15"/>
  <c r="P31" i="15" s="1"/>
  <c r="O30" i="15"/>
  <c r="Q30" i="15" s="1"/>
  <c r="O29" i="15"/>
  <c r="Q29" i="15" s="1"/>
  <c r="O28" i="15"/>
  <c r="Q28" i="15" s="1"/>
  <c r="O27" i="15"/>
  <c r="Q27" i="15" s="1"/>
  <c r="O26" i="15"/>
  <c r="P26" i="15" s="1"/>
  <c r="O25" i="15"/>
  <c r="Q25" i="15" s="1"/>
  <c r="O24" i="15"/>
  <c r="Q24" i="15" s="1"/>
  <c r="O23" i="15"/>
  <c r="Q23" i="15" s="1"/>
  <c r="O22" i="15"/>
  <c r="Q22" i="15" s="1"/>
  <c r="O21" i="15"/>
  <c r="Q21" i="15" s="1"/>
  <c r="N15" i="15"/>
  <c r="M15" i="15"/>
  <c r="L15" i="15"/>
  <c r="K15" i="15"/>
  <c r="J15" i="15"/>
  <c r="I15" i="15"/>
  <c r="O14" i="15"/>
  <c r="P14" i="15" s="1"/>
  <c r="O13" i="15"/>
  <c r="Q13" i="15" s="1"/>
  <c r="O12" i="15"/>
  <c r="P12" i="15" s="1"/>
  <c r="O11" i="15"/>
  <c r="Q11" i="15" s="1"/>
  <c r="O10" i="15"/>
  <c r="P10" i="15" s="1"/>
  <c r="O9" i="15"/>
  <c r="Q9" i="15" s="1"/>
  <c r="O8" i="15"/>
  <c r="Q8" i="15" s="1"/>
  <c r="O7" i="15"/>
  <c r="Q7" i="15" s="1"/>
  <c r="O6" i="15"/>
  <c r="P6" i="15" s="1"/>
  <c r="O5" i="15"/>
  <c r="Q5" i="15" s="1"/>
  <c r="O4" i="15"/>
  <c r="P4" i="15" s="1"/>
  <c r="I106" i="12"/>
  <c r="I105" i="12"/>
  <c r="I104" i="12"/>
  <c r="I103" i="12"/>
  <c r="I102" i="12"/>
  <c r="I101" i="12"/>
  <c r="I99" i="12"/>
  <c r="I98" i="12"/>
  <c r="I97" i="12"/>
  <c r="I96" i="12"/>
  <c r="I95" i="12"/>
  <c r="I93" i="12"/>
  <c r="I92" i="12"/>
  <c r="I91" i="12"/>
  <c r="I90" i="12"/>
  <c r="I89" i="12"/>
  <c r="I80" i="12"/>
  <c r="I79" i="12"/>
  <c r="I78" i="12"/>
  <c r="I77" i="12"/>
  <c r="I76" i="12"/>
  <c r="I74" i="12"/>
  <c r="I73" i="12"/>
  <c r="I72" i="12"/>
  <c r="I71" i="12"/>
  <c r="I70" i="12"/>
  <c r="I69" i="12"/>
  <c r="I67" i="12"/>
  <c r="I66" i="12"/>
  <c r="I65" i="12"/>
  <c r="I64" i="12"/>
  <c r="I63" i="12"/>
  <c r="I62" i="12"/>
  <c r="I61" i="12"/>
  <c r="I59" i="12"/>
  <c r="I58" i="12"/>
  <c r="I57" i="12"/>
  <c r="I56" i="12"/>
  <c r="I55" i="12"/>
  <c r="I53" i="12"/>
  <c r="I52" i="12"/>
  <c r="I51" i="12"/>
  <c r="I50" i="12"/>
  <c r="I49" i="12"/>
  <c r="I47" i="12"/>
  <c r="I46" i="12"/>
  <c r="I45" i="12"/>
  <c r="I44" i="12"/>
  <c r="I43" i="12"/>
  <c r="I41" i="12"/>
  <c r="I40" i="12"/>
  <c r="I39" i="12"/>
  <c r="I38" i="12"/>
  <c r="I37" i="12"/>
  <c r="I35" i="12"/>
  <c r="I34" i="12"/>
  <c r="I33" i="12"/>
  <c r="I32" i="12"/>
  <c r="I31" i="12"/>
  <c r="I29" i="12"/>
  <c r="I28" i="12"/>
  <c r="I27" i="12"/>
  <c r="I26" i="12"/>
  <c r="I24" i="12"/>
  <c r="I23" i="12"/>
  <c r="I22" i="12"/>
  <c r="I21" i="12"/>
  <c r="I20" i="12"/>
  <c r="I18" i="12"/>
  <c r="I17" i="12"/>
  <c r="I16" i="12"/>
  <c r="I15" i="12"/>
  <c r="I14" i="12"/>
  <c r="I12" i="12"/>
  <c r="I11" i="12"/>
  <c r="I10" i="12"/>
  <c r="I9" i="12"/>
  <c r="I7" i="12"/>
  <c r="I6" i="12"/>
  <c r="I5" i="12"/>
  <c r="I4" i="12"/>
  <c r="I3" i="12"/>
  <c r="F102" i="12"/>
  <c r="D99" i="12"/>
  <c r="D91" i="12"/>
  <c r="F83" i="12"/>
  <c r="D77" i="12"/>
  <c r="D71" i="12"/>
  <c r="D61" i="12"/>
  <c r="F55" i="12"/>
  <c r="D49" i="12"/>
  <c r="D47" i="12"/>
  <c r="F40" i="12"/>
  <c r="F31" i="12"/>
  <c r="D27" i="12"/>
  <c r="F23" i="12"/>
  <c r="F18" i="12"/>
  <c r="D106" i="12"/>
  <c r="D105" i="12"/>
  <c r="F99" i="12"/>
  <c r="D90" i="12"/>
  <c r="D85" i="12"/>
  <c r="F80" i="12"/>
  <c r="D70" i="12"/>
  <c r="F66" i="12"/>
  <c r="F62" i="12"/>
  <c r="D56" i="12"/>
  <c r="F43" i="12"/>
  <c r="D39" i="12"/>
  <c r="D35" i="12"/>
  <c r="F29" i="12"/>
  <c r="D23" i="12"/>
  <c r="F17" i="12"/>
  <c r="F101" i="12"/>
  <c r="F90" i="12"/>
  <c r="D84" i="12"/>
  <c r="F78" i="12"/>
  <c r="F71" i="12"/>
  <c r="D63" i="12"/>
  <c r="D58" i="12"/>
  <c r="F50" i="12"/>
  <c r="D45" i="12"/>
  <c r="D38" i="12"/>
  <c r="F32" i="12"/>
  <c r="F22" i="12"/>
  <c r="D17" i="12"/>
  <c r="F12" i="12"/>
  <c r="F103" i="12"/>
  <c r="F96" i="12"/>
  <c r="D89" i="12"/>
  <c r="F87" i="12"/>
  <c r="D79" i="12"/>
  <c r="F70" i="12"/>
  <c r="D65" i="12"/>
  <c r="F61" i="12"/>
  <c r="D52" i="12"/>
  <c r="F45" i="12"/>
  <c r="D41" i="12"/>
  <c r="F33" i="12"/>
  <c r="D29" i="12"/>
  <c r="F24" i="12"/>
  <c r="D12" i="12"/>
  <c r="D102" i="12"/>
  <c r="F97" i="12"/>
  <c r="D93" i="12"/>
  <c r="F82" i="12"/>
  <c r="D76" i="12"/>
  <c r="F74" i="12"/>
  <c r="D66" i="12"/>
  <c r="F58" i="12"/>
  <c r="D51" i="12"/>
  <c r="F44" i="12"/>
  <c r="D37" i="12"/>
  <c r="D33" i="12"/>
  <c r="F27" i="12"/>
  <c r="F15" i="12"/>
  <c r="F11" i="12"/>
  <c r="D103" i="12"/>
  <c r="F93" i="12"/>
  <c r="F84" i="12"/>
  <c r="D80" i="12"/>
  <c r="F72" i="12"/>
  <c r="D98" i="12"/>
  <c r="D69" i="12"/>
  <c r="D64" i="12"/>
  <c r="F59" i="12"/>
  <c r="F52" i="12"/>
  <c r="D40" i="12"/>
  <c r="F35" i="12"/>
  <c r="F28" i="12"/>
  <c r="D22" i="12"/>
  <c r="D15" i="12"/>
  <c r="F10" i="12"/>
  <c r="D101" i="12"/>
  <c r="D97" i="12"/>
  <c r="F92" i="12"/>
  <c r="D87" i="12"/>
  <c r="F77" i="12"/>
  <c r="D73" i="12"/>
  <c r="F64" i="12"/>
  <c r="F56" i="12"/>
  <c r="D53" i="12"/>
  <c r="F46" i="12"/>
  <c r="F37" i="12"/>
  <c r="D26" i="12"/>
  <c r="F20" i="12"/>
  <c r="D18" i="12"/>
  <c r="D10" i="12"/>
  <c r="F95" i="12"/>
  <c r="D78" i="12"/>
  <c r="D104" i="12"/>
  <c r="F85" i="12"/>
  <c r="D74" i="12"/>
  <c r="F69" i="12"/>
  <c r="F65" i="12"/>
  <c r="D59" i="12"/>
  <c r="F49" i="12"/>
  <c r="D46" i="12"/>
  <c r="F38" i="12"/>
  <c r="D34" i="12"/>
  <c r="D24" i="12"/>
  <c r="F16" i="12"/>
  <c r="F9" i="12"/>
  <c r="F104" i="12"/>
  <c r="D96" i="12"/>
  <c r="F91" i="12"/>
  <c r="F86" i="12"/>
  <c r="D82" i="12"/>
  <c r="D72" i="12"/>
  <c r="F63" i="12"/>
  <c r="D57" i="12"/>
  <c r="F51" i="12"/>
  <c r="D43" i="12"/>
  <c r="F41" i="12"/>
  <c r="D31" i="12"/>
  <c r="F26" i="12"/>
  <c r="D21" i="12"/>
  <c r="D16" i="12"/>
  <c r="F106" i="12"/>
  <c r="D95" i="12"/>
  <c r="F89" i="12"/>
  <c r="D83" i="12"/>
  <c r="F76" i="12"/>
  <c r="F73" i="12"/>
  <c r="D67" i="12"/>
  <c r="F57" i="12"/>
  <c r="D50" i="12"/>
  <c r="F47" i="12"/>
  <c r="F34" i="12"/>
  <c r="D28" i="12"/>
  <c r="D20" i="12"/>
  <c r="F14" i="12"/>
  <c r="D11" i="12"/>
  <c r="F105" i="12"/>
  <c r="F98" i="12"/>
  <c r="D92" i="12"/>
  <c r="D86" i="12"/>
  <c r="F79" i="12"/>
  <c r="F67" i="12"/>
  <c r="D62" i="12"/>
  <c r="D55" i="12"/>
  <c r="F53" i="12"/>
  <c r="D44" i="12"/>
  <c r="F39" i="12"/>
  <c r="D32" i="12"/>
  <c r="F21" i="12"/>
  <c r="D14" i="12"/>
  <c r="D9" i="12"/>
  <c r="F7" i="12"/>
  <c r="D7" i="12"/>
  <c r="F6" i="12"/>
  <c r="D6" i="12"/>
  <c r="D5" i="12"/>
  <c r="F4" i="12"/>
  <c r="D4" i="12"/>
  <c r="F3" i="12"/>
  <c r="D3" i="12"/>
  <c r="F5" i="12"/>
  <c r="L79" i="12" l="1"/>
  <c r="L74" i="12"/>
  <c r="M66" i="12"/>
  <c r="P27" i="15"/>
  <c r="Q26" i="15"/>
  <c r="Q4" i="15"/>
  <c r="P22" i="15"/>
  <c r="P25" i="15"/>
  <c r="P29" i="15"/>
  <c r="Q31" i="15"/>
  <c r="P7" i="15"/>
  <c r="P9" i="15"/>
  <c r="P11" i="15"/>
  <c r="P13" i="15"/>
  <c r="P23" i="15"/>
  <c r="Q6" i="15"/>
  <c r="Q10" i="15"/>
  <c r="Q14" i="15"/>
  <c r="O32" i="15"/>
  <c r="P32" i="15" s="1"/>
  <c r="Q12" i="15"/>
  <c r="O15" i="15"/>
  <c r="P21" i="15"/>
  <c r="P24" i="15"/>
  <c r="P28" i="15"/>
  <c r="P5" i="15"/>
  <c r="P8" i="15"/>
  <c r="P30" i="15"/>
  <c r="L66" i="12"/>
  <c r="M79" i="12"/>
  <c r="M74" i="12"/>
  <c r="L86" i="12"/>
  <c r="L67" i="12"/>
  <c r="M86" i="12"/>
  <c r="M67" i="12"/>
  <c r="F118" i="12"/>
  <c r="D118" i="12"/>
  <c r="M116" i="12"/>
  <c r="L116" i="12"/>
  <c r="M114" i="12"/>
  <c r="L114" i="12"/>
  <c r="M113" i="12"/>
  <c r="L113" i="12"/>
  <c r="M111" i="12"/>
  <c r="L111" i="12"/>
  <c r="M110" i="12"/>
  <c r="L110" i="12"/>
  <c r="M109" i="12"/>
  <c r="L109" i="12"/>
  <c r="M108" i="12"/>
  <c r="L108" i="12"/>
  <c r="M106" i="12"/>
  <c r="L106" i="12"/>
  <c r="M105" i="12"/>
  <c r="L105" i="12"/>
  <c r="M104" i="12"/>
  <c r="L104" i="12"/>
  <c r="M103" i="12"/>
  <c r="L103" i="12"/>
  <c r="M102" i="12"/>
  <c r="L102" i="12"/>
  <c r="M101" i="12"/>
  <c r="L101" i="12"/>
  <c r="M99" i="12"/>
  <c r="L99" i="12"/>
  <c r="M98" i="12"/>
  <c r="L98" i="12"/>
  <c r="M97" i="12"/>
  <c r="L97" i="12"/>
  <c r="M96" i="12"/>
  <c r="L96" i="12"/>
  <c r="M95" i="12"/>
  <c r="L95" i="12"/>
  <c r="M93" i="12"/>
  <c r="L93" i="12"/>
  <c r="M92" i="12"/>
  <c r="L92" i="12"/>
  <c r="M91" i="12"/>
  <c r="L91" i="12"/>
  <c r="M90" i="12"/>
  <c r="L90" i="12"/>
  <c r="M89" i="12"/>
  <c r="L89" i="12"/>
  <c r="M87" i="12"/>
  <c r="L87" i="12"/>
  <c r="M85" i="12"/>
  <c r="L85" i="12"/>
  <c r="M84" i="12"/>
  <c r="L84" i="12"/>
  <c r="M83" i="12"/>
  <c r="L83" i="12"/>
  <c r="M82" i="12"/>
  <c r="L82" i="12"/>
  <c r="M80" i="12"/>
  <c r="L80" i="12"/>
  <c r="M78" i="12"/>
  <c r="L78" i="12"/>
  <c r="M77" i="12"/>
  <c r="L77" i="12"/>
  <c r="M76" i="12"/>
  <c r="L76" i="12"/>
  <c r="M73" i="12"/>
  <c r="L73" i="12"/>
  <c r="M72" i="12"/>
  <c r="L72" i="12"/>
  <c r="M71" i="12"/>
  <c r="L71" i="12"/>
  <c r="M70" i="12"/>
  <c r="L70" i="12"/>
  <c r="M69" i="12"/>
  <c r="L69" i="12"/>
  <c r="M65" i="12"/>
  <c r="L65" i="12"/>
  <c r="M64" i="12"/>
  <c r="L64" i="12"/>
  <c r="M63" i="12"/>
  <c r="L63" i="12"/>
  <c r="M62" i="12"/>
  <c r="L62" i="12"/>
  <c r="M61" i="12"/>
  <c r="L61" i="12"/>
  <c r="M59" i="12"/>
  <c r="L59" i="12"/>
  <c r="M58" i="12"/>
  <c r="L58" i="12"/>
  <c r="M57" i="12"/>
  <c r="L57" i="12"/>
  <c r="M56" i="12"/>
  <c r="L56" i="12"/>
  <c r="M55" i="12"/>
  <c r="L55" i="12"/>
  <c r="M53" i="12"/>
  <c r="L53" i="12"/>
  <c r="M52" i="12"/>
  <c r="L52" i="12"/>
  <c r="M51" i="12"/>
  <c r="L51" i="12"/>
  <c r="M50" i="12"/>
  <c r="L50" i="12"/>
  <c r="M49" i="12"/>
  <c r="L49" i="12"/>
  <c r="M47" i="12"/>
  <c r="L47" i="12"/>
  <c r="M46" i="12"/>
  <c r="L46" i="12"/>
  <c r="M45" i="12"/>
  <c r="L45" i="12"/>
  <c r="M44" i="12"/>
  <c r="L44" i="12"/>
  <c r="M43" i="12"/>
  <c r="L43" i="12"/>
  <c r="M41" i="12"/>
  <c r="L41" i="12"/>
  <c r="M40" i="12"/>
  <c r="L40" i="12"/>
  <c r="M39" i="12"/>
  <c r="L39" i="12"/>
  <c r="M38" i="12"/>
  <c r="L38" i="12"/>
  <c r="M37" i="12"/>
  <c r="L37" i="12"/>
  <c r="M35" i="12"/>
  <c r="L35" i="12"/>
  <c r="M34" i="12"/>
  <c r="L34" i="12"/>
  <c r="M33" i="12"/>
  <c r="L33" i="12"/>
  <c r="M32" i="12"/>
  <c r="L32" i="12"/>
  <c r="M31" i="12"/>
  <c r="L31" i="12"/>
  <c r="M29" i="12"/>
  <c r="L29" i="12"/>
  <c r="M28" i="12"/>
  <c r="L28" i="12"/>
  <c r="M27" i="12"/>
  <c r="L27" i="12"/>
  <c r="M26" i="12"/>
  <c r="L26" i="12"/>
  <c r="M24" i="12"/>
  <c r="L24" i="12"/>
  <c r="M23" i="12"/>
  <c r="L23" i="12"/>
  <c r="M22" i="12"/>
  <c r="L22" i="12"/>
  <c r="M21" i="12"/>
  <c r="L21" i="12"/>
  <c r="M20" i="12"/>
  <c r="L20" i="12"/>
  <c r="M18" i="12"/>
  <c r="L18" i="12"/>
  <c r="M17" i="12"/>
  <c r="L17" i="12"/>
  <c r="M16" i="12"/>
  <c r="L16" i="12"/>
  <c r="M15" i="12"/>
  <c r="L15" i="12"/>
  <c r="M14" i="12"/>
  <c r="L14" i="12"/>
  <c r="M12" i="12"/>
  <c r="L12" i="12"/>
  <c r="M11" i="12"/>
  <c r="L11" i="12"/>
  <c r="M10" i="12"/>
  <c r="L10" i="12"/>
  <c r="M9" i="12"/>
  <c r="L9" i="12"/>
  <c r="M7" i="12"/>
  <c r="L7" i="12"/>
  <c r="M6" i="12"/>
  <c r="L6" i="12"/>
  <c r="M5" i="12"/>
  <c r="L5" i="12"/>
  <c r="M4" i="12"/>
  <c r="L4" i="12"/>
  <c r="M3" i="12"/>
  <c r="L3" i="12"/>
  <c r="AN21" i="11"/>
  <c r="AN23" i="11" s="1"/>
  <c r="AM21" i="11"/>
  <c r="AM23" i="11" s="1"/>
  <c r="AL21" i="11"/>
  <c r="AL23" i="11" s="1"/>
  <c r="AK21" i="11"/>
  <c r="AK23" i="11" s="1"/>
  <c r="AJ21" i="11"/>
  <c r="AJ23" i="11" s="1"/>
  <c r="AI21" i="11"/>
  <c r="AI23" i="11" s="1"/>
  <c r="AH21" i="11"/>
  <c r="AH23" i="11" s="1"/>
  <c r="AG21" i="11"/>
  <c r="AG23" i="11" s="1"/>
  <c r="AF21" i="11"/>
  <c r="AF23" i="11" s="1"/>
  <c r="AE21" i="11"/>
  <c r="AE23" i="11" s="1"/>
  <c r="AD21" i="11"/>
  <c r="AD23" i="11" s="1"/>
  <c r="AC21" i="11"/>
  <c r="AC23" i="11" s="1"/>
  <c r="AB21" i="11"/>
  <c r="AB23" i="11" s="1"/>
  <c r="AA21" i="11"/>
  <c r="AA23" i="11" s="1"/>
  <c r="Z21" i="11"/>
  <c r="Z23" i="11" s="1"/>
  <c r="Y21" i="11"/>
  <c r="Y23" i="11" s="1"/>
  <c r="R21" i="11"/>
  <c r="Q21" i="11"/>
  <c r="P21" i="11"/>
  <c r="O21" i="11"/>
  <c r="N21" i="11"/>
  <c r="M21" i="11"/>
  <c r="M23" i="11" s="1"/>
  <c r="L21" i="11"/>
  <c r="L23" i="11" s="1"/>
  <c r="K21" i="11"/>
  <c r="K23" i="11" s="1"/>
  <c r="J21" i="11"/>
  <c r="I21" i="11"/>
  <c r="I23" i="11" s="1"/>
  <c r="H21" i="11"/>
  <c r="G21" i="11"/>
  <c r="F21" i="11"/>
  <c r="AN20" i="10"/>
  <c r="AN22" i="10" s="1"/>
  <c r="AM20" i="10"/>
  <c r="AM22" i="10" s="1"/>
  <c r="AL20" i="10"/>
  <c r="AL22" i="10" s="1"/>
  <c r="AK20" i="10"/>
  <c r="AK22" i="10" s="1"/>
  <c r="AJ20" i="10"/>
  <c r="AJ22" i="10" s="1"/>
  <c r="AI20" i="10"/>
  <c r="AI22" i="10" s="1"/>
  <c r="AH20" i="10"/>
  <c r="AH22" i="10" s="1"/>
  <c r="AG20" i="10"/>
  <c r="AG22" i="10" s="1"/>
  <c r="AF20" i="10"/>
  <c r="AF22" i="10" s="1"/>
  <c r="AE20" i="10"/>
  <c r="AE22" i="10" s="1"/>
  <c r="AD20" i="10"/>
  <c r="AD22" i="10" s="1"/>
  <c r="AC20" i="10"/>
  <c r="AC22" i="10" s="1"/>
  <c r="AB20" i="10"/>
  <c r="AB22" i="10" s="1"/>
  <c r="AA20" i="10"/>
  <c r="AA22" i="10" s="1"/>
  <c r="Z20" i="10"/>
  <c r="Z22" i="10" s="1"/>
  <c r="Y20" i="10"/>
  <c r="Y22" i="10" s="1"/>
  <c r="R20" i="10"/>
  <c r="Q20" i="10"/>
  <c r="P20" i="10"/>
  <c r="O20" i="10"/>
  <c r="N20" i="10"/>
  <c r="M20" i="10"/>
  <c r="M22" i="10" s="1"/>
  <c r="L20" i="10"/>
  <c r="L22" i="10" s="1"/>
  <c r="K20" i="10"/>
  <c r="K22" i="10" s="1"/>
  <c r="J20" i="10"/>
  <c r="I20" i="10"/>
  <c r="I22" i="10" s="1"/>
  <c r="H20" i="10"/>
  <c r="G20" i="10"/>
  <c r="F20" i="10"/>
  <c r="AN19" i="9"/>
  <c r="AN20" i="9" s="1"/>
  <c r="AM19" i="9"/>
  <c r="AM20" i="9" s="1"/>
  <c r="AL19" i="9"/>
  <c r="AL20" i="9" s="1"/>
  <c r="AK19" i="9"/>
  <c r="AK20" i="9" s="1"/>
  <c r="AJ19" i="9"/>
  <c r="AJ20" i="9" s="1"/>
  <c r="AI19" i="9"/>
  <c r="AI20" i="9" s="1"/>
  <c r="AH19" i="9"/>
  <c r="AH20" i="9" s="1"/>
  <c r="AG19" i="9"/>
  <c r="AG20" i="9" s="1"/>
  <c r="AF19" i="9"/>
  <c r="AF20" i="9" s="1"/>
  <c r="AE19" i="9"/>
  <c r="AE20" i="9" s="1"/>
  <c r="AD19" i="9"/>
  <c r="AD20" i="9" s="1"/>
  <c r="AC19" i="9"/>
  <c r="AC20" i="9" s="1"/>
  <c r="AB19" i="9"/>
  <c r="G8" i="14" s="1"/>
  <c r="AA19" i="9"/>
  <c r="F8" i="14" s="1"/>
  <c r="Z19" i="9"/>
  <c r="E8" i="14" s="1"/>
  <c r="Y19" i="9"/>
  <c r="D8" i="14" s="1"/>
  <c r="R19" i="9"/>
  <c r="Q19" i="9"/>
  <c r="P19" i="9"/>
  <c r="O19" i="9"/>
  <c r="N19" i="9"/>
  <c r="M19" i="9"/>
  <c r="M20" i="9" s="1"/>
  <c r="L19" i="9"/>
  <c r="L20" i="9" s="1"/>
  <c r="K19" i="9"/>
  <c r="K20" i="9" s="1"/>
  <c r="J19" i="9"/>
  <c r="I19" i="9"/>
  <c r="I20" i="9" s="1"/>
  <c r="H19" i="9"/>
  <c r="G19" i="9"/>
  <c r="I8" i="14" s="1"/>
  <c r="F19" i="9"/>
  <c r="H8" i="14" s="1"/>
  <c r="AN20" i="8"/>
  <c r="AN22" i="8" s="1"/>
  <c r="AM20" i="8"/>
  <c r="AM22" i="8" s="1"/>
  <c r="AL20" i="8"/>
  <c r="AL22" i="8" s="1"/>
  <c r="AK20" i="8"/>
  <c r="AK22" i="8" s="1"/>
  <c r="AJ20" i="8"/>
  <c r="AJ22" i="8" s="1"/>
  <c r="AI20" i="8"/>
  <c r="AI22" i="8" s="1"/>
  <c r="AH20" i="8"/>
  <c r="AH22" i="8" s="1"/>
  <c r="AG20" i="8"/>
  <c r="AG22" i="8" s="1"/>
  <c r="AF20" i="8"/>
  <c r="AF22" i="8" s="1"/>
  <c r="AE20" i="8"/>
  <c r="AE22" i="8" s="1"/>
  <c r="AD20" i="8"/>
  <c r="AD22" i="8" s="1"/>
  <c r="AC20" i="8"/>
  <c r="AC22" i="8" s="1"/>
  <c r="AB20" i="8"/>
  <c r="AA20" i="8"/>
  <c r="AA22" i="8" s="1"/>
  <c r="Z20" i="8"/>
  <c r="Z22" i="8" s="1"/>
  <c r="Y20" i="8"/>
  <c r="R20" i="8"/>
  <c r="R22" i="8" s="1"/>
  <c r="Q20" i="8"/>
  <c r="Q22" i="8" s="1"/>
  <c r="P20" i="8"/>
  <c r="P22" i="8" s="1"/>
  <c r="O20" i="8"/>
  <c r="O22" i="8" s="1"/>
  <c r="N20" i="8"/>
  <c r="N22" i="8" s="1"/>
  <c r="M20" i="8"/>
  <c r="M22" i="8" s="1"/>
  <c r="L20" i="8"/>
  <c r="L22" i="8" s="1"/>
  <c r="K20" i="8"/>
  <c r="K22" i="8" s="1"/>
  <c r="J20" i="8"/>
  <c r="J22" i="8" s="1"/>
  <c r="I20" i="8"/>
  <c r="I22" i="8" s="1"/>
  <c r="H20" i="8"/>
  <c r="H22" i="8" s="1"/>
  <c r="G20" i="8"/>
  <c r="G22" i="8" s="1"/>
  <c r="F20" i="8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AN19" i="6"/>
  <c r="AN20" i="6" s="1"/>
  <c r="AM19" i="6"/>
  <c r="AM20" i="6" s="1"/>
  <c r="AL19" i="6"/>
  <c r="AL20" i="6" s="1"/>
  <c r="AK19" i="6"/>
  <c r="AK20" i="6" s="1"/>
  <c r="AJ19" i="6"/>
  <c r="AJ20" i="6" s="1"/>
  <c r="AI19" i="6"/>
  <c r="AI20" i="6" s="1"/>
  <c r="AH19" i="6"/>
  <c r="AH20" i="6" s="1"/>
  <c r="AG19" i="6"/>
  <c r="AG20" i="6" s="1"/>
  <c r="AF19" i="6"/>
  <c r="AF20" i="6" s="1"/>
  <c r="AE19" i="6"/>
  <c r="AE20" i="6" s="1"/>
  <c r="AD19" i="6"/>
  <c r="AD20" i="6" s="1"/>
  <c r="AC19" i="6"/>
  <c r="AC20" i="6" s="1"/>
  <c r="AB19" i="6"/>
  <c r="AA19" i="6"/>
  <c r="Z19" i="6"/>
  <c r="Y19" i="6"/>
  <c r="R19" i="6"/>
  <c r="Q19" i="6"/>
  <c r="P19" i="6"/>
  <c r="O19" i="6"/>
  <c r="N19" i="6"/>
  <c r="M19" i="6"/>
  <c r="M20" i="6" s="1"/>
  <c r="L19" i="6"/>
  <c r="L20" i="6" s="1"/>
  <c r="K19" i="6"/>
  <c r="K20" i="6" s="1"/>
  <c r="J19" i="6"/>
  <c r="I19" i="6"/>
  <c r="I20" i="6" s="1"/>
  <c r="H19" i="6"/>
  <c r="G19" i="6"/>
  <c r="F19" i="6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AN20" i="4"/>
  <c r="AM20" i="4"/>
  <c r="AL20" i="4"/>
  <c r="AK20" i="4"/>
  <c r="AJ20" i="4"/>
  <c r="AJ22" i="4" s="1"/>
  <c r="AI20" i="4"/>
  <c r="AI22" i="4" s="1"/>
  <c r="AH20" i="4"/>
  <c r="AH22" i="4" s="1"/>
  <c r="AG20" i="4"/>
  <c r="AG22" i="4" s="1"/>
  <c r="AF20" i="4"/>
  <c r="AE20" i="4"/>
  <c r="AD20" i="4"/>
  <c r="AC20" i="4"/>
  <c r="AB20" i="4"/>
  <c r="AB22" i="4" s="1"/>
  <c r="AA20" i="4"/>
  <c r="AA22" i="4" s="1"/>
  <c r="Z20" i="4"/>
  <c r="Z22" i="4" s="1"/>
  <c r="Y20" i="4"/>
  <c r="Y22" i="4" s="1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AN22" i="3"/>
  <c r="AM22" i="3"/>
  <c r="AL22" i="3"/>
  <c r="AK22" i="3"/>
  <c r="AJ22" i="3"/>
  <c r="AJ24" i="3" s="1"/>
  <c r="AI22" i="3"/>
  <c r="AI24" i="3" s="1"/>
  <c r="AH22" i="3"/>
  <c r="AH24" i="3" s="1"/>
  <c r="AG22" i="3"/>
  <c r="AG24" i="3" s="1"/>
  <c r="AF22" i="3"/>
  <c r="AE22" i="3"/>
  <c r="AD22" i="3"/>
  <c r="AC22" i="3"/>
  <c r="AB22" i="3"/>
  <c r="AA22" i="3"/>
  <c r="Z22" i="3"/>
  <c r="Y22" i="3"/>
  <c r="R22" i="3"/>
  <c r="Q22" i="3"/>
  <c r="P22" i="3"/>
  <c r="O22" i="3"/>
  <c r="N22" i="3"/>
  <c r="M22" i="3"/>
  <c r="L22" i="3"/>
  <c r="K22" i="3"/>
  <c r="J22" i="3"/>
  <c r="I22" i="3"/>
  <c r="H22" i="3"/>
  <c r="G22" i="3"/>
  <c r="I5" i="14" s="1"/>
  <c r="F22" i="3"/>
  <c r="H5" i="14" s="1"/>
  <c r="AN21" i="2"/>
  <c r="AN23" i="2" s="1"/>
  <c r="AM21" i="2"/>
  <c r="AM23" i="2" s="1"/>
  <c r="AL21" i="2"/>
  <c r="AL23" i="2" s="1"/>
  <c r="AK21" i="2"/>
  <c r="AK23" i="2" s="1"/>
  <c r="AJ21" i="2"/>
  <c r="AJ23" i="2" s="1"/>
  <c r="AI21" i="2"/>
  <c r="AI23" i="2" s="1"/>
  <c r="AH21" i="2"/>
  <c r="AH23" i="2" s="1"/>
  <c r="AG21" i="2"/>
  <c r="AG23" i="2" s="1"/>
  <c r="AF21" i="2"/>
  <c r="AF23" i="2" s="1"/>
  <c r="AE21" i="2"/>
  <c r="AE23" i="2" s="1"/>
  <c r="AD21" i="2"/>
  <c r="AD23" i="2" s="1"/>
  <c r="AC21" i="2"/>
  <c r="AC23" i="2" s="1"/>
  <c r="AB21" i="2"/>
  <c r="AB23" i="2" s="1"/>
  <c r="AA21" i="2"/>
  <c r="AA23" i="2" s="1"/>
  <c r="Z21" i="2"/>
  <c r="Z23" i="2" s="1"/>
  <c r="Y21" i="2"/>
  <c r="Y23" i="2" s="1"/>
  <c r="R21" i="2"/>
  <c r="R23" i="2" s="1"/>
  <c r="Q21" i="2"/>
  <c r="Q23" i="2" s="1"/>
  <c r="P21" i="2"/>
  <c r="P23" i="2" s="1"/>
  <c r="O21" i="2"/>
  <c r="O23" i="2" s="1"/>
  <c r="N21" i="2"/>
  <c r="N23" i="2" s="1"/>
  <c r="M21" i="2"/>
  <c r="M23" i="2" s="1"/>
  <c r="L21" i="2"/>
  <c r="L23" i="2" s="1"/>
  <c r="K21" i="2"/>
  <c r="K23" i="2" s="1"/>
  <c r="J21" i="2"/>
  <c r="J23" i="2" s="1"/>
  <c r="I21" i="2"/>
  <c r="I23" i="2" s="1"/>
  <c r="H21" i="2"/>
  <c r="H23" i="2" s="1"/>
  <c r="G21" i="2"/>
  <c r="G23" i="2" s="1"/>
  <c r="AN19" i="1"/>
  <c r="AN20" i="1" s="1"/>
  <c r="AM19" i="1"/>
  <c r="AM20" i="1" s="1"/>
  <c r="AL19" i="1"/>
  <c r="AL20" i="1" s="1"/>
  <c r="AK19" i="1"/>
  <c r="AK20" i="1" s="1"/>
  <c r="AJ19" i="1"/>
  <c r="AJ20" i="1" s="1"/>
  <c r="AI19" i="1"/>
  <c r="AI20" i="1" s="1"/>
  <c r="AH19" i="1"/>
  <c r="AH20" i="1" s="1"/>
  <c r="AG19" i="1"/>
  <c r="AG20" i="1" s="1"/>
  <c r="AF19" i="1"/>
  <c r="AF20" i="1" s="1"/>
  <c r="AE19" i="1"/>
  <c r="AE20" i="1" s="1"/>
  <c r="AD19" i="1"/>
  <c r="AD20" i="1" s="1"/>
  <c r="AC19" i="1"/>
  <c r="AC20" i="1" s="1"/>
  <c r="AB19" i="1"/>
  <c r="AA19" i="1"/>
  <c r="Z19" i="1"/>
  <c r="Y19" i="1"/>
  <c r="R19" i="1"/>
  <c r="Q19" i="1"/>
  <c r="P19" i="1"/>
  <c r="O19" i="1"/>
  <c r="N19" i="1"/>
  <c r="M19" i="1"/>
  <c r="M20" i="1" s="1"/>
  <c r="L19" i="1"/>
  <c r="L20" i="1" s="1"/>
  <c r="K19" i="1"/>
  <c r="K20" i="1" s="1"/>
  <c r="J19" i="1"/>
  <c r="I19" i="1"/>
  <c r="I20" i="1" s="1"/>
  <c r="H19" i="1"/>
  <c r="G19" i="1"/>
  <c r="F19" i="1"/>
  <c r="H6" i="14" l="1"/>
  <c r="F22" i="8"/>
  <c r="G6" i="14"/>
  <c r="AB22" i="8"/>
  <c r="D6" i="14"/>
  <c r="Y22" i="8"/>
  <c r="D5" i="14"/>
  <c r="Y24" i="3"/>
  <c r="G5" i="14"/>
  <c r="AB24" i="3"/>
  <c r="E5" i="14"/>
  <c r="Z24" i="3"/>
  <c r="F5" i="14"/>
  <c r="AA24" i="3"/>
  <c r="K8" i="14"/>
  <c r="L8" i="14" s="1"/>
  <c r="J8" i="14"/>
  <c r="F6" i="14"/>
  <c r="E42" i="16"/>
  <c r="E6" i="14"/>
  <c r="D42" i="16"/>
  <c r="K5" i="14"/>
  <c r="J5" i="14"/>
  <c r="K6" i="14"/>
  <c r="H18" i="16"/>
  <c r="I6" i="14"/>
  <c r="J6" i="14" s="1"/>
  <c r="F31" i="16"/>
  <c r="F7" i="16"/>
  <c r="E7" i="16"/>
  <c r="E31" i="16"/>
  <c r="D31" i="16"/>
  <c r="D7" i="16"/>
  <c r="D4" i="14"/>
  <c r="C31" i="16"/>
  <c r="C7" i="16"/>
  <c r="Q23" i="11"/>
  <c r="K7" i="16"/>
  <c r="K31" i="16"/>
  <c r="J31" i="16"/>
  <c r="J7" i="16"/>
  <c r="H31" i="16"/>
  <c r="H7" i="16"/>
  <c r="G7" i="16"/>
  <c r="G31" i="16"/>
  <c r="F29" i="16"/>
  <c r="F5" i="16"/>
  <c r="E5" i="16"/>
  <c r="E29" i="16"/>
  <c r="D29" i="16"/>
  <c r="D5" i="16"/>
  <c r="C29" i="16"/>
  <c r="C5" i="16"/>
  <c r="Q22" i="10"/>
  <c r="K29" i="16"/>
  <c r="K5" i="16"/>
  <c r="J29" i="16"/>
  <c r="J5" i="16"/>
  <c r="H29" i="16"/>
  <c r="H5" i="16"/>
  <c r="G29" i="16"/>
  <c r="G5" i="16"/>
  <c r="F28" i="16"/>
  <c r="F4" i="16"/>
  <c r="E28" i="16"/>
  <c r="E4" i="16"/>
  <c r="D28" i="16"/>
  <c r="D4" i="16"/>
  <c r="C4" i="16"/>
  <c r="C28" i="16"/>
  <c r="Q20" i="9"/>
  <c r="K4" i="16"/>
  <c r="K28" i="16"/>
  <c r="J4" i="16"/>
  <c r="J28" i="16"/>
  <c r="H4" i="16"/>
  <c r="H28" i="16"/>
  <c r="G4" i="16"/>
  <c r="G28" i="16"/>
  <c r="P15" i="15"/>
  <c r="F6" i="16"/>
  <c r="F30" i="16"/>
  <c r="E6" i="16"/>
  <c r="E30" i="16"/>
  <c r="D30" i="16"/>
  <c r="D6" i="16"/>
  <c r="C6" i="16"/>
  <c r="C30" i="16"/>
  <c r="K6" i="16"/>
  <c r="K30" i="16"/>
  <c r="J6" i="16"/>
  <c r="J30" i="16"/>
  <c r="H30" i="16"/>
  <c r="H6" i="16"/>
  <c r="G30" i="16"/>
  <c r="G6" i="16"/>
  <c r="F42" i="16"/>
  <c r="F18" i="16"/>
  <c r="E18" i="16"/>
  <c r="D18" i="16"/>
  <c r="C18" i="16"/>
  <c r="C42" i="16"/>
  <c r="K18" i="16"/>
  <c r="K42" i="16"/>
  <c r="J18" i="16"/>
  <c r="J42" i="16"/>
  <c r="G18" i="16"/>
  <c r="G42" i="16"/>
  <c r="F39" i="16"/>
  <c r="F15" i="16"/>
  <c r="E15" i="16"/>
  <c r="E39" i="16"/>
  <c r="D15" i="16"/>
  <c r="D39" i="16"/>
  <c r="C15" i="16"/>
  <c r="C39" i="16"/>
  <c r="K15" i="16"/>
  <c r="K39" i="16"/>
  <c r="J15" i="16"/>
  <c r="J39" i="16"/>
  <c r="H39" i="16"/>
  <c r="H15" i="16"/>
  <c r="G39" i="16"/>
  <c r="G15" i="16"/>
  <c r="F32" i="16"/>
  <c r="F8" i="16"/>
  <c r="E32" i="16"/>
  <c r="E8" i="16"/>
  <c r="D8" i="16"/>
  <c r="D32" i="16"/>
  <c r="C32" i="16"/>
  <c r="C8" i="16"/>
  <c r="K32" i="16"/>
  <c r="K8" i="16"/>
  <c r="J8" i="16"/>
  <c r="J32" i="16"/>
  <c r="H8" i="16"/>
  <c r="H32" i="16"/>
  <c r="G8" i="16"/>
  <c r="G32" i="16"/>
  <c r="F33" i="16"/>
  <c r="F9" i="16"/>
  <c r="E9" i="16"/>
  <c r="E33" i="16"/>
  <c r="D9" i="16"/>
  <c r="D33" i="16"/>
  <c r="C33" i="16"/>
  <c r="C9" i="16"/>
  <c r="Q20" i="6"/>
  <c r="K33" i="16"/>
  <c r="K9" i="16"/>
  <c r="J9" i="16"/>
  <c r="J33" i="16"/>
  <c r="H9" i="16"/>
  <c r="H33" i="16"/>
  <c r="G9" i="16"/>
  <c r="G33" i="16"/>
  <c r="F45" i="16"/>
  <c r="F21" i="16"/>
  <c r="E21" i="16"/>
  <c r="E45" i="16"/>
  <c r="D45" i="16"/>
  <c r="D21" i="16"/>
  <c r="C45" i="16"/>
  <c r="C21" i="16"/>
  <c r="Q20" i="1"/>
  <c r="K21" i="16"/>
  <c r="K45" i="16"/>
  <c r="J21" i="16"/>
  <c r="J45" i="16"/>
  <c r="H45" i="16"/>
  <c r="H21" i="16"/>
  <c r="G21" i="16"/>
  <c r="G45" i="16"/>
  <c r="F35" i="16"/>
  <c r="F11" i="16"/>
  <c r="E11" i="16"/>
  <c r="E35" i="16"/>
  <c r="D11" i="16"/>
  <c r="D35" i="16"/>
  <c r="C11" i="16"/>
  <c r="C35" i="16"/>
  <c r="K11" i="16"/>
  <c r="K35" i="16"/>
  <c r="J11" i="16"/>
  <c r="J35" i="16"/>
  <c r="H35" i="16"/>
  <c r="H11" i="16"/>
  <c r="G35" i="16"/>
  <c r="G11" i="16"/>
  <c r="F19" i="16"/>
  <c r="F43" i="16"/>
  <c r="E19" i="16"/>
  <c r="E43" i="16"/>
  <c r="D43" i="16"/>
  <c r="D19" i="16"/>
  <c r="C19" i="16"/>
  <c r="C43" i="16"/>
  <c r="K19" i="16"/>
  <c r="K43" i="16"/>
  <c r="J19" i="16"/>
  <c r="J43" i="16"/>
  <c r="H42" i="16"/>
  <c r="H19" i="16"/>
  <c r="H43" i="16"/>
  <c r="G43" i="16"/>
  <c r="G19" i="16"/>
  <c r="I3" i="13"/>
  <c r="G20" i="6"/>
  <c r="I15" i="14"/>
  <c r="H13" i="14"/>
  <c r="Z20" i="9"/>
  <c r="D7" i="14"/>
  <c r="I5" i="13"/>
  <c r="H14" i="14"/>
  <c r="C12" i="13"/>
  <c r="B9" i="15"/>
  <c r="G9" i="13"/>
  <c r="G14" i="14"/>
  <c r="F11" i="14"/>
  <c r="H20" i="6"/>
  <c r="K15" i="14"/>
  <c r="E10" i="13"/>
  <c r="P20" i="6"/>
  <c r="I8" i="13"/>
  <c r="Z20" i="6"/>
  <c r="E15" i="14"/>
  <c r="I13" i="14"/>
  <c r="D3" i="15"/>
  <c r="D13" i="14"/>
  <c r="C4" i="13"/>
  <c r="B13" i="15"/>
  <c r="G11" i="13"/>
  <c r="AA20" i="9"/>
  <c r="H22" i="10"/>
  <c r="K7" i="14"/>
  <c r="E7" i="13"/>
  <c r="P22" i="10"/>
  <c r="I7" i="13"/>
  <c r="E7" i="14"/>
  <c r="G23" i="11"/>
  <c r="I4" i="14"/>
  <c r="O23" i="11"/>
  <c r="D7" i="15"/>
  <c r="E11" i="13"/>
  <c r="K12" i="14"/>
  <c r="F14" i="14"/>
  <c r="C7" i="13"/>
  <c r="H20" i="9"/>
  <c r="E4" i="13"/>
  <c r="J23" i="11"/>
  <c r="C3" i="13"/>
  <c r="F20" i="1"/>
  <c r="H16" i="14"/>
  <c r="J20" i="1"/>
  <c r="C13" i="13"/>
  <c r="N20" i="1"/>
  <c r="B4" i="15"/>
  <c r="R20" i="1"/>
  <c r="G13" i="13"/>
  <c r="AB20" i="1"/>
  <c r="G16" i="14"/>
  <c r="F12" i="14"/>
  <c r="E8" i="13"/>
  <c r="G20" i="1"/>
  <c r="I16" i="14"/>
  <c r="O20" i="1"/>
  <c r="D4" i="15"/>
  <c r="Y20" i="1"/>
  <c r="D16" i="14"/>
  <c r="H12" i="14"/>
  <c r="C11" i="13"/>
  <c r="B12" i="15"/>
  <c r="G4" i="13"/>
  <c r="G12" i="14"/>
  <c r="I14" i="14"/>
  <c r="D9" i="15"/>
  <c r="D14" i="14"/>
  <c r="H11" i="14"/>
  <c r="C9" i="13"/>
  <c r="B5" i="15"/>
  <c r="G3" i="13"/>
  <c r="G11" i="14"/>
  <c r="AA20" i="6"/>
  <c r="F15" i="14"/>
  <c r="K13" i="14"/>
  <c r="E6" i="13"/>
  <c r="I6" i="13"/>
  <c r="E13" i="14"/>
  <c r="D13" i="15"/>
  <c r="F20" i="9"/>
  <c r="J20" i="9"/>
  <c r="C5" i="13"/>
  <c r="N20" i="9"/>
  <c r="B11" i="15"/>
  <c r="R20" i="9"/>
  <c r="G8" i="13"/>
  <c r="AB20" i="9"/>
  <c r="F7" i="14"/>
  <c r="H23" i="11"/>
  <c r="K4" i="14"/>
  <c r="E5" i="13"/>
  <c r="P23" i="11"/>
  <c r="I11" i="13"/>
  <c r="E4" i="14"/>
  <c r="AA20" i="1"/>
  <c r="F16" i="14"/>
  <c r="E12" i="14"/>
  <c r="D6" i="15"/>
  <c r="K11" i="14"/>
  <c r="E9" i="13"/>
  <c r="I4" i="13"/>
  <c r="E11" i="14"/>
  <c r="O20" i="6"/>
  <c r="D8" i="15"/>
  <c r="Y20" i="6"/>
  <c r="D15" i="14"/>
  <c r="B3" i="15"/>
  <c r="G10" i="13"/>
  <c r="G13" i="14"/>
  <c r="P20" i="9"/>
  <c r="I9" i="13"/>
  <c r="G22" i="10"/>
  <c r="I7" i="14"/>
  <c r="O22" i="10"/>
  <c r="D10" i="15"/>
  <c r="F23" i="11"/>
  <c r="H4" i="14"/>
  <c r="N23" i="11"/>
  <c r="B7" i="15"/>
  <c r="R23" i="11"/>
  <c r="G7" i="13"/>
  <c r="G4" i="14"/>
  <c r="K16" i="14"/>
  <c r="P20" i="1"/>
  <c r="I13" i="13"/>
  <c r="Z20" i="1"/>
  <c r="E16" i="14"/>
  <c r="I12" i="14"/>
  <c r="D12" i="15"/>
  <c r="D12" i="14"/>
  <c r="C8" i="13"/>
  <c r="B6" i="15"/>
  <c r="G5" i="13"/>
  <c r="E12" i="13"/>
  <c r="K14" i="14"/>
  <c r="I10" i="13"/>
  <c r="E14" i="14"/>
  <c r="I11" i="14"/>
  <c r="D5" i="15"/>
  <c r="D11" i="14"/>
  <c r="F20" i="6"/>
  <c r="H15" i="14"/>
  <c r="J20" i="6"/>
  <c r="C10" i="13"/>
  <c r="N20" i="6"/>
  <c r="B8" i="15"/>
  <c r="R20" i="6"/>
  <c r="G12" i="13"/>
  <c r="AB20" i="6"/>
  <c r="G15" i="14"/>
  <c r="F13" i="14"/>
  <c r="E3" i="13"/>
  <c r="I12" i="13"/>
  <c r="G20" i="9"/>
  <c r="O20" i="9"/>
  <c r="D11" i="15"/>
  <c r="Y20" i="9"/>
  <c r="F22" i="10"/>
  <c r="H7" i="14"/>
  <c r="J22" i="10"/>
  <c r="C6" i="13"/>
  <c r="N22" i="10"/>
  <c r="B10" i="15"/>
  <c r="R22" i="10"/>
  <c r="G6" i="13"/>
  <c r="G7" i="14"/>
  <c r="F4" i="14"/>
  <c r="Q32" i="15"/>
  <c r="Q15" i="15"/>
  <c r="H20" i="1"/>
  <c r="E13" i="13"/>
  <c r="G118" i="12"/>
  <c r="L5" i="14" l="1"/>
  <c r="I17" i="14"/>
  <c r="H17" i="14"/>
  <c r="I35" i="16"/>
  <c r="L6" i="14"/>
  <c r="I42" i="16"/>
  <c r="I18" i="16"/>
  <c r="I30" i="16"/>
  <c r="J4" i="14"/>
  <c r="I6" i="16"/>
  <c r="I8" i="16"/>
  <c r="L11" i="16"/>
  <c r="I11" i="16"/>
  <c r="L7" i="16"/>
  <c r="I31" i="16"/>
  <c r="I7" i="16"/>
  <c r="L8" i="16"/>
  <c r="F6" i="15"/>
  <c r="L18" i="16"/>
  <c r="J15" i="14"/>
  <c r="L31" i="16"/>
  <c r="I33" i="16"/>
  <c r="I28" i="16"/>
  <c r="I43" i="16"/>
  <c r="L43" i="16"/>
  <c r="I32" i="16"/>
  <c r="L15" i="16"/>
  <c r="I19" i="16"/>
  <c r="I9" i="16"/>
  <c r="I4" i="16"/>
  <c r="L4" i="16"/>
  <c r="F7" i="15"/>
  <c r="F3" i="15"/>
  <c r="F11" i="15"/>
  <c r="L5" i="16"/>
  <c r="L29" i="16"/>
  <c r="I5" i="16"/>
  <c r="I29" i="16"/>
  <c r="L28" i="16"/>
  <c r="L30" i="16"/>
  <c r="L6" i="16"/>
  <c r="L11" i="14"/>
  <c r="L42" i="16"/>
  <c r="L39" i="16"/>
  <c r="I15" i="16"/>
  <c r="I39" i="16"/>
  <c r="L32" i="16"/>
  <c r="L9" i="16"/>
  <c r="L33" i="16"/>
  <c r="F8" i="15"/>
  <c r="L45" i="16"/>
  <c r="L21" i="16"/>
  <c r="L16" i="14"/>
  <c r="J16" i="14"/>
  <c r="I45" i="16"/>
  <c r="I21" i="16"/>
  <c r="L35" i="16"/>
  <c r="L19" i="16"/>
  <c r="L14" i="14"/>
  <c r="F4" i="15"/>
  <c r="B14" i="15"/>
  <c r="F13" i="15"/>
  <c r="E15" i="13"/>
  <c r="I15" i="13"/>
  <c r="L12" i="14"/>
  <c r="L4" i="14"/>
  <c r="F12" i="15"/>
  <c r="J12" i="14"/>
  <c r="D14" i="15"/>
  <c r="L15" i="14"/>
  <c r="F9" i="15"/>
  <c r="J14" i="14"/>
  <c r="J13" i="14"/>
  <c r="L13" i="14"/>
  <c r="G15" i="13"/>
  <c r="C15" i="13"/>
  <c r="F10" i="15"/>
  <c r="J7" i="14"/>
  <c r="F5" i="15"/>
  <c r="J11" i="14"/>
  <c r="L7" i="14"/>
</calcChain>
</file>

<file path=xl/sharedStrings.xml><?xml version="1.0" encoding="utf-8"?>
<sst xmlns="http://schemas.openxmlformats.org/spreadsheetml/2006/main" count="2782" uniqueCount="437">
  <si>
    <t>Result</t>
  </si>
  <si>
    <t>Bonus</t>
  </si>
  <si>
    <t>Scores</t>
  </si>
  <si>
    <t>Cards</t>
  </si>
  <si>
    <t>Conceded</t>
  </si>
  <si>
    <t>Att</t>
  </si>
  <si>
    <t>HT</t>
  </si>
  <si>
    <t>Referee</t>
  </si>
  <si>
    <t>TMO</t>
  </si>
  <si>
    <t>AR1</t>
  </si>
  <si>
    <t>AR2</t>
  </si>
  <si>
    <t>OVERALL</t>
  </si>
  <si>
    <t xml:space="preserve">HOME </t>
  </si>
  <si>
    <t>AWAY</t>
  </si>
  <si>
    <t>NEUTRAL</t>
  </si>
  <si>
    <t>Date</t>
  </si>
  <si>
    <t>Cmp</t>
  </si>
  <si>
    <t>Opponents</t>
  </si>
  <si>
    <t>Gd</t>
  </si>
  <si>
    <t>R</t>
  </si>
  <si>
    <t>F</t>
  </si>
  <si>
    <t>A</t>
  </si>
  <si>
    <t>TB</t>
  </si>
  <si>
    <t>LB</t>
  </si>
  <si>
    <t>T</t>
  </si>
  <si>
    <t>C</t>
  </si>
  <si>
    <t>D</t>
  </si>
  <si>
    <t>P</t>
  </si>
  <si>
    <t>Y</t>
  </si>
  <si>
    <t>PL</t>
  </si>
  <si>
    <t>W</t>
  </si>
  <si>
    <t>L</t>
  </si>
  <si>
    <t>MLR</t>
  </si>
  <si>
    <t>New England</t>
  </si>
  <si>
    <t>H</t>
  </si>
  <si>
    <t>NOLA Gold</t>
  </si>
  <si>
    <t>Miami</t>
  </si>
  <si>
    <t>Old Glory</t>
  </si>
  <si>
    <t>Ap 6</t>
  </si>
  <si>
    <t>Utah</t>
  </si>
  <si>
    <t>Chicago</t>
  </si>
  <si>
    <t>Ap 27</t>
  </si>
  <si>
    <t>My 4</t>
  </si>
  <si>
    <t>Seattle</t>
  </si>
  <si>
    <t>Houston</t>
  </si>
  <si>
    <t>My 19</t>
  </si>
  <si>
    <t>Los Angeles</t>
  </si>
  <si>
    <t>San Diego</t>
  </si>
  <si>
    <t>MLR (REG)</t>
  </si>
  <si>
    <t>MLR (TOTALS)</t>
  </si>
  <si>
    <r>
      <rPr>
        <sz val="11"/>
        <color theme="1"/>
        <rFont val="Aptos Narrow"/>
        <family val="2"/>
      </rPr>
      <t>©</t>
    </r>
    <r>
      <rPr>
        <sz val="11"/>
        <color theme="1"/>
        <rFont val="Calibri"/>
        <family val="2"/>
      </rPr>
      <t xml:space="preserve"> Hillsport Media Ltd</t>
    </r>
  </si>
  <si>
    <t>ANTHEM 2025</t>
  </si>
  <si>
    <t>© Hillsport Media Ltd</t>
  </si>
  <si>
    <t>CHICAGO 2025</t>
  </si>
  <si>
    <t>HOUSTON 2025</t>
  </si>
  <si>
    <t>MIAMI 2025</t>
  </si>
  <si>
    <t>NEW ENGLAND 2025</t>
  </si>
  <si>
    <t>NOLA 2025</t>
  </si>
  <si>
    <t>OLD GLORY 2025</t>
  </si>
  <si>
    <t>LOS ANGELES 2025</t>
  </si>
  <si>
    <t>SAN DIEGO 2025</t>
  </si>
  <si>
    <t>SEATTLE 2025</t>
  </si>
  <si>
    <t>UTAH 2025</t>
  </si>
  <si>
    <t>Home</t>
  </si>
  <si>
    <t>Away</t>
  </si>
  <si>
    <t>Venue</t>
  </si>
  <si>
    <t>1st</t>
  </si>
  <si>
    <t>2nd</t>
  </si>
  <si>
    <t>Most Points</t>
  </si>
  <si>
    <t>Week 1</t>
  </si>
  <si>
    <t>Anthem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</si>
  <si>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</si>
  <si>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</si>
  <si>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</si>
  <si>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</si>
  <si>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</si>
  <si>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</si>
  <si>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</si>
  <si>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</si>
  <si>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</si>
  <si>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</si>
  <si>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</si>
  <si>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</si>
  <si>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</si>
  <si>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 xml:space="preserve"> </t>
  </si>
  <si>
    <t>Week 15</t>
  </si>
  <si>
    <t>Week 16</t>
  </si>
  <si>
    <t>Week 17</t>
  </si>
  <si>
    <t>Conference Semi-Finals</t>
  </si>
  <si>
    <t>Conference Finals</t>
  </si>
  <si>
    <t>Final</t>
  </si>
  <si>
    <t>Tries Scored</t>
  </si>
  <si>
    <t>Try Bonus Points</t>
  </si>
  <si>
    <t>Tries Conceded</t>
  </si>
  <si>
    <t>Try Bonus Conceded</t>
  </si>
  <si>
    <t>TOTAL</t>
  </si>
  <si>
    <t>NOLA</t>
  </si>
  <si>
    <t>Fb 15</t>
  </si>
  <si>
    <t>Fb 21</t>
  </si>
  <si>
    <t>Fb 28</t>
  </si>
  <si>
    <t>Mr 8</t>
  </si>
  <si>
    <t>Mr 22</t>
  </si>
  <si>
    <t>Mr 29</t>
  </si>
  <si>
    <t>Ap 5</t>
  </si>
  <si>
    <t>Ap 13</t>
  </si>
  <si>
    <t>Ap 18</t>
  </si>
  <si>
    <t>Ap 23</t>
  </si>
  <si>
    <t>My 10</t>
  </si>
  <si>
    <t>My 18</t>
  </si>
  <si>
    <t>My 24</t>
  </si>
  <si>
    <t>My 31</t>
  </si>
  <si>
    <t>Jn 8</t>
  </si>
  <si>
    <t>CSF</t>
  </si>
  <si>
    <t>CF</t>
  </si>
  <si>
    <t>CHMP</t>
  </si>
  <si>
    <t>Fb 23</t>
  </si>
  <si>
    <t>Mr 2</t>
  </si>
  <si>
    <t>Mr 15</t>
  </si>
  <si>
    <t>Ap 26</t>
  </si>
  <si>
    <t>Jn 4</t>
  </si>
  <si>
    <t>Mr 1</t>
  </si>
  <si>
    <t>Ap 12</t>
  </si>
  <si>
    <t>Ap 19</t>
  </si>
  <si>
    <t>My 17</t>
  </si>
  <si>
    <t>My 23</t>
  </si>
  <si>
    <t>Fb 22</t>
  </si>
  <si>
    <t>My 9</t>
  </si>
  <si>
    <t>Fb 16</t>
  </si>
  <si>
    <t xml:space="preserve">Utah </t>
  </si>
  <si>
    <t>Ap 22</t>
  </si>
  <si>
    <t>Jn 1</t>
  </si>
  <si>
    <t>Jn 7</t>
  </si>
  <si>
    <t>My 3</t>
  </si>
  <si>
    <t>My 13</t>
  </si>
  <si>
    <t>My 2</t>
  </si>
  <si>
    <t>Ap 30</t>
  </si>
  <si>
    <t>My 12</t>
  </si>
  <si>
    <t>MAJOR LEAGUE RUGBY</t>
  </si>
  <si>
    <t>Pos</t>
  </si>
  <si>
    <t>Chg</t>
  </si>
  <si>
    <t>Western Conference</t>
  </si>
  <si>
    <t>P DIFF</t>
  </si>
  <si>
    <t>BP</t>
  </si>
  <si>
    <t>PTS</t>
  </si>
  <si>
    <t>→</t>
  </si>
  <si>
    <t>Eastern Conference</t>
  </si>
  <si>
    <t>↑</t>
  </si>
  <si>
    <t>↓</t>
  </si>
  <si>
    <t>TBD</t>
  </si>
  <si>
    <t>The Gold Mine</t>
  </si>
  <si>
    <t>IMFC SportsField</t>
  </si>
  <si>
    <t>SaberCats Stadium</t>
  </si>
  <si>
    <t>Torero Stadium</t>
  </si>
  <si>
    <t>American Legion Memorial Stadium</t>
  </si>
  <si>
    <t>SeatGeek Stadium</t>
  </si>
  <si>
    <t>Wallis Annenberg Stadium (UCLA)</t>
  </si>
  <si>
    <t>Mecklenburg County Sportsplex</t>
  </si>
  <si>
    <t>Zions Bank Stadium</t>
  </si>
  <si>
    <t>Maryland SoccerPlex</t>
  </si>
  <si>
    <t>Starfire Stadium</t>
  </si>
  <si>
    <t>Veterans Memorial Stadium</t>
  </si>
  <si>
    <t>America First Field</t>
  </si>
  <si>
    <t>Yellow Cards</t>
  </si>
  <si>
    <t>Red Cards</t>
  </si>
  <si>
    <t>"Pts"</t>
  </si>
  <si>
    <t>TOTALS</t>
  </si>
  <si>
    <t>Clubs ordered on unofficial "points" ratio of "2" for a Red and "1" for a Yellow</t>
  </si>
  <si>
    <t>MLR CARDS 2025</t>
  </si>
  <si>
    <t>Points Scored</t>
  </si>
  <si>
    <t>Minutes S/handed</t>
  </si>
  <si>
    <t>Ave per 10 mins</t>
  </si>
  <si>
    <t>14 men</t>
  </si>
  <si>
    <t>13 men</t>
  </si>
  <si>
    <t>12 men</t>
  </si>
  <si>
    <t>11 men</t>
  </si>
  <si>
    <t>Total</t>
  </si>
  <si>
    <t>Totals</t>
  </si>
  <si>
    <r>
      <t>MLR POWERPLAYS</t>
    </r>
    <r>
      <rPr>
        <b/>
        <sz val="11"/>
        <color rgb="FFFF0000"/>
        <rFont val="Aptos Narrow"/>
        <family val="2"/>
        <scheme val="minor"/>
      </rPr>
      <t xml:space="preserve"> (periods when teams are playing </t>
    </r>
    <r>
      <rPr>
        <b/>
        <u/>
        <sz val="11"/>
        <color rgb="FFFF0000"/>
        <rFont val="Aptos Narrow"/>
        <family val="2"/>
        <scheme val="minor"/>
      </rPr>
      <t>against short-handed opposition only</t>
    </r>
    <r>
      <rPr>
        <b/>
        <sz val="11"/>
        <color rgb="FFFF0000"/>
        <rFont val="Aptos Narrow"/>
        <family val="2"/>
        <scheme val="minor"/>
      </rPr>
      <t>)</t>
    </r>
  </si>
  <si>
    <t>Minutes</t>
  </si>
  <si>
    <t>15 v 14</t>
  </si>
  <si>
    <t>15 v 13</t>
  </si>
  <si>
    <t>15 v 12</t>
  </si>
  <si>
    <t>14 v 13</t>
  </si>
  <si>
    <t>POS</t>
  </si>
  <si>
    <t>TEAM</t>
  </si>
  <si>
    <t>PF</t>
  </si>
  <si>
    <t>PA</t>
  </si>
  <si>
    <t>PD</t>
  </si>
  <si>
    <t>ALL-TIME REGULAR SEASON STANDINGS</t>
  </si>
  <si>
    <t>ALL-TIME STANDINGS INCLUDING POSTSEASON</t>
  </si>
  <si>
    <t>ALL-TIME POSTSEASON STANDINGS</t>
  </si>
  <si>
    <t>SAN DIEGO</t>
  </si>
  <si>
    <t>SEATTLE</t>
  </si>
  <si>
    <t>NEW ENGLAND</t>
  </si>
  <si>
    <t>NOLA GOLD</t>
  </si>
  <si>
    <t>RUNY</t>
  </si>
  <si>
    <t>UTAH</t>
  </si>
  <si>
    <t>HOUSTON</t>
  </si>
  <si>
    <t>OLD GLORY</t>
  </si>
  <si>
    <t>AUSTIN</t>
  </si>
  <si>
    <t>RUGBY ATL</t>
  </si>
  <si>
    <t>TORONTO</t>
  </si>
  <si>
    <t>LA GILTINIS</t>
  </si>
  <si>
    <t>COLORADO</t>
  </si>
  <si>
    <t>DALLAS</t>
  </si>
  <si>
    <t>CHICAGO</t>
  </si>
  <si>
    <t>MIAMI</t>
  </si>
  <si>
    <t>LOS ANGELES</t>
  </si>
  <si>
    <t>ANTHEM</t>
  </si>
  <si>
    <t>CHM</t>
  </si>
  <si>
    <t>Derek Summers</t>
  </si>
  <si>
    <t>Saro Turner</t>
  </si>
  <si>
    <t>Mike Lawrenson</t>
  </si>
  <si>
    <t>Austin Reed</t>
  </si>
  <si>
    <t>Luke Rogan</t>
  </si>
  <si>
    <t>Mike Kelly</t>
  </si>
  <si>
    <t>Federico Anselmi</t>
  </si>
  <si>
    <t>Tom Ciampa</t>
  </si>
  <si>
    <t>Marquise Goodwin</t>
  </si>
  <si>
    <t>Jacob Gonzales</t>
  </si>
  <si>
    <t>Cam Russell</t>
  </si>
  <si>
    <t>Allen Alongi</t>
  </si>
  <si>
    <t>Robin Kaluzniak</t>
  </si>
  <si>
    <t>Chris Assmus</t>
  </si>
  <si>
    <t>Kat Roche</t>
  </si>
  <si>
    <t>Jono Cooper</t>
  </si>
  <si>
    <t>Lex Weiner</t>
  </si>
  <si>
    <t>Will Nelson</t>
  </si>
  <si>
    <t>21-10</t>
  </si>
  <si>
    <t>10-21</t>
  </si>
  <si>
    <t>0-28</t>
  </si>
  <si>
    <t>28-0</t>
  </si>
  <si>
    <t>17-12</t>
  </si>
  <si>
    <t>12-17</t>
  </si>
  <si>
    <t>10-14</t>
  </si>
  <si>
    <t>14-10</t>
  </si>
  <si>
    <t>RED CARDS ARE 20 MINUTES THEN A SUBSTITUTION IS ALLOWED</t>
  </si>
  <si>
    <t>Amanda Cox</t>
  </si>
  <si>
    <t>Amelia Luciano</t>
  </si>
  <si>
    <t>Jarrod Ford</t>
  </si>
  <si>
    <t>Alex Hedquist</t>
  </si>
  <si>
    <t>Pete Pender</t>
  </si>
  <si>
    <t>Shanda Assmus</t>
  </si>
  <si>
    <t>Moe Chaudry</t>
  </si>
  <si>
    <t>Greg Gilliam</t>
  </si>
  <si>
    <t>Kahlil Harrison</t>
  </si>
  <si>
    <t>Kirk Swanner</t>
  </si>
  <si>
    <t>5-26</t>
  </si>
  <si>
    <t>26-5</t>
  </si>
  <si>
    <t>21-21</t>
  </si>
  <si>
    <t>13-15</t>
  </si>
  <si>
    <t>15-13</t>
  </si>
  <si>
    <t>28-12</t>
  </si>
  <si>
    <t>12-28</t>
  </si>
  <si>
    <t>Dave Edwards</t>
  </si>
  <si>
    <t>Ben Connor</t>
  </si>
  <si>
    <t>Aaron Davis</t>
  </si>
  <si>
    <t>Juan Parra</t>
  </si>
  <si>
    <t>Miles McIvor</t>
  </si>
  <si>
    <t>19-15</t>
  </si>
  <si>
    <t>15-19</t>
  </si>
  <si>
    <t>21-11</t>
  </si>
  <si>
    <t>11-21</t>
  </si>
  <si>
    <t>3-12</t>
  </si>
  <si>
    <t>12-3</t>
  </si>
  <si>
    <t>14-7</t>
  </si>
  <si>
    <t>7-14</t>
  </si>
  <si>
    <t>15-0</t>
  </si>
  <si>
    <t>0-15</t>
  </si>
  <si>
    <t>Peter Pender</t>
  </si>
  <si>
    <t>Kage Green</t>
  </si>
  <si>
    <t>10-17</t>
  </si>
  <si>
    <t>17-10</t>
  </si>
  <si>
    <t>14-22</t>
  </si>
  <si>
    <t>22-14</t>
  </si>
  <si>
    <t>5-20</t>
  </si>
  <si>
    <t>20-5</t>
  </si>
  <si>
    <t>15-24</t>
  </si>
  <si>
    <t>24-15</t>
  </si>
  <si>
    <t>Eanna O'Dowd</t>
  </si>
  <si>
    <t>Matt Lake</t>
  </si>
  <si>
    <t>Ian Seaton</t>
  </si>
  <si>
    <t>Elvy Asonye</t>
  </si>
  <si>
    <t>Fernando Garcia</t>
  </si>
  <si>
    <t>Morris Fuller</t>
  </si>
  <si>
    <t>21-14</t>
  </si>
  <si>
    <t>14-21</t>
  </si>
  <si>
    <t>7-24</t>
  </si>
  <si>
    <t>24-7</t>
  </si>
  <si>
    <t>Cubilla, McDonnell</t>
  </si>
  <si>
    <t>14-17</t>
  </si>
  <si>
    <t>17-14</t>
  </si>
  <si>
    <t>20-7</t>
  </si>
  <si>
    <t>7-20</t>
  </si>
  <si>
    <t>12-24</t>
  </si>
  <si>
    <t>24-12</t>
  </si>
  <si>
    <t>19-24</t>
  </si>
  <si>
    <t>24-19</t>
  </si>
  <si>
    <t>6-14</t>
  </si>
  <si>
    <t>14-6</t>
  </si>
  <si>
    <t>21-5</t>
  </si>
  <si>
    <t>5-21</t>
  </si>
  <si>
    <t>Blair McClure</t>
  </si>
  <si>
    <t>George Myers</t>
  </si>
  <si>
    <t>Kevin Duran</t>
  </si>
  <si>
    <t>Chris O'Malley</t>
  </si>
  <si>
    <t>3-7</t>
  </si>
  <si>
    <t>7-3</t>
  </si>
  <si>
    <t>19-23</t>
  </si>
  <si>
    <t>23-19</t>
  </si>
  <si>
    <t>11-5</t>
  </si>
  <si>
    <t>5-11</t>
  </si>
  <si>
    <t>17-7</t>
  </si>
  <si>
    <t>7-17</t>
  </si>
  <si>
    <t>5-25</t>
  </si>
  <si>
    <t>Lindsey Oliver</t>
  </si>
  <si>
    <t>7-5</t>
  </si>
  <si>
    <t>5-7</t>
  </si>
  <si>
    <t>12-26</t>
  </si>
  <si>
    <t>26-12</t>
  </si>
  <si>
    <t>10-10</t>
  </si>
  <si>
    <t>17-20</t>
  </si>
  <si>
    <t>20-17</t>
  </si>
  <si>
    <t>12-6</t>
  </si>
  <si>
    <t>6-12</t>
  </si>
  <si>
    <t>Ben Dickenson</t>
  </si>
  <si>
    <t>22-7</t>
  </si>
  <si>
    <t>7-22</t>
  </si>
  <si>
    <t>24-5</t>
  </si>
  <si>
    <t>5-24</t>
  </si>
  <si>
    <t>21-8</t>
  </si>
  <si>
    <t>8-21</t>
  </si>
  <si>
    <t>David Vosalevu</t>
  </si>
  <si>
    <t>Alex Nunnally</t>
  </si>
  <si>
    <t>Kye Martinovic</t>
  </si>
  <si>
    <t>15-8</t>
  </si>
  <si>
    <t>8-15</t>
  </si>
  <si>
    <t>14-31</t>
  </si>
  <si>
    <t>31-14</t>
  </si>
  <si>
    <t>5-12</t>
  </si>
  <si>
    <t>12-5</t>
  </si>
  <si>
    <t>3-14</t>
  </si>
  <si>
    <t>14-3</t>
  </si>
  <si>
    <t>27-10</t>
  </si>
  <si>
    <t>10-27</t>
  </si>
  <si>
    <t>12-31</t>
  </si>
  <si>
    <t>31-12</t>
  </si>
  <si>
    <t>Abel, Augspurger, Brown, Swiel</t>
  </si>
  <si>
    <t>27-14</t>
  </si>
  <si>
    <t>14-27</t>
  </si>
  <si>
    <t>17-0</t>
  </si>
  <si>
    <t>0-17</t>
  </si>
  <si>
    <t>17-17</t>
  </si>
  <si>
    <t>14-14</t>
  </si>
  <si>
    <t>20-0</t>
  </si>
  <si>
    <t>0-20</t>
  </si>
  <si>
    <t>28-5</t>
  </si>
  <si>
    <t>5-28</t>
  </si>
  <si>
    <t>0-7</t>
  </si>
  <si>
    <t>7-0</t>
  </si>
  <si>
    <t>21-24</t>
  </si>
  <si>
    <t>24-21</t>
  </si>
  <si>
    <t>Peter Martin</t>
  </si>
  <si>
    <t>12-7</t>
  </si>
  <si>
    <t>7-12</t>
  </si>
  <si>
    <t>Koroiduadua, Melvin, Poland</t>
  </si>
  <si>
    <t>5-17</t>
  </si>
  <si>
    <t>17-5</t>
  </si>
  <si>
    <t>19-5</t>
  </si>
  <si>
    <t>5-19</t>
  </si>
  <si>
    <t>Anstee, Bertranou, Houston,Leaney</t>
  </si>
  <si>
    <t>8-14</t>
  </si>
  <si>
    <t>14-8</t>
  </si>
  <si>
    <t>George Mason Stadium</t>
  </si>
  <si>
    <t>↑1</t>
  </si>
  <si>
    <t>Marty Steffens</t>
  </si>
  <si>
    <t>13-7</t>
  </si>
  <si>
    <t>7-13</t>
  </si>
  <si>
    <t>27-0</t>
  </si>
  <si>
    <t>0-27</t>
  </si>
  <si>
    <t>Lindenmuth, van der Schyff</t>
  </si>
  <si>
    <t>Penalty Tries: v NOLA (Mr 1 ), Las (Ap 12), Hou (My 17)</t>
  </si>
  <si>
    <t>Penalty Tries:  Las (My 19)</t>
  </si>
  <si>
    <t>7-6</t>
  </si>
  <si>
    <t>6-7</t>
  </si>
  <si>
    <t>7-7</t>
  </si>
  <si>
    <t>Saba Abulashvili</t>
  </si>
  <si>
    <t>Afungia (3), Botha (2), du Plessis (2), Fidow (2), Mau'u (2), Carty, Dolan, Jones, King, Mullen, 
Te Tamaki</t>
  </si>
  <si>
    <t>12-10</t>
  </si>
  <si>
    <t>10-12</t>
  </si>
  <si>
    <t>Shawn Bastic</t>
  </si>
  <si>
    <t>Holloway (2), Lopeti (2), Poidevin (2), Aoake, Harvey, Helu, Hewitt, Hokafonu, James, Klein, Roach, Ryan, Sears-Duru, Sylvia, Tupai</t>
  </si>
  <si>
    <t>17-3</t>
  </si>
  <si>
    <t>3-17</t>
  </si>
  <si>
    <t>12-15</t>
  </si>
  <si>
    <t>15-12</t>
  </si>
  <si>
    <t>Martin Steffens</t>
  </si>
  <si>
    <t>Augspurger (3), Bain (2), Brown (2), Rumball (2), Swiel (2), Boomer, Campbell, Devoto, Flesch, Oworu, Lu White, Zhvania</t>
  </si>
  <si>
    <t>↓1</t>
  </si>
  <si>
    <t>14-5</t>
  </si>
  <si>
    <t>5-14</t>
  </si>
  <si>
    <t>35-12</t>
  </si>
  <si>
    <t>12-35</t>
  </si>
  <si>
    <t>Bertranou (4), Anstee (3), Leaney (3), van den Berg (2), Bur, Chan, Coe, Damm, Gleeson, Heaney, Houston, Kunatani, Niuafe, Sosene-Feagai, 
Sugars, Zander</t>
  </si>
  <si>
    <t>21-0</t>
  </si>
  <si>
    <t>0-21</t>
  </si>
  <si>
    <t>Farrance,Loots</t>
  </si>
  <si>
    <t>Apikotoa (2), Gafa (2), Alikhan, Fortune, Freeman, Golla, Grandy, Howard, Keane, Mooneyham, Robinson, Turnbull, Vuli</t>
  </si>
  <si>
    <t>Rossouw (2), Elton, Hattingh, Herbst, Iona, Kriel, Matthews, Noa, Pedersen, Smith, Stighling</t>
  </si>
  <si>
    <t>Gumede, Haini, Herbst, Rossouw</t>
  </si>
  <si>
    <t>Ardao (2), Muti (2), Bekerman, Bonasso, Cubelli, Cubilla, du Toit, Koloamatangi, McDonnell, McNulty, Morra, O'Leary</t>
  </si>
  <si>
    <t>Jn 14</t>
  </si>
  <si>
    <t>Jn 15</t>
  </si>
  <si>
    <t>MLR (PLAYOFFS)</t>
  </si>
  <si>
    <t>REGULAR SEASON</t>
  </si>
  <si>
    <t>POST SEASON</t>
  </si>
  <si>
    <t>10-16</t>
  </si>
  <si>
    <t>16-10</t>
  </si>
  <si>
    <t xml:space="preserve"> 10-16</t>
  </si>
  <si>
    <t xml:space="preserve"> 12-3</t>
  </si>
  <si>
    <t>Centreville Bank Stadium</t>
  </si>
  <si>
    <t xml:space="preserve">Iscaro (3), Nelligan (2), Wrafter (2), Bavaro, Emery, Fa'anana-Schultz, Gattas, Harley, Naqali, Rees, Rizzo, </t>
  </si>
  <si>
    <t>Trainor (3), Bradford (2), Jones (2), Lochore (2), Davis, Lasike, Lemisio, Mano, Nel, Semu, Trainor, Vugakoto, Williams</t>
  </si>
  <si>
    <t>12-14</t>
  </si>
  <si>
    <t>N</t>
  </si>
  <si>
    <t>Jn 28</t>
  </si>
  <si>
    <t>14-12</t>
  </si>
  <si>
    <t>Jn 21</t>
  </si>
  <si>
    <t xml:space="preserve"> 12-14</t>
  </si>
  <si>
    <t>0-10</t>
  </si>
  <si>
    <t>10-0</t>
  </si>
  <si>
    <t xml:space="preserve"> 5-21</t>
  </si>
  <si>
    <t>Ah Sue (2), Albert (2), Basson (2), Redelinghuys (2), Camp-Villalovos, Momsen, Nasoqeqe, Scott, Tasi, van der Schyff</t>
  </si>
  <si>
    <t>13-10</t>
  </si>
  <si>
    <t>10-13</t>
  </si>
  <si>
    <t xml:space="preserve"> 13-10</t>
  </si>
  <si>
    <t>Gomez Vara (2), Von Dadelszen (2), Balekana, Boyle, Hala-Ngatai, Johnston, Olson, Peni, Webster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</si>
</sst>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 x14ac:knownFonts="1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2"/>
      <color theme="0"/>
      <name val="Calibri"/>
      <family val="2"/>
    </font>
    <font>
      <sz val="11"/>
      <color theme="0" tint="-0.249977111117893"/>
      <name val="Calibri"/>
      <family val="2"/>
    </font>
    <font>
      <sz val="11"/>
      <color rgb="FF000000"/>
      <name val="Calibri"/>
      <family val="2"/>
    </font>
    <font>
      <b/>
      <sz val="11"/>
      <color rgb="FFFFFF00"/>
      <name val="Calibri"/>
      <family val="2"/>
    </font>
    <font>
      <sz val="12"/>
      <color rgb="FFFFFF00"/>
      <name val="Calibri"/>
      <family val="2"/>
    </font>
    <font>
      <sz val="11"/>
      <color rgb="FFFFFF00"/>
      <name val="Calibri"/>
      <family val="2"/>
    </font>
    <font>
      <b/>
      <sz val="11"/>
      <color rgb="FFF2CEEF"/>
      <name val="Calibri"/>
      <family val="2"/>
    </font>
    <font>
      <sz val="12"/>
      <color rgb="FFF2CEEF"/>
      <name val="Calibri"/>
      <family val="2"/>
    </font>
    <font>
      <sz val="11"/>
      <color rgb="FFF2CEEF"/>
      <name val="Calibri"/>
      <family val="2"/>
    </font>
    <font>
      <b/>
      <sz val="11"/>
      <color rgb="FFFF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92D050"/>
      <name val="Calibri"/>
      <family val="2"/>
    </font>
    <font>
      <sz val="12"/>
      <color rgb="FF92D050"/>
      <name val="Calibri"/>
      <family val="2"/>
    </font>
    <font>
      <sz val="11"/>
      <color rgb="FF92D05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4D5156"/>
      <name val="Calibri"/>
      <family val="2"/>
    </font>
    <font>
      <b/>
      <u/>
      <sz val="11"/>
      <color rgb="FFFF0000"/>
      <name val="Aptos Narrow"/>
      <family val="2"/>
      <scheme val="minor"/>
    </font>
    <font>
      <b/>
      <sz val="11"/>
      <color rgb="FF0A0A0A"/>
      <name val="Calibri"/>
      <family val="2"/>
    </font>
    <font>
      <sz val="11"/>
      <color rgb="FF0A0A0A"/>
      <name val="Calibri"/>
      <family val="2"/>
    </font>
    <font>
      <b/>
      <sz val="11"/>
      <color rgb="FF0A0002"/>
      <name val="Calibri"/>
      <family val="2"/>
    </font>
    <font>
      <b/>
      <sz val="11"/>
      <color rgb="FF000000"/>
      <name val="Calibri"/>
      <family val="2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b/>
      <sz val="10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i/>
      <sz val="11"/>
      <name val="Calibri"/>
      <family val="2"/>
    </font>
    <font>
      <sz val="11"/>
      <color rgb="FF142837"/>
      <name val="Calibri"/>
      <family val="2"/>
    </font>
    <font>
      <b/>
      <sz val="10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2"/>
      <color rgb="FFFF0000"/>
      <name val="Calibri"/>
      <family val="2"/>
    </font>
    <font>
      <sz val="11"/>
      <color rgb="FF9C0006"/>
      <name val="Calibri"/>
      <family val="2"/>
    </font>
    <font>
      <sz val="8"/>
      <name val="Aptos Narrow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531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A29A2D"/>
        <bgColor indexed="64"/>
      </patternFill>
    </fill>
    <fill>
      <patternFill patternType="solid">
        <fgColor rgb="FF0B1D2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DD9C3"/>
        <bgColor rgb="FFDDD9C3"/>
      </patternFill>
    </fill>
    <fill>
      <patternFill patternType="solid">
        <fgColor rgb="FFDDD9C4"/>
        <bgColor rgb="FFDDD9C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  <fill>
      <patternFill patternType="solid">
        <fgColor rgb="FFF4C4CC"/>
        <bgColor indexed="64"/>
      </patternFill>
    </fill>
    <fill>
      <patternFill patternType="solid">
        <fgColor rgb="FF8F8356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</cellStyleXfs>
  <cellXfs count="549">
    <xf numFmtId="0" fontId="0" fillId="0" borderId="0" xfId="0"/>
    <xf numFmtId="0" fontId="1" fillId="0" borderId="0" xfId="0" applyFont="1"/>
    <xf numFmtId="17" fontId="3" fillId="3" borderId="6" xfId="0" applyNumberFormat="1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/>
    </xf>
    <xf numFmtId="49" fontId="6" fillId="3" borderId="4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4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17" fontId="3" fillId="4" borderId="6" xfId="0" applyNumberFormat="1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/>
    </xf>
    <xf numFmtId="49" fontId="6" fillId="4" borderId="4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4" xfId="0" applyFont="1" applyFill="1" applyBorder="1"/>
    <xf numFmtId="0" fontId="5" fillId="4" borderId="3" xfId="0" applyFont="1" applyFill="1" applyBorder="1"/>
    <xf numFmtId="0" fontId="5" fillId="3" borderId="4" xfId="0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3" borderId="6" xfId="0" applyFont="1" applyFill="1" applyBorder="1" applyAlignment="1">
      <alignment horizontal="left" vertical="center" wrapText="1"/>
    </xf>
    <xf numFmtId="3" fontId="5" fillId="3" borderId="4" xfId="0" applyNumberFormat="1" applyFont="1" applyFill="1" applyBorder="1" applyAlignment="1">
      <alignment horizontal="right"/>
    </xf>
    <xf numFmtId="0" fontId="3" fillId="4" borderId="6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/>
    </xf>
    <xf numFmtId="49" fontId="5" fillId="4" borderId="4" xfId="0" applyNumberFormat="1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7" fontId="8" fillId="5" borderId="0" xfId="0" applyNumberFormat="1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5" fillId="0" borderId="0" xfId="0" applyFont="1"/>
    <xf numFmtId="0" fontId="3" fillId="7" borderId="0" xfId="0" applyFont="1" applyFill="1"/>
    <xf numFmtId="0" fontId="3" fillId="6" borderId="4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/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/>
    <xf numFmtId="0" fontId="3" fillId="8" borderId="2" xfId="0" applyFont="1" applyFill="1" applyBorder="1"/>
    <xf numFmtId="0" fontId="3" fillId="8" borderId="5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/>
    <xf numFmtId="49" fontId="5" fillId="8" borderId="8" xfId="0" applyNumberFormat="1" applyFont="1" applyFill="1" applyBorder="1"/>
    <xf numFmtId="0" fontId="5" fillId="8" borderId="9" xfId="0" applyFont="1" applyFill="1" applyBorder="1"/>
    <xf numFmtId="0" fontId="5" fillId="8" borderId="10" xfId="0" applyFont="1" applyFill="1" applyBorder="1"/>
    <xf numFmtId="0" fontId="5" fillId="8" borderId="4" xfId="0" applyFont="1" applyFill="1" applyBorder="1"/>
    <xf numFmtId="0" fontId="3" fillId="8" borderId="4" xfId="0" applyFont="1" applyFill="1" applyBorder="1" applyAlignment="1">
      <alignment horizontal="right"/>
    </xf>
    <xf numFmtId="0" fontId="3" fillId="8" borderId="0" xfId="0" applyFont="1" applyFill="1" applyAlignment="1">
      <alignment horizontal="right"/>
    </xf>
    <xf numFmtId="0" fontId="10" fillId="2" borderId="4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4" xfId="0" applyFont="1" applyFill="1" applyBorder="1"/>
    <xf numFmtId="0" fontId="10" fillId="2" borderId="2" xfId="0" applyFont="1" applyFill="1" applyBorder="1"/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/>
    <xf numFmtId="49" fontId="12" fillId="2" borderId="8" xfId="0" applyNumberFormat="1" applyFont="1" applyFill="1" applyBorder="1"/>
    <xf numFmtId="0" fontId="12" fillId="2" borderId="9" xfId="0" applyFont="1" applyFill="1" applyBorder="1"/>
    <xf numFmtId="0" fontId="12" fillId="2" borderId="10" xfId="0" applyFont="1" applyFill="1" applyBorder="1"/>
    <xf numFmtId="0" fontId="12" fillId="2" borderId="4" xfId="0" applyFont="1" applyFill="1" applyBorder="1"/>
    <xf numFmtId="0" fontId="10" fillId="2" borderId="4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10" fillId="3" borderId="4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4" xfId="0" applyFont="1" applyFill="1" applyBorder="1"/>
    <xf numFmtId="0" fontId="10" fillId="3" borderId="2" xfId="0" applyFont="1" applyFill="1" applyBorder="1"/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/>
    <xf numFmtId="49" fontId="12" fillId="3" borderId="8" xfId="0" applyNumberFormat="1" applyFont="1" applyFill="1" applyBorder="1"/>
    <xf numFmtId="0" fontId="12" fillId="3" borderId="9" xfId="0" applyFont="1" applyFill="1" applyBorder="1"/>
    <xf numFmtId="0" fontId="12" fillId="3" borderId="10" xfId="0" applyFont="1" applyFill="1" applyBorder="1"/>
    <xf numFmtId="0" fontId="12" fillId="3" borderId="4" xfId="0" applyFont="1" applyFill="1" applyBorder="1"/>
    <xf numFmtId="0" fontId="10" fillId="3" borderId="4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0" fontId="13" fillId="2" borderId="4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4" xfId="0" applyFont="1" applyFill="1" applyBorder="1"/>
    <xf numFmtId="0" fontId="13" fillId="2" borderId="2" xfId="0" applyFont="1" applyFill="1" applyBorder="1"/>
    <xf numFmtId="0" fontId="13" fillId="2" borderId="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/>
    <xf numFmtId="49" fontId="15" fillId="2" borderId="8" xfId="0" applyNumberFormat="1" applyFont="1" applyFill="1" applyBorder="1"/>
    <xf numFmtId="0" fontId="15" fillId="2" borderId="9" xfId="0" applyFont="1" applyFill="1" applyBorder="1"/>
    <xf numFmtId="0" fontId="15" fillId="2" borderId="10" xfId="0" applyFont="1" applyFill="1" applyBorder="1"/>
    <xf numFmtId="0" fontId="15" fillId="2" borderId="4" xfId="0" applyFont="1" applyFill="1" applyBorder="1"/>
    <xf numFmtId="0" fontId="13" fillId="2" borderId="4" xfId="0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6" fillId="9" borderId="4" xfId="0" applyFont="1" applyFill="1" applyBorder="1" applyAlignment="1">
      <alignment horizontal="center"/>
    </xf>
    <xf numFmtId="0" fontId="16" fillId="9" borderId="1" xfId="0" applyFont="1" applyFill="1" applyBorder="1"/>
    <xf numFmtId="0" fontId="16" fillId="9" borderId="4" xfId="0" applyFont="1" applyFill="1" applyBorder="1"/>
    <xf numFmtId="0" fontId="16" fillId="9" borderId="2" xfId="0" applyFont="1" applyFill="1" applyBorder="1"/>
    <xf numFmtId="0" fontId="16" fillId="9" borderId="5" xfId="0" applyFont="1" applyFill="1" applyBorder="1" applyAlignment="1">
      <alignment vertical="center" wrapText="1"/>
    </xf>
    <xf numFmtId="0" fontId="16" fillId="9" borderId="6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8" fillId="9" borderId="8" xfId="0" applyFont="1" applyFill="1" applyBorder="1"/>
    <xf numFmtId="49" fontId="18" fillId="9" borderId="8" xfId="0" applyNumberFormat="1" applyFont="1" applyFill="1" applyBorder="1"/>
    <xf numFmtId="0" fontId="18" fillId="9" borderId="9" xfId="0" applyFont="1" applyFill="1" applyBorder="1"/>
    <xf numFmtId="0" fontId="18" fillId="9" borderId="10" xfId="0" applyFont="1" applyFill="1" applyBorder="1"/>
    <xf numFmtId="0" fontId="18" fillId="9" borderId="4" xfId="0" applyFont="1" applyFill="1" applyBorder="1"/>
    <xf numFmtId="0" fontId="16" fillId="9" borderId="4" xfId="0" applyFont="1" applyFill="1" applyBorder="1" applyAlignment="1">
      <alignment horizontal="right"/>
    </xf>
    <xf numFmtId="0" fontId="16" fillId="9" borderId="0" xfId="0" applyFont="1" applyFill="1" applyAlignment="1">
      <alignment horizontal="right"/>
    </xf>
    <xf numFmtId="0" fontId="3" fillId="10" borderId="4" xfId="0" applyFont="1" applyFill="1" applyBorder="1" applyAlignment="1">
      <alignment horizontal="center"/>
    </xf>
    <xf numFmtId="0" fontId="3" fillId="10" borderId="1" xfId="0" applyFont="1" applyFill="1" applyBorder="1"/>
    <xf numFmtId="0" fontId="3" fillId="10" borderId="4" xfId="0" applyFont="1" applyFill="1" applyBorder="1"/>
    <xf numFmtId="0" fontId="3" fillId="10" borderId="2" xfId="0" applyFont="1" applyFill="1" applyBorder="1"/>
    <xf numFmtId="0" fontId="3" fillId="10" borderId="5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5" fillId="10" borderId="8" xfId="0" applyFont="1" applyFill="1" applyBorder="1"/>
    <xf numFmtId="49" fontId="5" fillId="10" borderId="8" xfId="0" applyNumberFormat="1" applyFont="1" applyFill="1" applyBorder="1"/>
    <xf numFmtId="0" fontId="5" fillId="10" borderId="9" xfId="0" applyFont="1" applyFill="1" applyBorder="1"/>
    <xf numFmtId="0" fontId="5" fillId="10" borderId="10" xfId="0" applyFont="1" applyFill="1" applyBorder="1"/>
    <xf numFmtId="0" fontId="5" fillId="10" borderId="4" xfId="0" applyFont="1" applyFill="1" applyBorder="1"/>
    <xf numFmtId="0" fontId="3" fillId="10" borderId="4" xfId="0" applyFont="1" applyFill="1" applyBorder="1" applyAlignment="1">
      <alignment horizontal="right"/>
    </xf>
    <xf numFmtId="0" fontId="3" fillId="10" borderId="0" xfId="0" applyFont="1" applyFill="1" applyAlignment="1">
      <alignment horizontal="right"/>
    </xf>
    <xf numFmtId="0" fontId="3" fillId="11" borderId="4" xfId="0" applyFont="1" applyFill="1" applyBorder="1" applyAlignment="1">
      <alignment horizontal="center"/>
    </xf>
    <xf numFmtId="0" fontId="3" fillId="11" borderId="1" xfId="0" applyFont="1" applyFill="1" applyBorder="1"/>
    <xf numFmtId="0" fontId="3" fillId="11" borderId="4" xfId="0" applyFont="1" applyFill="1" applyBorder="1"/>
    <xf numFmtId="0" fontId="3" fillId="11" borderId="2" xfId="0" applyFont="1" applyFill="1" applyBorder="1"/>
    <xf numFmtId="0" fontId="3" fillId="11" borderId="5" xfId="0" applyFont="1" applyFill="1" applyBorder="1" applyAlignment="1">
      <alignment vertical="center" wrapText="1"/>
    </xf>
    <xf numFmtId="0" fontId="3" fillId="11" borderId="6" xfId="0" applyFont="1" applyFill="1" applyBorder="1" applyAlignment="1">
      <alignment vertical="center" wrapText="1"/>
    </xf>
    <xf numFmtId="0" fontId="3" fillId="11" borderId="4" xfId="0" applyFont="1" applyFill="1" applyBorder="1" applyAlignment="1">
      <alignment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/>
    <xf numFmtId="49" fontId="5" fillId="11" borderId="8" xfId="0" applyNumberFormat="1" applyFont="1" applyFill="1" applyBorder="1"/>
    <xf numFmtId="0" fontId="5" fillId="11" borderId="9" xfId="0" applyFont="1" applyFill="1" applyBorder="1"/>
    <xf numFmtId="0" fontId="5" fillId="11" borderId="10" xfId="0" applyFont="1" applyFill="1" applyBorder="1"/>
    <xf numFmtId="0" fontId="5" fillId="11" borderId="4" xfId="0" applyFont="1" applyFill="1" applyBorder="1"/>
    <xf numFmtId="0" fontId="3" fillId="11" borderId="4" xfId="0" applyFont="1" applyFill="1" applyBorder="1" applyAlignment="1">
      <alignment horizontal="right"/>
    </xf>
    <xf numFmtId="0" fontId="3" fillId="11" borderId="0" xfId="0" applyFont="1" applyFill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5" fillId="3" borderId="8" xfId="0" applyFont="1" applyFill="1" applyBorder="1"/>
    <xf numFmtId="49" fontId="5" fillId="3" borderId="8" xfId="0" applyNumberFormat="1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3" fillId="3" borderId="4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19" fillId="12" borderId="4" xfId="0" applyFont="1" applyFill="1" applyBorder="1" applyAlignment="1">
      <alignment horizontal="center"/>
    </xf>
    <xf numFmtId="0" fontId="19" fillId="12" borderId="1" xfId="0" applyFont="1" applyFill="1" applyBorder="1"/>
    <xf numFmtId="0" fontId="19" fillId="12" borderId="4" xfId="0" applyFont="1" applyFill="1" applyBorder="1"/>
    <xf numFmtId="0" fontId="19" fillId="12" borderId="2" xfId="0" applyFont="1" applyFill="1" applyBorder="1"/>
    <xf numFmtId="0" fontId="19" fillId="12" borderId="5" xfId="0" applyFont="1" applyFill="1" applyBorder="1" applyAlignment="1">
      <alignment vertical="center" wrapText="1"/>
    </xf>
    <xf numFmtId="0" fontId="19" fillId="12" borderId="6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21" fillId="12" borderId="8" xfId="0" applyFont="1" applyFill="1" applyBorder="1"/>
    <xf numFmtId="49" fontId="21" fillId="12" borderId="8" xfId="0" applyNumberFormat="1" applyFont="1" applyFill="1" applyBorder="1"/>
    <xf numFmtId="0" fontId="21" fillId="12" borderId="9" xfId="0" applyFont="1" applyFill="1" applyBorder="1"/>
    <xf numFmtId="0" fontId="21" fillId="12" borderId="10" xfId="0" applyFont="1" applyFill="1" applyBorder="1"/>
    <xf numFmtId="0" fontId="21" fillId="12" borderId="4" xfId="0" applyFont="1" applyFill="1" applyBorder="1"/>
    <xf numFmtId="0" fontId="19" fillId="12" borderId="4" xfId="0" applyFont="1" applyFill="1" applyBorder="1" applyAlignment="1">
      <alignment horizontal="right"/>
    </xf>
    <xf numFmtId="0" fontId="19" fillId="12" borderId="0" xfId="0" applyFont="1" applyFill="1" applyAlignment="1">
      <alignment horizontal="right"/>
    </xf>
    <xf numFmtId="0" fontId="16" fillId="3" borderId="4" xfId="0" applyFont="1" applyFill="1" applyBorder="1" applyAlignment="1">
      <alignment horizontal="center"/>
    </xf>
    <xf numFmtId="0" fontId="16" fillId="3" borderId="1" xfId="0" applyFont="1" applyFill="1" applyBorder="1"/>
    <xf numFmtId="0" fontId="16" fillId="3" borderId="4" xfId="0" applyFont="1" applyFill="1" applyBorder="1"/>
    <xf numFmtId="0" fontId="16" fillId="3" borderId="2" xfId="0" applyFont="1" applyFill="1" applyBorder="1"/>
    <xf numFmtId="0" fontId="16" fillId="3" borderId="5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/>
    <xf numFmtId="49" fontId="18" fillId="3" borderId="8" xfId="0" applyNumberFormat="1" applyFont="1" applyFill="1" applyBorder="1"/>
    <xf numFmtId="0" fontId="18" fillId="3" borderId="9" xfId="0" applyFont="1" applyFill="1" applyBorder="1"/>
    <xf numFmtId="0" fontId="18" fillId="3" borderId="10" xfId="0" applyFont="1" applyFill="1" applyBorder="1"/>
    <xf numFmtId="0" fontId="18" fillId="3" borderId="4" xfId="0" applyFont="1" applyFill="1" applyBorder="1"/>
    <xf numFmtId="0" fontId="16" fillId="3" borderId="4" xfId="0" applyFont="1" applyFill="1" applyBorder="1" applyAlignment="1">
      <alignment horizontal="right"/>
    </xf>
    <xf numFmtId="0" fontId="16" fillId="3" borderId="0" xfId="0" applyFont="1" applyFill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13" borderId="0" xfId="0" applyFont="1" applyFill="1"/>
    <xf numFmtId="0" fontId="1" fillId="13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13" borderId="0" xfId="0" applyFont="1" applyFill="1" applyAlignment="1">
      <alignment horizontal="left"/>
    </xf>
    <xf numFmtId="0" fontId="22" fillId="13" borderId="0" xfId="0" applyFont="1" applyFill="1" applyAlignment="1">
      <alignment horizontal="left"/>
    </xf>
    <xf numFmtId="49" fontId="1" fillId="0" borderId="0" xfId="0" applyNumberFormat="1" applyFont="1" applyAlignment="1">
      <alignment horizontal="center"/>
    </xf>
    <xf numFmtId="0" fontId="16" fillId="16" borderId="4" xfId="0" applyFont="1" applyFill="1" applyBorder="1" applyAlignment="1">
      <alignment vertical="center" wrapText="1"/>
    </xf>
    <xf numFmtId="0" fontId="16" fillId="16" borderId="3" xfId="0" applyFont="1" applyFill="1" applyBorder="1" applyAlignment="1">
      <alignment vertical="center" wrapText="1"/>
    </xf>
    <xf numFmtId="0" fontId="16" fillId="15" borderId="3" xfId="0" applyFont="1" applyFill="1" applyBorder="1" applyAlignment="1">
      <alignment vertical="center" wrapText="1"/>
    </xf>
    <xf numFmtId="0" fontId="16" fillId="17" borderId="3" xfId="0" applyFont="1" applyFill="1" applyBorder="1" applyAlignment="1">
      <alignment vertical="center" wrapText="1"/>
    </xf>
    <xf numFmtId="0" fontId="16" fillId="18" borderId="3" xfId="0" applyFont="1" applyFill="1" applyBorder="1" applyAlignment="1">
      <alignment vertical="center" wrapText="1"/>
    </xf>
    <xf numFmtId="0" fontId="25" fillId="16" borderId="6" xfId="0" applyFont="1" applyFill="1" applyBorder="1" applyAlignment="1">
      <alignment vertical="center" wrapText="1"/>
    </xf>
    <xf numFmtId="0" fontId="25" fillId="16" borderId="7" xfId="0" applyFont="1" applyFill="1" applyBorder="1" applyAlignment="1">
      <alignment horizontal="right" vertical="center" wrapText="1"/>
    </xf>
    <xf numFmtId="0" fontId="25" fillId="15" borderId="6" xfId="0" applyFont="1" applyFill="1" applyBorder="1" applyAlignment="1">
      <alignment vertical="center" wrapText="1"/>
    </xf>
    <xf numFmtId="0" fontId="25" fillId="15" borderId="7" xfId="0" applyFont="1" applyFill="1" applyBorder="1" applyAlignment="1">
      <alignment horizontal="right" vertical="center" wrapText="1"/>
    </xf>
    <xf numFmtId="0" fontId="25" fillId="17" borderId="6" xfId="0" applyFont="1" applyFill="1" applyBorder="1" applyAlignment="1">
      <alignment vertical="center" wrapText="1"/>
    </xf>
    <xf numFmtId="0" fontId="25" fillId="17" borderId="7" xfId="0" applyFont="1" applyFill="1" applyBorder="1" applyAlignment="1">
      <alignment horizontal="right" vertical="center" wrapText="1"/>
    </xf>
    <xf numFmtId="0" fontId="25" fillId="18" borderId="6" xfId="0" applyFont="1" applyFill="1" applyBorder="1" applyAlignment="1">
      <alignment vertical="center" wrapText="1"/>
    </xf>
    <xf numFmtId="0" fontId="25" fillId="18" borderId="7" xfId="0" applyFont="1" applyFill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/>
    <xf numFmtId="0" fontId="3" fillId="4" borderId="13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/>
    </xf>
    <xf numFmtId="49" fontId="6" fillId="4" borderId="8" xfId="0" applyNumberFormat="1" applyFont="1" applyFill="1" applyBorder="1" applyAlignment="1">
      <alignment horizontal="center"/>
    </xf>
    <xf numFmtId="0" fontId="5" fillId="4" borderId="8" xfId="0" applyFont="1" applyFill="1" applyBorder="1"/>
    <xf numFmtId="0" fontId="5" fillId="4" borderId="15" xfId="0" applyFont="1" applyFill="1" applyBorder="1"/>
    <xf numFmtId="0" fontId="3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3" borderId="11" xfId="0" applyFont="1" applyFill="1" applyBorder="1"/>
    <xf numFmtId="0" fontId="5" fillId="4" borderId="4" xfId="0" applyFont="1" applyFill="1" applyBorder="1" applyAlignment="1">
      <alignment horizontal="center"/>
    </xf>
    <xf numFmtId="0" fontId="23" fillId="0" borderId="0" xfId="0" applyFont="1"/>
    <xf numFmtId="1" fontId="1" fillId="0" borderId="1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7" fillId="0" borderId="0" xfId="0" applyFont="1"/>
    <xf numFmtId="0" fontId="22" fillId="20" borderId="14" xfId="0" applyFont="1" applyFill="1" applyBorder="1"/>
    <xf numFmtId="0" fontId="23" fillId="23" borderId="8" xfId="0" applyFont="1" applyFill="1" applyBorder="1" applyAlignment="1">
      <alignment horizontal="center"/>
    </xf>
    <xf numFmtId="0" fontId="23" fillId="23" borderId="6" xfId="0" applyFont="1" applyFill="1" applyBorder="1" applyAlignment="1">
      <alignment horizontal="center"/>
    </xf>
    <xf numFmtId="0" fontId="23" fillId="23" borderId="13" xfId="0" applyFont="1" applyFill="1" applyBorder="1" applyAlignment="1">
      <alignment horizontal="center"/>
    </xf>
    <xf numFmtId="0" fontId="23" fillId="23" borderId="16" xfId="0" applyFont="1" applyFill="1" applyBorder="1" applyAlignment="1">
      <alignment horizontal="center"/>
    </xf>
    <xf numFmtId="0" fontId="23" fillId="23" borderId="17" xfId="0" applyFont="1" applyFill="1" applyBorder="1" applyAlignment="1">
      <alignment horizontal="center"/>
    </xf>
    <xf numFmtId="0" fontId="23" fillId="23" borderId="18" xfId="0" applyFont="1" applyFill="1" applyBorder="1" applyAlignment="1">
      <alignment horizontal="center"/>
    </xf>
    <xf numFmtId="0" fontId="23" fillId="23" borderId="7" xfId="0" applyFont="1" applyFill="1" applyBorder="1" applyAlignment="1">
      <alignment horizontal="center"/>
    </xf>
    <xf numFmtId="0" fontId="23" fillId="0" borderId="8" xfId="0" applyFont="1" applyBorder="1"/>
    <xf numFmtId="1" fontId="0" fillId="0" borderId="12" xfId="0" applyNumberFormat="1" applyBorder="1"/>
    <xf numFmtId="2" fontId="0" fillId="0" borderId="22" xfId="0" applyNumberFormat="1" applyBorder="1"/>
    <xf numFmtId="2" fontId="0" fillId="0" borderId="12" xfId="0" applyNumberFormat="1" applyBorder="1"/>
    <xf numFmtId="0" fontId="23" fillId="0" borderId="13" xfId="0" applyFont="1" applyBorder="1"/>
    <xf numFmtId="0" fontId="0" fillId="0" borderId="22" xfId="0" applyBorder="1"/>
    <xf numFmtId="0" fontId="0" fillId="0" borderId="23" xfId="0" applyBorder="1"/>
    <xf numFmtId="0" fontId="23" fillId="0" borderId="4" xfId="0" applyFont="1" applyBorder="1"/>
    <xf numFmtId="0" fontId="23" fillId="0" borderId="16" xfId="0" applyFont="1" applyBorder="1"/>
    <xf numFmtId="0" fontId="23" fillId="0" borderId="3" xfId="0" applyFont="1" applyBorder="1"/>
    <xf numFmtId="0" fontId="23" fillId="0" borderId="17" xfId="0" applyFont="1" applyBorder="1"/>
    <xf numFmtId="2" fontId="0" fillId="0" borderId="4" xfId="0" applyNumberFormat="1" applyBorder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1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35" fillId="4" borderId="4" xfId="0" applyNumberFormat="1" applyFont="1" applyFill="1" applyBorder="1" applyAlignment="1">
      <alignment horizontal="center"/>
    </xf>
    <xf numFmtId="49" fontId="36" fillId="3" borderId="4" xfId="0" applyNumberFormat="1" applyFont="1" applyFill="1" applyBorder="1" applyAlignment="1">
      <alignment horizontal="center"/>
    </xf>
    <xf numFmtId="0" fontId="1" fillId="0" borderId="12" xfId="0" applyFont="1" applyBorder="1"/>
    <xf numFmtId="0" fontId="22" fillId="21" borderId="1" xfId="0" applyFont="1" applyFill="1" applyBorder="1" applyAlignment="1">
      <alignment horizontal="center" vertical="center" wrapText="1"/>
    </xf>
    <xf numFmtId="0" fontId="22" fillId="21" borderId="2" xfId="0" applyFont="1" applyFill="1" applyBorder="1" applyAlignment="1">
      <alignment horizontal="center" vertical="center" wrapText="1"/>
    </xf>
    <xf numFmtId="0" fontId="37" fillId="16" borderId="4" xfId="0" applyFont="1" applyFill="1" applyBorder="1" applyAlignment="1">
      <alignment horizontal="center"/>
    </xf>
    <xf numFmtId="0" fontId="39" fillId="0" borderId="0" xfId="0" applyFont="1"/>
    <xf numFmtId="0" fontId="40" fillId="0" borderId="0" xfId="0" applyFont="1" applyAlignment="1">
      <alignment vertical="center"/>
    </xf>
    <xf numFmtId="17" fontId="6" fillId="3" borderId="4" xfId="0" applyNumberFormat="1" applyFont="1" applyFill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3" fontId="5" fillId="4" borderId="4" xfId="0" applyNumberFormat="1" applyFont="1" applyFill="1" applyBorder="1" applyAlignment="1">
      <alignment horizontal="center"/>
    </xf>
    <xf numFmtId="49" fontId="36" fillId="4" borderId="4" xfId="0" applyNumberFormat="1" applyFont="1" applyFill="1" applyBorder="1" applyAlignment="1">
      <alignment horizontal="center"/>
    </xf>
    <xf numFmtId="0" fontId="41" fillId="25" borderId="0" xfId="1" applyFont="1" applyAlignment="1">
      <alignment horizontal="center"/>
    </xf>
    <xf numFmtId="0" fontId="42" fillId="26" borderId="0" xfId="2" applyFont="1" applyAlignment="1">
      <alignment horizontal="center"/>
    </xf>
    <xf numFmtId="0" fontId="43" fillId="25" borderId="0" xfId="1" applyFont="1" applyAlignment="1">
      <alignment horizontal="center"/>
    </xf>
    <xf numFmtId="0" fontId="1" fillId="20" borderId="14" xfId="0" applyFont="1" applyFill="1" applyBorder="1"/>
    <xf numFmtId="49" fontId="3" fillId="4" borderId="4" xfId="0" applyNumberFormat="1" applyFont="1" applyFill="1" applyBorder="1" applyAlignment="1">
      <alignment horizontal="center"/>
    </xf>
    <xf numFmtId="49" fontId="35" fillId="3" borderId="4" xfId="0" applyNumberFormat="1" applyFont="1" applyFill="1" applyBorder="1" applyAlignment="1">
      <alignment horizontal="center"/>
    </xf>
    <xf numFmtId="0" fontId="45" fillId="26" borderId="0" xfId="2" applyFont="1" applyAlignment="1">
      <alignment horizontal="center"/>
    </xf>
    <xf numFmtId="0" fontId="34" fillId="26" borderId="0" xfId="2" applyAlignment="1">
      <alignment horizontal="center"/>
    </xf>
    <xf numFmtId="0" fontId="33" fillId="25" borderId="0" xfId="1" applyAlignment="1">
      <alignment horizontal="center"/>
    </xf>
    <xf numFmtId="0" fontId="1" fillId="0" borderId="14" xfId="0" applyFont="1" applyBorder="1"/>
    <xf numFmtId="0" fontId="10" fillId="27" borderId="4" xfId="0" applyFont="1" applyFill="1" applyBorder="1" applyAlignment="1">
      <alignment horizontal="center"/>
    </xf>
    <xf numFmtId="0" fontId="10" fillId="27" borderId="1" xfId="0" applyFont="1" applyFill="1" applyBorder="1"/>
    <xf numFmtId="0" fontId="10" fillId="27" borderId="4" xfId="0" applyFont="1" applyFill="1" applyBorder="1"/>
    <xf numFmtId="0" fontId="10" fillId="27" borderId="2" xfId="0" applyFont="1" applyFill="1" applyBorder="1"/>
    <xf numFmtId="0" fontId="10" fillId="27" borderId="5" xfId="0" applyFont="1" applyFill="1" applyBorder="1" applyAlignment="1">
      <alignment vertical="center" wrapText="1"/>
    </xf>
    <xf numFmtId="0" fontId="10" fillId="27" borderId="6" xfId="0" applyFont="1" applyFill="1" applyBorder="1" applyAlignment="1">
      <alignment vertical="center" wrapText="1"/>
    </xf>
    <xf numFmtId="0" fontId="10" fillId="27" borderId="4" xfId="0" applyFont="1" applyFill="1" applyBorder="1" applyAlignment="1">
      <alignment vertical="center" wrapText="1"/>
    </xf>
    <xf numFmtId="0" fontId="10" fillId="27" borderId="4" xfId="0" applyFont="1" applyFill="1" applyBorder="1" applyAlignment="1">
      <alignment horizontal="center" vertical="center" wrapText="1"/>
    </xf>
    <xf numFmtId="0" fontId="10" fillId="27" borderId="7" xfId="0" applyFont="1" applyFill="1" applyBorder="1" applyAlignment="1">
      <alignment horizontal="center" vertical="center" wrapText="1"/>
    </xf>
    <xf numFmtId="0" fontId="12" fillId="27" borderId="8" xfId="0" applyFont="1" applyFill="1" applyBorder="1"/>
    <xf numFmtId="49" fontId="12" fillId="27" borderId="8" xfId="0" applyNumberFormat="1" applyFont="1" applyFill="1" applyBorder="1"/>
    <xf numFmtId="0" fontId="12" fillId="27" borderId="9" xfId="0" applyFont="1" applyFill="1" applyBorder="1"/>
    <xf numFmtId="0" fontId="12" fillId="27" borderId="10" xfId="0" applyFont="1" applyFill="1" applyBorder="1"/>
    <xf numFmtId="0" fontId="12" fillId="27" borderId="4" xfId="0" applyFont="1" applyFill="1" applyBorder="1"/>
    <xf numFmtId="0" fontId="10" fillId="27" borderId="4" xfId="0" applyFont="1" applyFill="1" applyBorder="1" applyAlignment="1">
      <alignment horizontal="right"/>
    </xf>
    <xf numFmtId="0" fontId="10" fillId="27" borderId="0" xfId="0" applyFont="1" applyFill="1" applyAlignment="1">
      <alignment horizontal="right"/>
    </xf>
    <xf numFmtId="0" fontId="1" fillId="20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0" fontId="22" fillId="21" borderId="6" xfId="0" applyFont="1" applyFill="1" applyBorder="1" applyAlignment="1">
      <alignment vertical="top" wrapText="1"/>
    </xf>
    <xf numFmtId="0" fontId="26" fillId="16" borderId="4" xfId="0" applyFont="1" applyFill="1" applyBorder="1" applyAlignment="1">
      <alignment vertical="top" wrapText="1"/>
    </xf>
    <xf numFmtId="0" fontId="22" fillId="21" borderId="6" xfId="0" applyFont="1" applyFill="1" applyBorder="1" applyAlignment="1">
      <alignment horizontal="right" vertical="top" wrapText="1"/>
    </xf>
    <xf numFmtId="0" fontId="26" fillId="22" borderId="7" xfId="0" applyFont="1" applyFill="1" applyBorder="1" applyAlignment="1">
      <alignment vertical="top" wrapText="1"/>
    </xf>
    <xf numFmtId="0" fontId="26" fillId="22" borderId="4" xfId="0" applyFont="1" applyFill="1" applyBorder="1" applyAlignment="1">
      <alignment vertical="top" wrapText="1"/>
    </xf>
    <xf numFmtId="0" fontId="22" fillId="16" borderId="4" xfId="0" applyFont="1" applyFill="1" applyBorder="1" applyAlignment="1">
      <alignment vertical="top"/>
    </xf>
    <xf numFmtId="0" fontId="26" fillId="22" borderId="3" xfId="0" applyFont="1" applyFill="1" applyBorder="1" applyAlignment="1">
      <alignment vertical="top" wrapText="1"/>
    </xf>
    <xf numFmtId="0" fontId="38" fillId="22" borderId="4" xfId="0" applyFont="1" applyFill="1" applyBorder="1" applyAlignment="1">
      <alignment vertical="top" wrapText="1"/>
    </xf>
    <xf numFmtId="0" fontId="26" fillId="16" borderId="6" xfId="0" applyFont="1" applyFill="1" applyBorder="1" applyAlignment="1">
      <alignment vertical="top" wrapText="1"/>
    </xf>
    <xf numFmtId="0" fontId="22" fillId="21" borderId="6" xfId="0" applyFont="1" applyFill="1" applyBorder="1" applyAlignment="1">
      <alignment horizontal="left" vertical="top" wrapText="1"/>
    </xf>
    <xf numFmtId="0" fontId="26" fillId="21" borderId="6" xfId="0" applyFont="1" applyFill="1" applyBorder="1" applyAlignment="1">
      <alignment horizontal="right" vertical="top" wrapText="1"/>
    </xf>
    <xf numFmtId="0" fontId="26" fillId="21" borderId="6" xfId="0" applyFont="1" applyFill="1" applyBorder="1" applyAlignment="1">
      <alignment horizontal="left" vertical="top" wrapText="1"/>
    </xf>
    <xf numFmtId="0" fontId="22" fillId="16" borderId="6" xfId="0" applyFont="1" applyFill="1" applyBorder="1" applyAlignment="1">
      <alignment vertical="top" wrapText="1"/>
    </xf>
    <xf numFmtId="0" fontId="26" fillId="22" borderId="7" xfId="0" applyFont="1" applyFill="1" applyBorder="1" applyAlignment="1">
      <alignment horizontal="right" vertical="top" wrapText="1"/>
    </xf>
    <xf numFmtId="0" fontId="38" fillId="22" borderId="4" xfId="0" applyFont="1" applyFill="1" applyBorder="1" applyAlignment="1">
      <alignment horizontal="right" vertical="top" wrapText="1"/>
    </xf>
    <xf numFmtId="0" fontId="23" fillId="0" borderId="8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5" xfId="0" applyBorder="1" applyAlignment="1">
      <alignment vertical="top"/>
    </xf>
    <xf numFmtId="1" fontId="0" fillId="0" borderId="20" xfId="0" applyNumberFormat="1" applyBorder="1" applyAlignment="1">
      <alignment vertical="top"/>
    </xf>
    <xf numFmtId="1" fontId="0" fillId="0" borderId="21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2" fontId="0" fillId="0" borderId="22" xfId="0" applyNumberFormat="1" applyBorder="1" applyAlignment="1">
      <alignment vertical="top"/>
    </xf>
    <xf numFmtId="2" fontId="0" fillId="0" borderId="12" xfId="0" applyNumberFormat="1" applyBorder="1" applyAlignment="1">
      <alignment vertical="top"/>
    </xf>
    <xf numFmtId="0" fontId="23" fillId="0" borderId="13" xfId="0" applyFont="1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2" xfId="0" applyBorder="1" applyAlignment="1">
      <alignment vertical="top"/>
    </xf>
    <xf numFmtId="0" fontId="23" fillId="0" borderId="1" xfId="0" applyFont="1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4" xfId="0" applyNumberFormat="1" applyBorder="1" applyAlignment="1">
      <alignment vertical="top"/>
    </xf>
    <xf numFmtId="0" fontId="3" fillId="4" borderId="7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/>
    </xf>
    <xf numFmtId="0" fontId="22" fillId="0" borderId="14" xfId="0" applyFont="1" applyBorder="1"/>
    <xf numFmtId="0" fontId="1" fillId="0" borderId="14" xfId="0" applyFont="1" applyBorder="1" applyAlignment="1">
      <alignment horizontal="right"/>
    </xf>
    <xf numFmtId="0" fontId="26" fillId="22" borderId="6" xfId="0" applyFont="1" applyFill="1" applyBorder="1" applyAlignment="1">
      <alignment vertical="top" wrapText="1"/>
    </xf>
    <xf numFmtId="0" fontId="26" fillId="21" borderId="4" xfId="0" applyFont="1" applyFill="1" applyBorder="1" applyAlignment="1">
      <alignment horizontal="right" vertical="top" wrapText="1"/>
    </xf>
    <xf numFmtId="0" fontId="26" fillId="21" borderId="4" xfId="0" applyFont="1" applyFill="1" applyBorder="1" applyAlignment="1">
      <alignment horizontal="left" vertical="top" wrapText="1"/>
    </xf>
    <xf numFmtId="0" fontId="5" fillId="19" borderId="14" xfId="0" applyFont="1" applyFill="1" applyBorder="1"/>
    <xf numFmtId="0" fontId="3" fillId="19" borderId="14" xfId="0" applyFont="1" applyFill="1" applyBorder="1"/>
    <xf numFmtId="0" fontId="3" fillId="6" borderId="1" xfId="0" applyFont="1" applyFill="1" applyBorder="1" applyAlignment="1">
      <alignment horizontal="left" vertical="center" wrapText="1"/>
    </xf>
    <xf numFmtId="0" fontId="22" fillId="21" borderId="4" xfId="0" applyFont="1" applyFill="1" applyBorder="1" applyAlignment="1">
      <alignment vertical="top" wrapText="1"/>
    </xf>
    <xf numFmtId="0" fontId="5" fillId="19" borderId="1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1" fontId="3" fillId="4" borderId="4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6" fillId="16" borderId="4" xfId="0" applyFont="1" applyFill="1" applyBorder="1"/>
    <xf numFmtId="0" fontId="16" fillId="17" borderId="4" xfId="0" applyFont="1" applyFill="1" applyBorder="1"/>
    <xf numFmtId="0" fontId="1" fillId="17" borderId="4" xfId="0" applyFont="1" applyFill="1" applyBorder="1"/>
    <xf numFmtId="0" fontId="1" fillId="16" borderId="4" xfId="0" applyFont="1" applyFill="1" applyBorder="1"/>
    <xf numFmtId="0" fontId="3" fillId="29" borderId="4" xfId="0" applyFont="1" applyFill="1" applyBorder="1" applyAlignment="1">
      <alignment horizontal="left" vertical="center" wrapText="1"/>
    </xf>
    <xf numFmtId="0" fontId="3" fillId="29" borderId="4" xfId="0" applyFont="1" applyFill="1" applyBorder="1" applyAlignment="1">
      <alignment vertical="center" wrapText="1"/>
    </xf>
    <xf numFmtId="0" fontId="3" fillId="29" borderId="4" xfId="0" applyFont="1" applyFill="1" applyBorder="1" applyAlignment="1">
      <alignment horizontal="center" vertical="center" wrapText="1"/>
    </xf>
    <xf numFmtId="1" fontId="3" fillId="29" borderId="4" xfId="0" applyNumberFormat="1" applyFont="1" applyFill="1" applyBorder="1" applyAlignment="1">
      <alignment horizontal="center" vertical="center" wrapText="1"/>
    </xf>
    <xf numFmtId="1" fontId="5" fillId="29" borderId="4" xfId="0" applyNumberFormat="1" applyFont="1" applyFill="1" applyBorder="1" applyAlignment="1">
      <alignment horizontal="center" vertical="center" wrapText="1"/>
    </xf>
    <xf numFmtId="0" fontId="5" fillId="29" borderId="4" xfId="0" applyFont="1" applyFill="1" applyBorder="1" applyAlignment="1">
      <alignment horizontal="center" vertical="center" wrapText="1"/>
    </xf>
    <xf numFmtId="3" fontId="5" fillId="29" borderId="4" xfId="0" applyNumberFormat="1" applyFont="1" applyFill="1" applyBorder="1" applyAlignment="1">
      <alignment horizontal="right"/>
    </xf>
    <xf numFmtId="49" fontId="6" fillId="29" borderId="4" xfId="0" applyNumberFormat="1" applyFont="1" applyFill="1" applyBorder="1" applyAlignment="1">
      <alignment horizontal="center"/>
    </xf>
    <xf numFmtId="0" fontId="5" fillId="29" borderId="4" xfId="0" applyFont="1" applyFill="1" applyBorder="1"/>
    <xf numFmtId="49" fontId="36" fillId="29" borderId="4" xfId="0" applyNumberFormat="1" applyFont="1" applyFill="1" applyBorder="1" applyAlignment="1">
      <alignment horizontal="center"/>
    </xf>
    <xf numFmtId="1" fontId="3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2" fillId="0" borderId="0" xfId="0" applyFont="1"/>
    <xf numFmtId="1" fontId="18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10" fillId="27" borderId="1" xfId="0" applyFont="1" applyFill="1" applyBorder="1" applyAlignment="1">
      <alignment horizontal="left" wrapText="1"/>
    </xf>
    <xf numFmtId="0" fontId="10" fillId="27" borderId="2" xfId="0" applyFont="1" applyFill="1" applyBorder="1" applyAlignment="1">
      <alignment horizontal="left" wrapText="1"/>
    </xf>
    <xf numFmtId="0" fontId="10" fillId="27" borderId="3" xfId="0" applyFont="1" applyFill="1" applyBorder="1" applyAlignment="1">
      <alignment horizontal="left" wrapText="1"/>
    </xf>
    <xf numFmtId="0" fontId="10" fillId="27" borderId="1" xfId="0" applyFont="1" applyFill="1" applyBorder="1" applyAlignment="1">
      <alignment horizontal="center" wrapText="1"/>
    </xf>
    <xf numFmtId="0" fontId="10" fillId="27" borderId="2" xfId="0" applyFont="1" applyFill="1" applyBorder="1" applyAlignment="1">
      <alignment horizontal="center" wrapText="1"/>
    </xf>
    <xf numFmtId="0" fontId="10" fillId="27" borderId="3" xfId="0" applyFont="1" applyFill="1" applyBorder="1" applyAlignment="1">
      <alignment horizontal="center" wrapText="1"/>
    </xf>
    <xf numFmtId="0" fontId="10" fillId="27" borderId="1" xfId="0" applyFont="1" applyFill="1" applyBorder="1" applyAlignment="1">
      <alignment horizontal="center" vertical="center" wrapText="1"/>
    </xf>
    <xf numFmtId="0" fontId="10" fillId="27" borderId="2" xfId="0" applyFont="1" applyFill="1" applyBorder="1" applyAlignment="1">
      <alignment horizontal="center" vertical="center" wrapText="1"/>
    </xf>
    <xf numFmtId="0" fontId="10" fillId="27" borderId="3" xfId="0" applyFont="1" applyFill="1" applyBorder="1" applyAlignment="1">
      <alignment horizontal="center" vertical="center" wrapText="1"/>
    </xf>
    <xf numFmtId="0" fontId="10" fillId="27" borderId="1" xfId="0" applyFont="1" applyFill="1" applyBorder="1" applyAlignment="1">
      <alignment horizontal="center"/>
    </xf>
    <xf numFmtId="0" fontId="11" fillId="27" borderId="2" xfId="0" applyFont="1" applyFill="1" applyBorder="1" applyAlignment="1">
      <alignment horizontal="center"/>
    </xf>
    <xf numFmtId="0" fontId="11" fillId="27" borderId="3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wrapText="1"/>
    </xf>
    <xf numFmtId="0" fontId="3" fillId="8" borderId="2" xfId="0" applyFont="1" applyFill="1" applyBorder="1" applyAlignment="1">
      <alignment horizontal="left" wrapText="1"/>
    </xf>
    <xf numFmtId="0" fontId="3" fillId="8" borderId="3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left" wrapText="1"/>
    </xf>
    <xf numFmtId="0" fontId="16" fillId="9" borderId="2" xfId="0" applyFont="1" applyFill="1" applyBorder="1" applyAlignment="1">
      <alignment horizontal="left" wrapText="1"/>
    </xf>
    <xf numFmtId="0" fontId="16" fillId="9" borderId="3" xfId="0" applyFont="1" applyFill="1" applyBorder="1" applyAlignment="1">
      <alignment horizontal="left" wrapText="1"/>
    </xf>
    <xf numFmtId="0" fontId="16" fillId="9" borderId="1" xfId="0" applyFont="1" applyFill="1" applyBorder="1" applyAlignment="1">
      <alignment horizontal="center" wrapText="1"/>
    </xf>
    <xf numFmtId="0" fontId="16" fillId="9" borderId="2" xfId="0" applyFont="1" applyFill="1" applyBorder="1" applyAlignment="1">
      <alignment horizontal="center" wrapText="1"/>
    </xf>
    <xf numFmtId="0" fontId="16" fillId="9" borderId="3" xfId="0" applyFont="1" applyFill="1" applyBorder="1" applyAlignment="1">
      <alignment horizont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17" fillId="9" borderId="3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 wrapText="1"/>
    </xf>
    <xf numFmtId="0" fontId="3" fillId="10" borderId="2" xfId="0" applyFont="1" applyFill="1" applyBorder="1" applyAlignment="1">
      <alignment horizontal="left" wrapText="1"/>
    </xf>
    <xf numFmtId="0" fontId="3" fillId="10" borderId="3" xfId="0" applyFont="1" applyFill="1" applyBorder="1" applyAlignment="1">
      <alignment horizontal="left" wrapText="1"/>
    </xf>
    <xf numFmtId="0" fontId="3" fillId="10" borderId="1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left" wrapText="1"/>
    </xf>
    <xf numFmtId="0" fontId="3" fillId="11" borderId="2" xfId="0" applyFont="1" applyFill="1" applyBorder="1" applyAlignment="1">
      <alignment horizontal="left" wrapText="1"/>
    </xf>
    <xf numFmtId="0" fontId="3" fillId="11" borderId="3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center" wrapText="1"/>
    </xf>
    <xf numFmtId="0" fontId="3" fillId="11" borderId="2" xfId="0" applyFont="1" applyFill="1" applyBorder="1" applyAlignment="1">
      <alignment horizontal="center" wrapText="1"/>
    </xf>
    <xf numFmtId="0" fontId="3" fillId="11" borderId="3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9" fillId="12" borderId="1" xfId="0" applyFont="1" applyFill="1" applyBorder="1" applyAlignment="1">
      <alignment horizontal="left" wrapText="1"/>
    </xf>
    <xf numFmtId="0" fontId="19" fillId="12" borderId="2" xfId="0" applyFont="1" applyFill="1" applyBorder="1" applyAlignment="1">
      <alignment horizontal="left" wrapText="1"/>
    </xf>
    <xf numFmtId="0" fontId="19" fillId="12" borderId="3" xfId="0" applyFont="1" applyFill="1" applyBorder="1" applyAlignment="1">
      <alignment horizontal="left" wrapText="1"/>
    </xf>
    <xf numFmtId="0" fontId="19" fillId="12" borderId="1" xfId="0" applyFont="1" applyFill="1" applyBorder="1" applyAlignment="1">
      <alignment horizontal="center" wrapText="1"/>
    </xf>
    <xf numFmtId="0" fontId="19" fillId="12" borderId="2" xfId="0" applyFont="1" applyFill="1" applyBorder="1" applyAlignment="1">
      <alignment horizontal="center" wrapText="1"/>
    </xf>
    <xf numFmtId="0" fontId="19" fillId="12" borderId="3" xfId="0" applyFont="1" applyFill="1" applyBorder="1" applyAlignment="1">
      <alignment horizont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wrapText="1"/>
    </xf>
    <xf numFmtId="0" fontId="16" fillId="3" borderId="3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" fillId="13" borderId="0" xfId="0" applyFont="1" applyFill="1"/>
    <xf numFmtId="0" fontId="1" fillId="0" borderId="0" xfId="0" applyFont="1"/>
    <xf numFmtId="0" fontId="22" fillId="0" borderId="0" xfId="0" applyFont="1"/>
    <xf numFmtId="0" fontId="22" fillId="13" borderId="0" xfId="0" applyFont="1" applyFill="1"/>
    <xf numFmtId="0" fontId="1" fillId="0" borderId="0" xfId="0" applyFont="1" applyAlignment="1">
      <alignment horizontal="left"/>
    </xf>
    <xf numFmtId="0" fontId="1" fillId="13" borderId="0" xfId="0" applyFont="1" applyFill="1" applyAlignment="1">
      <alignment horizontal="left"/>
    </xf>
    <xf numFmtId="0" fontId="22" fillId="13" borderId="0" xfId="0" applyFont="1" applyFill="1" applyAlignment="1">
      <alignment horizontal="left"/>
    </xf>
    <xf numFmtId="0" fontId="22" fillId="14" borderId="0" xfId="0" applyFont="1" applyFill="1" applyAlignment="1">
      <alignment horizontal="left"/>
    </xf>
    <xf numFmtId="0" fontId="44" fillId="0" borderId="0" xfId="0" applyFont="1"/>
    <xf numFmtId="0" fontId="23" fillId="23" borderId="1" xfId="0" applyFont="1" applyFill="1" applyBorder="1" applyAlignment="1">
      <alignment horizontal="center"/>
    </xf>
    <xf numFmtId="0" fontId="23" fillId="23" borderId="2" xfId="0" applyFont="1" applyFill="1" applyBorder="1" applyAlignment="1">
      <alignment horizontal="center"/>
    </xf>
    <xf numFmtId="0" fontId="23" fillId="23" borderId="3" xfId="0" applyFont="1" applyFill="1" applyBorder="1" applyAlignment="1">
      <alignment horizontal="center"/>
    </xf>
    <xf numFmtId="0" fontId="22" fillId="22" borderId="1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3" borderId="8" xfId="0" applyFont="1" applyFill="1" applyBorder="1" applyAlignment="1">
      <alignment horizontal="center"/>
    </xf>
    <xf numFmtId="0" fontId="23" fillId="23" borderId="6" xfId="0" applyFont="1" applyFill="1" applyBorder="1" applyAlignment="1">
      <alignment horizontal="center"/>
    </xf>
    <xf numFmtId="0" fontId="3" fillId="24" borderId="0" xfId="0" applyFont="1" applyFill="1" applyAlignment="1">
      <alignment horizontal="left"/>
    </xf>
    <xf numFmtId="0" fontId="3" fillId="24" borderId="0" xfId="0" applyFont="1" applyFill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4C4CC"/>
      <color rgb="FFB5E6A2"/>
      <color rgb="FF8F8356"/>
      <color rgb="FFFFF2CC"/>
      <color rgb="FFADA069"/>
      <color rgb="FFD9E1F2"/>
      <color rgb="FF0B1D2F"/>
      <color rgb="FFA29A2D"/>
      <color rgb="FFF2CEEF"/>
      <color rgb="FF2753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elwhatmore\Desktop\MLR\Databases\2024%20MLR%20Results%20and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hem"/>
      <sheetName val="Chicago"/>
      <sheetName val="Dallas"/>
      <sheetName val="Houston"/>
      <sheetName val="Los Angeles"/>
      <sheetName val="Miami"/>
      <sheetName val="New England"/>
      <sheetName val="NOLA"/>
      <sheetName val="Old Glory"/>
      <sheetName val="San Diego"/>
      <sheetName val="Seattle"/>
      <sheetName val="Ut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A953-74A1-9F44-A56C-9C294481907D}">
  <dimension ref="A1:AN22"/>
  <sheetViews>
    <sheetView tabSelected="1" workbookViewId="0">
      <selection sqref="A1:D1"/>
    </sheetView>
  </sheetViews>
  <sheetFormatPr defaultColWidth="11.44140625" defaultRowHeight="16.3" x14ac:dyDescent="0.3"/>
  <cols>
    <col min="1" max="1" width="6.44140625" style="47" bestFit="1" customWidth="1"/>
    <col min="2" max="2" width="6" style="47" bestFit="1" customWidth="1"/>
    <col min="3" max="3" width="12" style="47" customWidth="1"/>
    <col min="4" max="4" width="4.77734375" style="47" customWidth="1"/>
    <col min="5" max="7" width="4.6640625" style="47" customWidth="1"/>
    <col min="8" max="18" width="4.77734375" style="47" customWidth="1"/>
    <col min="19" max="19" width="7" style="47" customWidth="1"/>
    <col min="20" max="20" width="6.77734375" style="47" customWidth="1"/>
    <col min="21" max="21" width="24" style="47" bestFit="1" customWidth="1"/>
    <col min="22" max="23" width="29" style="47" bestFit="1" customWidth="1"/>
    <col min="24" max="24" width="24" style="47" bestFit="1" customWidth="1"/>
    <col min="25" max="40" width="4.77734375" style="47" customWidth="1"/>
  </cols>
  <sheetData>
    <row r="1" spans="1:40" ht="17" thickBot="1" x14ac:dyDescent="0.35">
      <c r="A1" s="392" t="s">
        <v>51</v>
      </c>
      <c r="B1" s="393"/>
      <c r="C1" s="393"/>
      <c r="D1" s="394"/>
      <c r="E1" s="395" t="s">
        <v>0</v>
      </c>
      <c r="F1" s="396"/>
      <c r="G1" s="397"/>
      <c r="H1" s="395" t="s">
        <v>1</v>
      </c>
      <c r="I1" s="397"/>
      <c r="J1" s="398" t="s">
        <v>2</v>
      </c>
      <c r="K1" s="399"/>
      <c r="L1" s="399"/>
      <c r="M1" s="400"/>
      <c r="N1" s="398" t="s">
        <v>3</v>
      </c>
      <c r="O1" s="400"/>
      <c r="P1" s="398" t="s">
        <v>4</v>
      </c>
      <c r="Q1" s="399"/>
      <c r="R1" s="400"/>
      <c r="S1" s="303" t="s">
        <v>5</v>
      </c>
      <c r="T1" s="303" t="s">
        <v>6</v>
      </c>
      <c r="U1" s="304" t="s">
        <v>7</v>
      </c>
      <c r="V1" s="305" t="s">
        <v>8</v>
      </c>
      <c r="W1" s="305" t="s">
        <v>9</v>
      </c>
      <c r="X1" s="306" t="s">
        <v>10</v>
      </c>
      <c r="Y1" s="401" t="s">
        <v>11</v>
      </c>
      <c r="Z1" s="402"/>
      <c r="AA1" s="402"/>
      <c r="AB1" s="403"/>
      <c r="AC1" s="401" t="s">
        <v>12</v>
      </c>
      <c r="AD1" s="402"/>
      <c r="AE1" s="402"/>
      <c r="AF1" s="403"/>
      <c r="AG1" s="401" t="s">
        <v>13</v>
      </c>
      <c r="AH1" s="402"/>
      <c r="AI1" s="402"/>
      <c r="AJ1" s="403"/>
      <c r="AK1" s="401" t="s">
        <v>14</v>
      </c>
      <c r="AL1" s="402"/>
      <c r="AM1" s="402"/>
      <c r="AN1" s="403"/>
    </row>
    <row r="2" spans="1:40" ht="17" thickBot="1" x14ac:dyDescent="0.35">
      <c r="A2" s="307" t="s">
        <v>15</v>
      </c>
      <c r="B2" s="308" t="s">
        <v>16</v>
      </c>
      <c r="C2" s="309" t="s">
        <v>17</v>
      </c>
      <c r="D2" s="309" t="s">
        <v>18</v>
      </c>
      <c r="E2" s="310" t="s">
        <v>19</v>
      </c>
      <c r="F2" s="310" t="s">
        <v>20</v>
      </c>
      <c r="G2" s="310" t="s">
        <v>21</v>
      </c>
      <c r="H2" s="311" t="s">
        <v>22</v>
      </c>
      <c r="I2" s="311" t="s">
        <v>23</v>
      </c>
      <c r="J2" s="311" t="s">
        <v>24</v>
      </c>
      <c r="K2" s="311" t="s">
        <v>25</v>
      </c>
      <c r="L2" s="311" t="s">
        <v>26</v>
      </c>
      <c r="M2" s="311" t="s">
        <v>27</v>
      </c>
      <c r="N2" s="311" t="s">
        <v>28</v>
      </c>
      <c r="O2" s="311" t="s">
        <v>19</v>
      </c>
      <c r="P2" s="311" t="s">
        <v>22</v>
      </c>
      <c r="Q2" s="311" t="s">
        <v>23</v>
      </c>
      <c r="R2" s="311" t="s">
        <v>24</v>
      </c>
      <c r="S2" s="312"/>
      <c r="T2" s="313"/>
      <c r="U2" s="314"/>
      <c r="V2" s="312"/>
      <c r="W2" s="315"/>
      <c r="X2" s="316"/>
      <c r="Y2" s="317" t="s">
        <v>29</v>
      </c>
      <c r="Z2" s="317" t="s">
        <v>30</v>
      </c>
      <c r="AA2" s="317" t="s">
        <v>26</v>
      </c>
      <c r="AB2" s="317" t="s">
        <v>31</v>
      </c>
      <c r="AC2" s="317" t="s">
        <v>29</v>
      </c>
      <c r="AD2" s="317" t="s">
        <v>30</v>
      </c>
      <c r="AE2" s="317" t="s">
        <v>26</v>
      </c>
      <c r="AF2" s="317" t="s">
        <v>31</v>
      </c>
      <c r="AG2" s="317" t="s">
        <v>29</v>
      </c>
      <c r="AH2" s="317" t="s">
        <v>30</v>
      </c>
      <c r="AI2" s="317" t="s">
        <v>26</v>
      </c>
      <c r="AJ2" s="317" t="s">
        <v>31</v>
      </c>
      <c r="AK2" s="317" t="s">
        <v>29</v>
      </c>
      <c r="AL2" s="317" t="s">
        <v>30</v>
      </c>
      <c r="AM2" s="317" t="s">
        <v>26</v>
      </c>
      <c r="AN2" s="318" t="s">
        <v>31</v>
      </c>
    </row>
    <row r="3" spans="1:40" ht="17" thickBot="1" x14ac:dyDescent="0.35">
      <c r="A3" s="15" t="s">
        <v>97</v>
      </c>
      <c r="B3" s="16" t="s">
        <v>32</v>
      </c>
      <c r="C3" s="17" t="s">
        <v>96</v>
      </c>
      <c r="D3" s="18" t="s">
        <v>21</v>
      </c>
      <c r="E3" s="18" t="s">
        <v>31</v>
      </c>
      <c r="F3" s="18">
        <v>14</v>
      </c>
      <c r="G3" s="19">
        <v>35</v>
      </c>
      <c r="H3" s="20">
        <v>0</v>
      </c>
      <c r="I3" s="21">
        <v>0</v>
      </c>
      <c r="J3" s="21">
        <v>2</v>
      </c>
      <c r="K3" s="21">
        <v>1</v>
      </c>
      <c r="L3" s="21">
        <v>0</v>
      </c>
      <c r="M3" s="21">
        <v>0</v>
      </c>
      <c r="N3" s="21">
        <v>1</v>
      </c>
      <c r="O3" s="21">
        <v>0</v>
      </c>
      <c r="P3" s="21">
        <v>1</v>
      </c>
      <c r="Q3" s="21">
        <v>0</v>
      </c>
      <c r="R3" s="21">
        <v>5</v>
      </c>
      <c r="S3" s="22"/>
      <c r="T3" s="23" t="s">
        <v>230</v>
      </c>
      <c r="U3" s="24" t="str">
        <f>NOLA!U3</f>
        <v>Marquise Goodwin</v>
      </c>
      <c r="V3" s="24" t="str">
        <f>NOLA!V3</f>
        <v>Cam Russell</v>
      </c>
      <c r="W3" s="24" t="str">
        <f>NOLA!W3</f>
        <v>Jacob Gonzales</v>
      </c>
      <c r="X3" s="24" t="str">
        <f>NOLA!X3</f>
        <v>Allen Alongi</v>
      </c>
      <c r="Y3" s="25">
        <v>1</v>
      </c>
      <c r="Z3" s="25">
        <v>0</v>
      </c>
      <c r="AA3" s="25">
        <v>0</v>
      </c>
      <c r="AB3" s="26">
        <v>1</v>
      </c>
      <c r="AC3" s="25"/>
      <c r="AD3" s="25"/>
      <c r="AE3" s="25"/>
      <c r="AF3" s="26"/>
      <c r="AG3" s="25">
        <v>1</v>
      </c>
      <c r="AH3" s="25">
        <v>0</v>
      </c>
      <c r="AI3" s="25">
        <v>0</v>
      </c>
      <c r="AJ3" s="26">
        <v>1</v>
      </c>
      <c r="AK3" s="25"/>
      <c r="AL3" s="25"/>
      <c r="AM3" s="25"/>
      <c r="AN3" s="26"/>
    </row>
    <row r="4" spans="1:40" ht="17" thickBot="1" x14ac:dyDescent="0.35">
      <c r="A4" s="2" t="s">
        <v>98</v>
      </c>
      <c r="B4" s="3" t="s">
        <v>32</v>
      </c>
      <c r="C4" s="4" t="s">
        <v>47</v>
      </c>
      <c r="D4" s="5" t="s">
        <v>34</v>
      </c>
      <c r="E4" s="5" t="s">
        <v>31</v>
      </c>
      <c r="F4" s="5">
        <v>5</v>
      </c>
      <c r="G4" s="6">
        <v>52</v>
      </c>
      <c r="H4" s="7">
        <v>0</v>
      </c>
      <c r="I4" s="8">
        <v>0</v>
      </c>
      <c r="J4" s="8">
        <v>1</v>
      </c>
      <c r="K4" s="5">
        <v>0</v>
      </c>
      <c r="L4" s="8">
        <v>0</v>
      </c>
      <c r="M4" s="5">
        <v>0</v>
      </c>
      <c r="N4" s="8">
        <v>0</v>
      </c>
      <c r="O4" s="8">
        <v>0</v>
      </c>
      <c r="P4" s="8">
        <v>1</v>
      </c>
      <c r="Q4" s="5">
        <v>0</v>
      </c>
      <c r="R4" s="8">
        <v>8</v>
      </c>
      <c r="S4" s="9"/>
      <c r="T4" s="10" t="s">
        <v>247</v>
      </c>
      <c r="U4" s="11" t="s">
        <v>224</v>
      </c>
      <c r="V4" s="12" t="s">
        <v>210</v>
      </c>
      <c r="W4" s="12" t="s">
        <v>239</v>
      </c>
      <c r="X4" s="13" t="s">
        <v>240</v>
      </c>
      <c r="Y4" s="12">
        <v>1</v>
      </c>
      <c r="Z4" s="12">
        <v>0</v>
      </c>
      <c r="AA4" s="12">
        <v>0</v>
      </c>
      <c r="AB4" s="14">
        <v>1</v>
      </c>
      <c r="AC4" s="12">
        <v>1</v>
      </c>
      <c r="AD4" s="12">
        <v>0</v>
      </c>
      <c r="AE4" s="12">
        <v>0</v>
      </c>
      <c r="AF4" s="14">
        <v>1</v>
      </c>
      <c r="AG4" s="12"/>
      <c r="AH4" s="12"/>
      <c r="AI4" s="12"/>
      <c r="AJ4" s="14"/>
      <c r="AK4" s="12"/>
      <c r="AL4" s="12"/>
      <c r="AM4" s="12"/>
      <c r="AN4" s="14"/>
    </row>
    <row r="5" spans="1:40" ht="17" thickBot="1" x14ac:dyDescent="0.35">
      <c r="A5" s="2" t="s">
        <v>99</v>
      </c>
      <c r="B5" s="3" t="s">
        <v>32</v>
      </c>
      <c r="C5" s="4" t="s">
        <v>36</v>
      </c>
      <c r="D5" s="5" t="s">
        <v>34</v>
      </c>
      <c r="E5" s="5" t="s">
        <v>31</v>
      </c>
      <c r="F5" s="5">
        <v>31</v>
      </c>
      <c r="G5" s="6">
        <v>32</v>
      </c>
      <c r="H5" s="27">
        <v>1</v>
      </c>
      <c r="I5" s="6">
        <v>1</v>
      </c>
      <c r="J5" s="8">
        <v>5</v>
      </c>
      <c r="K5" s="8">
        <v>3</v>
      </c>
      <c r="L5" s="8">
        <v>0</v>
      </c>
      <c r="M5" s="8">
        <v>0</v>
      </c>
      <c r="N5" s="8">
        <v>3</v>
      </c>
      <c r="O5" s="8">
        <v>0</v>
      </c>
      <c r="P5" s="5">
        <v>1</v>
      </c>
      <c r="Q5" s="8">
        <v>0</v>
      </c>
      <c r="R5" s="5">
        <v>4</v>
      </c>
      <c r="S5" s="9"/>
      <c r="T5" s="28" t="s">
        <v>259</v>
      </c>
      <c r="U5" s="11" t="s">
        <v>226</v>
      </c>
      <c r="V5" s="12" t="s">
        <v>210</v>
      </c>
      <c r="W5" s="12" t="s">
        <v>212</v>
      </c>
      <c r="X5" s="13" t="s">
        <v>254</v>
      </c>
      <c r="Y5" s="12">
        <v>1</v>
      </c>
      <c r="Z5" s="12">
        <v>0</v>
      </c>
      <c r="AA5" s="12">
        <v>0</v>
      </c>
      <c r="AB5" s="14">
        <v>1</v>
      </c>
      <c r="AC5" s="12">
        <v>1</v>
      </c>
      <c r="AD5" s="12">
        <v>0</v>
      </c>
      <c r="AE5" s="12">
        <v>0</v>
      </c>
      <c r="AF5" s="14">
        <v>1</v>
      </c>
      <c r="AG5" s="12"/>
      <c r="AH5" s="12"/>
      <c r="AI5" s="12"/>
      <c r="AJ5" s="14"/>
      <c r="AK5" s="12"/>
      <c r="AL5" s="12"/>
      <c r="AM5" s="12"/>
      <c r="AN5" s="14"/>
    </row>
    <row r="6" spans="1:40" ht="17" thickBot="1" x14ac:dyDescent="0.35">
      <c r="A6" s="15" t="s">
        <v>100</v>
      </c>
      <c r="B6" s="16" t="s">
        <v>32</v>
      </c>
      <c r="C6" s="17" t="s">
        <v>37</v>
      </c>
      <c r="D6" s="18" t="s">
        <v>21</v>
      </c>
      <c r="E6" s="18" t="s">
        <v>31</v>
      </c>
      <c r="F6" s="18">
        <v>22</v>
      </c>
      <c r="G6" s="19">
        <v>26</v>
      </c>
      <c r="H6" s="19">
        <v>0</v>
      </c>
      <c r="I6" s="21">
        <v>1</v>
      </c>
      <c r="J6" s="18">
        <v>3</v>
      </c>
      <c r="K6" s="18">
        <v>2</v>
      </c>
      <c r="L6" s="21">
        <v>0</v>
      </c>
      <c r="M6" s="21">
        <v>1</v>
      </c>
      <c r="N6" s="21">
        <v>0</v>
      </c>
      <c r="O6" s="21">
        <v>0</v>
      </c>
      <c r="P6" s="21">
        <v>1</v>
      </c>
      <c r="Q6" s="18">
        <v>0</v>
      </c>
      <c r="R6" s="21">
        <v>4</v>
      </c>
      <c r="S6" s="22"/>
      <c r="T6" s="29" t="s">
        <v>274</v>
      </c>
      <c r="U6" s="25" t="str">
        <f>OldGlory!U5</f>
        <v>Ben Connor</v>
      </c>
      <c r="V6" s="25" t="str">
        <f>OldGlory!V5</f>
        <v>Amanda Cox</v>
      </c>
      <c r="W6" s="25" t="str">
        <f>OldGlory!W5</f>
        <v>Federico Anselmi</v>
      </c>
      <c r="X6" s="25" t="str">
        <f>OldGlory!X5</f>
        <v>Allen Alongi</v>
      </c>
      <c r="Y6" s="25">
        <v>1</v>
      </c>
      <c r="Z6" s="25">
        <v>0</v>
      </c>
      <c r="AA6" s="25">
        <v>0</v>
      </c>
      <c r="AB6" s="26">
        <v>1</v>
      </c>
      <c r="AC6" s="25"/>
      <c r="AD6" s="25"/>
      <c r="AE6" s="25"/>
      <c r="AF6" s="26"/>
      <c r="AG6" s="25">
        <v>1</v>
      </c>
      <c r="AH6" s="25">
        <v>0</v>
      </c>
      <c r="AI6" s="25">
        <v>0</v>
      </c>
      <c r="AJ6" s="26">
        <v>1</v>
      </c>
      <c r="AK6" s="25"/>
      <c r="AL6" s="25"/>
      <c r="AM6" s="25"/>
      <c r="AN6" s="26"/>
    </row>
    <row r="7" spans="1:40" ht="17" thickBot="1" x14ac:dyDescent="0.35">
      <c r="A7" s="2" t="s">
        <v>101</v>
      </c>
      <c r="B7" s="3" t="s">
        <v>32</v>
      </c>
      <c r="C7" s="4" t="s">
        <v>44</v>
      </c>
      <c r="D7" s="5" t="s">
        <v>34</v>
      </c>
      <c r="E7" s="8" t="s">
        <v>31</v>
      </c>
      <c r="F7" s="5">
        <v>45</v>
      </c>
      <c r="G7" s="6">
        <v>46</v>
      </c>
      <c r="H7" s="7">
        <v>1</v>
      </c>
      <c r="I7" s="5">
        <v>1</v>
      </c>
      <c r="J7" s="8">
        <v>7</v>
      </c>
      <c r="K7" s="8">
        <v>5</v>
      </c>
      <c r="L7" s="8">
        <v>0</v>
      </c>
      <c r="M7" s="8">
        <v>0</v>
      </c>
      <c r="N7" s="8">
        <v>2</v>
      </c>
      <c r="O7" s="8">
        <v>0</v>
      </c>
      <c r="P7" s="8">
        <v>1</v>
      </c>
      <c r="Q7" s="8">
        <v>0</v>
      </c>
      <c r="R7" s="8">
        <v>7</v>
      </c>
      <c r="S7" s="9"/>
      <c r="T7" s="10" t="s">
        <v>296</v>
      </c>
      <c r="U7" s="11" t="s">
        <v>245</v>
      </c>
      <c r="V7" s="12" t="s">
        <v>220</v>
      </c>
      <c r="W7" s="12" t="s">
        <v>226</v>
      </c>
      <c r="X7" s="13" t="s">
        <v>281</v>
      </c>
      <c r="Y7" s="12">
        <v>1</v>
      </c>
      <c r="Z7" s="12">
        <v>0</v>
      </c>
      <c r="AA7" s="12">
        <v>0</v>
      </c>
      <c r="AB7" s="14">
        <v>1</v>
      </c>
      <c r="AC7" s="12">
        <v>1</v>
      </c>
      <c r="AD7" s="12">
        <v>0</v>
      </c>
      <c r="AE7" s="12">
        <v>0</v>
      </c>
      <c r="AF7" s="14">
        <v>1</v>
      </c>
      <c r="AG7" s="12"/>
      <c r="AH7" s="12"/>
      <c r="AI7" s="12"/>
      <c r="AJ7" s="14"/>
      <c r="AK7" s="12"/>
      <c r="AL7" s="12"/>
      <c r="AM7" s="12"/>
      <c r="AN7" s="14"/>
    </row>
    <row r="8" spans="1:40" ht="17" thickBot="1" x14ac:dyDescent="0.35">
      <c r="A8" s="15" t="s">
        <v>102</v>
      </c>
      <c r="B8" s="16" t="s">
        <v>32</v>
      </c>
      <c r="C8" s="17" t="s">
        <v>43</v>
      </c>
      <c r="D8" s="18" t="s">
        <v>21</v>
      </c>
      <c r="E8" s="21" t="s">
        <v>31</v>
      </c>
      <c r="F8" s="18">
        <v>17</v>
      </c>
      <c r="G8" s="19">
        <v>25</v>
      </c>
      <c r="H8" s="20">
        <v>0</v>
      </c>
      <c r="I8" s="18">
        <v>0</v>
      </c>
      <c r="J8" s="21">
        <v>2</v>
      </c>
      <c r="K8" s="21">
        <v>2</v>
      </c>
      <c r="L8" s="21">
        <v>0</v>
      </c>
      <c r="M8" s="21">
        <v>1</v>
      </c>
      <c r="N8" s="21">
        <v>1</v>
      </c>
      <c r="O8" s="21">
        <v>0</v>
      </c>
      <c r="P8" s="18">
        <v>1</v>
      </c>
      <c r="Q8" s="21">
        <v>0</v>
      </c>
      <c r="R8" s="21">
        <v>4</v>
      </c>
      <c r="S8" s="22"/>
      <c r="T8" s="29" t="s">
        <v>307</v>
      </c>
      <c r="U8" s="24" t="str">
        <f>Seattle!U8</f>
        <v>Marquise Goodwin</v>
      </c>
      <c r="V8" s="24" t="str">
        <f>Seattle!V8</f>
        <v>Chris O'Malley</v>
      </c>
      <c r="W8" s="24" t="str">
        <f>Seattle!W8</f>
        <v>Jacob Gonzales</v>
      </c>
      <c r="X8" s="24" t="str">
        <f>Seattle!X8</f>
        <v>Morris Fuller</v>
      </c>
      <c r="Y8" s="25">
        <v>1</v>
      </c>
      <c r="Z8" s="25">
        <v>0</v>
      </c>
      <c r="AA8" s="25">
        <v>0</v>
      </c>
      <c r="AB8" s="26">
        <v>1</v>
      </c>
      <c r="AC8" s="25"/>
      <c r="AD8" s="25"/>
      <c r="AE8" s="25"/>
      <c r="AF8" s="26"/>
      <c r="AG8" s="25">
        <v>1</v>
      </c>
      <c r="AH8" s="25">
        <v>0</v>
      </c>
      <c r="AI8" s="25">
        <v>0</v>
      </c>
      <c r="AJ8" s="26">
        <v>1</v>
      </c>
      <c r="AK8" s="25"/>
      <c r="AL8" s="25"/>
      <c r="AM8" s="25"/>
      <c r="AN8" s="26"/>
    </row>
    <row r="9" spans="1:40" ht="17" thickBot="1" x14ac:dyDescent="0.35">
      <c r="A9" s="2" t="s">
        <v>103</v>
      </c>
      <c r="B9" s="3" t="s">
        <v>32</v>
      </c>
      <c r="C9" s="4" t="s">
        <v>96</v>
      </c>
      <c r="D9" s="5" t="s">
        <v>34</v>
      </c>
      <c r="E9" s="8" t="s">
        <v>31</v>
      </c>
      <c r="F9" s="5">
        <v>19</v>
      </c>
      <c r="G9" s="6">
        <v>33</v>
      </c>
      <c r="H9" s="7">
        <v>0</v>
      </c>
      <c r="I9" s="8">
        <v>0</v>
      </c>
      <c r="J9" s="8">
        <v>3</v>
      </c>
      <c r="K9" s="8">
        <v>2</v>
      </c>
      <c r="L9" s="8">
        <v>0</v>
      </c>
      <c r="M9" s="8">
        <v>0</v>
      </c>
      <c r="N9" s="8">
        <v>0</v>
      </c>
      <c r="O9" s="8">
        <v>0</v>
      </c>
      <c r="P9" s="8">
        <v>1</v>
      </c>
      <c r="Q9" s="8">
        <v>0</v>
      </c>
      <c r="R9" s="8">
        <v>5</v>
      </c>
      <c r="S9" s="9"/>
      <c r="T9" s="10" t="s">
        <v>318</v>
      </c>
      <c r="U9" s="11" t="s">
        <v>216</v>
      </c>
      <c r="V9" s="12" t="s">
        <v>215</v>
      </c>
      <c r="W9" s="12" t="s">
        <v>224</v>
      </c>
      <c r="X9" s="13" t="s">
        <v>315</v>
      </c>
      <c r="Y9" s="12">
        <v>1</v>
      </c>
      <c r="Z9" s="12">
        <v>0</v>
      </c>
      <c r="AA9" s="12">
        <v>0</v>
      </c>
      <c r="AB9" s="14">
        <v>1</v>
      </c>
      <c r="AC9" s="12">
        <f>Y9</f>
        <v>1</v>
      </c>
      <c r="AD9" s="12">
        <f t="shared" ref="AD9:AF9" si="0">Z9</f>
        <v>0</v>
      </c>
      <c r="AE9" s="12">
        <f t="shared" si="0"/>
        <v>0</v>
      </c>
      <c r="AF9" s="12">
        <f t="shared" si="0"/>
        <v>1</v>
      </c>
      <c r="AG9" s="12"/>
      <c r="AH9" s="12"/>
      <c r="AI9" s="12"/>
      <c r="AJ9" s="14"/>
      <c r="AK9" s="12"/>
      <c r="AL9" s="12"/>
      <c r="AM9" s="12"/>
      <c r="AN9" s="14"/>
    </row>
    <row r="10" spans="1:40" ht="17" thickBot="1" x14ac:dyDescent="0.35">
      <c r="A10" s="15" t="s">
        <v>104</v>
      </c>
      <c r="B10" s="16" t="s">
        <v>32</v>
      </c>
      <c r="C10" s="17" t="s">
        <v>40</v>
      </c>
      <c r="D10" s="18" t="s">
        <v>21</v>
      </c>
      <c r="E10" s="18" t="s">
        <v>31</v>
      </c>
      <c r="F10" s="350">
        <v>20</v>
      </c>
      <c r="G10" s="19">
        <v>28</v>
      </c>
      <c r="H10" s="20">
        <v>0</v>
      </c>
      <c r="I10" s="21">
        <v>0</v>
      </c>
      <c r="J10" s="21">
        <v>3</v>
      </c>
      <c r="K10" s="21">
        <v>1</v>
      </c>
      <c r="L10" s="21">
        <v>0</v>
      </c>
      <c r="M10" s="21">
        <v>1</v>
      </c>
      <c r="N10" s="18">
        <v>1</v>
      </c>
      <c r="O10" s="21">
        <v>0</v>
      </c>
      <c r="P10" s="21">
        <v>1</v>
      </c>
      <c r="Q10" s="18">
        <v>0</v>
      </c>
      <c r="R10" s="21">
        <v>4</v>
      </c>
      <c r="S10" s="22"/>
      <c r="T10" s="23" t="s">
        <v>331</v>
      </c>
      <c r="U10" s="24" t="str">
        <f>Chicago!U10</f>
        <v>Amelia Luciano</v>
      </c>
      <c r="V10" s="24" t="str">
        <f>Chicago!V10</f>
        <v>Amanda Cox</v>
      </c>
      <c r="W10" s="24" t="str">
        <f>Chicago!W10</f>
        <v>Kahlil Harrison</v>
      </c>
      <c r="X10" s="24" t="str">
        <f>Chicago!X10</f>
        <v>Chris O'Malley</v>
      </c>
      <c r="Y10" s="25">
        <f>Chicago!Y10</f>
        <v>1</v>
      </c>
      <c r="Z10" s="25">
        <f>Chicago!AB10</f>
        <v>0</v>
      </c>
      <c r="AA10" s="25">
        <f>Chicago!AA10</f>
        <v>0</v>
      </c>
      <c r="AB10" s="25">
        <f>Chicago!Z10</f>
        <v>1</v>
      </c>
      <c r="AC10" s="25"/>
      <c r="AD10" s="25"/>
      <c r="AE10" s="25"/>
      <c r="AF10" s="26"/>
      <c r="AG10" s="25">
        <f>Y10</f>
        <v>1</v>
      </c>
      <c r="AH10" s="25">
        <f t="shared" ref="AH10:AJ10" si="1">Z10</f>
        <v>0</v>
      </c>
      <c r="AI10" s="25">
        <f t="shared" si="1"/>
        <v>0</v>
      </c>
      <c r="AJ10" s="25">
        <f t="shared" si="1"/>
        <v>1</v>
      </c>
      <c r="AK10" s="25"/>
      <c r="AL10" s="25"/>
      <c r="AM10" s="25"/>
      <c r="AN10" s="26"/>
    </row>
    <row r="11" spans="1:40" ht="17" thickBot="1" x14ac:dyDescent="0.35">
      <c r="A11" s="2" t="s">
        <v>105</v>
      </c>
      <c r="B11" s="3" t="s">
        <v>32</v>
      </c>
      <c r="C11" s="4" t="s">
        <v>33</v>
      </c>
      <c r="D11" s="5" t="s">
        <v>34</v>
      </c>
      <c r="E11" s="5" t="s">
        <v>31</v>
      </c>
      <c r="F11" s="5">
        <v>6</v>
      </c>
      <c r="G11" s="6">
        <v>26</v>
      </c>
      <c r="H11" s="7">
        <v>0</v>
      </c>
      <c r="I11" s="8">
        <v>0</v>
      </c>
      <c r="J11" s="8">
        <v>0</v>
      </c>
      <c r="K11" s="8">
        <v>0</v>
      </c>
      <c r="L11" s="8">
        <v>0</v>
      </c>
      <c r="M11" s="8">
        <v>2</v>
      </c>
      <c r="N11" s="8">
        <v>0</v>
      </c>
      <c r="O11" s="8">
        <v>0</v>
      </c>
      <c r="P11" s="8">
        <v>1</v>
      </c>
      <c r="Q11" s="5">
        <v>0</v>
      </c>
      <c r="R11" s="8">
        <v>4</v>
      </c>
      <c r="S11" s="9"/>
      <c r="T11" s="10" t="s">
        <v>298</v>
      </c>
      <c r="U11" s="11" t="s">
        <v>212</v>
      </c>
      <c r="V11" s="12" t="s">
        <v>210</v>
      </c>
      <c r="W11" s="12" t="s">
        <v>269</v>
      </c>
      <c r="X11" s="13" t="s">
        <v>315</v>
      </c>
      <c r="Y11" s="12">
        <v>1</v>
      </c>
      <c r="Z11" s="12">
        <v>0</v>
      </c>
      <c r="AA11" s="12">
        <v>0</v>
      </c>
      <c r="AB11" s="14">
        <v>1</v>
      </c>
      <c r="AC11" s="12">
        <f>Y11</f>
        <v>1</v>
      </c>
      <c r="AD11" s="12">
        <f t="shared" ref="AD11:AF12" si="2">Z11</f>
        <v>0</v>
      </c>
      <c r="AE11" s="12">
        <f t="shared" si="2"/>
        <v>0</v>
      </c>
      <c r="AF11" s="12">
        <f t="shared" si="2"/>
        <v>1</v>
      </c>
      <c r="AG11" s="12"/>
      <c r="AH11" s="12"/>
      <c r="AI11" s="12"/>
      <c r="AJ11" s="14"/>
      <c r="AK11" s="12"/>
      <c r="AL11" s="12"/>
      <c r="AM11" s="12"/>
      <c r="AN11" s="14"/>
    </row>
    <row r="12" spans="1:40" ht="17" thickBot="1" x14ac:dyDescent="0.35">
      <c r="A12" s="31" t="s">
        <v>106</v>
      </c>
      <c r="B12" s="3" t="s">
        <v>32</v>
      </c>
      <c r="C12" s="4" t="s">
        <v>43</v>
      </c>
      <c r="D12" s="5" t="s">
        <v>34</v>
      </c>
      <c r="E12" s="5" t="s">
        <v>31</v>
      </c>
      <c r="F12" s="5">
        <v>19</v>
      </c>
      <c r="G12" s="6">
        <v>60</v>
      </c>
      <c r="H12" s="7">
        <v>0</v>
      </c>
      <c r="I12" s="8">
        <v>0</v>
      </c>
      <c r="J12" s="8">
        <v>3</v>
      </c>
      <c r="K12" s="8">
        <v>2</v>
      </c>
      <c r="L12" s="8">
        <v>0</v>
      </c>
      <c r="M12" s="8">
        <v>0</v>
      </c>
      <c r="N12" s="5">
        <v>2</v>
      </c>
      <c r="O12" s="8">
        <v>0</v>
      </c>
      <c r="P12" s="8">
        <v>1</v>
      </c>
      <c r="Q12" s="8">
        <v>0</v>
      </c>
      <c r="R12" s="8">
        <v>9</v>
      </c>
      <c r="S12" s="32"/>
      <c r="T12" s="10" t="s">
        <v>337</v>
      </c>
      <c r="U12" s="11" t="s">
        <v>222</v>
      </c>
      <c r="V12" s="12" t="s">
        <v>210</v>
      </c>
      <c r="W12" s="12" t="s">
        <v>220</v>
      </c>
      <c r="X12" s="13" t="s">
        <v>315</v>
      </c>
      <c r="Y12" s="12">
        <v>1</v>
      </c>
      <c r="Z12" s="12">
        <v>0</v>
      </c>
      <c r="AA12" s="12">
        <v>0</v>
      </c>
      <c r="AB12" s="14">
        <v>1</v>
      </c>
      <c r="AC12" s="12">
        <f>Y12</f>
        <v>1</v>
      </c>
      <c r="AD12" s="12">
        <f t="shared" si="2"/>
        <v>0</v>
      </c>
      <c r="AE12" s="12">
        <f t="shared" si="2"/>
        <v>0</v>
      </c>
      <c r="AF12" s="12">
        <f t="shared" si="2"/>
        <v>1</v>
      </c>
      <c r="AG12" s="12"/>
      <c r="AH12" s="12"/>
      <c r="AI12" s="12"/>
      <c r="AJ12" s="14"/>
      <c r="AK12" s="12"/>
      <c r="AL12" s="12"/>
      <c r="AM12" s="12"/>
      <c r="AN12" s="14"/>
    </row>
    <row r="13" spans="1:40" ht="17" thickBot="1" x14ac:dyDescent="0.35">
      <c r="A13" s="33" t="s">
        <v>41</v>
      </c>
      <c r="B13" s="16" t="s">
        <v>32</v>
      </c>
      <c r="C13" s="17" t="s">
        <v>36</v>
      </c>
      <c r="D13" s="18" t="s">
        <v>21</v>
      </c>
      <c r="E13" s="18" t="s">
        <v>31</v>
      </c>
      <c r="F13" s="18">
        <v>5</v>
      </c>
      <c r="G13" s="19">
        <v>31</v>
      </c>
      <c r="H13" s="20">
        <v>0</v>
      </c>
      <c r="I13" s="21">
        <v>0</v>
      </c>
      <c r="J13" s="21">
        <v>1</v>
      </c>
      <c r="K13" s="21">
        <v>0</v>
      </c>
      <c r="L13" s="21">
        <v>0</v>
      </c>
      <c r="M13" s="21">
        <v>0</v>
      </c>
      <c r="N13" s="21">
        <v>1</v>
      </c>
      <c r="O13" s="21">
        <v>0</v>
      </c>
      <c r="P13" s="21">
        <v>1</v>
      </c>
      <c r="Q13" s="21">
        <v>0</v>
      </c>
      <c r="R13" s="21">
        <v>4</v>
      </c>
      <c r="S13" s="34"/>
      <c r="T13" s="23" t="s">
        <v>351</v>
      </c>
      <c r="U13" s="24" t="str">
        <f>Miami!U12</f>
        <v>Robin Kaluzniak</v>
      </c>
      <c r="V13" s="24" t="str">
        <f>Miami!V12</f>
        <v>Derek Summers</v>
      </c>
      <c r="W13" s="24" t="str">
        <f>Miami!W12</f>
        <v>Marquise Goodwin</v>
      </c>
      <c r="X13" s="24" t="str">
        <f>Miami!X12</f>
        <v>Kye Martinovic</v>
      </c>
      <c r="Y13" s="25">
        <f>Miami!Y12</f>
        <v>1</v>
      </c>
      <c r="Z13" s="25">
        <f>Miami!AB12</f>
        <v>0</v>
      </c>
      <c r="AA13" s="25">
        <f>Miami!AA12</f>
        <v>0</v>
      </c>
      <c r="AB13" s="26">
        <f>Miami!Z12</f>
        <v>1</v>
      </c>
      <c r="AC13" s="25"/>
      <c r="AD13" s="25"/>
      <c r="AE13" s="25"/>
      <c r="AF13" s="26"/>
      <c r="AG13" s="25">
        <f>Y13</f>
        <v>1</v>
      </c>
      <c r="AH13" s="25">
        <f t="shared" ref="AH13:AJ14" si="3">Z13</f>
        <v>0</v>
      </c>
      <c r="AI13" s="25">
        <f t="shared" si="3"/>
        <v>0</v>
      </c>
      <c r="AJ13" s="25">
        <f t="shared" si="3"/>
        <v>1</v>
      </c>
      <c r="AK13" s="25"/>
      <c r="AL13" s="25"/>
      <c r="AM13" s="25"/>
      <c r="AN13" s="26"/>
    </row>
    <row r="14" spans="1:40" ht="17" thickBot="1" x14ac:dyDescent="0.35">
      <c r="A14" s="33" t="s">
        <v>107</v>
      </c>
      <c r="B14" s="16" t="s">
        <v>32</v>
      </c>
      <c r="C14" s="17" t="s">
        <v>46</v>
      </c>
      <c r="D14" s="18" t="s">
        <v>21</v>
      </c>
      <c r="E14" s="18" t="s">
        <v>31</v>
      </c>
      <c r="F14" s="18">
        <v>17</v>
      </c>
      <c r="G14" s="19">
        <v>45</v>
      </c>
      <c r="H14" s="20">
        <v>0</v>
      </c>
      <c r="I14" s="21">
        <v>0</v>
      </c>
      <c r="J14" s="21">
        <v>3</v>
      </c>
      <c r="K14" s="21">
        <v>1</v>
      </c>
      <c r="L14" s="21">
        <v>0</v>
      </c>
      <c r="M14" s="21">
        <v>0</v>
      </c>
      <c r="N14" s="21">
        <v>0</v>
      </c>
      <c r="O14" s="21">
        <v>0</v>
      </c>
      <c r="P14" s="21">
        <v>1</v>
      </c>
      <c r="Q14" s="21">
        <v>0</v>
      </c>
      <c r="R14" s="21">
        <v>7</v>
      </c>
      <c r="S14" s="34"/>
      <c r="T14" s="23" t="s">
        <v>369</v>
      </c>
      <c r="U14" s="24" t="str">
        <f>LosAngeles!U14</f>
        <v>Derek Summers</v>
      </c>
      <c r="V14" s="24" t="str">
        <f>LosAngeles!V14</f>
        <v>Cam Russell</v>
      </c>
      <c r="W14" s="24" t="str">
        <f>LosAngeles!W14</f>
        <v>Marquise Goodwin</v>
      </c>
      <c r="X14" s="24" t="str">
        <f>LosAngeles!X14</f>
        <v>Kirk Swanner</v>
      </c>
      <c r="Y14" s="25">
        <f>LosAngeles!Y14</f>
        <v>1</v>
      </c>
      <c r="Z14" s="25">
        <f>LosAngeles!AB14</f>
        <v>0</v>
      </c>
      <c r="AA14" s="25">
        <f>LosAngeles!AA14</f>
        <v>0</v>
      </c>
      <c r="AB14" s="26">
        <f>LosAngeles!Z14</f>
        <v>1</v>
      </c>
      <c r="AC14" s="25"/>
      <c r="AD14" s="25"/>
      <c r="AE14" s="25"/>
      <c r="AF14" s="25"/>
      <c r="AG14" s="25">
        <f>Y14</f>
        <v>1</v>
      </c>
      <c r="AH14" s="25">
        <f t="shared" si="3"/>
        <v>0</v>
      </c>
      <c r="AI14" s="25">
        <f t="shared" si="3"/>
        <v>0</v>
      </c>
      <c r="AJ14" s="25">
        <f t="shared" si="3"/>
        <v>1</v>
      </c>
      <c r="AK14" s="25"/>
      <c r="AL14" s="25"/>
      <c r="AM14" s="25"/>
      <c r="AN14" s="26"/>
    </row>
    <row r="15" spans="1:40" ht="17" thickBot="1" x14ac:dyDescent="0.35">
      <c r="A15" s="31" t="s">
        <v>108</v>
      </c>
      <c r="B15" s="3" t="s">
        <v>32</v>
      </c>
      <c r="C15" s="4" t="s">
        <v>37</v>
      </c>
      <c r="D15" s="5" t="s">
        <v>34</v>
      </c>
      <c r="E15" s="5" t="s">
        <v>31</v>
      </c>
      <c r="F15" s="5">
        <v>19</v>
      </c>
      <c r="G15" s="6">
        <v>41</v>
      </c>
      <c r="H15" s="7">
        <v>0</v>
      </c>
      <c r="I15" s="8">
        <v>0</v>
      </c>
      <c r="J15" s="8">
        <v>3</v>
      </c>
      <c r="K15" s="8">
        <v>1</v>
      </c>
      <c r="L15" s="8">
        <v>0</v>
      </c>
      <c r="M15" s="8">
        <v>0</v>
      </c>
      <c r="N15" s="8">
        <v>1</v>
      </c>
      <c r="O15" s="8">
        <v>0</v>
      </c>
      <c r="P15" s="8">
        <v>1</v>
      </c>
      <c r="Q15" s="8">
        <v>0</v>
      </c>
      <c r="R15" s="8">
        <v>7</v>
      </c>
      <c r="S15" s="32"/>
      <c r="T15" s="10" t="s">
        <v>329</v>
      </c>
      <c r="U15" s="11" t="s">
        <v>362</v>
      </c>
      <c r="V15" s="12" t="s">
        <v>213</v>
      </c>
      <c r="W15" s="12" t="s">
        <v>212</v>
      </c>
      <c r="X15" s="13" t="s">
        <v>254</v>
      </c>
      <c r="Y15" s="12">
        <v>1</v>
      </c>
      <c r="Z15" s="12">
        <v>0</v>
      </c>
      <c r="AA15" s="12">
        <v>0</v>
      </c>
      <c r="AB15" s="14">
        <v>1</v>
      </c>
      <c r="AC15" s="12">
        <f>Y15</f>
        <v>1</v>
      </c>
      <c r="AD15" s="12">
        <f t="shared" ref="AD15:AF16" si="4">Z15</f>
        <v>0</v>
      </c>
      <c r="AE15" s="12">
        <f t="shared" si="4"/>
        <v>0</v>
      </c>
      <c r="AF15" s="12">
        <f t="shared" si="4"/>
        <v>1</v>
      </c>
      <c r="AG15" s="12"/>
      <c r="AH15" s="12"/>
      <c r="AI15" s="12"/>
      <c r="AJ15" s="14"/>
      <c r="AK15" s="12"/>
      <c r="AL15" s="12"/>
      <c r="AM15" s="12"/>
      <c r="AN15" s="14"/>
    </row>
    <row r="16" spans="1:40" ht="17" thickBot="1" x14ac:dyDescent="0.35">
      <c r="A16" s="31" t="s">
        <v>109</v>
      </c>
      <c r="B16" s="3" t="s">
        <v>32</v>
      </c>
      <c r="C16" s="4" t="s">
        <v>40</v>
      </c>
      <c r="D16" s="5" t="s">
        <v>34</v>
      </c>
      <c r="E16" s="5" t="s">
        <v>31</v>
      </c>
      <c r="F16" s="5">
        <v>19</v>
      </c>
      <c r="G16" s="6">
        <v>33</v>
      </c>
      <c r="H16" s="7">
        <v>0</v>
      </c>
      <c r="I16" s="8">
        <v>0</v>
      </c>
      <c r="J16" s="8">
        <v>3</v>
      </c>
      <c r="K16" s="8">
        <v>2</v>
      </c>
      <c r="L16" s="8">
        <v>0</v>
      </c>
      <c r="M16" s="8">
        <v>0</v>
      </c>
      <c r="N16" s="8">
        <v>2</v>
      </c>
      <c r="O16" s="8">
        <v>0</v>
      </c>
      <c r="P16" s="8">
        <v>1</v>
      </c>
      <c r="Q16" s="8">
        <v>0</v>
      </c>
      <c r="R16" s="8">
        <v>5</v>
      </c>
      <c r="S16" s="32"/>
      <c r="T16" s="10" t="s">
        <v>357</v>
      </c>
      <c r="U16" s="11" t="s">
        <v>218</v>
      </c>
      <c r="V16" s="12" t="s">
        <v>237</v>
      </c>
      <c r="W16" s="12" t="s">
        <v>219</v>
      </c>
      <c r="X16" s="12" t="s">
        <v>254</v>
      </c>
      <c r="Y16" s="12">
        <v>1</v>
      </c>
      <c r="Z16" s="12">
        <v>0</v>
      </c>
      <c r="AA16" s="12">
        <v>0</v>
      </c>
      <c r="AB16" s="14">
        <v>1</v>
      </c>
      <c r="AC16" s="12">
        <f>Y16</f>
        <v>1</v>
      </c>
      <c r="AD16" s="12">
        <f t="shared" si="4"/>
        <v>0</v>
      </c>
      <c r="AE16" s="12">
        <f t="shared" si="4"/>
        <v>0</v>
      </c>
      <c r="AF16" s="12">
        <f t="shared" si="4"/>
        <v>1</v>
      </c>
      <c r="AG16" s="12"/>
      <c r="AH16" s="12"/>
      <c r="AI16" s="12"/>
      <c r="AJ16" s="14"/>
      <c r="AK16" s="12"/>
      <c r="AL16" s="12"/>
      <c r="AM16" s="12"/>
      <c r="AN16" s="14"/>
    </row>
    <row r="17" spans="1:40" ht="17" thickBot="1" x14ac:dyDescent="0.35">
      <c r="A17" s="33" t="s">
        <v>110</v>
      </c>
      <c r="B17" s="16" t="s">
        <v>32</v>
      </c>
      <c r="C17" s="17" t="s">
        <v>39</v>
      </c>
      <c r="D17" s="18" t="s">
        <v>21</v>
      </c>
      <c r="E17" s="18" t="s">
        <v>31</v>
      </c>
      <c r="F17" s="18">
        <v>10</v>
      </c>
      <c r="G17" s="19">
        <v>31</v>
      </c>
      <c r="H17" s="20">
        <v>0</v>
      </c>
      <c r="I17" s="21">
        <v>0</v>
      </c>
      <c r="J17" s="21">
        <v>1</v>
      </c>
      <c r="K17" s="21">
        <v>1</v>
      </c>
      <c r="L17" s="21">
        <v>0</v>
      </c>
      <c r="M17" s="21">
        <v>1</v>
      </c>
      <c r="N17" s="18">
        <v>0</v>
      </c>
      <c r="O17" s="21">
        <v>0</v>
      </c>
      <c r="P17" s="21">
        <v>1</v>
      </c>
      <c r="Q17" s="21">
        <v>0</v>
      </c>
      <c r="R17" s="21">
        <v>5</v>
      </c>
      <c r="S17" s="22"/>
      <c r="T17" s="23" t="s">
        <v>393</v>
      </c>
      <c r="U17" s="25" t="str">
        <f>Utah!U17</f>
        <v>Derek Summers</v>
      </c>
      <c r="V17" s="25" t="str">
        <f>Utah!V17</f>
        <v>Amanda Cox</v>
      </c>
      <c r="W17" s="25" t="str">
        <f>Utah!W17</f>
        <v>Kahlil Harrison</v>
      </c>
      <c r="X17" s="25" t="str">
        <f>Utah!X17</f>
        <v>Alex Nunnally</v>
      </c>
      <c r="Y17" s="25">
        <f>Utah!Y17</f>
        <v>1</v>
      </c>
      <c r="Z17" s="25">
        <f>Utah!AB17</f>
        <v>0</v>
      </c>
      <c r="AA17" s="25">
        <f>Utah!AA17</f>
        <v>0</v>
      </c>
      <c r="AB17" s="26">
        <f>Utah!Z17</f>
        <v>1</v>
      </c>
      <c r="AC17" s="25"/>
      <c r="AD17" s="25"/>
      <c r="AE17" s="25"/>
      <c r="AF17" s="26"/>
      <c r="AG17" s="25">
        <f>Y17</f>
        <v>1</v>
      </c>
      <c r="AH17" s="25">
        <f t="shared" ref="AH17:AJ18" si="5">Z17</f>
        <v>0</v>
      </c>
      <c r="AI17" s="25">
        <f t="shared" si="5"/>
        <v>0</v>
      </c>
      <c r="AJ17" s="25">
        <f t="shared" si="5"/>
        <v>1</v>
      </c>
      <c r="AK17" s="25"/>
      <c r="AL17" s="25"/>
      <c r="AM17" s="25"/>
      <c r="AN17" s="26"/>
    </row>
    <row r="18" spans="1:40" x14ac:dyDescent="0.3">
      <c r="A18" s="231" t="s">
        <v>111</v>
      </c>
      <c r="B18" s="232" t="s">
        <v>32</v>
      </c>
      <c r="C18" s="233" t="s">
        <v>44</v>
      </c>
      <c r="D18" s="234" t="s">
        <v>21</v>
      </c>
      <c r="E18" s="234" t="s">
        <v>31</v>
      </c>
      <c r="F18" s="235">
        <v>14</v>
      </c>
      <c r="G18" s="236">
        <v>26</v>
      </c>
      <c r="H18" s="237">
        <v>0</v>
      </c>
      <c r="I18" s="238">
        <v>0</v>
      </c>
      <c r="J18" s="238">
        <v>2</v>
      </c>
      <c r="K18" s="238">
        <v>1</v>
      </c>
      <c r="L18" s="238">
        <v>0</v>
      </c>
      <c r="M18" s="238">
        <v>0</v>
      </c>
      <c r="N18" s="238">
        <v>1</v>
      </c>
      <c r="O18" s="238">
        <v>0</v>
      </c>
      <c r="P18" s="238">
        <v>1</v>
      </c>
      <c r="Q18" s="238">
        <v>0</v>
      </c>
      <c r="R18" s="238">
        <v>4</v>
      </c>
      <c r="S18" s="239"/>
      <c r="T18" s="240" t="s">
        <v>358</v>
      </c>
      <c r="U18" s="241" t="str">
        <f>Houston!U18</f>
        <v>Federico Anselmi</v>
      </c>
      <c r="V18" s="241" t="str">
        <f>Houston!V18</f>
        <v>Austin Reed</v>
      </c>
      <c r="W18" s="241" t="str">
        <f>Houston!W18</f>
        <v>Chris Assmus</v>
      </c>
      <c r="X18" s="241" t="str">
        <f>Houston!X18</f>
        <v>Blair McClure</v>
      </c>
      <c r="Y18" s="241">
        <f>Houston!Y18</f>
        <v>1</v>
      </c>
      <c r="Z18" s="241">
        <f>Houston!AB18</f>
        <v>0</v>
      </c>
      <c r="AA18" s="241">
        <f>Houston!AA18</f>
        <v>0</v>
      </c>
      <c r="AB18" s="242">
        <f>Houston!Z18</f>
        <v>1</v>
      </c>
      <c r="AC18" s="241"/>
      <c r="AD18" s="241"/>
      <c r="AE18" s="241"/>
      <c r="AF18" s="242"/>
      <c r="AG18" s="241">
        <f>Y18</f>
        <v>1</v>
      </c>
      <c r="AH18" s="241">
        <f t="shared" si="5"/>
        <v>0</v>
      </c>
      <c r="AI18" s="241">
        <f t="shared" si="5"/>
        <v>0</v>
      </c>
      <c r="AJ18" s="241">
        <f t="shared" si="5"/>
        <v>1</v>
      </c>
      <c r="AK18" s="241"/>
      <c r="AL18" s="241"/>
      <c r="AM18" s="241"/>
      <c r="AN18" s="242"/>
    </row>
    <row r="19" spans="1:40" ht="17" thickBot="1" x14ac:dyDescent="0.35">
      <c r="A19" s="39"/>
      <c r="B19" s="40"/>
      <c r="C19" s="404" t="s">
        <v>48</v>
      </c>
      <c r="D19" s="405"/>
      <c r="E19" s="406"/>
      <c r="F19" s="243">
        <f t="shared" ref="F19:R19" si="6">SUM(F3+F4+F5+F6+F7+F8+F9+F10+F11+F12+F13+F14+F15+F16+F17+F18)</f>
        <v>282</v>
      </c>
      <c r="G19" s="243">
        <f t="shared" si="6"/>
        <v>570</v>
      </c>
      <c r="H19" s="243">
        <f t="shared" si="6"/>
        <v>2</v>
      </c>
      <c r="I19" s="243">
        <f t="shared" si="6"/>
        <v>3</v>
      </c>
      <c r="J19" s="243">
        <f t="shared" si="6"/>
        <v>42</v>
      </c>
      <c r="K19" s="243">
        <f t="shared" si="6"/>
        <v>24</v>
      </c>
      <c r="L19" s="243">
        <f t="shared" si="6"/>
        <v>0</v>
      </c>
      <c r="M19" s="243">
        <f t="shared" si="6"/>
        <v>6</v>
      </c>
      <c r="N19" s="243">
        <f t="shared" si="6"/>
        <v>15</v>
      </c>
      <c r="O19" s="243">
        <f t="shared" si="6"/>
        <v>0</v>
      </c>
      <c r="P19" s="243">
        <f t="shared" si="6"/>
        <v>16</v>
      </c>
      <c r="Q19" s="243">
        <f t="shared" si="6"/>
        <v>0</v>
      </c>
      <c r="R19" s="243">
        <f t="shared" si="6"/>
        <v>86</v>
      </c>
      <c r="S19" s="42"/>
      <c r="T19" s="42"/>
      <c r="U19" s="42"/>
      <c r="V19" s="42"/>
      <c r="W19" s="43"/>
      <c r="X19" s="244" t="s">
        <v>48</v>
      </c>
      <c r="Y19" s="243">
        <f t="shared" ref="Y19:AN19" si="7">Y3+Y4+Y5+Y6+Y7+Y8+Y9+Y10+Y11+Y12+Y13+Y14+Y15+Y16+Y17+Y18</f>
        <v>16</v>
      </c>
      <c r="Z19" s="243">
        <f t="shared" si="7"/>
        <v>0</v>
      </c>
      <c r="AA19" s="243">
        <f t="shared" si="7"/>
        <v>0</v>
      </c>
      <c r="AB19" s="243">
        <f t="shared" si="7"/>
        <v>16</v>
      </c>
      <c r="AC19" s="245">
        <f t="shared" si="7"/>
        <v>8</v>
      </c>
      <c r="AD19" s="245">
        <f t="shared" si="7"/>
        <v>0</v>
      </c>
      <c r="AE19" s="245">
        <f t="shared" si="7"/>
        <v>0</v>
      </c>
      <c r="AF19" s="245">
        <f t="shared" si="7"/>
        <v>8</v>
      </c>
      <c r="AG19" s="246">
        <f t="shared" si="7"/>
        <v>8</v>
      </c>
      <c r="AH19" s="246">
        <f t="shared" si="7"/>
        <v>0</v>
      </c>
      <c r="AI19" s="246">
        <f t="shared" si="7"/>
        <v>0</v>
      </c>
      <c r="AJ19" s="246">
        <f t="shared" si="7"/>
        <v>8</v>
      </c>
      <c r="AK19" s="243">
        <f t="shared" si="7"/>
        <v>0</v>
      </c>
      <c r="AL19" s="243">
        <f t="shared" si="7"/>
        <v>0</v>
      </c>
      <c r="AM19" s="243">
        <f t="shared" si="7"/>
        <v>0</v>
      </c>
      <c r="AN19" s="243">
        <f t="shared" si="7"/>
        <v>0</v>
      </c>
    </row>
    <row r="20" spans="1:40" ht="17" thickBot="1" x14ac:dyDescent="0.35">
      <c r="A20" s="39"/>
      <c r="B20" s="40"/>
      <c r="C20" s="389" t="s">
        <v>49</v>
      </c>
      <c r="D20" s="390"/>
      <c r="E20" s="391"/>
      <c r="F20" s="46">
        <f>F19</f>
        <v>282</v>
      </c>
      <c r="G20" s="46">
        <f t="shared" ref="G20:R20" si="8">G19</f>
        <v>570</v>
      </c>
      <c r="H20" s="46">
        <f t="shared" si="8"/>
        <v>2</v>
      </c>
      <c r="I20" s="46">
        <f t="shared" si="8"/>
        <v>3</v>
      </c>
      <c r="J20" s="46">
        <f t="shared" si="8"/>
        <v>42</v>
      </c>
      <c r="K20" s="46">
        <f t="shared" si="8"/>
        <v>24</v>
      </c>
      <c r="L20" s="46">
        <f t="shared" si="8"/>
        <v>0</v>
      </c>
      <c r="M20" s="46">
        <f t="shared" si="8"/>
        <v>6</v>
      </c>
      <c r="N20" s="46">
        <f t="shared" si="8"/>
        <v>15</v>
      </c>
      <c r="O20" s="46">
        <f t="shared" si="8"/>
        <v>0</v>
      </c>
      <c r="P20" s="46">
        <f t="shared" si="8"/>
        <v>16</v>
      </c>
      <c r="Q20" s="46">
        <f t="shared" si="8"/>
        <v>0</v>
      </c>
      <c r="R20" s="46">
        <f t="shared" si="8"/>
        <v>86</v>
      </c>
      <c r="S20" s="42"/>
      <c r="T20" s="42"/>
      <c r="U20" s="42"/>
      <c r="V20" s="42"/>
      <c r="W20" s="43"/>
      <c r="X20" s="44" t="s">
        <v>49</v>
      </c>
      <c r="Y20" s="41">
        <f>Y19</f>
        <v>16</v>
      </c>
      <c r="Z20" s="41">
        <f t="shared" ref="Z20:AN20" si="9">Z19</f>
        <v>0</v>
      </c>
      <c r="AA20" s="41">
        <f t="shared" si="9"/>
        <v>0</v>
      </c>
      <c r="AB20" s="41">
        <f t="shared" si="9"/>
        <v>16</v>
      </c>
      <c r="AC20" s="45">
        <f t="shared" si="9"/>
        <v>8</v>
      </c>
      <c r="AD20" s="45">
        <f t="shared" si="9"/>
        <v>0</v>
      </c>
      <c r="AE20" s="45">
        <f t="shared" si="9"/>
        <v>0</v>
      </c>
      <c r="AF20" s="45">
        <f t="shared" si="9"/>
        <v>8</v>
      </c>
      <c r="AG20" s="38">
        <f t="shared" si="9"/>
        <v>8</v>
      </c>
      <c r="AH20" s="38">
        <f t="shared" si="9"/>
        <v>0</v>
      </c>
      <c r="AI20" s="38">
        <f t="shared" si="9"/>
        <v>0</v>
      </c>
      <c r="AJ20" s="38">
        <f t="shared" si="9"/>
        <v>8</v>
      </c>
      <c r="AK20" s="41">
        <f t="shared" si="9"/>
        <v>0</v>
      </c>
      <c r="AL20" s="41">
        <f t="shared" si="9"/>
        <v>0</v>
      </c>
      <c r="AM20" s="41">
        <f t="shared" si="9"/>
        <v>0</v>
      </c>
      <c r="AN20" s="41">
        <f t="shared" si="9"/>
        <v>0</v>
      </c>
    </row>
    <row r="22" spans="1:40" x14ac:dyDescent="0.3">
      <c r="A22" s="1" t="s">
        <v>52</v>
      </c>
    </row>
  </sheetData>
  <mergeCells count="12">
    <mergeCell ref="Y1:AB1"/>
    <mergeCell ref="AC1:AF1"/>
    <mergeCell ref="AG1:AJ1"/>
    <mergeCell ref="AK1:AN1"/>
    <mergeCell ref="C19:E19"/>
    <mergeCell ref="N1:O1"/>
    <mergeCell ref="P1:R1"/>
    <mergeCell ref="C20:E20"/>
    <mergeCell ref="A1:D1"/>
    <mergeCell ref="E1:G1"/>
    <mergeCell ref="H1:I1"/>
    <mergeCell ref="J1:M1"/>
  </mergeCells>
  <pageMargins left="0.7" right="0.7" top="0.75" bottom="0.75" header="0.3" footer="0.3"/>
  <ignoredErrors>
    <ignoredError sqref="T15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7842-9AB1-B645-8541-7CA0E0656569}">
  <dimension ref="A1:AN24"/>
  <sheetViews>
    <sheetView workbookViewId="0">
      <selection sqref="A1:D1"/>
    </sheetView>
  </sheetViews>
  <sheetFormatPr defaultColWidth="11.44140625" defaultRowHeight="16.3" x14ac:dyDescent="0.3"/>
  <cols>
    <col min="1" max="1" width="6.44140625" style="47" bestFit="1" customWidth="1"/>
    <col min="2" max="2" width="6" style="47" bestFit="1" customWidth="1"/>
    <col min="3" max="3" width="12" style="47" customWidth="1"/>
    <col min="4" max="4" width="4.77734375" style="47" customWidth="1"/>
    <col min="5" max="7" width="4.6640625" style="47" customWidth="1"/>
    <col min="8" max="18" width="4.77734375" style="47" customWidth="1"/>
    <col min="19" max="19" width="7" style="47" customWidth="1"/>
    <col min="20" max="20" width="6.77734375" style="47" customWidth="1"/>
    <col min="21" max="21" width="24" style="47" bestFit="1" customWidth="1"/>
    <col min="22" max="23" width="29" style="47" bestFit="1" customWidth="1"/>
    <col min="24" max="24" width="24" style="47" bestFit="1" customWidth="1"/>
    <col min="25" max="40" width="4.77734375" style="47" customWidth="1"/>
  </cols>
  <sheetData>
    <row r="1" spans="1:40" ht="17" thickBot="1" x14ac:dyDescent="0.35">
      <c r="A1" s="505" t="s">
        <v>61</v>
      </c>
      <c r="B1" s="506"/>
      <c r="C1" s="506"/>
      <c r="D1" s="507"/>
      <c r="E1" s="508" t="s">
        <v>0</v>
      </c>
      <c r="F1" s="509"/>
      <c r="G1" s="510"/>
      <c r="H1" s="508" t="s">
        <v>1</v>
      </c>
      <c r="I1" s="510"/>
      <c r="J1" s="511" t="s">
        <v>2</v>
      </c>
      <c r="K1" s="512"/>
      <c r="L1" s="512"/>
      <c r="M1" s="513"/>
      <c r="N1" s="511" t="s">
        <v>3</v>
      </c>
      <c r="O1" s="513"/>
      <c r="P1" s="511" t="s">
        <v>4</v>
      </c>
      <c r="Q1" s="512"/>
      <c r="R1" s="513"/>
      <c r="S1" s="174" t="s">
        <v>5</v>
      </c>
      <c r="T1" s="174" t="s">
        <v>6</v>
      </c>
      <c r="U1" s="175" t="s">
        <v>7</v>
      </c>
      <c r="V1" s="176" t="s">
        <v>8</v>
      </c>
      <c r="W1" s="176" t="s">
        <v>9</v>
      </c>
      <c r="X1" s="177" t="s">
        <v>10</v>
      </c>
      <c r="Y1" s="514" t="s">
        <v>11</v>
      </c>
      <c r="Z1" s="515"/>
      <c r="AA1" s="515"/>
      <c r="AB1" s="516"/>
      <c r="AC1" s="514" t="s">
        <v>12</v>
      </c>
      <c r="AD1" s="515"/>
      <c r="AE1" s="515"/>
      <c r="AF1" s="516"/>
      <c r="AG1" s="514" t="s">
        <v>13</v>
      </c>
      <c r="AH1" s="515"/>
      <c r="AI1" s="515"/>
      <c r="AJ1" s="516"/>
      <c r="AK1" s="514" t="s">
        <v>14</v>
      </c>
      <c r="AL1" s="515"/>
      <c r="AM1" s="515"/>
      <c r="AN1" s="516"/>
    </row>
    <row r="2" spans="1:40" ht="17" thickBot="1" x14ac:dyDescent="0.35">
      <c r="A2" s="178" t="s">
        <v>15</v>
      </c>
      <c r="B2" s="179" t="s">
        <v>16</v>
      </c>
      <c r="C2" s="180" t="s">
        <v>17</v>
      </c>
      <c r="D2" s="180" t="s">
        <v>18</v>
      </c>
      <c r="E2" s="181" t="s">
        <v>19</v>
      </c>
      <c r="F2" s="181" t="s">
        <v>20</v>
      </c>
      <c r="G2" s="181" t="s">
        <v>21</v>
      </c>
      <c r="H2" s="182" t="s">
        <v>22</v>
      </c>
      <c r="I2" s="182" t="s">
        <v>23</v>
      </c>
      <c r="J2" s="182" t="s">
        <v>24</v>
      </c>
      <c r="K2" s="182" t="s">
        <v>25</v>
      </c>
      <c r="L2" s="182" t="s">
        <v>26</v>
      </c>
      <c r="M2" s="182" t="s">
        <v>27</v>
      </c>
      <c r="N2" s="182" t="s">
        <v>28</v>
      </c>
      <c r="O2" s="182" t="s">
        <v>19</v>
      </c>
      <c r="P2" s="182" t="s">
        <v>22</v>
      </c>
      <c r="Q2" s="182" t="s">
        <v>23</v>
      </c>
      <c r="R2" s="182" t="s">
        <v>24</v>
      </c>
      <c r="S2" s="183"/>
      <c r="T2" s="184"/>
      <c r="U2" s="185"/>
      <c r="V2" s="183"/>
      <c r="W2" s="186"/>
      <c r="X2" s="187"/>
      <c r="Y2" s="188" t="s">
        <v>29</v>
      </c>
      <c r="Z2" s="188" t="s">
        <v>30</v>
      </c>
      <c r="AA2" s="188" t="s">
        <v>26</v>
      </c>
      <c r="AB2" s="188" t="s">
        <v>31</v>
      </c>
      <c r="AC2" s="188" t="s">
        <v>29</v>
      </c>
      <c r="AD2" s="188" t="s">
        <v>30</v>
      </c>
      <c r="AE2" s="188" t="s">
        <v>26</v>
      </c>
      <c r="AF2" s="188" t="s">
        <v>31</v>
      </c>
      <c r="AG2" s="188" t="s">
        <v>29</v>
      </c>
      <c r="AH2" s="188" t="s">
        <v>30</v>
      </c>
      <c r="AI2" s="188" t="s">
        <v>26</v>
      </c>
      <c r="AJ2" s="188" t="s">
        <v>31</v>
      </c>
      <c r="AK2" s="188" t="s">
        <v>29</v>
      </c>
      <c r="AL2" s="188" t="s">
        <v>30</v>
      </c>
      <c r="AM2" s="188" t="s">
        <v>26</v>
      </c>
      <c r="AN2" s="189" t="s">
        <v>31</v>
      </c>
    </row>
    <row r="3" spans="1:40" ht="17" thickBot="1" x14ac:dyDescent="0.35">
      <c r="A3" s="15" t="s">
        <v>127</v>
      </c>
      <c r="B3" s="16" t="s">
        <v>32</v>
      </c>
      <c r="C3" s="17" t="s">
        <v>47</v>
      </c>
      <c r="D3" s="18" t="s">
        <v>21</v>
      </c>
      <c r="E3" s="18" t="s">
        <v>31</v>
      </c>
      <c r="F3" s="18">
        <v>26</v>
      </c>
      <c r="G3" s="19">
        <v>40</v>
      </c>
      <c r="H3" s="20">
        <v>1</v>
      </c>
      <c r="I3" s="21">
        <v>0</v>
      </c>
      <c r="J3" s="21">
        <v>4</v>
      </c>
      <c r="K3" s="21">
        <v>3</v>
      </c>
      <c r="L3" s="21">
        <v>0</v>
      </c>
      <c r="M3" s="21">
        <v>0</v>
      </c>
      <c r="N3" s="21">
        <v>0</v>
      </c>
      <c r="O3" s="21">
        <v>0</v>
      </c>
      <c r="P3" s="21">
        <v>1</v>
      </c>
      <c r="Q3" s="21">
        <v>0</v>
      </c>
      <c r="R3" s="21">
        <v>6</v>
      </c>
      <c r="S3" s="22"/>
      <c r="T3" s="23" t="s">
        <v>230</v>
      </c>
      <c r="U3" s="24" t="str">
        <f>SanDiego!U3</f>
        <v>Lex Weiner</v>
      </c>
      <c r="V3" s="24" t="str">
        <f>SanDiego!V3</f>
        <v>Chris Assmus</v>
      </c>
      <c r="W3" s="24" t="str">
        <f>SanDiego!W3</f>
        <v>Mike Lawrenson</v>
      </c>
      <c r="X3" s="24" t="str">
        <f>SanDiego!X3</f>
        <v>Will Nelson</v>
      </c>
      <c r="Y3" s="25">
        <v>1</v>
      </c>
      <c r="Z3" s="25">
        <v>0</v>
      </c>
      <c r="AA3" s="25">
        <v>0</v>
      </c>
      <c r="AB3" s="26">
        <v>1</v>
      </c>
      <c r="AC3" s="25"/>
      <c r="AD3" s="25"/>
      <c r="AE3" s="25"/>
      <c r="AF3" s="26"/>
      <c r="AG3" s="25">
        <v>1</v>
      </c>
      <c r="AH3" s="25">
        <v>0</v>
      </c>
      <c r="AI3" s="25">
        <v>0</v>
      </c>
      <c r="AJ3" s="26">
        <v>1</v>
      </c>
      <c r="AK3" s="25"/>
      <c r="AL3" s="25"/>
      <c r="AM3" s="25"/>
      <c r="AN3" s="26"/>
    </row>
    <row r="4" spans="1:40" ht="17" thickBot="1" x14ac:dyDescent="0.35">
      <c r="A4" s="15" t="s">
        <v>120</v>
      </c>
      <c r="B4" s="16" t="s">
        <v>32</v>
      </c>
      <c r="C4" s="17" t="s">
        <v>44</v>
      </c>
      <c r="D4" s="18" t="s">
        <v>21</v>
      </c>
      <c r="E4" s="18" t="s">
        <v>31</v>
      </c>
      <c r="F4" s="18">
        <v>21</v>
      </c>
      <c r="G4" s="19">
        <v>24</v>
      </c>
      <c r="H4" s="20">
        <v>0</v>
      </c>
      <c r="I4" s="21">
        <v>1</v>
      </c>
      <c r="J4" s="21">
        <v>3</v>
      </c>
      <c r="K4" s="18">
        <v>3</v>
      </c>
      <c r="L4" s="21">
        <v>0</v>
      </c>
      <c r="M4" s="18">
        <v>0</v>
      </c>
      <c r="N4" s="21">
        <v>0</v>
      </c>
      <c r="O4" s="21">
        <v>2</v>
      </c>
      <c r="P4" s="21">
        <v>0</v>
      </c>
      <c r="Q4" s="18">
        <v>0</v>
      </c>
      <c r="R4" s="21">
        <v>3</v>
      </c>
      <c r="S4" s="22"/>
      <c r="T4" s="23" t="s">
        <v>266</v>
      </c>
      <c r="U4" s="24" t="str">
        <f>Houston!U5</f>
        <v>Luke Rogan</v>
      </c>
      <c r="V4" s="24" t="str">
        <f>Houston!V5</f>
        <v>Derek Summers</v>
      </c>
      <c r="W4" s="24" t="str">
        <f>Houston!W5</f>
        <v>Kat Roche</v>
      </c>
      <c r="X4" s="24" t="str">
        <f>Houston!X5</f>
        <v>Juan Parra</v>
      </c>
      <c r="Y4" s="25">
        <v>1</v>
      </c>
      <c r="Z4" s="25">
        <v>0</v>
      </c>
      <c r="AA4" s="25">
        <v>0</v>
      </c>
      <c r="AB4" s="26">
        <v>1</v>
      </c>
      <c r="AC4" s="25"/>
      <c r="AD4" s="25"/>
      <c r="AE4" s="25"/>
      <c r="AF4" s="26"/>
      <c r="AG4" s="25">
        <v>1</v>
      </c>
      <c r="AH4" s="25">
        <v>0</v>
      </c>
      <c r="AI4" s="25">
        <v>0</v>
      </c>
      <c r="AJ4" s="26">
        <v>1</v>
      </c>
      <c r="AK4" s="25"/>
      <c r="AL4" s="25"/>
      <c r="AM4" s="25"/>
      <c r="AN4" s="26"/>
    </row>
    <row r="5" spans="1:40" ht="17" thickBot="1" x14ac:dyDescent="0.35">
      <c r="A5" s="2" t="s">
        <v>100</v>
      </c>
      <c r="B5" s="3" t="s">
        <v>32</v>
      </c>
      <c r="C5" s="4" t="s">
        <v>33</v>
      </c>
      <c r="D5" s="5" t="s">
        <v>34</v>
      </c>
      <c r="E5" s="5" t="s">
        <v>30</v>
      </c>
      <c r="F5" s="5">
        <v>27</v>
      </c>
      <c r="G5" s="6">
        <v>24</v>
      </c>
      <c r="H5" s="27">
        <v>1</v>
      </c>
      <c r="I5" s="6">
        <v>0</v>
      </c>
      <c r="J5" s="8">
        <v>5</v>
      </c>
      <c r="K5" s="8">
        <v>1</v>
      </c>
      <c r="L5" s="8">
        <v>0</v>
      </c>
      <c r="M5" s="8">
        <v>0</v>
      </c>
      <c r="N5" s="8">
        <v>0</v>
      </c>
      <c r="O5" s="8">
        <v>0</v>
      </c>
      <c r="P5" s="5">
        <v>0</v>
      </c>
      <c r="Q5" s="8">
        <v>1</v>
      </c>
      <c r="R5" s="5">
        <v>3</v>
      </c>
      <c r="S5" s="9"/>
      <c r="T5" s="298" t="s">
        <v>277</v>
      </c>
      <c r="U5" s="11" t="s">
        <v>222</v>
      </c>
      <c r="V5" s="12" t="s">
        <v>211</v>
      </c>
      <c r="W5" s="12" t="s">
        <v>242</v>
      </c>
      <c r="X5" s="13" t="s">
        <v>227</v>
      </c>
      <c r="Y5" s="12">
        <v>1</v>
      </c>
      <c r="Z5" s="12">
        <v>1</v>
      </c>
      <c r="AA5" s="12">
        <v>0</v>
      </c>
      <c r="AB5" s="14">
        <v>0</v>
      </c>
      <c r="AC5" s="12">
        <v>1</v>
      </c>
      <c r="AD5" s="12">
        <v>1</v>
      </c>
      <c r="AE5" s="12">
        <v>0</v>
      </c>
      <c r="AF5" s="14">
        <v>0</v>
      </c>
      <c r="AG5" s="12"/>
      <c r="AH5" s="12"/>
      <c r="AI5" s="12"/>
      <c r="AJ5" s="14"/>
      <c r="AK5" s="12"/>
      <c r="AL5" s="12"/>
      <c r="AM5" s="12"/>
      <c r="AN5" s="14"/>
    </row>
    <row r="6" spans="1:40" ht="17" thickBot="1" x14ac:dyDescent="0.35">
      <c r="A6" s="15" t="s">
        <v>117</v>
      </c>
      <c r="B6" s="16" t="s">
        <v>32</v>
      </c>
      <c r="C6" s="17" t="s">
        <v>46</v>
      </c>
      <c r="D6" s="18" t="s">
        <v>21</v>
      </c>
      <c r="E6" s="18" t="s">
        <v>31</v>
      </c>
      <c r="F6" s="18">
        <v>29</v>
      </c>
      <c r="G6" s="19">
        <v>35</v>
      </c>
      <c r="H6" s="19">
        <v>1</v>
      </c>
      <c r="I6" s="21">
        <v>1</v>
      </c>
      <c r="J6" s="18">
        <v>4</v>
      </c>
      <c r="K6" s="18">
        <v>3</v>
      </c>
      <c r="L6" s="21">
        <v>0</v>
      </c>
      <c r="M6" s="21">
        <v>1</v>
      </c>
      <c r="N6" s="21">
        <v>1</v>
      </c>
      <c r="O6" s="21">
        <v>0</v>
      </c>
      <c r="P6" s="21">
        <v>1</v>
      </c>
      <c r="Q6" s="18">
        <v>0</v>
      </c>
      <c r="R6" s="21">
        <v>5</v>
      </c>
      <c r="S6" s="22"/>
      <c r="T6" s="29" t="s">
        <v>291</v>
      </c>
      <c r="U6" s="25" t="str">
        <f>LosAngeles!U6</f>
        <v>Peter Pender</v>
      </c>
      <c r="V6" s="25" t="str">
        <f>LosAngeles!V6</f>
        <v>Cam Russell</v>
      </c>
      <c r="W6" s="25" t="str">
        <f>LosAngeles!W6</f>
        <v>Chris Assmus</v>
      </c>
      <c r="X6" s="25" t="str">
        <f>LosAngeles!X6</f>
        <v>Austin Reed</v>
      </c>
      <c r="Y6" s="25">
        <v>1</v>
      </c>
      <c r="Z6" s="25">
        <v>0</v>
      </c>
      <c r="AA6" s="25">
        <v>0</v>
      </c>
      <c r="AB6" s="26">
        <v>1</v>
      </c>
      <c r="AC6" s="25"/>
      <c r="AD6" s="25"/>
      <c r="AE6" s="25"/>
      <c r="AF6" s="26"/>
      <c r="AG6" s="25">
        <v>1</v>
      </c>
      <c r="AH6" s="25">
        <v>0</v>
      </c>
      <c r="AI6" s="25">
        <v>0</v>
      </c>
      <c r="AJ6" s="26">
        <v>1</v>
      </c>
      <c r="AK6" s="25"/>
      <c r="AL6" s="25"/>
      <c r="AM6" s="25"/>
      <c r="AN6" s="26"/>
    </row>
    <row r="7" spans="1:40" ht="17" thickBot="1" x14ac:dyDescent="0.35">
      <c r="A7" s="2" t="s">
        <v>101</v>
      </c>
      <c r="B7" s="3" t="s">
        <v>32</v>
      </c>
      <c r="C7" s="4" t="s">
        <v>39</v>
      </c>
      <c r="D7" s="5" t="s">
        <v>34</v>
      </c>
      <c r="E7" s="8" t="s">
        <v>31</v>
      </c>
      <c r="F7" s="5">
        <v>27</v>
      </c>
      <c r="G7" s="6">
        <v>30</v>
      </c>
      <c r="H7" s="7">
        <v>0</v>
      </c>
      <c r="I7" s="5">
        <v>1</v>
      </c>
      <c r="J7" s="8">
        <v>3</v>
      </c>
      <c r="K7" s="8">
        <v>2</v>
      </c>
      <c r="L7" s="8">
        <v>0</v>
      </c>
      <c r="M7" s="8">
        <v>2</v>
      </c>
      <c r="N7" s="8">
        <v>0</v>
      </c>
      <c r="O7" s="8">
        <v>0</v>
      </c>
      <c r="P7" s="8">
        <v>0</v>
      </c>
      <c r="Q7" s="8">
        <v>0</v>
      </c>
      <c r="R7" s="8">
        <v>3</v>
      </c>
      <c r="S7" s="9"/>
      <c r="T7" s="10" t="s">
        <v>298</v>
      </c>
      <c r="U7" s="11" t="s">
        <v>214</v>
      </c>
      <c r="V7" s="12" t="s">
        <v>215</v>
      </c>
      <c r="W7" s="12" t="s">
        <v>222</v>
      </c>
      <c r="X7" s="13" t="s">
        <v>284</v>
      </c>
      <c r="Y7" s="12">
        <v>1</v>
      </c>
      <c r="Z7" s="12">
        <v>0</v>
      </c>
      <c r="AA7" s="12">
        <v>0</v>
      </c>
      <c r="AB7" s="14">
        <v>1</v>
      </c>
      <c r="AC7" s="12">
        <v>1</v>
      </c>
      <c r="AD7" s="12">
        <v>0</v>
      </c>
      <c r="AE7" s="12">
        <v>0</v>
      </c>
      <c r="AF7" s="14">
        <v>1</v>
      </c>
      <c r="AG7" s="12"/>
      <c r="AH7" s="12"/>
      <c r="AI7" s="12"/>
      <c r="AJ7" s="14"/>
      <c r="AK7" s="12"/>
      <c r="AL7" s="12"/>
      <c r="AM7" s="12"/>
      <c r="AN7" s="14"/>
    </row>
    <row r="8" spans="1:40" ht="17" thickBot="1" x14ac:dyDescent="0.35">
      <c r="A8" s="2" t="s">
        <v>102</v>
      </c>
      <c r="B8" s="3" t="s">
        <v>32</v>
      </c>
      <c r="C8" s="4" t="s">
        <v>70</v>
      </c>
      <c r="D8" s="5" t="s">
        <v>34</v>
      </c>
      <c r="E8" s="8" t="s">
        <v>30</v>
      </c>
      <c r="F8" s="5">
        <v>25</v>
      </c>
      <c r="G8" s="6">
        <v>17</v>
      </c>
      <c r="H8" s="7">
        <v>1</v>
      </c>
      <c r="I8" s="5">
        <v>0</v>
      </c>
      <c r="J8" s="8">
        <v>4</v>
      </c>
      <c r="K8" s="8">
        <v>1</v>
      </c>
      <c r="L8" s="8">
        <v>0</v>
      </c>
      <c r="M8" s="8">
        <v>1</v>
      </c>
      <c r="N8" s="8">
        <v>2</v>
      </c>
      <c r="O8" s="8">
        <v>0</v>
      </c>
      <c r="P8" s="5">
        <v>0</v>
      </c>
      <c r="Q8" s="8">
        <v>0</v>
      </c>
      <c r="R8" s="8">
        <v>2</v>
      </c>
      <c r="S8" s="9"/>
      <c r="T8" s="298" t="s">
        <v>306</v>
      </c>
      <c r="U8" s="11" t="s">
        <v>218</v>
      </c>
      <c r="V8" s="12" t="s">
        <v>305</v>
      </c>
      <c r="W8" s="12" t="s">
        <v>219</v>
      </c>
      <c r="X8" s="13" t="s">
        <v>284</v>
      </c>
      <c r="Y8" s="12">
        <v>1</v>
      </c>
      <c r="Z8" s="12">
        <v>1</v>
      </c>
      <c r="AA8" s="12">
        <v>0</v>
      </c>
      <c r="AB8" s="14">
        <v>0</v>
      </c>
      <c r="AC8" s="12">
        <v>1</v>
      </c>
      <c r="AD8" s="12">
        <v>1</v>
      </c>
      <c r="AE8" s="12">
        <v>0</v>
      </c>
      <c r="AF8" s="14">
        <v>0</v>
      </c>
      <c r="AG8" s="12"/>
      <c r="AH8" s="12"/>
      <c r="AI8" s="12"/>
      <c r="AJ8" s="14"/>
      <c r="AK8" s="12"/>
      <c r="AL8" s="12"/>
      <c r="AM8" s="12"/>
      <c r="AN8" s="14"/>
    </row>
    <row r="9" spans="1:40" ht="17" thickBot="1" x14ac:dyDescent="0.35">
      <c r="A9" s="15" t="s">
        <v>103</v>
      </c>
      <c r="B9" s="16" t="s">
        <v>32</v>
      </c>
      <c r="C9" s="17" t="s">
        <v>37</v>
      </c>
      <c r="D9" s="18" t="s">
        <v>21</v>
      </c>
      <c r="E9" s="21" t="s">
        <v>31</v>
      </c>
      <c r="F9" s="18">
        <v>12</v>
      </c>
      <c r="G9" s="19">
        <v>29</v>
      </c>
      <c r="H9" s="20">
        <v>0</v>
      </c>
      <c r="I9" s="21">
        <v>0</v>
      </c>
      <c r="J9" s="21">
        <v>2</v>
      </c>
      <c r="K9" s="21">
        <v>1</v>
      </c>
      <c r="L9" s="21">
        <v>0</v>
      </c>
      <c r="M9" s="21">
        <v>0</v>
      </c>
      <c r="N9" s="21">
        <v>1</v>
      </c>
      <c r="O9" s="21">
        <v>0</v>
      </c>
      <c r="P9" s="21">
        <v>1</v>
      </c>
      <c r="Q9" s="21">
        <v>0</v>
      </c>
      <c r="R9" s="21">
        <v>4</v>
      </c>
      <c r="S9" s="22"/>
      <c r="T9" s="23" t="s">
        <v>317</v>
      </c>
      <c r="U9" s="24" t="str">
        <f>OldGlory!U9</f>
        <v>Robin Kaluzniak</v>
      </c>
      <c r="V9" s="24" t="str">
        <f>OldGlory!V9</f>
        <v>Amanda Cox</v>
      </c>
      <c r="W9" s="24" t="str">
        <f>OldGlory!W9</f>
        <v>Aaron Davis</v>
      </c>
      <c r="X9" s="24" t="str">
        <f>OldGlory!X9</f>
        <v>Matt Lake</v>
      </c>
      <c r="Y9" s="25">
        <f>OldGlory!Y9</f>
        <v>1</v>
      </c>
      <c r="Z9" s="25">
        <f>OldGlory!AB9</f>
        <v>0</v>
      </c>
      <c r="AA9" s="25">
        <f>OldGlory!AA9</f>
        <v>0</v>
      </c>
      <c r="AB9" s="26">
        <f>OldGlory!Z9</f>
        <v>1</v>
      </c>
      <c r="AC9" s="25"/>
      <c r="AD9" s="25"/>
      <c r="AE9" s="25"/>
      <c r="AF9" s="26"/>
      <c r="AG9" s="25">
        <f>Y9</f>
        <v>1</v>
      </c>
      <c r="AH9" s="25">
        <f t="shared" ref="AH9:AJ9" si="0">Z9</f>
        <v>0</v>
      </c>
      <c r="AI9" s="25">
        <f t="shared" si="0"/>
        <v>0</v>
      </c>
      <c r="AJ9" s="25">
        <f t="shared" si="0"/>
        <v>1</v>
      </c>
      <c r="AK9" s="25"/>
      <c r="AL9" s="25"/>
      <c r="AM9" s="25"/>
      <c r="AN9" s="26"/>
    </row>
    <row r="10" spans="1:40" ht="17" thickBot="1" x14ac:dyDescent="0.35">
      <c r="A10" s="2" t="s">
        <v>105</v>
      </c>
      <c r="B10" s="3" t="s">
        <v>32</v>
      </c>
      <c r="C10" s="4" t="s">
        <v>40</v>
      </c>
      <c r="D10" s="5" t="s">
        <v>34</v>
      </c>
      <c r="E10" s="5" t="s">
        <v>30</v>
      </c>
      <c r="F10" s="5">
        <v>28</v>
      </c>
      <c r="G10" s="6">
        <v>22</v>
      </c>
      <c r="H10" s="7">
        <v>0</v>
      </c>
      <c r="I10" s="8">
        <v>0</v>
      </c>
      <c r="J10" s="8">
        <v>3</v>
      </c>
      <c r="K10" s="8">
        <v>2</v>
      </c>
      <c r="L10" s="8">
        <v>0</v>
      </c>
      <c r="M10" s="8">
        <v>3</v>
      </c>
      <c r="N10" s="5">
        <v>0</v>
      </c>
      <c r="O10" s="8">
        <v>0</v>
      </c>
      <c r="P10" s="8">
        <v>0</v>
      </c>
      <c r="Q10" s="5">
        <v>1</v>
      </c>
      <c r="R10" s="8">
        <v>3</v>
      </c>
      <c r="S10" s="9"/>
      <c r="T10" s="282" t="s">
        <v>335</v>
      </c>
      <c r="U10" s="11" t="s">
        <v>303</v>
      </c>
      <c r="V10" s="12" t="s">
        <v>215</v>
      </c>
      <c r="W10" s="12" t="s">
        <v>245</v>
      </c>
      <c r="X10" s="13" t="s">
        <v>211</v>
      </c>
      <c r="Y10" s="12">
        <v>1</v>
      </c>
      <c r="Z10" s="12">
        <v>1</v>
      </c>
      <c r="AA10" s="12">
        <v>0</v>
      </c>
      <c r="AB10" s="14">
        <v>0</v>
      </c>
      <c r="AC10" s="12">
        <f>Y10</f>
        <v>1</v>
      </c>
      <c r="AD10" s="12">
        <f t="shared" ref="AD10:AF10" si="1">Z10</f>
        <v>1</v>
      </c>
      <c r="AE10" s="12">
        <f t="shared" si="1"/>
        <v>0</v>
      </c>
      <c r="AF10" s="12">
        <f t="shared" si="1"/>
        <v>0</v>
      </c>
      <c r="AG10" s="12"/>
      <c r="AH10" s="12"/>
      <c r="AI10" s="12"/>
      <c r="AJ10" s="14"/>
      <c r="AK10" s="12"/>
      <c r="AL10" s="12"/>
      <c r="AM10" s="12"/>
      <c r="AN10" s="14"/>
    </row>
    <row r="11" spans="1:40" ht="17" thickBot="1" x14ac:dyDescent="0.35">
      <c r="A11" s="15" t="s">
        <v>106</v>
      </c>
      <c r="B11" s="16" t="s">
        <v>32</v>
      </c>
      <c r="C11" s="17" t="s">
        <v>70</v>
      </c>
      <c r="D11" s="18" t="s">
        <v>21</v>
      </c>
      <c r="E11" s="18" t="s">
        <v>30</v>
      </c>
      <c r="F11" s="18">
        <v>60</v>
      </c>
      <c r="G11" s="19">
        <v>19</v>
      </c>
      <c r="H11" s="20">
        <v>1</v>
      </c>
      <c r="I11" s="21">
        <v>0</v>
      </c>
      <c r="J11" s="21">
        <v>9</v>
      </c>
      <c r="K11" s="21">
        <v>5</v>
      </c>
      <c r="L11" s="21">
        <v>0</v>
      </c>
      <c r="M11" s="21">
        <v>1</v>
      </c>
      <c r="N11" s="21">
        <v>0</v>
      </c>
      <c r="O11" s="21">
        <v>0</v>
      </c>
      <c r="P11" s="21">
        <v>0</v>
      </c>
      <c r="Q11" s="18">
        <v>0</v>
      </c>
      <c r="R11" s="21">
        <v>3</v>
      </c>
      <c r="S11" s="22"/>
      <c r="T11" s="292" t="s">
        <v>338</v>
      </c>
      <c r="U11" s="30" t="str">
        <f>Anthem!U12</f>
        <v>Robin Kaluzniak</v>
      </c>
      <c r="V11" s="30" t="str">
        <f>Anthem!V12</f>
        <v>Derek Summers</v>
      </c>
      <c r="W11" s="30" t="str">
        <f>Anthem!W12</f>
        <v>Cam Russell</v>
      </c>
      <c r="X11" s="30" t="str">
        <f>Anthem!X12</f>
        <v>Lindsey Oliver</v>
      </c>
      <c r="Y11" s="25">
        <f>Anthem!Y12</f>
        <v>1</v>
      </c>
      <c r="Z11" s="25">
        <f>Anthem!AB12</f>
        <v>1</v>
      </c>
      <c r="AA11" s="25">
        <f>Anthem!AA12</f>
        <v>0</v>
      </c>
      <c r="AB11" s="26">
        <f>Anthem!Z12</f>
        <v>0</v>
      </c>
      <c r="AC11" s="25"/>
      <c r="AD11" s="25"/>
      <c r="AE11" s="25"/>
      <c r="AF11" s="26"/>
      <c r="AG11" s="25">
        <f>Y11</f>
        <v>1</v>
      </c>
      <c r="AH11" s="25">
        <f t="shared" ref="AH11:AJ12" si="2">Z11</f>
        <v>1</v>
      </c>
      <c r="AI11" s="25">
        <f t="shared" si="2"/>
        <v>0</v>
      </c>
      <c r="AJ11" s="25">
        <f t="shared" si="2"/>
        <v>0</v>
      </c>
      <c r="AK11" s="25"/>
      <c r="AL11" s="25"/>
      <c r="AM11" s="25"/>
      <c r="AN11" s="26"/>
    </row>
    <row r="12" spans="1:40" ht="17" thickBot="1" x14ac:dyDescent="0.35">
      <c r="A12" s="33" t="s">
        <v>41</v>
      </c>
      <c r="B12" s="16" t="s">
        <v>32</v>
      </c>
      <c r="C12" s="17" t="s">
        <v>96</v>
      </c>
      <c r="D12" s="18" t="s">
        <v>21</v>
      </c>
      <c r="E12" s="18" t="s">
        <v>31</v>
      </c>
      <c r="F12" s="18">
        <v>36</v>
      </c>
      <c r="G12" s="19">
        <v>44</v>
      </c>
      <c r="H12" s="20">
        <v>1</v>
      </c>
      <c r="I12" s="21">
        <v>0</v>
      </c>
      <c r="J12" s="21">
        <v>6</v>
      </c>
      <c r="K12" s="21">
        <v>2</v>
      </c>
      <c r="L12" s="21">
        <v>0</v>
      </c>
      <c r="M12" s="21">
        <v>0</v>
      </c>
      <c r="N12" s="18">
        <v>3</v>
      </c>
      <c r="O12" s="21">
        <v>0</v>
      </c>
      <c r="P12" s="21">
        <v>1</v>
      </c>
      <c r="Q12" s="21">
        <v>0</v>
      </c>
      <c r="R12" s="21">
        <v>5</v>
      </c>
      <c r="S12" s="34"/>
      <c r="T12" s="23" t="s">
        <v>349</v>
      </c>
      <c r="U12" s="24" t="str">
        <f>NOLA!U12</f>
        <v>Peter Pender</v>
      </c>
      <c r="V12" s="24" t="str">
        <f>NOLA!V12</f>
        <v>Mike Kelly</v>
      </c>
      <c r="W12" s="24" t="str">
        <f>NOLA!W12</f>
        <v>Luke Rogan</v>
      </c>
      <c r="X12" s="24" t="str">
        <f>NOLA!X12</f>
        <v>Juan Parra</v>
      </c>
      <c r="Y12" s="25">
        <f>NOLA!Y12</f>
        <v>1</v>
      </c>
      <c r="Z12" s="25">
        <f>NOLA!AB12</f>
        <v>0</v>
      </c>
      <c r="AA12" s="25">
        <f>NOLA!AA12</f>
        <v>0</v>
      </c>
      <c r="AB12" s="26">
        <f>NOLA!Z12</f>
        <v>1</v>
      </c>
      <c r="AC12" s="25"/>
      <c r="AD12" s="25"/>
      <c r="AE12" s="25"/>
      <c r="AF12" s="26"/>
      <c r="AG12" s="25">
        <f>Y12</f>
        <v>1</v>
      </c>
      <c r="AH12" s="25">
        <f t="shared" si="2"/>
        <v>0</v>
      </c>
      <c r="AI12" s="25">
        <f t="shared" si="2"/>
        <v>0</v>
      </c>
      <c r="AJ12" s="25">
        <f t="shared" si="2"/>
        <v>1</v>
      </c>
      <c r="AK12" s="25"/>
      <c r="AL12" s="25"/>
      <c r="AM12" s="25"/>
      <c r="AN12" s="26"/>
    </row>
    <row r="13" spans="1:40" ht="17" thickBot="1" x14ac:dyDescent="0.35">
      <c r="A13" s="31" t="s">
        <v>134</v>
      </c>
      <c r="B13" s="3" t="s">
        <v>32</v>
      </c>
      <c r="C13" s="4" t="s">
        <v>46</v>
      </c>
      <c r="D13" s="5" t="s">
        <v>34</v>
      </c>
      <c r="E13" s="5" t="s">
        <v>26</v>
      </c>
      <c r="F13" s="5">
        <v>26</v>
      </c>
      <c r="G13" s="6">
        <v>26</v>
      </c>
      <c r="H13" s="7">
        <v>1</v>
      </c>
      <c r="I13" s="8">
        <v>0</v>
      </c>
      <c r="J13" s="8">
        <v>4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v>4</v>
      </c>
      <c r="S13" s="32"/>
      <c r="T13" s="36" t="s">
        <v>353</v>
      </c>
      <c r="U13" s="11" t="s">
        <v>214</v>
      </c>
      <c r="V13" s="12" t="s">
        <v>210</v>
      </c>
      <c r="W13" s="12" t="s">
        <v>222</v>
      </c>
      <c r="X13" s="13" t="s">
        <v>211</v>
      </c>
      <c r="Y13" s="12">
        <v>1</v>
      </c>
      <c r="Z13" s="12">
        <v>0</v>
      </c>
      <c r="AA13" s="12">
        <v>1</v>
      </c>
      <c r="AB13" s="14">
        <v>0</v>
      </c>
      <c r="AC13" s="12">
        <f>Y13</f>
        <v>1</v>
      </c>
      <c r="AD13" s="12">
        <f t="shared" ref="AD13:AF13" si="3">Z13</f>
        <v>0</v>
      </c>
      <c r="AE13" s="12">
        <f t="shared" si="3"/>
        <v>1</v>
      </c>
      <c r="AF13" s="12">
        <f t="shared" si="3"/>
        <v>0</v>
      </c>
      <c r="AG13" s="12"/>
      <c r="AH13" s="12"/>
      <c r="AI13" s="12"/>
      <c r="AJ13" s="14"/>
      <c r="AK13" s="12"/>
      <c r="AL13" s="12"/>
      <c r="AM13" s="12"/>
      <c r="AN13" s="14"/>
    </row>
    <row r="14" spans="1:40" ht="17" thickBot="1" x14ac:dyDescent="0.35">
      <c r="A14" s="33" t="s">
        <v>136</v>
      </c>
      <c r="B14" s="16" t="s">
        <v>32</v>
      </c>
      <c r="C14" s="17" t="s">
        <v>39</v>
      </c>
      <c r="D14" s="18" t="s">
        <v>21</v>
      </c>
      <c r="E14" s="18" t="s">
        <v>30</v>
      </c>
      <c r="F14" s="18">
        <v>28</v>
      </c>
      <c r="G14" s="19">
        <v>24</v>
      </c>
      <c r="H14" s="20">
        <v>1</v>
      </c>
      <c r="I14" s="21">
        <v>0</v>
      </c>
      <c r="J14" s="21">
        <v>4</v>
      </c>
      <c r="K14" s="21">
        <v>3</v>
      </c>
      <c r="L14" s="21">
        <v>0</v>
      </c>
      <c r="M14" s="21">
        <v>0</v>
      </c>
      <c r="N14" s="21">
        <v>0</v>
      </c>
      <c r="O14" s="21">
        <v>0</v>
      </c>
      <c r="P14" s="21">
        <v>1</v>
      </c>
      <c r="Q14" s="21">
        <v>0</v>
      </c>
      <c r="R14" s="21">
        <v>4</v>
      </c>
      <c r="S14" s="34"/>
      <c r="T14" s="281" t="s">
        <v>290</v>
      </c>
      <c r="U14" s="24" t="str">
        <f>Utah!U14</f>
        <v>Peter Martin</v>
      </c>
      <c r="V14" s="24" t="str">
        <f>Utah!V14</f>
        <v>Cam Russell</v>
      </c>
      <c r="W14" s="24" t="str">
        <f>Utah!W14</f>
        <v>Chris Assmus</v>
      </c>
      <c r="X14" s="24" t="str">
        <f>Utah!X14</f>
        <v>Alex Nunnally</v>
      </c>
      <c r="Y14" s="25">
        <f>Utah!Y14</f>
        <v>1</v>
      </c>
      <c r="Z14" s="25">
        <f>Utah!AB14</f>
        <v>1</v>
      </c>
      <c r="AA14" s="25">
        <f>Utah!AA14</f>
        <v>0</v>
      </c>
      <c r="AB14" s="26">
        <f>Utah!Z14</f>
        <v>0</v>
      </c>
      <c r="AC14" s="25"/>
      <c r="AD14" s="25"/>
      <c r="AE14" s="25"/>
      <c r="AF14" s="26"/>
      <c r="AG14" s="25">
        <f>Y14</f>
        <v>1</v>
      </c>
      <c r="AH14" s="25">
        <f t="shared" ref="AH14:AJ14" si="4">Z14</f>
        <v>1</v>
      </c>
      <c r="AI14" s="25">
        <f t="shared" si="4"/>
        <v>0</v>
      </c>
      <c r="AJ14" s="25">
        <f t="shared" si="4"/>
        <v>0</v>
      </c>
      <c r="AK14" s="25"/>
      <c r="AL14" s="25"/>
      <c r="AM14" s="25"/>
      <c r="AN14" s="26"/>
    </row>
    <row r="15" spans="1:40" ht="17" thickBot="1" x14ac:dyDescent="0.35">
      <c r="A15" s="31" t="s">
        <v>123</v>
      </c>
      <c r="B15" s="3" t="s">
        <v>32</v>
      </c>
      <c r="C15" s="4" t="s">
        <v>47</v>
      </c>
      <c r="D15" s="5" t="s">
        <v>34</v>
      </c>
      <c r="E15" s="5" t="s">
        <v>30</v>
      </c>
      <c r="F15" s="5">
        <v>29</v>
      </c>
      <c r="G15" s="6">
        <v>25</v>
      </c>
      <c r="H15" s="7">
        <v>1</v>
      </c>
      <c r="I15" s="8">
        <v>0</v>
      </c>
      <c r="J15" s="8">
        <v>4</v>
      </c>
      <c r="K15" s="8">
        <v>2</v>
      </c>
      <c r="L15" s="8">
        <v>0</v>
      </c>
      <c r="M15" s="8">
        <v>1</v>
      </c>
      <c r="N15" s="8">
        <v>2</v>
      </c>
      <c r="O15" s="8">
        <v>0</v>
      </c>
      <c r="P15" s="8">
        <v>1</v>
      </c>
      <c r="Q15" s="8">
        <v>1</v>
      </c>
      <c r="R15" s="8">
        <v>4</v>
      </c>
      <c r="S15" s="32"/>
      <c r="T15" s="282" t="s">
        <v>335</v>
      </c>
      <c r="U15" s="11" t="s">
        <v>226</v>
      </c>
      <c r="V15" s="12" t="s">
        <v>213</v>
      </c>
      <c r="W15" s="12" t="s">
        <v>245</v>
      </c>
      <c r="X15" s="13" t="s">
        <v>375</v>
      </c>
      <c r="Y15" s="12">
        <v>1</v>
      </c>
      <c r="Z15" s="12">
        <v>1</v>
      </c>
      <c r="AA15" s="12">
        <v>0</v>
      </c>
      <c r="AB15" s="14">
        <v>0</v>
      </c>
      <c r="AC15" s="12">
        <f>Y15</f>
        <v>1</v>
      </c>
      <c r="AD15" s="12">
        <f t="shared" ref="AD15:AF16" si="5">Z15</f>
        <v>1</v>
      </c>
      <c r="AE15" s="12">
        <f t="shared" si="5"/>
        <v>0</v>
      </c>
      <c r="AF15" s="12">
        <f t="shared" si="5"/>
        <v>0</v>
      </c>
      <c r="AG15" s="12"/>
      <c r="AH15" s="12"/>
      <c r="AI15" s="12"/>
      <c r="AJ15" s="14"/>
      <c r="AK15" s="12"/>
      <c r="AL15" s="12"/>
      <c r="AM15" s="12"/>
      <c r="AN15" s="14"/>
    </row>
    <row r="16" spans="1:40" ht="17" thickBot="1" x14ac:dyDescent="0.35">
      <c r="A16" s="31" t="s">
        <v>124</v>
      </c>
      <c r="B16" s="3" t="s">
        <v>32</v>
      </c>
      <c r="C16" s="4" t="s">
        <v>44</v>
      </c>
      <c r="D16" s="5" t="s">
        <v>34</v>
      </c>
      <c r="E16" s="5" t="s">
        <v>30</v>
      </c>
      <c r="F16" s="5">
        <v>14</v>
      </c>
      <c r="G16" s="6">
        <v>9</v>
      </c>
      <c r="H16" s="7">
        <v>0</v>
      </c>
      <c r="I16" s="8">
        <v>0</v>
      </c>
      <c r="J16" s="8">
        <v>2</v>
      </c>
      <c r="K16" s="8">
        <v>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1</v>
      </c>
      <c r="R16" s="8">
        <v>0</v>
      </c>
      <c r="S16" s="32"/>
      <c r="T16" s="282" t="s">
        <v>383</v>
      </c>
      <c r="U16" s="11" t="s">
        <v>222</v>
      </c>
      <c r="V16" s="12" t="s">
        <v>210</v>
      </c>
      <c r="W16" s="12" t="s">
        <v>223</v>
      </c>
      <c r="X16" s="12" t="s">
        <v>211</v>
      </c>
      <c r="Y16" s="12">
        <v>1</v>
      </c>
      <c r="Z16" s="12">
        <v>1</v>
      </c>
      <c r="AA16" s="12">
        <v>0</v>
      </c>
      <c r="AB16" s="14">
        <v>0</v>
      </c>
      <c r="AC16" s="12">
        <f>Y16</f>
        <v>1</v>
      </c>
      <c r="AD16" s="12">
        <f t="shared" si="5"/>
        <v>1</v>
      </c>
      <c r="AE16" s="12">
        <f t="shared" si="5"/>
        <v>0</v>
      </c>
      <c r="AF16" s="12">
        <f t="shared" si="5"/>
        <v>0</v>
      </c>
      <c r="AG16" s="12"/>
      <c r="AH16" s="12"/>
      <c r="AI16" s="12"/>
      <c r="AJ16" s="14"/>
      <c r="AK16" s="12"/>
      <c r="AL16" s="12"/>
      <c r="AM16" s="12"/>
      <c r="AN16" s="14"/>
    </row>
    <row r="17" spans="1:40" ht="17" thickBot="1" x14ac:dyDescent="0.35">
      <c r="A17" s="33" t="s">
        <v>130</v>
      </c>
      <c r="B17" s="16" t="s">
        <v>32</v>
      </c>
      <c r="C17" s="17" t="s">
        <v>33</v>
      </c>
      <c r="D17" s="18" t="s">
        <v>21</v>
      </c>
      <c r="E17" s="18" t="s">
        <v>31</v>
      </c>
      <c r="F17" s="18">
        <v>30</v>
      </c>
      <c r="G17" s="19">
        <v>37</v>
      </c>
      <c r="H17" s="20">
        <v>1</v>
      </c>
      <c r="I17" s="21">
        <v>1</v>
      </c>
      <c r="J17" s="21">
        <v>4</v>
      </c>
      <c r="K17" s="21">
        <v>2</v>
      </c>
      <c r="L17" s="21">
        <v>0</v>
      </c>
      <c r="M17" s="21">
        <v>2</v>
      </c>
      <c r="N17" s="18">
        <v>0</v>
      </c>
      <c r="O17" s="21">
        <v>1</v>
      </c>
      <c r="P17" s="21">
        <v>1</v>
      </c>
      <c r="Q17" s="21">
        <v>0</v>
      </c>
      <c r="R17" s="21">
        <v>5</v>
      </c>
      <c r="S17" s="22"/>
      <c r="T17" s="29" t="s">
        <v>395</v>
      </c>
      <c r="U17" s="25" t="str">
        <f>NewEngland!U17</f>
        <v>Lex Weiner</v>
      </c>
      <c r="V17" s="25" t="str">
        <f>NewEngland!V17</f>
        <v>Derek Summers</v>
      </c>
      <c r="W17" s="25" t="str">
        <f>NewEngland!W17</f>
        <v>Amelia Luciano</v>
      </c>
      <c r="X17" s="25" t="str">
        <f>NewEngland!X17</f>
        <v>Jarrod Ford</v>
      </c>
      <c r="Y17" s="25">
        <f>NewEngland!Y17</f>
        <v>1</v>
      </c>
      <c r="Z17" s="25">
        <f>NewEngland!AB17</f>
        <v>0</v>
      </c>
      <c r="AA17" s="25">
        <f>NewEngland!AA17</f>
        <v>0</v>
      </c>
      <c r="AB17" s="26">
        <f>NewEngland!Z17</f>
        <v>1</v>
      </c>
      <c r="AC17" s="25"/>
      <c r="AD17" s="25"/>
      <c r="AE17" s="25"/>
      <c r="AF17" s="25"/>
      <c r="AG17" s="25">
        <f>Y17</f>
        <v>1</v>
      </c>
      <c r="AH17" s="25">
        <f t="shared" ref="AH17:AJ17" si="6">Z17</f>
        <v>0</v>
      </c>
      <c r="AI17" s="25">
        <f t="shared" si="6"/>
        <v>0</v>
      </c>
      <c r="AJ17" s="25">
        <f t="shared" si="6"/>
        <v>1</v>
      </c>
      <c r="AK17" s="25"/>
      <c r="AL17" s="25"/>
      <c r="AM17" s="25"/>
      <c r="AN17" s="26"/>
    </row>
    <row r="18" spans="1:40" ht="17" thickBot="1" x14ac:dyDescent="0.35">
      <c r="A18" s="31" t="s">
        <v>111</v>
      </c>
      <c r="B18" s="3" t="s">
        <v>32</v>
      </c>
      <c r="C18" s="167" t="s">
        <v>36</v>
      </c>
      <c r="D18" s="45" t="s">
        <v>34</v>
      </c>
      <c r="E18" s="45" t="s">
        <v>30</v>
      </c>
      <c r="F18" s="5">
        <v>42</v>
      </c>
      <c r="G18" s="6">
        <v>17</v>
      </c>
      <c r="H18" s="7">
        <v>1</v>
      </c>
      <c r="I18" s="8">
        <v>0</v>
      </c>
      <c r="J18" s="8">
        <v>6</v>
      </c>
      <c r="K18" s="8">
        <v>5</v>
      </c>
      <c r="L18" s="8">
        <v>0</v>
      </c>
      <c r="M18" s="8">
        <v>0</v>
      </c>
      <c r="N18" s="8">
        <v>3</v>
      </c>
      <c r="O18" s="8">
        <v>1</v>
      </c>
      <c r="P18" s="8">
        <v>0</v>
      </c>
      <c r="Q18" s="8">
        <v>0</v>
      </c>
      <c r="R18" s="8">
        <v>2</v>
      </c>
      <c r="S18" s="32"/>
      <c r="T18" s="282" t="s">
        <v>235</v>
      </c>
      <c r="U18" s="12" t="s">
        <v>386</v>
      </c>
      <c r="V18" s="12" t="s">
        <v>215</v>
      </c>
      <c r="W18" s="12" t="s">
        <v>219</v>
      </c>
      <c r="X18" s="247" t="s">
        <v>257</v>
      </c>
      <c r="Y18" s="12">
        <v>1</v>
      </c>
      <c r="Z18" s="12">
        <v>1</v>
      </c>
      <c r="AA18" s="12">
        <v>0</v>
      </c>
      <c r="AB18" s="14">
        <v>0</v>
      </c>
      <c r="AC18" s="12">
        <f>Y18</f>
        <v>1</v>
      </c>
      <c r="AD18" s="12">
        <f t="shared" ref="AD18:AF18" si="7">Z18</f>
        <v>1</v>
      </c>
      <c r="AE18" s="12">
        <f t="shared" si="7"/>
        <v>0</v>
      </c>
      <c r="AF18" s="12">
        <f t="shared" si="7"/>
        <v>0</v>
      </c>
      <c r="AG18" s="12"/>
      <c r="AH18" s="12"/>
      <c r="AI18" s="12"/>
      <c r="AJ18" s="14"/>
      <c r="AK18" s="12"/>
      <c r="AL18" s="12"/>
      <c r="AM18" s="12"/>
      <c r="AN18" s="14"/>
    </row>
    <row r="19" spans="1:40" ht="17" thickBot="1" x14ac:dyDescent="0.35">
      <c r="A19" s="366" t="s">
        <v>412</v>
      </c>
      <c r="B19" s="366" t="s">
        <v>112</v>
      </c>
      <c r="C19" s="37" t="s">
        <v>39</v>
      </c>
      <c r="D19" s="38" t="s">
        <v>21</v>
      </c>
      <c r="E19" s="38" t="s">
        <v>31</v>
      </c>
      <c r="F19" s="38">
        <v>21</v>
      </c>
      <c r="G19" s="367">
        <v>23</v>
      </c>
      <c r="H19" s="368"/>
      <c r="I19" s="369"/>
      <c r="J19" s="369">
        <v>3</v>
      </c>
      <c r="K19" s="369">
        <v>2</v>
      </c>
      <c r="L19" s="369">
        <v>0</v>
      </c>
      <c r="M19" s="369">
        <v>0</v>
      </c>
      <c r="N19" s="369">
        <v>0</v>
      </c>
      <c r="O19" s="369">
        <v>0</v>
      </c>
      <c r="P19" s="369"/>
      <c r="Q19" s="369"/>
      <c r="R19" s="369">
        <v>2</v>
      </c>
      <c r="S19" s="34"/>
      <c r="T19" s="23" t="s">
        <v>351</v>
      </c>
      <c r="U19" s="25" t="str">
        <f>Utah!U19</f>
        <v>Saba Abulashvili</v>
      </c>
      <c r="V19" s="25" t="str">
        <f>Utah!V19</f>
        <v>Austin Reed</v>
      </c>
      <c r="W19" s="25" t="str">
        <f>Utah!W19</f>
        <v>Mike Lawrenson</v>
      </c>
      <c r="X19" s="25" t="str">
        <f>Utah!X19</f>
        <v>Alex Nunnally</v>
      </c>
      <c r="Y19" s="25">
        <v>1</v>
      </c>
      <c r="Z19" s="25">
        <v>0</v>
      </c>
      <c r="AA19" s="25">
        <v>0</v>
      </c>
      <c r="AB19" s="25">
        <v>1</v>
      </c>
      <c r="AC19" s="25"/>
      <c r="AD19" s="25"/>
      <c r="AE19" s="25"/>
      <c r="AF19" s="25"/>
      <c r="AG19" s="25">
        <v>1</v>
      </c>
      <c r="AH19" s="25">
        <v>0</v>
      </c>
      <c r="AI19" s="25">
        <v>0</v>
      </c>
      <c r="AJ19" s="25">
        <v>1</v>
      </c>
      <c r="AK19" s="25"/>
      <c r="AL19" s="25"/>
      <c r="AM19" s="25"/>
      <c r="AN19" s="25"/>
    </row>
    <row r="20" spans="1:40" ht="17" thickBot="1" x14ac:dyDescent="0.35">
      <c r="A20" s="39"/>
      <c r="B20" s="40"/>
      <c r="C20" s="389" t="s">
        <v>48</v>
      </c>
      <c r="D20" s="416"/>
      <c r="E20" s="417"/>
      <c r="F20" s="41">
        <f t="shared" ref="F20:R20" si="8">SUM(F3+F4+F5+F6+F7+F8+F9+F10+F11+F12+F13+F14+F15+F16+F17+F18)</f>
        <v>460</v>
      </c>
      <c r="G20" s="41">
        <f t="shared" si="8"/>
        <v>422</v>
      </c>
      <c r="H20" s="41">
        <f t="shared" si="8"/>
        <v>11</v>
      </c>
      <c r="I20" s="41">
        <f t="shared" si="8"/>
        <v>4</v>
      </c>
      <c r="J20" s="41">
        <f t="shared" si="8"/>
        <v>67</v>
      </c>
      <c r="K20" s="41">
        <f t="shared" si="8"/>
        <v>40</v>
      </c>
      <c r="L20" s="41">
        <f t="shared" si="8"/>
        <v>0</v>
      </c>
      <c r="M20" s="41">
        <f t="shared" si="8"/>
        <v>11</v>
      </c>
      <c r="N20" s="41">
        <f t="shared" si="8"/>
        <v>12</v>
      </c>
      <c r="O20" s="41">
        <f t="shared" si="8"/>
        <v>4</v>
      </c>
      <c r="P20" s="41">
        <f t="shared" si="8"/>
        <v>8</v>
      </c>
      <c r="Q20" s="41">
        <f t="shared" si="8"/>
        <v>4</v>
      </c>
      <c r="R20" s="41">
        <f t="shared" si="8"/>
        <v>56</v>
      </c>
      <c r="S20" s="42"/>
      <c r="T20" s="42"/>
      <c r="U20" s="42"/>
      <c r="V20" s="42"/>
      <c r="W20" s="43"/>
      <c r="X20" s="44" t="s">
        <v>48</v>
      </c>
      <c r="Y20" s="41">
        <f t="shared" ref="Y20:AN20" si="9">Y3+Y4+Y5+Y6+Y7+Y8+Y9+Y10+Y11+Y12+Y13+Y14+Y15+Y16+Y17+Y18</f>
        <v>16</v>
      </c>
      <c r="Z20" s="41">
        <f t="shared" si="9"/>
        <v>8</v>
      </c>
      <c r="AA20" s="41">
        <f t="shared" si="9"/>
        <v>1</v>
      </c>
      <c r="AB20" s="41">
        <f t="shared" si="9"/>
        <v>7</v>
      </c>
      <c r="AC20" s="45">
        <f t="shared" si="9"/>
        <v>8</v>
      </c>
      <c r="AD20" s="45">
        <f t="shared" si="9"/>
        <v>6</v>
      </c>
      <c r="AE20" s="45">
        <f t="shared" si="9"/>
        <v>1</v>
      </c>
      <c r="AF20" s="45">
        <f t="shared" si="9"/>
        <v>1</v>
      </c>
      <c r="AG20" s="38">
        <f t="shared" si="9"/>
        <v>8</v>
      </c>
      <c r="AH20" s="38">
        <f t="shared" si="9"/>
        <v>2</v>
      </c>
      <c r="AI20" s="38">
        <f t="shared" si="9"/>
        <v>0</v>
      </c>
      <c r="AJ20" s="38">
        <f t="shared" si="9"/>
        <v>6</v>
      </c>
      <c r="AK20" s="41">
        <f t="shared" si="9"/>
        <v>0</v>
      </c>
      <c r="AL20" s="41">
        <f t="shared" si="9"/>
        <v>0</v>
      </c>
      <c r="AM20" s="41">
        <f t="shared" si="9"/>
        <v>0</v>
      </c>
      <c r="AN20" s="41">
        <f t="shared" si="9"/>
        <v>0</v>
      </c>
    </row>
    <row r="21" spans="1:40" ht="17" customHeight="1" thickBot="1" x14ac:dyDescent="0.35">
      <c r="A21" s="39"/>
      <c r="B21" s="40"/>
      <c r="C21" s="389" t="s">
        <v>413</v>
      </c>
      <c r="D21" s="416"/>
      <c r="E21" s="417"/>
      <c r="F21" s="46">
        <f>F19</f>
        <v>21</v>
      </c>
      <c r="G21" s="46">
        <f t="shared" ref="G21:R21" si="10">G19</f>
        <v>23</v>
      </c>
      <c r="H21" s="46">
        <f t="shared" si="10"/>
        <v>0</v>
      </c>
      <c r="I21" s="46">
        <f t="shared" si="10"/>
        <v>0</v>
      </c>
      <c r="J21" s="46">
        <f t="shared" si="10"/>
        <v>3</v>
      </c>
      <c r="K21" s="46">
        <f t="shared" si="10"/>
        <v>2</v>
      </c>
      <c r="L21" s="46">
        <f t="shared" si="10"/>
        <v>0</v>
      </c>
      <c r="M21" s="46">
        <f t="shared" si="10"/>
        <v>0</v>
      </c>
      <c r="N21" s="46">
        <f t="shared" si="10"/>
        <v>0</v>
      </c>
      <c r="O21" s="46">
        <f t="shared" si="10"/>
        <v>0</v>
      </c>
      <c r="P21" s="46">
        <f t="shared" si="10"/>
        <v>0</v>
      </c>
      <c r="Q21" s="46">
        <f t="shared" si="10"/>
        <v>0</v>
      </c>
      <c r="R21" s="46">
        <f t="shared" si="10"/>
        <v>2</v>
      </c>
      <c r="S21" s="42"/>
      <c r="T21" s="42"/>
      <c r="U21" s="42"/>
      <c r="V21" s="42"/>
      <c r="W21" s="43"/>
      <c r="X21" s="359" t="s">
        <v>413</v>
      </c>
      <c r="Y21" s="41">
        <f>Y19</f>
        <v>1</v>
      </c>
      <c r="Z21" s="41">
        <f t="shared" ref="Z21:AN21" si="11">Z19</f>
        <v>0</v>
      </c>
      <c r="AA21" s="41">
        <f t="shared" si="11"/>
        <v>0</v>
      </c>
      <c r="AB21" s="41">
        <f t="shared" si="11"/>
        <v>1</v>
      </c>
      <c r="AC21" s="45">
        <f t="shared" si="11"/>
        <v>0</v>
      </c>
      <c r="AD21" s="45">
        <f t="shared" si="11"/>
        <v>0</v>
      </c>
      <c r="AE21" s="45">
        <f t="shared" si="11"/>
        <v>0</v>
      </c>
      <c r="AF21" s="45">
        <f t="shared" si="11"/>
        <v>0</v>
      </c>
      <c r="AG21" s="38">
        <f t="shared" si="11"/>
        <v>1</v>
      </c>
      <c r="AH21" s="38">
        <f t="shared" si="11"/>
        <v>0</v>
      </c>
      <c r="AI21" s="38">
        <f t="shared" si="11"/>
        <v>0</v>
      </c>
      <c r="AJ21" s="38">
        <f t="shared" si="11"/>
        <v>1</v>
      </c>
      <c r="AK21" s="41">
        <f t="shared" si="11"/>
        <v>0</v>
      </c>
      <c r="AL21" s="41">
        <f t="shared" si="11"/>
        <v>0</v>
      </c>
      <c r="AM21" s="41">
        <f t="shared" si="11"/>
        <v>0</v>
      </c>
      <c r="AN21" s="41">
        <f t="shared" si="11"/>
        <v>0</v>
      </c>
    </row>
    <row r="22" spans="1:40" ht="17" thickBot="1" x14ac:dyDescent="0.35">
      <c r="A22" s="39"/>
      <c r="B22" s="40"/>
      <c r="C22" s="389" t="s">
        <v>49</v>
      </c>
      <c r="D22" s="390"/>
      <c r="E22" s="391"/>
      <c r="F22" s="46">
        <f>F20</f>
        <v>460</v>
      </c>
      <c r="G22" s="46">
        <f t="shared" ref="G22:R22" si="12">G20</f>
        <v>422</v>
      </c>
      <c r="H22" s="46">
        <f t="shared" si="12"/>
        <v>11</v>
      </c>
      <c r="I22" s="46">
        <f t="shared" si="12"/>
        <v>4</v>
      </c>
      <c r="J22" s="46">
        <f t="shared" si="12"/>
        <v>67</v>
      </c>
      <c r="K22" s="46">
        <f t="shared" si="12"/>
        <v>40</v>
      </c>
      <c r="L22" s="46">
        <f t="shared" si="12"/>
        <v>0</v>
      </c>
      <c r="M22" s="46">
        <f t="shared" si="12"/>
        <v>11</v>
      </c>
      <c r="N22" s="46">
        <f t="shared" si="12"/>
        <v>12</v>
      </c>
      <c r="O22" s="46">
        <f t="shared" si="12"/>
        <v>4</v>
      </c>
      <c r="P22" s="46">
        <f t="shared" si="12"/>
        <v>8</v>
      </c>
      <c r="Q22" s="46">
        <f t="shared" si="12"/>
        <v>4</v>
      </c>
      <c r="R22" s="46">
        <f t="shared" si="12"/>
        <v>56</v>
      </c>
      <c r="S22" s="42"/>
      <c r="T22" s="42"/>
      <c r="U22" s="42"/>
      <c r="V22" s="42"/>
      <c r="W22" s="43"/>
      <c r="X22" s="44" t="s">
        <v>49</v>
      </c>
      <c r="Y22" s="41">
        <f>Y20+Y21</f>
        <v>17</v>
      </c>
      <c r="Z22" s="41">
        <f t="shared" ref="Z22:AB22" si="13">Z20+Z21</f>
        <v>8</v>
      </c>
      <c r="AA22" s="41">
        <f t="shared" si="13"/>
        <v>1</v>
      </c>
      <c r="AB22" s="41">
        <f t="shared" si="13"/>
        <v>8</v>
      </c>
      <c r="AC22" s="45">
        <f t="shared" ref="AC22:AN22" si="14">AC20</f>
        <v>8</v>
      </c>
      <c r="AD22" s="45">
        <f t="shared" si="14"/>
        <v>6</v>
      </c>
      <c r="AE22" s="45">
        <f t="shared" si="14"/>
        <v>1</v>
      </c>
      <c r="AF22" s="45">
        <f t="shared" si="14"/>
        <v>1</v>
      </c>
      <c r="AG22" s="38">
        <f>AG20+AG21</f>
        <v>9</v>
      </c>
      <c r="AH22" s="38">
        <f t="shared" ref="AH22:AJ22" si="15">AH20+AH21</f>
        <v>2</v>
      </c>
      <c r="AI22" s="38">
        <f t="shared" si="15"/>
        <v>0</v>
      </c>
      <c r="AJ22" s="38">
        <f t="shared" si="15"/>
        <v>7</v>
      </c>
      <c r="AK22" s="41">
        <f t="shared" si="14"/>
        <v>0</v>
      </c>
      <c r="AL22" s="41">
        <f t="shared" si="14"/>
        <v>0</v>
      </c>
      <c r="AM22" s="41">
        <f t="shared" si="14"/>
        <v>0</v>
      </c>
      <c r="AN22" s="41">
        <f t="shared" si="14"/>
        <v>0</v>
      </c>
    </row>
    <row r="24" spans="1:40" x14ac:dyDescent="0.3">
      <c r="A24" s="1" t="s">
        <v>52</v>
      </c>
    </row>
  </sheetData>
  <mergeCells count="13">
    <mergeCell ref="Y1:AB1"/>
    <mergeCell ref="AC1:AF1"/>
    <mergeCell ref="AG1:AJ1"/>
    <mergeCell ref="AK1:AN1"/>
    <mergeCell ref="C20:E20"/>
    <mergeCell ref="N1:O1"/>
    <mergeCell ref="P1:R1"/>
    <mergeCell ref="C22:E22"/>
    <mergeCell ref="A1:D1"/>
    <mergeCell ref="E1:G1"/>
    <mergeCell ref="H1:I1"/>
    <mergeCell ref="J1:M1"/>
    <mergeCell ref="C21:E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6FB9-09C1-1D48-8425-9F5F29E44E9D}">
  <dimension ref="A1:AN25"/>
  <sheetViews>
    <sheetView workbookViewId="0">
      <selection sqref="A1:D1"/>
    </sheetView>
  </sheetViews>
  <sheetFormatPr defaultColWidth="11.44140625" defaultRowHeight="16.3" x14ac:dyDescent="0.3"/>
  <cols>
    <col min="1" max="1" width="6.44140625" style="47" bestFit="1" customWidth="1"/>
    <col min="2" max="2" width="6" style="47" bestFit="1" customWidth="1"/>
    <col min="3" max="3" width="12" style="47" customWidth="1"/>
    <col min="4" max="4" width="4.77734375" style="47" customWidth="1"/>
    <col min="5" max="7" width="4.6640625" style="47" customWidth="1"/>
    <col min="8" max="18" width="4.77734375" style="47" customWidth="1"/>
    <col min="19" max="19" width="7" style="47" customWidth="1"/>
    <col min="20" max="20" width="6.77734375" style="47" customWidth="1"/>
    <col min="21" max="21" width="24" style="47" bestFit="1" customWidth="1"/>
    <col min="22" max="23" width="29" style="47" bestFit="1" customWidth="1"/>
    <col min="24" max="24" width="24" style="47" bestFit="1" customWidth="1"/>
    <col min="25" max="40" width="4.77734375" style="47" customWidth="1"/>
  </cols>
  <sheetData>
    <row r="1" spans="1:40" ht="17" thickBot="1" x14ac:dyDescent="0.35">
      <c r="A1" s="517" t="s">
        <v>62</v>
      </c>
      <c r="B1" s="518"/>
      <c r="C1" s="518"/>
      <c r="D1" s="519"/>
      <c r="E1" s="520" t="s">
        <v>0</v>
      </c>
      <c r="F1" s="521"/>
      <c r="G1" s="522"/>
      <c r="H1" s="520" t="s">
        <v>1</v>
      </c>
      <c r="I1" s="522"/>
      <c r="J1" s="523" t="s">
        <v>2</v>
      </c>
      <c r="K1" s="524"/>
      <c r="L1" s="524"/>
      <c r="M1" s="525"/>
      <c r="N1" s="523" t="s">
        <v>3</v>
      </c>
      <c r="O1" s="525"/>
      <c r="P1" s="523" t="s">
        <v>4</v>
      </c>
      <c r="Q1" s="524"/>
      <c r="R1" s="525"/>
      <c r="S1" s="190" t="s">
        <v>5</v>
      </c>
      <c r="T1" s="190" t="s">
        <v>6</v>
      </c>
      <c r="U1" s="191" t="s">
        <v>7</v>
      </c>
      <c r="V1" s="192" t="s">
        <v>8</v>
      </c>
      <c r="W1" s="192" t="s">
        <v>9</v>
      </c>
      <c r="X1" s="193" t="s">
        <v>10</v>
      </c>
      <c r="Y1" s="526" t="s">
        <v>11</v>
      </c>
      <c r="Z1" s="527"/>
      <c r="AA1" s="527"/>
      <c r="AB1" s="528"/>
      <c r="AC1" s="526" t="s">
        <v>12</v>
      </c>
      <c r="AD1" s="527"/>
      <c r="AE1" s="527"/>
      <c r="AF1" s="528"/>
      <c r="AG1" s="526" t="s">
        <v>13</v>
      </c>
      <c r="AH1" s="527"/>
      <c r="AI1" s="527"/>
      <c r="AJ1" s="528"/>
      <c r="AK1" s="526" t="s">
        <v>14</v>
      </c>
      <c r="AL1" s="527"/>
      <c r="AM1" s="527"/>
      <c r="AN1" s="528"/>
    </row>
    <row r="2" spans="1:40" ht="17" thickBot="1" x14ac:dyDescent="0.35">
      <c r="A2" s="194" t="s">
        <v>15</v>
      </c>
      <c r="B2" s="195" t="s">
        <v>16</v>
      </c>
      <c r="C2" s="196" t="s">
        <v>17</v>
      </c>
      <c r="D2" s="196" t="s">
        <v>18</v>
      </c>
      <c r="E2" s="197" t="s">
        <v>19</v>
      </c>
      <c r="F2" s="197" t="s">
        <v>20</v>
      </c>
      <c r="G2" s="197" t="s">
        <v>21</v>
      </c>
      <c r="H2" s="198" t="s">
        <v>22</v>
      </c>
      <c r="I2" s="198" t="s">
        <v>23</v>
      </c>
      <c r="J2" s="198" t="s">
        <v>24</v>
      </c>
      <c r="K2" s="198" t="s">
        <v>25</v>
      </c>
      <c r="L2" s="198" t="s">
        <v>26</v>
      </c>
      <c r="M2" s="198" t="s">
        <v>27</v>
      </c>
      <c r="N2" s="198" t="s">
        <v>28</v>
      </c>
      <c r="O2" s="198" t="s">
        <v>19</v>
      </c>
      <c r="P2" s="198" t="s">
        <v>22</v>
      </c>
      <c r="Q2" s="198" t="s">
        <v>23</v>
      </c>
      <c r="R2" s="198" t="s">
        <v>24</v>
      </c>
      <c r="S2" s="199"/>
      <c r="T2" s="200"/>
      <c r="U2" s="201"/>
      <c r="V2" s="199"/>
      <c r="W2" s="202"/>
      <c r="X2" s="203"/>
      <c r="Y2" s="204" t="s">
        <v>29</v>
      </c>
      <c r="Z2" s="204" t="s">
        <v>30</v>
      </c>
      <c r="AA2" s="204" t="s">
        <v>26</v>
      </c>
      <c r="AB2" s="204" t="s">
        <v>31</v>
      </c>
      <c r="AC2" s="204" t="s">
        <v>29</v>
      </c>
      <c r="AD2" s="204" t="s">
        <v>30</v>
      </c>
      <c r="AE2" s="204" t="s">
        <v>26</v>
      </c>
      <c r="AF2" s="204" t="s">
        <v>31</v>
      </c>
      <c r="AG2" s="204" t="s">
        <v>29</v>
      </c>
      <c r="AH2" s="204" t="s">
        <v>30</v>
      </c>
      <c r="AI2" s="204" t="s">
        <v>26</v>
      </c>
      <c r="AJ2" s="204" t="s">
        <v>31</v>
      </c>
      <c r="AK2" s="204" t="s">
        <v>29</v>
      </c>
      <c r="AL2" s="204" t="s">
        <v>30</v>
      </c>
      <c r="AM2" s="204" t="s">
        <v>26</v>
      </c>
      <c r="AN2" s="205" t="s">
        <v>31</v>
      </c>
    </row>
    <row r="3" spans="1:40" ht="17" thickBot="1" x14ac:dyDescent="0.35">
      <c r="A3" s="15" t="s">
        <v>115</v>
      </c>
      <c r="B3" s="16" t="s">
        <v>32</v>
      </c>
      <c r="C3" s="17" t="s">
        <v>40</v>
      </c>
      <c r="D3" s="18" t="s">
        <v>21</v>
      </c>
      <c r="E3" s="18" t="s">
        <v>30</v>
      </c>
      <c r="F3" s="18">
        <v>45</v>
      </c>
      <c r="G3" s="19">
        <v>31</v>
      </c>
      <c r="H3" s="20">
        <v>1</v>
      </c>
      <c r="I3" s="21">
        <v>0</v>
      </c>
      <c r="J3" s="21">
        <v>6</v>
      </c>
      <c r="K3" s="21">
        <v>6</v>
      </c>
      <c r="L3" s="21">
        <v>0</v>
      </c>
      <c r="M3" s="21">
        <v>1</v>
      </c>
      <c r="N3" s="21">
        <v>0</v>
      </c>
      <c r="O3" s="21">
        <v>0</v>
      </c>
      <c r="P3" s="21">
        <v>1</v>
      </c>
      <c r="Q3" s="21">
        <v>0</v>
      </c>
      <c r="R3" s="21">
        <v>4</v>
      </c>
      <c r="S3" s="22"/>
      <c r="T3" s="297" t="s">
        <v>249</v>
      </c>
      <c r="U3" s="24" t="str">
        <f>Chicago!U4</f>
        <v>Lex Weiner</v>
      </c>
      <c r="V3" s="24" t="str">
        <f>Chicago!V4</f>
        <v>Mike Kelly</v>
      </c>
      <c r="W3" s="24" t="str">
        <f>Chicago!W4</f>
        <v>Pete Pender</v>
      </c>
      <c r="X3" s="24" t="str">
        <f>Chicago!X4</f>
        <v>Shanda Assmus</v>
      </c>
      <c r="Y3" s="25">
        <v>1</v>
      </c>
      <c r="Z3" s="25">
        <v>1</v>
      </c>
      <c r="AA3" s="25">
        <v>0</v>
      </c>
      <c r="AB3" s="26">
        <v>0</v>
      </c>
      <c r="AC3" s="25"/>
      <c r="AD3" s="25"/>
      <c r="AE3" s="25"/>
      <c r="AF3" s="26"/>
      <c r="AG3" s="25">
        <v>1</v>
      </c>
      <c r="AH3" s="25">
        <v>1</v>
      </c>
      <c r="AI3" s="25">
        <v>0</v>
      </c>
      <c r="AJ3" s="26">
        <v>0</v>
      </c>
      <c r="AK3" s="25"/>
      <c r="AL3" s="25"/>
      <c r="AM3" s="25"/>
      <c r="AN3" s="26"/>
    </row>
    <row r="4" spans="1:40" ht="17" thickBot="1" x14ac:dyDescent="0.35">
      <c r="A4" s="2" t="s">
        <v>120</v>
      </c>
      <c r="B4" s="3" t="s">
        <v>32</v>
      </c>
      <c r="C4" s="4" t="s">
        <v>96</v>
      </c>
      <c r="D4" s="5" t="s">
        <v>34</v>
      </c>
      <c r="E4" s="5" t="s">
        <v>30</v>
      </c>
      <c r="F4" s="5">
        <v>55</v>
      </c>
      <c r="G4" s="6">
        <v>21</v>
      </c>
      <c r="H4" s="7">
        <v>1</v>
      </c>
      <c r="I4" s="8">
        <v>0</v>
      </c>
      <c r="J4" s="8">
        <v>8</v>
      </c>
      <c r="K4" s="5">
        <v>5</v>
      </c>
      <c r="L4" s="8">
        <v>0</v>
      </c>
      <c r="M4" s="5">
        <v>1</v>
      </c>
      <c r="N4" s="8">
        <v>2</v>
      </c>
      <c r="O4" s="8">
        <v>0</v>
      </c>
      <c r="P4" s="8">
        <v>0</v>
      </c>
      <c r="Q4" s="5">
        <v>0</v>
      </c>
      <c r="R4" s="8">
        <v>2</v>
      </c>
      <c r="S4" s="9"/>
      <c r="T4" s="282" t="s">
        <v>261</v>
      </c>
      <c r="U4" s="11" t="s">
        <v>255</v>
      </c>
      <c r="V4" s="12" t="s">
        <v>215</v>
      </c>
      <c r="W4" s="12" t="s">
        <v>218</v>
      </c>
      <c r="X4" s="13" t="s">
        <v>245</v>
      </c>
      <c r="Y4" s="12">
        <v>1</v>
      </c>
      <c r="Z4" s="12">
        <v>1</v>
      </c>
      <c r="AA4" s="12">
        <v>0</v>
      </c>
      <c r="AB4" s="14">
        <v>0</v>
      </c>
      <c r="AC4" s="12">
        <v>1</v>
      </c>
      <c r="AD4" s="12">
        <v>1</v>
      </c>
      <c r="AE4" s="12">
        <v>0</v>
      </c>
      <c r="AF4" s="14">
        <v>0</v>
      </c>
      <c r="AG4" s="12"/>
      <c r="AH4" s="12"/>
      <c r="AI4" s="12"/>
      <c r="AJ4" s="14"/>
      <c r="AK4" s="12"/>
      <c r="AL4" s="12"/>
      <c r="AM4" s="12"/>
      <c r="AN4" s="14"/>
    </row>
    <row r="5" spans="1:40" ht="17" thickBot="1" x14ac:dyDescent="0.35">
      <c r="A5" s="2" t="s">
        <v>100</v>
      </c>
      <c r="B5" s="3" t="s">
        <v>32</v>
      </c>
      <c r="C5" s="4" t="s">
        <v>44</v>
      </c>
      <c r="D5" s="5" t="s">
        <v>34</v>
      </c>
      <c r="E5" s="5" t="s">
        <v>31</v>
      </c>
      <c r="F5" s="5">
        <v>17</v>
      </c>
      <c r="G5" s="6">
        <v>37</v>
      </c>
      <c r="H5" s="27">
        <v>0</v>
      </c>
      <c r="I5" s="6">
        <v>0</v>
      </c>
      <c r="J5" s="8">
        <v>3</v>
      </c>
      <c r="K5" s="8">
        <v>1</v>
      </c>
      <c r="L5" s="8">
        <v>0</v>
      </c>
      <c r="M5" s="8">
        <v>0</v>
      </c>
      <c r="N5" s="8">
        <v>0</v>
      </c>
      <c r="O5" s="8">
        <v>0</v>
      </c>
      <c r="P5" s="5">
        <v>1</v>
      </c>
      <c r="Q5" s="8">
        <v>0</v>
      </c>
      <c r="R5" s="5">
        <v>4</v>
      </c>
      <c r="S5" s="9"/>
      <c r="T5" s="10" t="s">
        <v>275</v>
      </c>
      <c r="U5" s="11" t="s">
        <v>224</v>
      </c>
      <c r="V5" s="12" t="s">
        <v>213</v>
      </c>
      <c r="W5" s="12" t="s">
        <v>245</v>
      </c>
      <c r="X5" s="13" t="s">
        <v>270</v>
      </c>
      <c r="Y5" s="12">
        <v>1</v>
      </c>
      <c r="Z5" s="12">
        <v>0</v>
      </c>
      <c r="AA5" s="12">
        <v>0</v>
      </c>
      <c r="AB5" s="14">
        <v>1</v>
      </c>
      <c r="AC5" s="12">
        <v>1</v>
      </c>
      <c r="AD5" s="12">
        <v>0</v>
      </c>
      <c r="AE5" s="12">
        <v>0</v>
      </c>
      <c r="AF5" s="14">
        <v>1</v>
      </c>
      <c r="AG5" s="12"/>
      <c r="AH5" s="12"/>
      <c r="AI5" s="12"/>
      <c r="AJ5" s="14"/>
      <c r="AK5" s="12"/>
      <c r="AL5" s="12"/>
      <c r="AM5" s="12"/>
      <c r="AN5" s="14"/>
    </row>
    <row r="6" spans="1:40" ht="17" thickBot="1" x14ac:dyDescent="0.35">
      <c r="A6" s="15" t="s">
        <v>117</v>
      </c>
      <c r="B6" s="16" t="s">
        <v>32</v>
      </c>
      <c r="C6" s="17" t="s">
        <v>36</v>
      </c>
      <c r="D6" s="18" t="s">
        <v>21</v>
      </c>
      <c r="E6" s="18" t="s">
        <v>30</v>
      </c>
      <c r="F6" s="18">
        <v>36</v>
      </c>
      <c r="G6" s="19">
        <v>19</v>
      </c>
      <c r="H6" s="19">
        <v>1</v>
      </c>
      <c r="I6" s="21">
        <v>0</v>
      </c>
      <c r="J6" s="18">
        <v>5</v>
      </c>
      <c r="K6" s="18">
        <v>4</v>
      </c>
      <c r="L6" s="21">
        <v>0</v>
      </c>
      <c r="M6" s="21">
        <v>1</v>
      </c>
      <c r="N6" s="21">
        <v>3</v>
      </c>
      <c r="O6" s="21">
        <v>0</v>
      </c>
      <c r="P6" s="21">
        <v>0</v>
      </c>
      <c r="Q6" s="18">
        <v>0</v>
      </c>
      <c r="R6" s="21">
        <v>3</v>
      </c>
      <c r="S6" s="22"/>
      <c r="T6" s="292" t="s">
        <v>288</v>
      </c>
      <c r="U6" s="25" t="str">
        <f>Miami!U7</f>
        <v>Marquise Goodwin</v>
      </c>
      <c r="V6" s="25" t="str">
        <f>Miami!V7</f>
        <v>Mike Kelly</v>
      </c>
      <c r="W6" s="25" t="str">
        <f>Miami!W7</f>
        <v>Federico Anselmi</v>
      </c>
      <c r="X6" s="25" t="str">
        <f>Miami!X7</f>
        <v>Dave Edwards</v>
      </c>
      <c r="Y6" s="25">
        <v>1</v>
      </c>
      <c r="Z6" s="25">
        <v>1</v>
      </c>
      <c r="AA6" s="25">
        <v>0</v>
      </c>
      <c r="AB6" s="26">
        <v>0</v>
      </c>
      <c r="AC6" s="25"/>
      <c r="AD6" s="25"/>
      <c r="AE6" s="25"/>
      <c r="AF6" s="26"/>
      <c r="AG6" s="25">
        <v>1</v>
      </c>
      <c r="AH6" s="25">
        <v>1</v>
      </c>
      <c r="AI6" s="25">
        <v>0</v>
      </c>
      <c r="AJ6" s="26">
        <v>0</v>
      </c>
      <c r="AK6" s="25"/>
      <c r="AL6" s="25"/>
      <c r="AM6" s="25"/>
      <c r="AN6" s="26"/>
    </row>
    <row r="7" spans="1:40" ht="17" thickBot="1" x14ac:dyDescent="0.35">
      <c r="A7" s="15" t="s">
        <v>101</v>
      </c>
      <c r="B7" s="16" t="s">
        <v>32</v>
      </c>
      <c r="C7" s="17" t="s">
        <v>43</v>
      </c>
      <c r="D7" s="18" t="s">
        <v>21</v>
      </c>
      <c r="E7" s="21" t="s">
        <v>30</v>
      </c>
      <c r="F7" s="18">
        <v>30</v>
      </c>
      <c r="G7" s="19">
        <v>27</v>
      </c>
      <c r="H7" s="20">
        <v>0</v>
      </c>
      <c r="I7" s="18">
        <v>0</v>
      </c>
      <c r="J7" s="21">
        <v>3</v>
      </c>
      <c r="K7" s="21">
        <v>3</v>
      </c>
      <c r="L7" s="21">
        <v>0</v>
      </c>
      <c r="M7" s="21">
        <v>3</v>
      </c>
      <c r="N7" s="21">
        <v>1</v>
      </c>
      <c r="O7" s="21">
        <v>0</v>
      </c>
      <c r="P7" s="21">
        <v>0</v>
      </c>
      <c r="Q7" s="21">
        <v>1</v>
      </c>
      <c r="R7" s="21">
        <v>3</v>
      </c>
      <c r="S7" s="22"/>
      <c r="T7" s="292" t="s">
        <v>299</v>
      </c>
      <c r="U7" s="24" t="str">
        <f>Seattle!U7</f>
        <v>Luke Rogan</v>
      </c>
      <c r="V7" s="24" t="str">
        <f>Seattle!V7</f>
        <v>Mike Kelly</v>
      </c>
      <c r="W7" s="24" t="str">
        <f>Seattle!W7</f>
        <v>Robin Kaluzniak</v>
      </c>
      <c r="X7" s="24" t="str">
        <f>Seattle!X7</f>
        <v>Morris Fuller</v>
      </c>
      <c r="Y7" s="25">
        <v>1</v>
      </c>
      <c r="Z7" s="25">
        <v>1</v>
      </c>
      <c r="AA7" s="25">
        <v>0</v>
      </c>
      <c r="AB7" s="26">
        <v>0</v>
      </c>
      <c r="AC7" s="25"/>
      <c r="AD7" s="25"/>
      <c r="AE7" s="25"/>
      <c r="AF7" s="26"/>
      <c r="AG7" s="25">
        <v>1</v>
      </c>
      <c r="AH7" s="25">
        <v>1</v>
      </c>
      <c r="AI7" s="25">
        <v>0</v>
      </c>
      <c r="AJ7" s="26">
        <v>0</v>
      </c>
      <c r="AK7" s="25"/>
      <c r="AL7" s="25"/>
      <c r="AM7" s="25"/>
      <c r="AN7" s="26"/>
    </row>
    <row r="8" spans="1:40" ht="17" thickBot="1" x14ac:dyDescent="0.35">
      <c r="A8" s="2" t="s">
        <v>102</v>
      </c>
      <c r="B8" s="3" t="s">
        <v>32</v>
      </c>
      <c r="C8" s="4" t="s">
        <v>33</v>
      </c>
      <c r="D8" s="5" t="s">
        <v>34</v>
      </c>
      <c r="E8" s="8" t="s">
        <v>31</v>
      </c>
      <c r="F8" s="5">
        <v>26</v>
      </c>
      <c r="G8" s="6">
        <v>33</v>
      </c>
      <c r="H8" s="7">
        <v>1</v>
      </c>
      <c r="I8" s="5">
        <v>1</v>
      </c>
      <c r="J8" s="8">
        <v>4</v>
      </c>
      <c r="K8" s="8">
        <v>3</v>
      </c>
      <c r="L8" s="8">
        <v>0</v>
      </c>
      <c r="M8" s="8">
        <v>0</v>
      </c>
      <c r="N8" s="8">
        <v>1</v>
      </c>
      <c r="O8" s="8">
        <v>0</v>
      </c>
      <c r="P8" s="5">
        <v>1</v>
      </c>
      <c r="Q8" s="8">
        <v>0</v>
      </c>
      <c r="R8" s="8">
        <v>5</v>
      </c>
      <c r="S8" s="9"/>
      <c r="T8" s="28" t="s">
        <v>248</v>
      </c>
      <c r="U8" s="11" t="s">
        <v>303</v>
      </c>
      <c r="V8" s="12" t="s">
        <v>215</v>
      </c>
      <c r="W8" s="12" t="s">
        <v>245</v>
      </c>
      <c r="X8" s="13" t="s">
        <v>304</v>
      </c>
      <c r="Y8" s="12">
        <v>1</v>
      </c>
      <c r="Z8" s="12">
        <v>0</v>
      </c>
      <c r="AA8" s="12">
        <v>0</v>
      </c>
      <c r="AB8" s="14">
        <v>1</v>
      </c>
      <c r="AC8" s="12">
        <v>1</v>
      </c>
      <c r="AD8" s="12">
        <v>0</v>
      </c>
      <c r="AE8" s="12">
        <v>0</v>
      </c>
      <c r="AF8" s="14">
        <v>1</v>
      </c>
      <c r="AG8" s="12"/>
      <c r="AH8" s="12"/>
      <c r="AI8" s="12"/>
      <c r="AJ8" s="14"/>
      <c r="AK8" s="12"/>
      <c r="AL8" s="12"/>
      <c r="AM8" s="12"/>
      <c r="AN8" s="14"/>
    </row>
    <row r="9" spans="1:40" ht="17" thickBot="1" x14ac:dyDescent="0.35">
      <c r="A9" s="15" t="s">
        <v>121</v>
      </c>
      <c r="B9" s="16" t="s">
        <v>32</v>
      </c>
      <c r="C9" s="17" t="s">
        <v>46</v>
      </c>
      <c r="D9" s="18" t="s">
        <v>21</v>
      </c>
      <c r="E9" s="21" t="s">
        <v>30</v>
      </c>
      <c r="F9" s="18">
        <v>45</v>
      </c>
      <c r="G9" s="19">
        <v>28</v>
      </c>
      <c r="H9" s="20">
        <v>1</v>
      </c>
      <c r="I9" s="21">
        <v>0</v>
      </c>
      <c r="J9" s="21">
        <v>6</v>
      </c>
      <c r="K9" s="21">
        <v>5</v>
      </c>
      <c r="L9" s="21">
        <v>0</v>
      </c>
      <c r="M9" s="21">
        <v>1</v>
      </c>
      <c r="N9" s="21">
        <v>1</v>
      </c>
      <c r="O9" s="21">
        <v>0</v>
      </c>
      <c r="P9" s="21">
        <v>1</v>
      </c>
      <c r="Q9" s="21">
        <v>0</v>
      </c>
      <c r="R9" s="21">
        <v>4</v>
      </c>
      <c r="S9" s="22"/>
      <c r="T9" s="297" t="s">
        <v>249</v>
      </c>
      <c r="U9" s="24" t="str">
        <f>LosAngeles!U10</f>
        <v>Luke Rogan</v>
      </c>
      <c r="V9" s="24" t="str">
        <f>LosAngeles!V10</f>
        <v>Cam Russell</v>
      </c>
      <c r="W9" s="24" t="str">
        <f>LosAngeles!W10</f>
        <v>Chris Assmus</v>
      </c>
      <c r="X9" s="24" t="str">
        <f>LosAngeles!X10</f>
        <v>Austin Reed</v>
      </c>
      <c r="Y9" s="25">
        <f>LosAngeles!Y10</f>
        <v>1</v>
      </c>
      <c r="Z9" s="25">
        <f>LosAngeles!AB10</f>
        <v>1</v>
      </c>
      <c r="AA9" s="25">
        <f>LosAngeles!AA10</f>
        <v>0</v>
      </c>
      <c r="AB9" s="26">
        <f>LosAngeles!Z10</f>
        <v>0</v>
      </c>
      <c r="AC9" s="25"/>
      <c r="AD9" s="25"/>
      <c r="AE9" s="25"/>
      <c r="AF9" s="26"/>
      <c r="AG9" s="25">
        <f>Y9</f>
        <v>1</v>
      </c>
      <c r="AH9" s="25">
        <f t="shared" ref="AH9:AJ10" si="0">Z9</f>
        <v>1</v>
      </c>
      <c r="AI9" s="25">
        <f t="shared" si="0"/>
        <v>0</v>
      </c>
      <c r="AJ9" s="25">
        <f t="shared" si="0"/>
        <v>0</v>
      </c>
      <c r="AK9" s="25"/>
      <c r="AL9" s="25"/>
      <c r="AM9" s="25"/>
      <c r="AN9" s="26"/>
    </row>
    <row r="10" spans="1:40" ht="17" thickBot="1" x14ac:dyDescent="0.35">
      <c r="A10" s="15" t="s">
        <v>122</v>
      </c>
      <c r="B10" s="16" t="s">
        <v>32</v>
      </c>
      <c r="C10" s="17" t="s">
        <v>47</v>
      </c>
      <c r="D10" s="18" t="s">
        <v>21</v>
      </c>
      <c r="E10" s="18" t="s">
        <v>30</v>
      </c>
      <c r="F10" s="18">
        <v>31</v>
      </c>
      <c r="G10" s="19">
        <v>18</v>
      </c>
      <c r="H10" s="20">
        <v>1</v>
      </c>
      <c r="I10" s="21">
        <v>0</v>
      </c>
      <c r="J10" s="21">
        <v>5</v>
      </c>
      <c r="K10" s="21">
        <v>3</v>
      </c>
      <c r="L10" s="21">
        <v>0</v>
      </c>
      <c r="M10" s="21">
        <v>0</v>
      </c>
      <c r="N10" s="18">
        <v>1</v>
      </c>
      <c r="O10" s="21">
        <v>0</v>
      </c>
      <c r="P10" s="21">
        <v>0</v>
      </c>
      <c r="Q10" s="18">
        <v>0</v>
      </c>
      <c r="R10" s="21">
        <v>2</v>
      </c>
      <c r="S10" s="22"/>
      <c r="T10" s="292" t="s">
        <v>259</v>
      </c>
      <c r="U10" s="24" t="str">
        <f>SanDiego!U11</f>
        <v>Robin Kaluzniak</v>
      </c>
      <c r="V10" s="24" t="str">
        <f>SanDiego!V11</f>
        <v>Mike Kelly</v>
      </c>
      <c r="W10" s="24" t="str">
        <f>SanDiego!W11</f>
        <v>Shanda Assmus</v>
      </c>
      <c r="X10" s="24" t="str">
        <f>SanDiego!X11</f>
        <v>Kirk Swanner</v>
      </c>
      <c r="Y10" s="25">
        <f>SanDiego!Y11</f>
        <v>1</v>
      </c>
      <c r="Z10" s="25">
        <f>SanDiego!AB11</f>
        <v>1</v>
      </c>
      <c r="AA10" s="25">
        <f>SanDiego!AA11</f>
        <v>0</v>
      </c>
      <c r="AB10" s="26">
        <f>SanDiego!Z11</f>
        <v>0</v>
      </c>
      <c r="AC10" s="25"/>
      <c r="AD10" s="25"/>
      <c r="AE10" s="25"/>
      <c r="AF10" s="26"/>
      <c r="AG10" s="25">
        <f>Y10</f>
        <v>1</v>
      </c>
      <c r="AH10" s="25">
        <f t="shared" si="0"/>
        <v>1</v>
      </c>
      <c r="AI10" s="25">
        <f t="shared" si="0"/>
        <v>0</v>
      </c>
      <c r="AJ10" s="25">
        <f t="shared" si="0"/>
        <v>0</v>
      </c>
      <c r="AK10" s="25"/>
      <c r="AL10" s="25"/>
      <c r="AM10" s="25"/>
      <c r="AN10" s="26"/>
    </row>
    <row r="11" spans="1:40" ht="17" thickBot="1" x14ac:dyDescent="0.35">
      <c r="A11" s="2" t="s">
        <v>118</v>
      </c>
      <c r="B11" s="3" t="s">
        <v>32</v>
      </c>
      <c r="C11" s="4" t="s">
        <v>40</v>
      </c>
      <c r="D11" s="5" t="s">
        <v>34</v>
      </c>
      <c r="E11" s="5" t="s">
        <v>30</v>
      </c>
      <c r="F11" s="5">
        <v>41</v>
      </c>
      <c r="G11" s="6">
        <v>31</v>
      </c>
      <c r="H11" s="7">
        <v>1</v>
      </c>
      <c r="I11" s="8">
        <v>0</v>
      </c>
      <c r="J11" s="8">
        <v>6</v>
      </c>
      <c r="K11" s="8">
        <v>4</v>
      </c>
      <c r="L11" s="8">
        <v>0</v>
      </c>
      <c r="M11" s="8">
        <v>1</v>
      </c>
      <c r="N11" s="8">
        <v>3</v>
      </c>
      <c r="O11" s="8">
        <v>0</v>
      </c>
      <c r="P11" s="8">
        <v>1</v>
      </c>
      <c r="Q11" s="5">
        <v>0</v>
      </c>
      <c r="R11" s="8">
        <v>4</v>
      </c>
      <c r="S11" s="9"/>
      <c r="T11" s="298" t="s">
        <v>345</v>
      </c>
      <c r="U11" s="162" t="s">
        <v>216</v>
      </c>
      <c r="V11" s="163" t="s">
        <v>215</v>
      </c>
      <c r="W11" s="163" t="s">
        <v>245</v>
      </c>
      <c r="X11" s="164" t="s">
        <v>333</v>
      </c>
      <c r="Y11" s="12">
        <v>1</v>
      </c>
      <c r="Z11" s="12">
        <v>1</v>
      </c>
      <c r="AA11" s="12">
        <v>0</v>
      </c>
      <c r="AB11" s="14">
        <v>0</v>
      </c>
      <c r="AC11" s="12">
        <f>Y11</f>
        <v>1</v>
      </c>
      <c r="AD11" s="12">
        <f t="shared" ref="AD11:AF12" si="1">Z11</f>
        <v>1</v>
      </c>
      <c r="AE11" s="12">
        <f t="shared" si="1"/>
        <v>0</v>
      </c>
      <c r="AF11" s="12">
        <f t="shared" si="1"/>
        <v>0</v>
      </c>
      <c r="AG11" s="12"/>
      <c r="AH11" s="12"/>
      <c r="AI11" s="12"/>
      <c r="AJ11" s="14"/>
      <c r="AK11" s="12"/>
      <c r="AL11" s="12"/>
      <c r="AM11" s="12"/>
      <c r="AN11" s="14"/>
    </row>
    <row r="12" spans="1:40" ht="17" thickBot="1" x14ac:dyDescent="0.35">
      <c r="A12" s="31" t="s">
        <v>135</v>
      </c>
      <c r="B12" s="3" t="s">
        <v>32</v>
      </c>
      <c r="C12" s="4" t="s">
        <v>47</v>
      </c>
      <c r="D12" s="5" t="s">
        <v>34</v>
      </c>
      <c r="E12" s="5" t="s">
        <v>30</v>
      </c>
      <c r="F12" s="5">
        <v>38</v>
      </c>
      <c r="G12" s="6">
        <v>31</v>
      </c>
      <c r="H12" s="7">
        <v>1</v>
      </c>
      <c r="I12" s="8">
        <v>0</v>
      </c>
      <c r="J12" s="8">
        <v>6</v>
      </c>
      <c r="K12" s="8">
        <v>3</v>
      </c>
      <c r="L12" s="8">
        <v>0</v>
      </c>
      <c r="M12" s="8">
        <v>0</v>
      </c>
      <c r="N12" s="5">
        <v>0</v>
      </c>
      <c r="O12" s="8">
        <v>0</v>
      </c>
      <c r="P12" s="8">
        <v>1</v>
      </c>
      <c r="Q12" s="8">
        <v>1</v>
      </c>
      <c r="R12" s="8">
        <v>5</v>
      </c>
      <c r="S12" s="32"/>
      <c r="T12" s="351" t="s">
        <v>353</v>
      </c>
      <c r="U12" s="11" t="s">
        <v>332</v>
      </c>
      <c r="V12" s="12" t="s">
        <v>305</v>
      </c>
      <c r="W12" s="12" t="s">
        <v>245</v>
      </c>
      <c r="X12" s="13" t="s">
        <v>333</v>
      </c>
      <c r="Y12" s="12">
        <v>1</v>
      </c>
      <c r="Z12" s="12">
        <v>1</v>
      </c>
      <c r="AA12" s="12">
        <v>0</v>
      </c>
      <c r="AB12" s="14">
        <v>0</v>
      </c>
      <c r="AC12" s="12">
        <f>Y12</f>
        <v>1</v>
      </c>
      <c r="AD12" s="12">
        <f t="shared" si="1"/>
        <v>1</v>
      </c>
      <c r="AE12" s="12">
        <f t="shared" si="1"/>
        <v>0</v>
      </c>
      <c r="AF12" s="12">
        <f t="shared" si="1"/>
        <v>0</v>
      </c>
      <c r="AG12" s="12"/>
      <c r="AH12" s="12"/>
      <c r="AI12" s="12"/>
      <c r="AJ12" s="14"/>
      <c r="AK12" s="12"/>
      <c r="AL12" s="12"/>
      <c r="AM12" s="12"/>
      <c r="AN12" s="14"/>
    </row>
    <row r="13" spans="1:40" ht="17" thickBot="1" x14ac:dyDescent="0.35">
      <c r="A13" s="33" t="s">
        <v>42</v>
      </c>
      <c r="B13" s="16" t="s">
        <v>32</v>
      </c>
      <c r="C13" s="17" t="s">
        <v>37</v>
      </c>
      <c r="D13" s="18" t="s">
        <v>21</v>
      </c>
      <c r="E13" s="18" t="s">
        <v>31</v>
      </c>
      <c r="F13" s="18">
        <v>12</v>
      </c>
      <c r="G13" s="19">
        <v>28</v>
      </c>
      <c r="H13" s="20">
        <v>0</v>
      </c>
      <c r="I13" s="21">
        <v>0</v>
      </c>
      <c r="J13" s="21">
        <v>2</v>
      </c>
      <c r="K13" s="21">
        <v>1</v>
      </c>
      <c r="L13" s="21">
        <v>0</v>
      </c>
      <c r="M13" s="21">
        <v>0</v>
      </c>
      <c r="N13" s="21">
        <v>1</v>
      </c>
      <c r="O13" s="21">
        <v>0</v>
      </c>
      <c r="P13" s="21">
        <v>1</v>
      </c>
      <c r="Q13" s="21">
        <v>0</v>
      </c>
      <c r="R13" s="21">
        <v>4</v>
      </c>
      <c r="S13" s="34"/>
      <c r="T13" s="23" t="s">
        <v>355</v>
      </c>
      <c r="U13" s="24" t="str">
        <f>OldGlory!U13</f>
        <v>Peter Pender</v>
      </c>
      <c r="V13" s="24" t="str">
        <f>OldGlory!V13</f>
        <v>Amanda Cox</v>
      </c>
      <c r="W13" s="24" t="str">
        <f>OldGlory!W13</f>
        <v>Eanna O'Dowd</v>
      </c>
      <c r="X13" s="24" t="str">
        <f>OldGlory!X13</f>
        <v>Dave Edwards</v>
      </c>
      <c r="Y13" s="25">
        <f>OldGlory!Y13</f>
        <v>1</v>
      </c>
      <c r="Z13" s="25">
        <f>OldGlory!AB13</f>
        <v>0</v>
      </c>
      <c r="AA13" s="25">
        <f>OldGlory!AA13</f>
        <v>0</v>
      </c>
      <c r="AB13" s="26">
        <f>OldGlory!Z13</f>
        <v>1</v>
      </c>
      <c r="AC13" s="25"/>
      <c r="AD13" s="25"/>
      <c r="AE13" s="25"/>
      <c r="AF13" s="26"/>
      <c r="AG13" s="25">
        <f>Y13</f>
        <v>1</v>
      </c>
      <c r="AH13" s="25">
        <f t="shared" ref="AH13:AJ13" si="2">Z13</f>
        <v>0</v>
      </c>
      <c r="AI13" s="25">
        <f t="shared" si="2"/>
        <v>0</v>
      </c>
      <c r="AJ13" s="25">
        <f t="shared" si="2"/>
        <v>1</v>
      </c>
      <c r="AK13" s="25"/>
      <c r="AL13" s="25"/>
      <c r="AM13" s="25"/>
      <c r="AN13" s="26"/>
    </row>
    <row r="14" spans="1:40" ht="17" thickBot="1" x14ac:dyDescent="0.35">
      <c r="A14" s="31" t="s">
        <v>136</v>
      </c>
      <c r="B14" s="3" t="s">
        <v>32</v>
      </c>
      <c r="C14" s="4" t="s">
        <v>43</v>
      </c>
      <c r="D14" s="5" t="s">
        <v>34</v>
      </c>
      <c r="E14" s="5" t="s">
        <v>31</v>
      </c>
      <c r="F14" s="5">
        <v>24</v>
      </c>
      <c r="G14" s="6">
        <v>28</v>
      </c>
      <c r="H14" s="7">
        <v>1</v>
      </c>
      <c r="I14" s="8">
        <v>1</v>
      </c>
      <c r="J14" s="8">
        <v>4</v>
      </c>
      <c r="K14" s="8">
        <v>2</v>
      </c>
      <c r="L14" s="8">
        <v>0</v>
      </c>
      <c r="M14" s="8">
        <v>0</v>
      </c>
      <c r="N14" s="8">
        <v>1</v>
      </c>
      <c r="O14" s="8">
        <v>0</v>
      </c>
      <c r="P14" s="8">
        <v>1</v>
      </c>
      <c r="Q14" s="8">
        <v>0</v>
      </c>
      <c r="R14" s="8">
        <v>4</v>
      </c>
      <c r="S14" s="32"/>
      <c r="T14" s="28" t="s">
        <v>291</v>
      </c>
      <c r="U14" s="11" t="s">
        <v>362</v>
      </c>
      <c r="V14" s="12" t="s">
        <v>220</v>
      </c>
      <c r="W14" s="12" t="s">
        <v>223</v>
      </c>
      <c r="X14" s="13" t="s">
        <v>333</v>
      </c>
      <c r="Y14" s="12">
        <v>1</v>
      </c>
      <c r="Z14" s="12">
        <v>0</v>
      </c>
      <c r="AA14" s="12">
        <v>0</v>
      </c>
      <c r="AB14" s="14">
        <v>1</v>
      </c>
      <c r="AC14" s="12">
        <f>Y14</f>
        <v>1</v>
      </c>
      <c r="AD14" s="12">
        <f t="shared" ref="AD14:AF14" si="3">Z14</f>
        <v>0</v>
      </c>
      <c r="AE14" s="12">
        <f t="shared" si="3"/>
        <v>0</v>
      </c>
      <c r="AF14" s="12">
        <f t="shared" si="3"/>
        <v>1</v>
      </c>
      <c r="AG14" s="12"/>
      <c r="AH14" s="12"/>
      <c r="AI14" s="12"/>
      <c r="AJ14" s="14"/>
      <c r="AK14" s="12"/>
      <c r="AL14" s="12"/>
      <c r="AM14" s="12"/>
      <c r="AN14" s="14"/>
    </row>
    <row r="15" spans="1:40" ht="17" thickBot="1" x14ac:dyDescent="0.35">
      <c r="A15" s="33" t="s">
        <v>123</v>
      </c>
      <c r="B15" s="16" t="s">
        <v>32</v>
      </c>
      <c r="C15" s="17" t="s">
        <v>44</v>
      </c>
      <c r="D15" s="18" t="s">
        <v>21</v>
      </c>
      <c r="E15" s="18" t="s">
        <v>31</v>
      </c>
      <c r="F15" s="18">
        <v>19</v>
      </c>
      <c r="G15" s="19">
        <v>40</v>
      </c>
      <c r="H15" s="20">
        <v>0</v>
      </c>
      <c r="I15" s="21">
        <v>0</v>
      </c>
      <c r="J15" s="21">
        <v>3</v>
      </c>
      <c r="K15" s="21">
        <v>1</v>
      </c>
      <c r="L15" s="21">
        <v>0</v>
      </c>
      <c r="M15" s="21">
        <v>0</v>
      </c>
      <c r="N15" s="21">
        <v>2</v>
      </c>
      <c r="O15" s="21">
        <v>0</v>
      </c>
      <c r="P15" s="21">
        <v>1</v>
      </c>
      <c r="Q15" s="21">
        <v>0</v>
      </c>
      <c r="R15" s="21">
        <v>5</v>
      </c>
      <c r="S15" s="34"/>
      <c r="T15" s="23" t="s">
        <v>379</v>
      </c>
      <c r="U15" s="24" t="s">
        <v>216</v>
      </c>
      <c r="V15" s="24" t="s">
        <v>215</v>
      </c>
      <c r="W15" s="24" t="s">
        <v>218</v>
      </c>
      <c r="X15" s="24" t="s">
        <v>302</v>
      </c>
      <c r="Y15" s="25">
        <f>Houston!Y15</f>
        <v>1</v>
      </c>
      <c r="Z15" s="25">
        <f>Houston!AB15</f>
        <v>0</v>
      </c>
      <c r="AA15" s="25">
        <f>Houston!AA15</f>
        <v>0</v>
      </c>
      <c r="AB15" s="26">
        <f>Houston!Z15</f>
        <v>1</v>
      </c>
      <c r="AC15" s="25"/>
      <c r="AD15" s="25"/>
      <c r="AE15" s="25"/>
      <c r="AF15" s="26"/>
      <c r="AG15" s="25">
        <f>Y15</f>
        <v>1</v>
      </c>
      <c r="AH15" s="25">
        <f t="shared" ref="AH15:AJ16" si="4">Z15</f>
        <v>0</v>
      </c>
      <c r="AI15" s="25">
        <f t="shared" si="4"/>
        <v>0</v>
      </c>
      <c r="AJ15" s="25">
        <f t="shared" si="4"/>
        <v>1</v>
      </c>
      <c r="AK15" s="25"/>
      <c r="AL15" s="25"/>
      <c r="AM15" s="25"/>
      <c r="AN15" s="26"/>
    </row>
    <row r="16" spans="1:40" ht="17" thickBot="1" x14ac:dyDescent="0.35">
      <c r="A16" s="33" t="s">
        <v>109</v>
      </c>
      <c r="B16" s="16" t="s">
        <v>32</v>
      </c>
      <c r="C16" s="17" t="s">
        <v>96</v>
      </c>
      <c r="D16" s="18" t="s">
        <v>21</v>
      </c>
      <c r="E16" s="18" t="s">
        <v>30</v>
      </c>
      <c r="F16" s="18">
        <v>31</v>
      </c>
      <c r="G16" s="19">
        <v>28</v>
      </c>
      <c r="H16" s="20">
        <v>1</v>
      </c>
      <c r="I16" s="21">
        <v>0</v>
      </c>
      <c r="J16" s="21">
        <v>5</v>
      </c>
      <c r="K16" s="21">
        <v>3</v>
      </c>
      <c r="L16" s="21">
        <v>0</v>
      </c>
      <c r="M16" s="21">
        <v>0</v>
      </c>
      <c r="N16" s="21">
        <v>0</v>
      </c>
      <c r="O16" s="21">
        <v>0</v>
      </c>
      <c r="P16" s="21">
        <v>1</v>
      </c>
      <c r="Q16" s="21">
        <v>1</v>
      </c>
      <c r="R16" s="21">
        <v>4</v>
      </c>
      <c r="S16" s="34"/>
      <c r="T16" s="292" t="s">
        <v>338</v>
      </c>
      <c r="U16" s="24" t="str">
        <f>NOLA!U16</f>
        <v>Peter Pender</v>
      </c>
      <c r="V16" s="24" t="str">
        <f>NOLA!V16</f>
        <v>Cam Russell</v>
      </c>
      <c r="W16" s="24" t="str">
        <f>NOLA!W16</f>
        <v>Mike Lawrenson</v>
      </c>
      <c r="X16" s="24" t="str">
        <f>NOLA!X16</f>
        <v>Marty Steffens</v>
      </c>
      <c r="Y16" s="25">
        <f>NOLA!Y16</f>
        <v>1</v>
      </c>
      <c r="Z16" s="25">
        <f>NOLA!AB16</f>
        <v>1</v>
      </c>
      <c r="AA16" s="25">
        <f>NOLA!AA16</f>
        <v>0</v>
      </c>
      <c r="AB16" s="26">
        <f>NOLA!Z16</f>
        <v>0</v>
      </c>
      <c r="AC16" s="25"/>
      <c r="AD16" s="25"/>
      <c r="AE16" s="25"/>
      <c r="AF16" s="26"/>
      <c r="AG16" s="25">
        <f>Y16</f>
        <v>1</v>
      </c>
      <c r="AH16" s="25">
        <f t="shared" si="4"/>
        <v>1</v>
      </c>
      <c r="AI16" s="25">
        <f t="shared" si="4"/>
        <v>0</v>
      </c>
      <c r="AJ16" s="25">
        <f t="shared" si="4"/>
        <v>0</v>
      </c>
      <c r="AK16" s="25"/>
      <c r="AL16" s="25"/>
      <c r="AM16" s="25"/>
      <c r="AN16" s="26"/>
    </row>
    <row r="17" spans="1:40" ht="17" thickBot="1" x14ac:dyDescent="0.35">
      <c r="A17" s="31" t="s">
        <v>110</v>
      </c>
      <c r="B17" s="3" t="s">
        <v>32</v>
      </c>
      <c r="C17" s="4" t="s">
        <v>70</v>
      </c>
      <c r="D17" s="5" t="s">
        <v>34</v>
      </c>
      <c r="E17" s="5" t="s">
        <v>30</v>
      </c>
      <c r="F17" s="5">
        <v>31</v>
      </c>
      <c r="G17" s="6">
        <v>10</v>
      </c>
      <c r="H17" s="7">
        <v>1</v>
      </c>
      <c r="I17" s="8">
        <v>0</v>
      </c>
      <c r="J17" s="8">
        <v>5</v>
      </c>
      <c r="K17" s="8">
        <v>1</v>
      </c>
      <c r="L17" s="8">
        <v>0</v>
      </c>
      <c r="M17" s="8">
        <v>0</v>
      </c>
      <c r="N17" s="5">
        <v>0</v>
      </c>
      <c r="O17" s="8">
        <v>0</v>
      </c>
      <c r="P17" s="8">
        <v>0</v>
      </c>
      <c r="Q17" s="8">
        <v>0</v>
      </c>
      <c r="R17" s="8">
        <v>1</v>
      </c>
      <c r="S17" s="9"/>
      <c r="T17" s="282" t="s">
        <v>392</v>
      </c>
      <c r="U17" s="12" t="s">
        <v>210</v>
      </c>
      <c r="V17" s="12" t="s">
        <v>237</v>
      </c>
      <c r="W17" s="12" t="s">
        <v>245</v>
      </c>
      <c r="X17" s="12" t="s">
        <v>333</v>
      </c>
      <c r="Y17" s="12">
        <v>1</v>
      </c>
      <c r="Z17" s="12">
        <v>1</v>
      </c>
      <c r="AA17" s="12">
        <v>0</v>
      </c>
      <c r="AB17" s="14">
        <v>0</v>
      </c>
      <c r="AC17" s="12">
        <f>Y17</f>
        <v>1</v>
      </c>
      <c r="AD17" s="12">
        <f t="shared" ref="AD17:AF18" si="5">Z17</f>
        <v>1</v>
      </c>
      <c r="AE17" s="12">
        <f t="shared" si="5"/>
        <v>0</v>
      </c>
      <c r="AF17" s="12">
        <f t="shared" si="5"/>
        <v>0</v>
      </c>
      <c r="AG17" s="12"/>
      <c r="AH17" s="12"/>
      <c r="AI17" s="12"/>
      <c r="AJ17" s="14"/>
      <c r="AK17" s="12"/>
      <c r="AL17" s="12"/>
      <c r="AM17" s="12"/>
      <c r="AN17" s="14"/>
    </row>
    <row r="18" spans="1:40" ht="17" thickBot="1" x14ac:dyDescent="0.35">
      <c r="A18" s="31" t="s">
        <v>131</v>
      </c>
      <c r="B18" s="3" t="s">
        <v>32</v>
      </c>
      <c r="C18" s="167" t="s">
        <v>46</v>
      </c>
      <c r="D18" s="45" t="s">
        <v>34</v>
      </c>
      <c r="E18" s="45" t="s">
        <v>30</v>
      </c>
      <c r="F18" s="5">
        <v>48</v>
      </c>
      <c r="G18" s="6">
        <v>33</v>
      </c>
      <c r="H18" s="7">
        <v>1</v>
      </c>
      <c r="I18" s="8">
        <v>0</v>
      </c>
      <c r="J18" s="8">
        <v>6</v>
      </c>
      <c r="K18" s="8">
        <v>6</v>
      </c>
      <c r="L18" s="8">
        <v>0</v>
      </c>
      <c r="M18" s="8">
        <v>2</v>
      </c>
      <c r="N18" s="8">
        <v>0</v>
      </c>
      <c r="O18" s="8">
        <v>0</v>
      </c>
      <c r="P18" s="8">
        <v>1</v>
      </c>
      <c r="Q18" s="8">
        <v>0</v>
      </c>
      <c r="R18" s="8">
        <v>5</v>
      </c>
      <c r="S18" s="32"/>
      <c r="T18" s="282" t="s">
        <v>401</v>
      </c>
      <c r="U18" s="12" t="s">
        <v>212</v>
      </c>
      <c r="V18" s="12" t="s">
        <v>237</v>
      </c>
      <c r="W18" s="12" t="s">
        <v>333</v>
      </c>
      <c r="X18" s="247" t="s">
        <v>270</v>
      </c>
      <c r="Y18" s="12">
        <v>1</v>
      </c>
      <c r="Z18" s="12">
        <v>1</v>
      </c>
      <c r="AA18" s="12">
        <v>0</v>
      </c>
      <c r="AB18" s="14">
        <v>0</v>
      </c>
      <c r="AC18" s="12">
        <f>Y18</f>
        <v>1</v>
      </c>
      <c r="AD18" s="12">
        <f t="shared" si="5"/>
        <v>1</v>
      </c>
      <c r="AE18" s="12">
        <f t="shared" si="5"/>
        <v>0</v>
      </c>
      <c r="AF18" s="12">
        <f t="shared" si="5"/>
        <v>0</v>
      </c>
      <c r="AG18" s="12"/>
      <c r="AH18" s="12"/>
      <c r="AI18" s="12"/>
      <c r="AJ18" s="14"/>
      <c r="AK18" s="12"/>
      <c r="AL18" s="12"/>
      <c r="AM18" s="12"/>
      <c r="AN18" s="14"/>
    </row>
    <row r="19" spans="1:40" ht="17" thickBot="1" x14ac:dyDescent="0.35">
      <c r="A19" s="362" t="s">
        <v>412</v>
      </c>
      <c r="B19" s="362" t="s">
        <v>112</v>
      </c>
      <c r="C19" s="167" t="s">
        <v>43</v>
      </c>
      <c r="D19" s="45" t="s">
        <v>34</v>
      </c>
      <c r="E19" s="45" t="s">
        <v>30</v>
      </c>
      <c r="F19" s="45">
        <v>23</v>
      </c>
      <c r="G19" s="363">
        <v>21</v>
      </c>
      <c r="H19" s="364"/>
      <c r="I19" s="365"/>
      <c r="J19" s="365">
        <v>2</v>
      </c>
      <c r="K19" s="365">
        <v>2</v>
      </c>
      <c r="L19" s="365">
        <v>0</v>
      </c>
      <c r="M19" s="365">
        <v>3</v>
      </c>
      <c r="N19" s="365">
        <v>2</v>
      </c>
      <c r="O19" s="365">
        <v>0</v>
      </c>
      <c r="P19" s="365"/>
      <c r="Q19" s="365"/>
      <c r="R19" s="365">
        <v>3</v>
      </c>
      <c r="S19" s="32"/>
      <c r="T19" s="282" t="s">
        <v>350</v>
      </c>
      <c r="U19" s="12" t="s">
        <v>386</v>
      </c>
      <c r="V19" s="12" t="s">
        <v>213</v>
      </c>
      <c r="W19" s="12" t="s">
        <v>212</v>
      </c>
      <c r="X19" s="12" t="s">
        <v>333</v>
      </c>
      <c r="Y19" s="12">
        <v>1</v>
      </c>
      <c r="Z19" s="12">
        <v>1</v>
      </c>
      <c r="AA19" s="12">
        <v>0</v>
      </c>
      <c r="AB19" s="12">
        <v>0</v>
      </c>
      <c r="AC19" s="12">
        <v>1</v>
      </c>
      <c r="AD19" s="12">
        <v>1</v>
      </c>
      <c r="AE19" s="12">
        <v>0</v>
      </c>
      <c r="AF19" s="12">
        <v>0</v>
      </c>
      <c r="AG19" s="12"/>
      <c r="AH19" s="12"/>
      <c r="AI19" s="12"/>
      <c r="AJ19" s="12"/>
      <c r="AK19" s="12"/>
      <c r="AL19" s="12"/>
      <c r="AM19" s="12"/>
      <c r="AN19" s="12"/>
    </row>
    <row r="20" spans="1:40" ht="17" thickBot="1" x14ac:dyDescent="0.35">
      <c r="A20" s="362" t="s">
        <v>427</v>
      </c>
      <c r="B20" s="362" t="s">
        <v>113</v>
      </c>
      <c r="C20" s="167" t="s">
        <v>44</v>
      </c>
      <c r="D20" s="45" t="s">
        <v>34</v>
      </c>
      <c r="E20" s="45" t="s">
        <v>31</v>
      </c>
      <c r="F20" s="45">
        <v>19</v>
      </c>
      <c r="G20" s="363">
        <v>33</v>
      </c>
      <c r="H20" s="364"/>
      <c r="I20" s="365"/>
      <c r="J20" s="365">
        <v>3</v>
      </c>
      <c r="K20" s="365">
        <v>2</v>
      </c>
      <c r="L20" s="365">
        <v>0</v>
      </c>
      <c r="M20" s="365">
        <v>0</v>
      </c>
      <c r="N20" s="365">
        <v>0</v>
      </c>
      <c r="O20" s="365">
        <v>0</v>
      </c>
      <c r="P20" s="365"/>
      <c r="Q20" s="365"/>
      <c r="R20" s="365">
        <v>5</v>
      </c>
      <c r="S20" s="32"/>
      <c r="T20" s="10" t="s">
        <v>301</v>
      </c>
      <c r="U20" s="12" t="s">
        <v>222</v>
      </c>
      <c r="V20" s="12" t="s">
        <v>210</v>
      </c>
      <c r="W20" s="12" t="s">
        <v>218</v>
      </c>
      <c r="X20" s="12" t="s">
        <v>242</v>
      </c>
      <c r="Y20" s="12">
        <v>1</v>
      </c>
      <c r="Z20" s="12">
        <v>0</v>
      </c>
      <c r="AA20" s="12">
        <v>0</v>
      </c>
      <c r="AB20" s="12">
        <v>1</v>
      </c>
      <c r="AC20" s="12">
        <v>1</v>
      </c>
      <c r="AD20" s="12">
        <v>0</v>
      </c>
      <c r="AE20" s="12">
        <v>0</v>
      </c>
      <c r="AF20" s="12">
        <v>1</v>
      </c>
      <c r="AG20" s="12"/>
      <c r="AH20" s="12"/>
      <c r="AI20" s="12"/>
      <c r="AJ20" s="12"/>
      <c r="AK20" s="12"/>
      <c r="AL20" s="12"/>
      <c r="AM20" s="12"/>
      <c r="AN20" s="12"/>
    </row>
    <row r="21" spans="1:40" ht="17" thickBot="1" x14ac:dyDescent="0.35">
      <c r="A21" s="39"/>
      <c r="B21" s="40"/>
      <c r="C21" s="389" t="s">
        <v>48</v>
      </c>
      <c r="D21" s="416"/>
      <c r="E21" s="417"/>
      <c r="F21" s="41">
        <f t="shared" ref="F21:R21" si="6">SUM(F3+F4+F5+F6+F7+F8+F9+F10+F11+F12+F13+F14+F15+F16+F17+F18)</f>
        <v>529</v>
      </c>
      <c r="G21" s="41">
        <f t="shared" si="6"/>
        <v>443</v>
      </c>
      <c r="H21" s="41">
        <f t="shared" si="6"/>
        <v>12</v>
      </c>
      <c r="I21" s="41">
        <f t="shared" si="6"/>
        <v>2</v>
      </c>
      <c r="J21" s="41">
        <f t="shared" si="6"/>
        <v>77</v>
      </c>
      <c r="K21" s="41">
        <f t="shared" si="6"/>
        <v>51</v>
      </c>
      <c r="L21" s="41">
        <f t="shared" si="6"/>
        <v>0</v>
      </c>
      <c r="M21" s="41">
        <f t="shared" si="6"/>
        <v>10</v>
      </c>
      <c r="N21" s="41">
        <f t="shared" si="6"/>
        <v>16</v>
      </c>
      <c r="O21" s="41">
        <f t="shared" si="6"/>
        <v>0</v>
      </c>
      <c r="P21" s="41">
        <f t="shared" si="6"/>
        <v>11</v>
      </c>
      <c r="Q21" s="41">
        <f t="shared" si="6"/>
        <v>3</v>
      </c>
      <c r="R21" s="41">
        <f t="shared" si="6"/>
        <v>59</v>
      </c>
      <c r="S21" s="42"/>
      <c r="T21" s="42"/>
      <c r="U21" s="42"/>
      <c r="V21" s="42"/>
      <c r="W21" s="43"/>
      <c r="X21" s="44" t="s">
        <v>48</v>
      </c>
      <c r="Y21" s="41">
        <f t="shared" ref="Y21:AN21" si="7">Y3+Y4+Y5+Y6+Y7+Y8+Y9+Y10+Y11+Y12+Y13+Y14+Y15+Y16+Y17+Y18</f>
        <v>16</v>
      </c>
      <c r="Z21" s="41">
        <f t="shared" si="7"/>
        <v>11</v>
      </c>
      <c r="AA21" s="41">
        <f t="shared" si="7"/>
        <v>0</v>
      </c>
      <c r="AB21" s="41">
        <f t="shared" si="7"/>
        <v>5</v>
      </c>
      <c r="AC21" s="45">
        <f t="shared" si="7"/>
        <v>8</v>
      </c>
      <c r="AD21" s="45">
        <f t="shared" si="7"/>
        <v>5</v>
      </c>
      <c r="AE21" s="45">
        <f t="shared" si="7"/>
        <v>0</v>
      </c>
      <c r="AF21" s="45">
        <f t="shared" si="7"/>
        <v>3</v>
      </c>
      <c r="AG21" s="38">
        <f t="shared" si="7"/>
        <v>8</v>
      </c>
      <c r="AH21" s="38">
        <f t="shared" si="7"/>
        <v>6</v>
      </c>
      <c r="AI21" s="38">
        <f t="shared" si="7"/>
        <v>0</v>
      </c>
      <c r="AJ21" s="38">
        <f t="shared" si="7"/>
        <v>2</v>
      </c>
      <c r="AK21" s="41">
        <f t="shared" si="7"/>
        <v>0</v>
      </c>
      <c r="AL21" s="41">
        <f t="shared" si="7"/>
        <v>0</v>
      </c>
      <c r="AM21" s="41">
        <f t="shared" si="7"/>
        <v>0</v>
      </c>
      <c r="AN21" s="41">
        <f t="shared" si="7"/>
        <v>0</v>
      </c>
    </row>
    <row r="22" spans="1:40" ht="17" customHeight="1" thickBot="1" x14ac:dyDescent="0.35">
      <c r="A22" s="39"/>
      <c r="B22" s="40"/>
      <c r="C22" s="389" t="s">
        <v>413</v>
      </c>
      <c r="D22" s="416"/>
      <c r="E22" s="417"/>
      <c r="F22" s="46">
        <f>F19+F20</f>
        <v>42</v>
      </c>
      <c r="G22" s="46">
        <f t="shared" ref="G22:R22" si="8">G19+G20</f>
        <v>54</v>
      </c>
      <c r="H22" s="46">
        <f t="shared" si="8"/>
        <v>0</v>
      </c>
      <c r="I22" s="46">
        <f t="shared" si="8"/>
        <v>0</v>
      </c>
      <c r="J22" s="46">
        <f t="shared" si="8"/>
        <v>5</v>
      </c>
      <c r="K22" s="46">
        <f t="shared" si="8"/>
        <v>4</v>
      </c>
      <c r="L22" s="46">
        <f t="shared" si="8"/>
        <v>0</v>
      </c>
      <c r="M22" s="46">
        <f t="shared" si="8"/>
        <v>3</v>
      </c>
      <c r="N22" s="46">
        <f t="shared" si="8"/>
        <v>2</v>
      </c>
      <c r="O22" s="46">
        <f t="shared" si="8"/>
        <v>0</v>
      </c>
      <c r="P22" s="46">
        <f t="shared" si="8"/>
        <v>0</v>
      </c>
      <c r="Q22" s="46">
        <f t="shared" si="8"/>
        <v>0</v>
      </c>
      <c r="R22" s="46">
        <f t="shared" si="8"/>
        <v>8</v>
      </c>
      <c r="S22" s="42"/>
      <c r="T22" s="42"/>
      <c r="U22" s="42"/>
      <c r="V22" s="42"/>
      <c r="W22" s="43"/>
      <c r="X22" s="359" t="s">
        <v>413</v>
      </c>
      <c r="Y22" s="41">
        <f>Y19+Y20</f>
        <v>2</v>
      </c>
      <c r="Z22" s="41">
        <f t="shared" ref="Z22:AB22" si="9">Z19+Z20</f>
        <v>1</v>
      </c>
      <c r="AA22" s="41">
        <f t="shared" si="9"/>
        <v>0</v>
      </c>
      <c r="AB22" s="41">
        <f t="shared" si="9"/>
        <v>1</v>
      </c>
      <c r="AC22" s="45">
        <f>AC19+AC20</f>
        <v>2</v>
      </c>
      <c r="AD22" s="45">
        <f t="shared" ref="AD22:AF22" si="10">AD19+AD20</f>
        <v>1</v>
      </c>
      <c r="AE22" s="45">
        <f t="shared" si="10"/>
        <v>0</v>
      </c>
      <c r="AF22" s="45">
        <f t="shared" si="10"/>
        <v>1</v>
      </c>
      <c r="AG22" s="38">
        <f>AG19+AG20</f>
        <v>0</v>
      </c>
      <c r="AH22" s="38">
        <f t="shared" ref="AH22:AJ22" si="11">AH19+AH20</f>
        <v>0</v>
      </c>
      <c r="AI22" s="38">
        <f t="shared" si="11"/>
        <v>0</v>
      </c>
      <c r="AJ22" s="38">
        <f t="shared" si="11"/>
        <v>0</v>
      </c>
      <c r="AK22" s="41">
        <f>AK19+AK20</f>
        <v>0</v>
      </c>
      <c r="AL22" s="41">
        <f t="shared" ref="AL22:AN22" si="12">AL19+AL20</f>
        <v>0</v>
      </c>
      <c r="AM22" s="41">
        <f t="shared" si="12"/>
        <v>0</v>
      </c>
      <c r="AN22" s="41">
        <f t="shared" si="12"/>
        <v>0</v>
      </c>
    </row>
    <row r="23" spans="1:40" ht="17" thickBot="1" x14ac:dyDescent="0.35">
      <c r="A23" s="39"/>
      <c r="B23" s="40"/>
      <c r="C23" s="389" t="s">
        <v>49</v>
      </c>
      <c r="D23" s="390"/>
      <c r="E23" s="391"/>
      <c r="F23" s="46">
        <f>F21</f>
        <v>529</v>
      </c>
      <c r="G23" s="46">
        <f t="shared" ref="G23:R23" si="13">G21</f>
        <v>443</v>
      </c>
      <c r="H23" s="46">
        <f t="shared" si="13"/>
        <v>12</v>
      </c>
      <c r="I23" s="46">
        <f t="shared" si="13"/>
        <v>2</v>
      </c>
      <c r="J23" s="46">
        <f t="shared" si="13"/>
        <v>77</v>
      </c>
      <c r="K23" s="46">
        <f t="shared" si="13"/>
        <v>51</v>
      </c>
      <c r="L23" s="46">
        <f t="shared" si="13"/>
        <v>0</v>
      </c>
      <c r="M23" s="46">
        <f t="shared" si="13"/>
        <v>10</v>
      </c>
      <c r="N23" s="46">
        <f t="shared" si="13"/>
        <v>16</v>
      </c>
      <c r="O23" s="46">
        <f t="shared" si="13"/>
        <v>0</v>
      </c>
      <c r="P23" s="46">
        <f t="shared" si="13"/>
        <v>11</v>
      </c>
      <c r="Q23" s="46">
        <f t="shared" si="13"/>
        <v>3</v>
      </c>
      <c r="R23" s="46">
        <f t="shared" si="13"/>
        <v>59</v>
      </c>
      <c r="S23" s="42"/>
      <c r="T23" s="42"/>
      <c r="U23" s="42"/>
      <c r="V23" s="42"/>
      <c r="W23" s="43"/>
      <c r="X23" s="44" t="s">
        <v>49</v>
      </c>
      <c r="Y23" s="41">
        <f>Y21+Y22</f>
        <v>18</v>
      </c>
      <c r="Z23" s="41">
        <f t="shared" ref="Z23:AB23" si="14">Z21+Z22</f>
        <v>12</v>
      </c>
      <c r="AA23" s="41">
        <f t="shared" si="14"/>
        <v>0</v>
      </c>
      <c r="AB23" s="41">
        <f t="shared" si="14"/>
        <v>6</v>
      </c>
      <c r="AC23" s="45">
        <f>AC21+AC22</f>
        <v>10</v>
      </c>
      <c r="AD23" s="45">
        <f t="shared" ref="AD23:AF23" si="15">AD21+AD22</f>
        <v>6</v>
      </c>
      <c r="AE23" s="45">
        <f t="shared" si="15"/>
        <v>0</v>
      </c>
      <c r="AF23" s="45">
        <f t="shared" si="15"/>
        <v>4</v>
      </c>
      <c r="AG23" s="38">
        <f>AG21+AG22</f>
        <v>8</v>
      </c>
      <c r="AH23" s="38">
        <f t="shared" ref="AH23:AJ23" si="16">AH21+AH22</f>
        <v>6</v>
      </c>
      <c r="AI23" s="38">
        <f t="shared" si="16"/>
        <v>0</v>
      </c>
      <c r="AJ23" s="38">
        <f t="shared" si="16"/>
        <v>2</v>
      </c>
      <c r="AK23" s="41">
        <f>AK21+AK22</f>
        <v>0</v>
      </c>
      <c r="AL23" s="41">
        <f t="shared" ref="AL23:AN23" si="17">AL21+AL22</f>
        <v>0</v>
      </c>
      <c r="AM23" s="41">
        <f t="shared" si="17"/>
        <v>0</v>
      </c>
      <c r="AN23" s="41">
        <f t="shared" si="17"/>
        <v>0</v>
      </c>
    </row>
    <row r="24" spans="1:40" x14ac:dyDescent="0.3">
      <c r="A24" s="47" t="s">
        <v>381</v>
      </c>
    </row>
    <row r="25" spans="1:40" x14ac:dyDescent="0.3">
      <c r="A25" s="1" t="s">
        <v>52</v>
      </c>
    </row>
  </sheetData>
  <mergeCells count="13">
    <mergeCell ref="Y1:AB1"/>
    <mergeCell ref="AC1:AF1"/>
    <mergeCell ref="AG1:AJ1"/>
    <mergeCell ref="AK1:AN1"/>
    <mergeCell ref="C21:E21"/>
    <mergeCell ref="N1:O1"/>
    <mergeCell ref="P1:R1"/>
    <mergeCell ref="C23:E23"/>
    <mergeCell ref="A1:D1"/>
    <mergeCell ref="E1:G1"/>
    <mergeCell ref="H1:I1"/>
    <mergeCell ref="J1:M1"/>
    <mergeCell ref="C22:E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6B28-83A2-D04E-B4EA-B67E3EED882E}">
  <dimension ref="A1:M120"/>
  <sheetViews>
    <sheetView topLeftCell="A93" zoomScale="120" zoomScaleNormal="120" workbookViewId="0">
      <selection activeCell="A115" sqref="A115"/>
    </sheetView>
  </sheetViews>
  <sheetFormatPr defaultColWidth="11.44140625" defaultRowHeight="16.3" x14ac:dyDescent="0.3"/>
  <cols>
    <col min="1" max="1" width="10.77734375" style="1"/>
    <col min="2" max="3" width="6.77734375" style="1" customWidth="1"/>
    <col min="4" max="4" width="5.77734375" style="1" customWidth="1"/>
    <col min="5" max="5" width="1.77734375" style="1" customWidth="1"/>
    <col min="6" max="6" width="5.77734375" style="210" customWidth="1"/>
    <col min="7" max="9" width="6.77734375" style="1" customWidth="1"/>
    <col min="10" max="10" width="36.6640625" style="1" bestFit="1" customWidth="1"/>
    <col min="11" max="11" width="8.77734375" style="1"/>
    <col min="12" max="12" width="10" style="1" customWidth="1"/>
    <col min="13" max="13" width="11.77734375" style="1" customWidth="1"/>
  </cols>
  <sheetData>
    <row r="1" spans="1:13" x14ac:dyDescent="0.3">
      <c r="B1" s="529" t="s">
        <v>63</v>
      </c>
      <c r="C1" s="529"/>
      <c r="D1" s="230"/>
      <c r="E1" s="207"/>
      <c r="F1" s="207"/>
      <c r="G1" s="529" t="s">
        <v>64</v>
      </c>
      <c r="H1" s="529"/>
      <c r="I1" s="206" t="s">
        <v>6</v>
      </c>
      <c r="J1" s="206" t="s">
        <v>65</v>
      </c>
      <c r="K1" s="206" t="s">
        <v>66</v>
      </c>
      <c r="L1" s="206" t="s">
        <v>67</v>
      </c>
      <c r="M1" s="206" t="s">
        <v>68</v>
      </c>
    </row>
    <row r="2" spans="1:13" x14ac:dyDescent="0.3">
      <c r="A2" s="208" t="s">
        <v>69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</row>
    <row r="3" spans="1:13" x14ac:dyDescent="0.3">
      <c r="B3" s="531" t="s">
        <v>36</v>
      </c>
      <c r="C3" s="531"/>
      <c r="D3" s="1">
        <f>Miami!F3</f>
        <v>29</v>
      </c>
      <c r="E3" s="209"/>
      <c r="F3" s="210">
        <f>OldGlory!F3</f>
        <v>31</v>
      </c>
      <c r="G3" s="532" t="s">
        <v>37</v>
      </c>
      <c r="H3" s="532"/>
      <c r="I3" s="215" t="str">
        <f>Miami!T3</f>
        <v>21-10</v>
      </c>
      <c r="J3" s="1" t="s">
        <v>150</v>
      </c>
      <c r="K3" s="293">
        <v>31</v>
      </c>
      <c r="L3" s="211">
        <f>SUM(D3+F3)-K3</f>
        <v>29</v>
      </c>
      <c r="M3" s="211">
        <f>D3+F3</f>
        <v>60</v>
      </c>
    </row>
    <row r="4" spans="1:13" x14ac:dyDescent="0.3">
      <c r="B4" s="531" t="s">
        <v>46</v>
      </c>
      <c r="C4" s="531"/>
      <c r="D4" s="1">
        <f>LosAngeles!F3</f>
        <v>17</v>
      </c>
      <c r="E4" s="209"/>
      <c r="F4" s="210">
        <f>NewEngland!F3</f>
        <v>24</v>
      </c>
      <c r="G4" s="531" t="s">
        <v>33</v>
      </c>
      <c r="H4" s="531"/>
      <c r="I4" s="215" t="str">
        <f>LosAngeles!T3</f>
        <v>10-14</v>
      </c>
      <c r="J4" s="1" t="s">
        <v>155</v>
      </c>
      <c r="K4" s="294">
        <v>24</v>
      </c>
      <c r="L4" s="294">
        <f>SUM(D4+F4)-K4</f>
        <v>17</v>
      </c>
      <c r="M4" s="294">
        <f>D4+F4</f>
        <v>41</v>
      </c>
    </row>
    <row r="5" spans="1:13" x14ac:dyDescent="0.3">
      <c r="B5" s="531" t="s">
        <v>96</v>
      </c>
      <c r="C5" s="531"/>
      <c r="D5" s="1">
        <f>NOLA!F3</f>
        <v>35</v>
      </c>
      <c r="E5" s="209"/>
      <c r="F5" s="210">
        <f>Anthem!F3</f>
        <v>14</v>
      </c>
      <c r="G5" s="531" t="s">
        <v>70</v>
      </c>
      <c r="H5" s="531"/>
      <c r="I5" s="215" t="str">
        <f>NOLA!T3</f>
        <v>28-0</v>
      </c>
      <c r="J5" s="1" t="s">
        <v>149</v>
      </c>
      <c r="K5" s="211">
        <v>28</v>
      </c>
      <c r="L5" s="211">
        <f>SUM(D5+F5)-K5</f>
        <v>21</v>
      </c>
      <c r="M5" s="211">
        <f>D5+F5</f>
        <v>49</v>
      </c>
    </row>
    <row r="6" spans="1:13" x14ac:dyDescent="0.3">
      <c r="B6" s="531" t="s">
        <v>44</v>
      </c>
      <c r="C6" s="531"/>
      <c r="D6" s="1">
        <f>Houston!F3</f>
        <v>22</v>
      </c>
      <c r="E6" s="209"/>
      <c r="F6" s="210">
        <f>Chicago!F3</f>
        <v>25</v>
      </c>
      <c r="G6" s="531" t="s">
        <v>40</v>
      </c>
      <c r="H6" s="531"/>
      <c r="I6" s="215" t="str">
        <f>Houston!T3</f>
        <v>17-12</v>
      </c>
      <c r="J6" s="1" t="s">
        <v>151</v>
      </c>
      <c r="K6" s="211">
        <v>29</v>
      </c>
      <c r="L6" s="211">
        <f>SUM(D6+F6)-K6</f>
        <v>18</v>
      </c>
      <c r="M6" s="211">
        <f>D6+F6</f>
        <v>47</v>
      </c>
    </row>
    <row r="7" spans="1:13" x14ac:dyDescent="0.3">
      <c r="B7" s="531" t="s">
        <v>47</v>
      </c>
      <c r="C7" s="531"/>
      <c r="D7" s="1">
        <f>SanDiego!F3</f>
        <v>40</v>
      </c>
      <c r="E7" s="209"/>
      <c r="F7" s="210">
        <f>Seattle!F3</f>
        <v>26</v>
      </c>
      <c r="G7" s="531" t="s">
        <v>43</v>
      </c>
      <c r="H7" s="531"/>
      <c r="I7" s="215" t="str">
        <f>SanDiego!T3</f>
        <v>28-0</v>
      </c>
      <c r="J7" s="1" t="s">
        <v>152</v>
      </c>
      <c r="K7" s="211">
        <v>28</v>
      </c>
      <c r="L7" s="293">
        <f>SUM(D7+F7)-K7</f>
        <v>38</v>
      </c>
      <c r="M7" s="295">
        <f>D7+F7</f>
        <v>66</v>
      </c>
    </row>
    <row r="8" spans="1:13" x14ac:dyDescent="0.3">
      <c r="A8" s="208" t="s">
        <v>71</v>
      </c>
      <c r="B8" s="530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/>
    </row>
    <row r="9" spans="1:13" x14ac:dyDescent="0.3">
      <c r="B9" s="531" t="s">
        <v>70</v>
      </c>
      <c r="C9" s="531"/>
      <c r="D9" s="1">
        <f>Anthem!F4</f>
        <v>5</v>
      </c>
      <c r="E9" s="209"/>
      <c r="F9" s="210">
        <f>SanDiego!F4</f>
        <v>52</v>
      </c>
      <c r="G9" s="531" t="s">
        <v>47</v>
      </c>
      <c r="H9" s="531"/>
      <c r="I9" s="215" t="str">
        <f>Anthem!T4</f>
        <v>5-26</v>
      </c>
      <c r="J9" s="1" t="s">
        <v>153</v>
      </c>
      <c r="K9" s="211">
        <v>31</v>
      </c>
      <c r="L9" s="299">
        <f>SUM(D9+F9)-K9</f>
        <v>26</v>
      </c>
      <c r="M9" s="211">
        <f>D9+F9</f>
        <v>57</v>
      </c>
    </row>
    <row r="10" spans="1:13" x14ac:dyDescent="0.3">
      <c r="B10" s="531" t="s">
        <v>40</v>
      </c>
      <c r="C10" s="531"/>
      <c r="D10" s="1">
        <f>Chicago!F4</f>
        <v>31</v>
      </c>
      <c r="E10" s="209"/>
      <c r="F10" s="210">
        <f>Utah!F3</f>
        <v>45</v>
      </c>
      <c r="G10" s="531" t="s">
        <v>39</v>
      </c>
      <c r="H10" s="531"/>
      <c r="I10" s="215" t="str">
        <f>Chicago!T4</f>
        <v>21-21</v>
      </c>
      <c r="J10" s="1" t="s">
        <v>154</v>
      </c>
      <c r="K10" s="293">
        <v>42</v>
      </c>
      <c r="L10" s="293">
        <f>SUM(D10+F10)-K10</f>
        <v>34</v>
      </c>
      <c r="M10" s="293">
        <f>D10+F10</f>
        <v>76</v>
      </c>
    </row>
    <row r="11" spans="1:13" x14ac:dyDescent="0.3">
      <c r="B11" s="531" t="s">
        <v>36</v>
      </c>
      <c r="C11" s="531"/>
      <c r="D11" s="1">
        <f>Miami!F4</f>
        <v>30</v>
      </c>
      <c r="E11" s="209"/>
      <c r="F11" s="210">
        <f>NOLA!F4</f>
        <v>25</v>
      </c>
      <c r="G11" s="531" t="s">
        <v>96</v>
      </c>
      <c r="H11" s="531"/>
      <c r="I11" s="215" t="str">
        <f>Miami!T4</f>
        <v>13-15</v>
      </c>
      <c r="J11" s="1" t="s">
        <v>150</v>
      </c>
      <c r="K11" s="299">
        <v>28</v>
      </c>
      <c r="L11" s="211">
        <f>SUM(D11+F11)-K11</f>
        <v>27</v>
      </c>
      <c r="M11" s="299">
        <f>D11+F11</f>
        <v>55</v>
      </c>
    </row>
    <row r="12" spans="1:13" x14ac:dyDescent="0.3">
      <c r="B12" s="531" t="s">
        <v>46</v>
      </c>
      <c r="C12" s="531"/>
      <c r="D12" s="1">
        <f>LosAngeles!F4</f>
        <v>28</v>
      </c>
      <c r="E12" s="209"/>
      <c r="F12" s="210">
        <f>Houston!F4</f>
        <v>45</v>
      </c>
      <c r="G12" s="531" t="s">
        <v>44</v>
      </c>
      <c r="H12" s="531"/>
      <c r="I12" s="215" t="str">
        <f>LosAngeles!T4</f>
        <v>28-12</v>
      </c>
      <c r="J12" s="1" t="s">
        <v>155</v>
      </c>
      <c r="K12" s="211">
        <v>40</v>
      </c>
      <c r="L12" s="211">
        <f>SUM(D12+F12)-K12</f>
        <v>33</v>
      </c>
      <c r="M12" s="211">
        <f>D12+F12</f>
        <v>73</v>
      </c>
    </row>
    <row r="13" spans="1:13" x14ac:dyDescent="0.3">
      <c r="A13" s="208" t="s">
        <v>72</v>
      </c>
      <c r="B13" s="530"/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530"/>
    </row>
    <row r="14" spans="1:13" x14ac:dyDescent="0.3">
      <c r="B14" s="531" t="s">
        <v>70</v>
      </c>
      <c r="C14" s="531"/>
      <c r="D14" s="1">
        <f>Anthem!F5</f>
        <v>31</v>
      </c>
      <c r="E14" s="209"/>
      <c r="F14" s="210">
        <f>Miami!F5</f>
        <v>32</v>
      </c>
      <c r="G14" s="531" t="s">
        <v>36</v>
      </c>
      <c r="H14" s="531"/>
      <c r="I14" s="215" t="str">
        <f>Anthem!T5</f>
        <v>19-15</v>
      </c>
      <c r="J14" s="1" t="s">
        <v>156</v>
      </c>
      <c r="K14" s="301">
        <v>34</v>
      </c>
      <c r="L14" s="211">
        <f>SUM(D14+F14)-K14</f>
        <v>29</v>
      </c>
      <c r="M14" s="211">
        <f>D14+F14</f>
        <v>63</v>
      </c>
    </row>
    <row r="15" spans="1:13" x14ac:dyDescent="0.3">
      <c r="B15" s="531" t="s">
        <v>39</v>
      </c>
      <c r="C15" s="531"/>
      <c r="D15" s="1">
        <f>Utah!F4</f>
        <v>55</v>
      </c>
      <c r="E15" s="209"/>
      <c r="F15" s="210">
        <f>NOLA!F5</f>
        <v>21</v>
      </c>
      <c r="G15" s="531" t="s">
        <v>96</v>
      </c>
      <c r="H15" s="531"/>
      <c r="I15" s="215" t="str">
        <f>Utah!T4</f>
        <v>21-11</v>
      </c>
      <c r="J15" s="1" t="s">
        <v>157</v>
      </c>
      <c r="K15" s="211">
        <v>32</v>
      </c>
      <c r="L15" s="301">
        <f>SUM(D15+F15)-K15</f>
        <v>44</v>
      </c>
      <c r="M15" s="301">
        <f>D15+F15</f>
        <v>76</v>
      </c>
    </row>
    <row r="16" spans="1:13" x14ac:dyDescent="0.3">
      <c r="B16" s="531" t="s">
        <v>37</v>
      </c>
      <c r="C16" s="531"/>
      <c r="D16" s="1">
        <f>OldGlory!F4</f>
        <v>10</v>
      </c>
      <c r="E16" s="209"/>
      <c r="F16" s="210">
        <f>SanDiego!F5</f>
        <v>26</v>
      </c>
      <c r="G16" s="531" t="s">
        <v>47</v>
      </c>
      <c r="H16" s="531"/>
      <c r="I16" s="215" t="str">
        <f>OldGlory!T4</f>
        <v>3-12</v>
      </c>
      <c r="J16" s="1" t="s">
        <v>158</v>
      </c>
      <c r="K16" s="300">
        <v>15</v>
      </c>
      <c r="L16" s="300">
        <f>SUM(D16+F16)-K16</f>
        <v>21</v>
      </c>
      <c r="M16" s="300">
        <f>D16+F16</f>
        <v>36</v>
      </c>
    </row>
    <row r="17" spans="1:13" x14ac:dyDescent="0.3">
      <c r="B17" s="531" t="s">
        <v>44</v>
      </c>
      <c r="C17" s="531"/>
      <c r="D17" s="1">
        <f>Houston!F5</f>
        <v>24</v>
      </c>
      <c r="E17" s="209"/>
      <c r="F17" s="210">
        <f>Seattle!F4</f>
        <v>21</v>
      </c>
      <c r="G17" s="531" t="s">
        <v>43</v>
      </c>
      <c r="H17" s="531"/>
      <c r="I17" s="215" t="str">
        <f>Houston!T5</f>
        <v>14-7</v>
      </c>
      <c r="J17" s="1" t="s">
        <v>151</v>
      </c>
      <c r="K17" s="211">
        <v>21</v>
      </c>
      <c r="L17" s="211">
        <f>SUM(D17+F17)-K17</f>
        <v>24</v>
      </c>
      <c r="M17" s="211">
        <f>D17+F17</f>
        <v>45</v>
      </c>
    </row>
    <row r="18" spans="1:13" x14ac:dyDescent="0.3">
      <c r="B18" s="531" t="s">
        <v>40</v>
      </c>
      <c r="C18" s="531"/>
      <c r="D18" s="1">
        <f>Chicago!F5</f>
        <v>36</v>
      </c>
      <c r="E18" s="209"/>
      <c r="F18" s="210">
        <f>NewEngland!F4</f>
        <v>7</v>
      </c>
      <c r="G18" s="531" t="s">
        <v>33</v>
      </c>
      <c r="H18" s="531"/>
      <c r="I18" s="215" t="str">
        <f>Chicago!T5</f>
        <v>15-0</v>
      </c>
      <c r="J18" s="1" t="s">
        <v>154</v>
      </c>
      <c r="K18" s="300">
        <v>15</v>
      </c>
      <c r="L18" s="211">
        <f>SUM(D18+F18)-K18</f>
        <v>28</v>
      </c>
      <c r="M18" s="211">
        <f>D18+F18</f>
        <v>43</v>
      </c>
    </row>
    <row r="19" spans="1:13" x14ac:dyDescent="0.3">
      <c r="A19" s="208" t="s">
        <v>73</v>
      </c>
      <c r="B19" s="530"/>
      <c r="C19" s="530"/>
      <c r="D19" s="530"/>
      <c r="E19" s="530"/>
      <c r="F19" s="530"/>
      <c r="G19" s="530"/>
      <c r="H19" s="530"/>
      <c r="I19" s="530"/>
      <c r="J19" s="530"/>
      <c r="K19" s="530"/>
      <c r="L19" s="530"/>
      <c r="M19" s="530"/>
    </row>
    <row r="20" spans="1:13" x14ac:dyDescent="0.3">
      <c r="B20" s="531" t="s">
        <v>36</v>
      </c>
      <c r="C20" s="531"/>
      <c r="D20" s="1">
        <f>Miami!F6</f>
        <v>18</v>
      </c>
      <c r="E20" s="209"/>
      <c r="F20" s="210">
        <f>Chicago!F6</f>
        <v>31</v>
      </c>
      <c r="G20" s="531" t="s">
        <v>40</v>
      </c>
      <c r="H20" s="531"/>
      <c r="I20" s="215" t="str">
        <f>Miami!T6</f>
        <v>10-17</v>
      </c>
      <c r="J20" s="1" t="s">
        <v>150</v>
      </c>
      <c r="K20" s="320">
        <v>17</v>
      </c>
      <c r="L20" s="211">
        <f>SUM(D20+F20)-K20</f>
        <v>32</v>
      </c>
      <c r="M20" s="211">
        <f>D20+F20</f>
        <v>49</v>
      </c>
    </row>
    <row r="21" spans="1:13" x14ac:dyDescent="0.3">
      <c r="B21" s="531" t="s">
        <v>37</v>
      </c>
      <c r="C21" s="531"/>
      <c r="D21" s="1">
        <f>OldGlory!F5</f>
        <v>26</v>
      </c>
      <c r="E21" s="209"/>
      <c r="F21" s="210">
        <f>Anthem!F6</f>
        <v>22</v>
      </c>
      <c r="G21" s="531" t="s">
        <v>70</v>
      </c>
      <c r="H21" s="531"/>
      <c r="I21" s="215" t="str">
        <f>OldGlory!T5</f>
        <v>14-22</v>
      </c>
      <c r="J21" s="1" t="s">
        <v>158</v>
      </c>
      <c r="K21" s="211">
        <v>36</v>
      </c>
      <c r="L21" s="320">
        <f>SUM(D21+F21)-K21</f>
        <v>12</v>
      </c>
      <c r="M21" s="320">
        <f>D21+F21</f>
        <v>48</v>
      </c>
    </row>
    <row r="22" spans="1:13" x14ac:dyDescent="0.3">
      <c r="B22" s="531" t="s">
        <v>39</v>
      </c>
      <c r="C22" s="531"/>
      <c r="D22" s="1">
        <f>Utah!F5</f>
        <v>17</v>
      </c>
      <c r="E22" s="209"/>
      <c r="F22" s="210">
        <f>Houston!F6</f>
        <v>37</v>
      </c>
      <c r="G22" s="531" t="s">
        <v>44</v>
      </c>
      <c r="H22" s="531"/>
      <c r="I22" s="215" t="str">
        <f>Utah!T5</f>
        <v>5-20</v>
      </c>
      <c r="J22" s="1" t="s">
        <v>157</v>
      </c>
      <c r="K22" s="211">
        <v>25</v>
      </c>
      <c r="L22" s="211">
        <f>SUM(D22+F22)-K22</f>
        <v>29</v>
      </c>
      <c r="M22" s="211">
        <f>D22+F22</f>
        <v>54</v>
      </c>
    </row>
    <row r="23" spans="1:13" x14ac:dyDescent="0.3">
      <c r="B23" s="531" t="s">
        <v>43</v>
      </c>
      <c r="C23" s="531"/>
      <c r="D23" s="1">
        <f>Seattle!F5</f>
        <v>27</v>
      </c>
      <c r="E23" s="209"/>
      <c r="F23" s="210">
        <f>NewEngland!F5</f>
        <v>24</v>
      </c>
      <c r="G23" s="531" t="s">
        <v>33</v>
      </c>
      <c r="H23" s="531"/>
      <c r="I23" s="215" t="str">
        <f>Seattle!T5</f>
        <v>15-24</v>
      </c>
      <c r="J23" s="1" t="s">
        <v>159</v>
      </c>
      <c r="K23" s="319">
        <v>39</v>
      </c>
      <c r="L23" s="320">
        <f>SUM(D23+F23)-K23</f>
        <v>12</v>
      </c>
      <c r="M23" s="211">
        <f>D23+F23</f>
        <v>51</v>
      </c>
    </row>
    <row r="24" spans="1:13" x14ac:dyDescent="0.3">
      <c r="B24" s="531" t="s">
        <v>47</v>
      </c>
      <c r="C24" s="531"/>
      <c r="D24" s="1">
        <f>SanDiego!F6</f>
        <v>36</v>
      </c>
      <c r="E24" s="209"/>
      <c r="F24" s="210">
        <f>LosAngeles!F5</f>
        <v>28</v>
      </c>
      <c r="G24" s="531" t="s">
        <v>46</v>
      </c>
      <c r="H24" s="531"/>
      <c r="I24" s="215" t="str">
        <f>SanDiego!T6</f>
        <v>10-14</v>
      </c>
      <c r="J24" s="1" t="s">
        <v>152</v>
      </c>
      <c r="K24" s="211">
        <v>24</v>
      </c>
      <c r="L24" s="319">
        <f>SUM(D24+F24)-K24</f>
        <v>40</v>
      </c>
      <c r="M24" s="319">
        <f>D24+F24</f>
        <v>64</v>
      </c>
    </row>
    <row r="25" spans="1:13" x14ac:dyDescent="0.3">
      <c r="A25" s="208" t="s">
        <v>74</v>
      </c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530"/>
    </row>
    <row r="26" spans="1:13" x14ac:dyDescent="0.3">
      <c r="B26" s="531" t="s">
        <v>40</v>
      </c>
      <c r="C26" s="531"/>
      <c r="D26" s="1">
        <f>Chicago!F7</f>
        <v>30</v>
      </c>
      <c r="E26" s="209"/>
      <c r="F26" s="210">
        <f>OldGlory!F6</f>
        <v>26</v>
      </c>
      <c r="G26" s="531" t="s">
        <v>37</v>
      </c>
      <c r="H26" s="531"/>
      <c r="I26" s="215" t="str">
        <f>Chicago!T7</f>
        <v>20-5</v>
      </c>
      <c r="J26" s="1" t="s">
        <v>154</v>
      </c>
      <c r="K26" s="320">
        <v>25</v>
      </c>
      <c r="L26" s="211">
        <f>SUM(D26+F26)-K26</f>
        <v>31</v>
      </c>
      <c r="M26" s="211">
        <f>D26+F26</f>
        <v>56</v>
      </c>
    </row>
    <row r="27" spans="1:13" x14ac:dyDescent="0.3">
      <c r="B27" s="531" t="s">
        <v>33</v>
      </c>
      <c r="C27" s="531"/>
      <c r="D27" s="1">
        <f>NewEngland!F6</f>
        <v>35</v>
      </c>
      <c r="E27" s="209"/>
      <c r="F27" s="210">
        <f>NOLA!F6</f>
        <v>31</v>
      </c>
      <c r="G27" s="531" t="s">
        <v>96</v>
      </c>
      <c r="H27" s="531"/>
      <c r="I27" s="215" t="str">
        <f>NewEngland!T6</f>
        <v>21-14</v>
      </c>
      <c r="J27" s="1" t="s">
        <v>160</v>
      </c>
      <c r="K27" s="319">
        <v>35</v>
      </c>
      <c r="L27" s="211">
        <f>SUM(D27+F27)-K27</f>
        <v>31</v>
      </c>
      <c r="M27" s="319">
        <f>D27+F27</f>
        <v>66</v>
      </c>
    </row>
    <row r="28" spans="1:13" x14ac:dyDescent="0.3">
      <c r="B28" s="531" t="s">
        <v>36</v>
      </c>
      <c r="C28" s="531"/>
      <c r="D28" s="1">
        <f>Miami!F7</f>
        <v>19</v>
      </c>
      <c r="E28" s="209"/>
      <c r="F28" s="210">
        <f>Utah!F6</f>
        <v>36</v>
      </c>
      <c r="G28" s="531" t="s">
        <v>39</v>
      </c>
      <c r="H28" s="531"/>
      <c r="I28" s="215" t="str">
        <f>Miami!T7</f>
        <v>7-24</v>
      </c>
      <c r="J28" s="1" t="s">
        <v>150</v>
      </c>
      <c r="K28" s="211">
        <v>31</v>
      </c>
      <c r="L28" s="320">
        <f>SUM(D28+F28)-K28</f>
        <v>24</v>
      </c>
      <c r="M28" s="320">
        <f>D28+F28</f>
        <v>55</v>
      </c>
    </row>
    <row r="29" spans="1:13" x14ac:dyDescent="0.3">
      <c r="B29" s="531" t="s">
        <v>46</v>
      </c>
      <c r="C29" s="531"/>
      <c r="D29" s="1">
        <f>LosAngeles!F6</f>
        <v>35</v>
      </c>
      <c r="E29" s="209"/>
      <c r="F29" s="210">
        <f>Seattle!F6</f>
        <v>29</v>
      </c>
      <c r="G29" s="531" t="s">
        <v>43</v>
      </c>
      <c r="H29" s="531"/>
      <c r="I29" s="215" t="str">
        <f>LosAngeles!T6</f>
        <v>14-17</v>
      </c>
      <c r="J29" s="1" t="s">
        <v>155</v>
      </c>
      <c r="K29" s="211">
        <v>31</v>
      </c>
      <c r="L29" s="319">
        <f>SUM(D29+F29)-K29</f>
        <v>33</v>
      </c>
      <c r="M29" s="211">
        <f>D29+F29</f>
        <v>64</v>
      </c>
    </row>
    <row r="30" spans="1:13" x14ac:dyDescent="0.3">
      <c r="A30" s="208" t="s">
        <v>75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</row>
    <row r="31" spans="1:13" x14ac:dyDescent="0.3">
      <c r="B31" s="531" t="s">
        <v>37</v>
      </c>
      <c r="C31" s="531"/>
      <c r="D31" s="1">
        <f>OldGlory!F7</f>
        <v>28</v>
      </c>
      <c r="E31" s="209"/>
      <c r="F31" s="210">
        <f>NewEngland!F7</f>
        <v>14</v>
      </c>
      <c r="G31" s="531" t="s">
        <v>33</v>
      </c>
      <c r="H31" s="531"/>
      <c r="I31" s="215" t="str">
        <f>OldGlory!T7</f>
        <v>20-7</v>
      </c>
      <c r="J31" s="1" t="s">
        <v>158</v>
      </c>
      <c r="K31" s="211">
        <v>27</v>
      </c>
      <c r="L31" s="320">
        <f>SUM(D31+F31)-K31</f>
        <v>15</v>
      </c>
      <c r="M31" s="320">
        <f>D31+F31</f>
        <v>42</v>
      </c>
    </row>
    <row r="32" spans="1:13" x14ac:dyDescent="0.3">
      <c r="B32" s="531" t="s">
        <v>70</v>
      </c>
      <c r="C32" s="531"/>
      <c r="D32" s="1">
        <f>Anthem!F7</f>
        <v>45</v>
      </c>
      <c r="E32" s="209"/>
      <c r="F32" s="210">
        <f>Houston!F7</f>
        <v>46</v>
      </c>
      <c r="G32" s="531" t="s">
        <v>44</v>
      </c>
      <c r="H32" s="531"/>
      <c r="I32" s="215" t="str">
        <f>Anthem!T7</f>
        <v>19-24</v>
      </c>
      <c r="J32" s="1" t="s">
        <v>153</v>
      </c>
      <c r="K32" s="319">
        <v>43</v>
      </c>
      <c r="L32" s="319">
        <f>SUM(D32+F32)-K32</f>
        <v>48</v>
      </c>
      <c r="M32" s="319">
        <f>D32+F32</f>
        <v>91</v>
      </c>
    </row>
    <row r="33" spans="1:13" x14ac:dyDescent="0.3">
      <c r="B33" s="531" t="s">
        <v>96</v>
      </c>
      <c r="C33" s="531"/>
      <c r="D33" s="1">
        <f>NOLA!F7</f>
        <v>24</v>
      </c>
      <c r="E33" s="209"/>
      <c r="F33" s="210">
        <f>LosAngeles!F7</f>
        <v>31</v>
      </c>
      <c r="G33" s="531" t="s">
        <v>46</v>
      </c>
      <c r="H33" s="531"/>
      <c r="I33" s="215" t="str">
        <f>NOLA!T7</f>
        <v>12-24</v>
      </c>
      <c r="J33" s="1" t="s">
        <v>149</v>
      </c>
      <c r="K33" s="211">
        <v>36</v>
      </c>
      <c r="L33" s="211">
        <f>SUM(D33+F33)-K33</f>
        <v>19</v>
      </c>
      <c r="M33" s="211">
        <f>D33+F33</f>
        <v>55</v>
      </c>
    </row>
    <row r="34" spans="1:13" x14ac:dyDescent="0.3">
      <c r="B34" s="531" t="s">
        <v>47</v>
      </c>
      <c r="C34" s="531"/>
      <c r="D34" s="1">
        <f>SanDiego!F7</f>
        <v>31</v>
      </c>
      <c r="E34" s="209"/>
      <c r="F34" s="210">
        <f>Miami!F8</f>
        <v>12</v>
      </c>
      <c r="G34" s="531" t="s">
        <v>36</v>
      </c>
      <c r="H34" s="531"/>
      <c r="I34" s="215" t="str">
        <f>SanDiego!T7</f>
        <v>21-5</v>
      </c>
      <c r="J34" s="1" t="s">
        <v>152</v>
      </c>
      <c r="K34" s="211">
        <v>26</v>
      </c>
      <c r="L34" s="211">
        <f>SUM(D34+F34)-K34</f>
        <v>17</v>
      </c>
      <c r="M34" s="211">
        <f>D34+F34</f>
        <v>43</v>
      </c>
    </row>
    <row r="35" spans="1:13" x14ac:dyDescent="0.3">
      <c r="B35" s="531" t="s">
        <v>43</v>
      </c>
      <c r="C35" s="531"/>
      <c r="D35" s="1">
        <f>Seattle!F7</f>
        <v>27</v>
      </c>
      <c r="E35" s="209"/>
      <c r="F35" s="210">
        <f>Utah!F7</f>
        <v>30</v>
      </c>
      <c r="G35" s="531" t="s">
        <v>39</v>
      </c>
      <c r="H35" s="531"/>
      <c r="I35" s="215" t="str">
        <f>Seattle!T7</f>
        <v>6-14</v>
      </c>
      <c r="J35" s="1" t="s">
        <v>159</v>
      </c>
      <c r="K35" s="320">
        <v>20</v>
      </c>
      <c r="L35" s="211">
        <f>SUM(D35+F35)-K35</f>
        <v>37</v>
      </c>
      <c r="M35" s="211">
        <f>D35+F35</f>
        <v>57</v>
      </c>
    </row>
    <row r="36" spans="1:13" x14ac:dyDescent="0.3">
      <c r="A36" s="208" t="s">
        <v>76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30"/>
      <c r="L36" s="530"/>
      <c r="M36" s="530"/>
    </row>
    <row r="37" spans="1:13" x14ac:dyDescent="0.3">
      <c r="B37" s="531" t="s">
        <v>96</v>
      </c>
      <c r="C37" s="531"/>
      <c r="D37" s="1">
        <f>NOLA!F8</f>
        <v>18</v>
      </c>
      <c r="E37" s="209"/>
      <c r="F37" s="210">
        <f>Chicago!F8</f>
        <v>20</v>
      </c>
      <c r="G37" s="531" t="s">
        <v>40</v>
      </c>
      <c r="H37" s="531"/>
      <c r="I37" s="215" t="str">
        <f>NOLA!T8</f>
        <v>11-5</v>
      </c>
      <c r="J37" s="1" t="s">
        <v>149</v>
      </c>
      <c r="K37" s="211">
        <v>16</v>
      </c>
      <c r="L37" s="320">
        <f>SUM(D37+F37)-K37</f>
        <v>22</v>
      </c>
      <c r="M37" s="320">
        <f>D37+F37</f>
        <v>38</v>
      </c>
    </row>
    <row r="38" spans="1:13" x14ac:dyDescent="0.3">
      <c r="B38" s="531" t="s">
        <v>44</v>
      </c>
      <c r="C38" s="531"/>
      <c r="D38" s="1">
        <f>Houston!F8</f>
        <v>34</v>
      </c>
      <c r="E38" s="209"/>
      <c r="F38" s="210">
        <f>SanDiego!F8</f>
        <v>14</v>
      </c>
      <c r="G38" s="531" t="s">
        <v>47</v>
      </c>
      <c r="H38" s="531"/>
      <c r="I38" s="215" t="str">
        <f>Houston!T8</f>
        <v>17-7</v>
      </c>
      <c r="J38" s="1" t="s">
        <v>151</v>
      </c>
      <c r="K38" s="211">
        <v>24</v>
      </c>
      <c r="L38" s="211">
        <f>SUM(D38+F38)-K38</f>
        <v>24</v>
      </c>
      <c r="M38" s="211">
        <f>D38+F38</f>
        <v>48</v>
      </c>
    </row>
    <row r="39" spans="1:13" x14ac:dyDescent="0.3">
      <c r="B39" s="531" t="s">
        <v>43</v>
      </c>
      <c r="C39" s="531"/>
      <c r="D39" s="1">
        <f>Seattle!F8</f>
        <v>25</v>
      </c>
      <c r="E39" s="209"/>
      <c r="F39" s="210">
        <f>Anthem!F8</f>
        <v>17</v>
      </c>
      <c r="G39" s="531" t="s">
        <v>70</v>
      </c>
      <c r="H39" s="531"/>
      <c r="I39" s="215" t="str">
        <f>Seattle!T8</f>
        <v>3-7</v>
      </c>
      <c r="J39" s="1" t="s">
        <v>159</v>
      </c>
      <c r="K39" s="320">
        <v>10</v>
      </c>
      <c r="L39" s="211">
        <f>SUM(D39+F39)-K39</f>
        <v>32</v>
      </c>
      <c r="M39" s="211">
        <f>D39+F39</f>
        <v>42</v>
      </c>
    </row>
    <row r="40" spans="1:13" x14ac:dyDescent="0.3">
      <c r="B40" s="531" t="s">
        <v>39</v>
      </c>
      <c r="C40" s="531"/>
      <c r="D40" s="1">
        <f>Utah!F8</f>
        <v>26</v>
      </c>
      <c r="E40" s="209"/>
      <c r="F40" s="210">
        <f>NewEngland!F8</f>
        <v>33</v>
      </c>
      <c r="G40" s="531" t="s">
        <v>33</v>
      </c>
      <c r="H40" s="531"/>
      <c r="I40" s="215" t="str">
        <f>Utah!T8</f>
        <v>26-5</v>
      </c>
      <c r="J40" s="1" t="s">
        <v>157</v>
      </c>
      <c r="K40" s="211">
        <v>31</v>
      </c>
      <c r="L40" s="211">
        <f>SUM(D40+F40)-K40</f>
        <v>28</v>
      </c>
      <c r="M40" s="211">
        <f>D40+F40</f>
        <v>59</v>
      </c>
    </row>
    <row r="41" spans="1:13" x14ac:dyDescent="0.3">
      <c r="B41" s="531" t="s">
        <v>46</v>
      </c>
      <c r="C41" s="531"/>
      <c r="D41" s="1">
        <f>LosAngeles!F8</f>
        <v>54</v>
      </c>
      <c r="E41" s="209"/>
      <c r="F41" s="210">
        <f>OldGlory!F8</f>
        <v>44</v>
      </c>
      <c r="G41" s="531" t="s">
        <v>37</v>
      </c>
      <c r="H41" s="531"/>
      <c r="I41" s="215" t="str">
        <f>LosAngeles!T8</f>
        <v>19-23</v>
      </c>
      <c r="J41" s="1" t="s">
        <v>155</v>
      </c>
      <c r="K41" s="319">
        <v>42</v>
      </c>
      <c r="L41" s="319">
        <f>SUM(D41+F41)-K41</f>
        <v>56</v>
      </c>
      <c r="M41" s="319">
        <f>D41+F41</f>
        <v>98</v>
      </c>
    </row>
    <row r="42" spans="1:13" x14ac:dyDescent="0.3">
      <c r="A42" s="208" t="s">
        <v>77</v>
      </c>
      <c r="B42" s="530"/>
      <c r="C42" s="530"/>
      <c r="D42" s="530"/>
      <c r="E42" s="530"/>
      <c r="F42" s="530"/>
      <c r="G42" s="530"/>
      <c r="H42" s="530"/>
      <c r="I42" s="530"/>
      <c r="J42" s="533"/>
      <c r="K42" s="533"/>
      <c r="L42" s="533"/>
      <c r="M42" s="533"/>
    </row>
    <row r="43" spans="1:13" x14ac:dyDescent="0.3">
      <c r="B43" s="531" t="s">
        <v>37</v>
      </c>
      <c r="C43" s="531"/>
      <c r="D43" s="1">
        <f>OldGlory!F9</f>
        <v>29</v>
      </c>
      <c r="E43" s="209"/>
      <c r="F43" s="210">
        <f>Seattle!F9</f>
        <v>12</v>
      </c>
      <c r="G43" s="531" t="s">
        <v>43</v>
      </c>
      <c r="H43" s="531"/>
      <c r="I43" s="215" t="str">
        <f>OldGlory!T9</f>
        <v>7-5</v>
      </c>
      <c r="J43" s="1" t="s">
        <v>158</v>
      </c>
      <c r="K43" s="320">
        <v>12</v>
      </c>
      <c r="L43" s="211">
        <f>SUM(D43+F43)-K43</f>
        <v>29</v>
      </c>
      <c r="M43" s="320">
        <f>D43+F43</f>
        <v>41</v>
      </c>
    </row>
    <row r="44" spans="1:13" x14ac:dyDescent="0.3">
      <c r="B44" s="531" t="s">
        <v>70</v>
      </c>
      <c r="C44" s="531"/>
      <c r="D44" s="1">
        <f>Anthem!F9</f>
        <v>19</v>
      </c>
      <c r="E44" s="209"/>
      <c r="F44" s="210">
        <f>NOLA!F9</f>
        <v>33</v>
      </c>
      <c r="G44" s="531" t="s">
        <v>96</v>
      </c>
      <c r="H44" s="531"/>
      <c r="I44" s="215" t="str">
        <f>Anthem!T9</f>
        <v>12-26</v>
      </c>
      <c r="J44" s="1" t="s">
        <v>153</v>
      </c>
      <c r="K44" s="319">
        <v>38</v>
      </c>
      <c r="L44" s="211">
        <f>SUM(D44+F44)-K44</f>
        <v>14</v>
      </c>
      <c r="M44" s="319">
        <f>D44+F44</f>
        <v>52</v>
      </c>
    </row>
    <row r="45" spans="1:13" x14ac:dyDescent="0.3">
      <c r="B45" s="531" t="s">
        <v>44</v>
      </c>
      <c r="C45" s="531"/>
      <c r="D45" s="1">
        <f>Houston!F9</f>
        <v>22</v>
      </c>
      <c r="E45" s="209"/>
      <c r="F45" s="210">
        <f>LosAngeles!F9</f>
        <v>24</v>
      </c>
      <c r="G45" s="531" t="s">
        <v>46</v>
      </c>
      <c r="H45" s="531"/>
      <c r="I45" s="215" t="str">
        <f>Houston!T9</f>
        <v>10-10</v>
      </c>
      <c r="J45" s="1" t="s">
        <v>151</v>
      </c>
      <c r="K45" s="211">
        <v>20</v>
      </c>
      <c r="L45" s="211">
        <f>SUM(D45+F45)-K45</f>
        <v>26</v>
      </c>
      <c r="M45" s="211">
        <f>D45+F45</f>
        <v>46</v>
      </c>
    </row>
    <row r="46" spans="1:13" x14ac:dyDescent="0.3">
      <c r="B46" s="531" t="s">
        <v>47</v>
      </c>
      <c r="C46" s="531"/>
      <c r="D46" s="1">
        <f>SanDiego!F9</f>
        <v>20</v>
      </c>
      <c r="E46" s="209"/>
      <c r="F46" s="210">
        <f>Chicago!F9</f>
        <v>27</v>
      </c>
      <c r="G46" s="531" t="s">
        <v>40</v>
      </c>
      <c r="H46" s="531"/>
      <c r="I46" s="215" t="str">
        <f>SanDiego!T9</f>
        <v>17-20</v>
      </c>
      <c r="J46" s="1" t="s">
        <v>152</v>
      </c>
      <c r="K46" s="211">
        <v>37</v>
      </c>
      <c r="L46" s="320">
        <f>SUM(D46+F46)-K46</f>
        <v>10</v>
      </c>
      <c r="M46" s="211">
        <f>D46+F46</f>
        <v>47</v>
      </c>
    </row>
    <row r="47" spans="1:13" x14ac:dyDescent="0.3">
      <c r="B47" s="531" t="s">
        <v>33</v>
      </c>
      <c r="C47" s="531"/>
      <c r="D47" s="1">
        <f>NewEngland!F9</f>
        <v>43</v>
      </c>
      <c r="E47" s="209"/>
      <c r="F47" s="210">
        <f>Miami!F9</f>
        <v>6</v>
      </c>
      <c r="G47" s="531" t="s">
        <v>36</v>
      </c>
      <c r="H47" s="531"/>
      <c r="I47" s="215" t="str">
        <f>NewEngland!T9</f>
        <v>12-6</v>
      </c>
      <c r="J47" s="1" t="s">
        <v>160</v>
      </c>
      <c r="K47" s="211">
        <v>18</v>
      </c>
      <c r="L47" s="319">
        <f>SUM(D47+F47)-K47</f>
        <v>31</v>
      </c>
      <c r="M47" s="211">
        <f>D47+F47</f>
        <v>49</v>
      </c>
    </row>
    <row r="48" spans="1:13" x14ac:dyDescent="0.3">
      <c r="A48" s="208" t="s">
        <v>78</v>
      </c>
      <c r="B48" s="530"/>
      <c r="C48" s="530"/>
      <c r="D48" s="530"/>
      <c r="E48" s="530"/>
      <c r="F48" s="530"/>
      <c r="G48" s="530"/>
      <c r="H48" s="530"/>
      <c r="I48" s="530"/>
      <c r="J48" s="533"/>
      <c r="K48" s="533"/>
      <c r="L48" s="533"/>
      <c r="M48" s="533"/>
    </row>
    <row r="49" spans="1:13" x14ac:dyDescent="0.3">
      <c r="B49" s="531" t="s">
        <v>33</v>
      </c>
      <c r="C49" s="531"/>
      <c r="D49" s="1">
        <f>NewEngland!F10</f>
        <v>39</v>
      </c>
      <c r="E49" s="209"/>
      <c r="F49" s="210">
        <f>SanDiego!F10</f>
        <v>12</v>
      </c>
      <c r="G49" s="531" t="s">
        <v>47</v>
      </c>
      <c r="H49" s="531"/>
      <c r="I49" s="215" t="str">
        <f>NewEngland!T10</f>
        <v>22-7</v>
      </c>
      <c r="J49" s="1" t="s">
        <v>160</v>
      </c>
      <c r="K49" s="320">
        <v>29</v>
      </c>
      <c r="L49" s="211">
        <f>SUM(D49+F49)-K49</f>
        <v>22</v>
      </c>
      <c r="M49" s="211">
        <f>D49+F49</f>
        <v>51</v>
      </c>
    </row>
    <row r="50" spans="1:13" x14ac:dyDescent="0.3">
      <c r="B50" s="531" t="s">
        <v>36</v>
      </c>
      <c r="C50" s="531"/>
      <c r="D50" s="1">
        <f>Miami!F10</f>
        <v>31</v>
      </c>
      <c r="E50" s="209"/>
      <c r="F50" s="210">
        <f>Houston!F10</f>
        <v>22</v>
      </c>
      <c r="G50" s="531" t="s">
        <v>44</v>
      </c>
      <c r="H50" s="531"/>
      <c r="I50" s="215" t="str">
        <f>Miami!T10</f>
        <v>24-5</v>
      </c>
      <c r="J50" s="1" t="s">
        <v>150</v>
      </c>
      <c r="K50" s="320">
        <v>29</v>
      </c>
      <c r="L50" s="211">
        <f>SUM(D50+F50)-K50</f>
        <v>24</v>
      </c>
      <c r="M50" s="211">
        <f>D50+F50</f>
        <v>53</v>
      </c>
    </row>
    <row r="51" spans="1:13" x14ac:dyDescent="0.3">
      <c r="B51" s="534" t="s">
        <v>96</v>
      </c>
      <c r="C51" s="534"/>
      <c r="D51" s="1">
        <f>NOLA!F10</f>
        <v>51</v>
      </c>
      <c r="E51" s="209"/>
      <c r="F51" s="210">
        <f>OldGlory!F10</f>
        <v>29</v>
      </c>
      <c r="G51" s="534" t="s">
        <v>37</v>
      </c>
      <c r="H51" s="534"/>
      <c r="I51" s="215" t="str">
        <f>NOLA!T10</f>
        <v>24-12</v>
      </c>
      <c r="J51" s="1" t="s">
        <v>149</v>
      </c>
      <c r="K51" s="211">
        <v>36</v>
      </c>
      <c r="L51" s="319">
        <f>SUM(D51+F51)-K51</f>
        <v>44</v>
      </c>
      <c r="M51" s="319">
        <f>D51+F51</f>
        <v>80</v>
      </c>
    </row>
    <row r="52" spans="1:13" x14ac:dyDescent="0.3">
      <c r="B52" s="534" t="s">
        <v>46</v>
      </c>
      <c r="C52" s="534"/>
      <c r="D52" s="1">
        <f>LosAngeles!F10</f>
        <v>28</v>
      </c>
      <c r="E52" s="209"/>
      <c r="F52" s="210">
        <f>Utah!F9</f>
        <v>45</v>
      </c>
      <c r="G52" s="534" t="s">
        <v>39</v>
      </c>
      <c r="H52" s="534"/>
      <c r="I52" s="215" t="str">
        <f>LosAngeles!T10</f>
        <v>21-21</v>
      </c>
      <c r="J52" s="48" t="s">
        <v>155</v>
      </c>
      <c r="K52" s="319">
        <v>42</v>
      </c>
      <c r="L52" s="211">
        <f>SUM(D52+F52)-K52</f>
        <v>31</v>
      </c>
      <c r="M52" s="211">
        <f>D52+F52</f>
        <v>73</v>
      </c>
    </row>
    <row r="53" spans="1:13" x14ac:dyDescent="0.3">
      <c r="B53" s="534" t="s">
        <v>40</v>
      </c>
      <c r="C53" s="534"/>
      <c r="D53" s="1">
        <f>Chicago!F10</f>
        <v>28</v>
      </c>
      <c r="E53" s="209"/>
      <c r="F53" s="210">
        <f>Anthem!F10</f>
        <v>20</v>
      </c>
      <c r="G53" s="534" t="s">
        <v>70</v>
      </c>
      <c r="H53" s="534"/>
      <c r="I53" s="215" t="str">
        <f>Chicago!T10</f>
        <v>21-8</v>
      </c>
      <c r="J53" s="1" t="s">
        <v>154</v>
      </c>
      <c r="K53" s="320">
        <v>29</v>
      </c>
      <c r="L53" s="320">
        <f>SUM(D53+F53)-K53</f>
        <v>19</v>
      </c>
      <c r="M53" s="320">
        <f>D53+F53</f>
        <v>48</v>
      </c>
    </row>
    <row r="54" spans="1:13" x14ac:dyDescent="0.3">
      <c r="A54" s="208" t="s">
        <v>79</v>
      </c>
      <c r="B54" s="530"/>
      <c r="C54" s="530"/>
      <c r="D54" s="530"/>
      <c r="E54" s="530"/>
      <c r="F54" s="530"/>
      <c r="G54" s="530"/>
      <c r="H54" s="530"/>
      <c r="I54" s="530"/>
      <c r="J54" s="533"/>
      <c r="K54" s="533"/>
      <c r="L54" s="533"/>
      <c r="M54" s="533"/>
    </row>
    <row r="55" spans="1:13" x14ac:dyDescent="0.3">
      <c r="B55" s="534" t="s">
        <v>70</v>
      </c>
      <c r="C55" s="534"/>
      <c r="D55" s="1">
        <f>Anthem!F11</f>
        <v>6</v>
      </c>
      <c r="E55" s="209"/>
      <c r="F55" s="210">
        <f>NewEngland!F11</f>
        <v>26</v>
      </c>
      <c r="G55" s="534" t="s">
        <v>33</v>
      </c>
      <c r="H55" s="534"/>
      <c r="I55" s="215" t="str">
        <f>Anthem!T11</f>
        <v>6-14</v>
      </c>
      <c r="J55" s="1" t="s">
        <v>153</v>
      </c>
      <c r="K55" s="211">
        <v>20</v>
      </c>
      <c r="L55" s="320">
        <f>SUM(D55+F55)-K55</f>
        <v>12</v>
      </c>
      <c r="M55" s="320">
        <f>D55+F55</f>
        <v>32</v>
      </c>
    </row>
    <row r="56" spans="1:13" x14ac:dyDescent="0.3">
      <c r="B56" s="534" t="s">
        <v>43</v>
      </c>
      <c r="C56" s="534"/>
      <c r="D56" s="1">
        <f>Seattle!F10</f>
        <v>28</v>
      </c>
      <c r="E56" s="209"/>
      <c r="F56" s="210">
        <f>Chicago!F11</f>
        <v>22</v>
      </c>
      <c r="G56" s="534" t="s">
        <v>40</v>
      </c>
      <c r="H56" s="534"/>
      <c r="I56" s="215" t="str">
        <f>Seattle!T10</f>
        <v>15-8</v>
      </c>
      <c r="J56" s="1" t="s">
        <v>159</v>
      </c>
      <c r="K56" s="211">
        <v>23</v>
      </c>
      <c r="L56" s="319">
        <f>SUM(D56+F56)-K56</f>
        <v>27</v>
      </c>
      <c r="M56" s="211">
        <f>D56+F56</f>
        <v>50</v>
      </c>
    </row>
    <row r="57" spans="1:13" x14ac:dyDescent="0.3">
      <c r="B57" s="534" t="s">
        <v>37</v>
      </c>
      <c r="C57" s="534"/>
      <c r="D57" s="1">
        <f>OldGlory!F11</f>
        <v>35</v>
      </c>
      <c r="E57" s="209"/>
      <c r="F57" s="210">
        <f>Miami!F11</f>
        <v>37</v>
      </c>
      <c r="G57" s="534" t="s">
        <v>36</v>
      </c>
      <c r="H57" s="534"/>
      <c r="I57" s="215" t="str">
        <f>OldGlory!T11</f>
        <v>14-31</v>
      </c>
      <c r="J57" s="1" t="s">
        <v>158</v>
      </c>
      <c r="K57" s="319">
        <v>45</v>
      </c>
      <c r="L57" s="319">
        <f>SUM(D57+F57)-K57</f>
        <v>27</v>
      </c>
      <c r="M57" s="319">
        <f>D57+F57</f>
        <v>72</v>
      </c>
    </row>
    <row r="58" spans="1:13" x14ac:dyDescent="0.3">
      <c r="B58" s="534" t="s">
        <v>44</v>
      </c>
      <c r="C58" s="534"/>
      <c r="D58" s="1">
        <f>Houston!F11</f>
        <v>17</v>
      </c>
      <c r="E58" s="209"/>
      <c r="F58" s="210">
        <f>NOLA!F11</f>
        <v>15</v>
      </c>
      <c r="G58" s="534" t="s">
        <v>96</v>
      </c>
      <c r="H58" s="534"/>
      <c r="I58" s="215" t="str">
        <f>Houston!T11</f>
        <v>5-12</v>
      </c>
      <c r="J58" s="1" t="s">
        <v>151</v>
      </c>
      <c r="K58" s="320">
        <v>17</v>
      </c>
      <c r="L58" s="211">
        <f>SUM(D58+F58)-K58</f>
        <v>15</v>
      </c>
      <c r="M58" s="320">
        <f>D58+F58</f>
        <v>32</v>
      </c>
    </row>
    <row r="59" spans="1:13" x14ac:dyDescent="0.3">
      <c r="B59" s="534" t="s">
        <v>47</v>
      </c>
      <c r="C59" s="534"/>
      <c r="D59" s="1">
        <f>SanDiego!F11</f>
        <v>18</v>
      </c>
      <c r="E59" s="209"/>
      <c r="F59" s="210">
        <f>Utah!F10</f>
        <v>31</v>
      </c>
      <c r="G59" s="534" t="s">
        <v>39</v>
      </c>
      <c r="H59" s="534"/>
      <c r="I59" s="215" t="str">
        <f>SanDiego!T11</f>
        <v>15-19</v>
      </c>
      <c r="J59" s="1" t="s">
        <v>152</v>
      </c>
      <c r="K59" s="211">
        <v>34</v>
      </c>
      <c r="L59" s="211">
        <f>SUM(D59+F59)-K59</f>
        <v>15</v>
      </c>
      <c r="M59" s="211">
        <f>D59+F59</f>
        <v>49</v>
      </c>
    </row>
    <row r="60" spans="1:13" x14ac:dyDescent="0.3">
      <c r="A60" s="208" t="s">
        <v>80</v>
      </c>
      <c r="B60" s="530"/>
      <c r="C60" s="530"/>
      <c r="D60" s="530"/>
      <c r="E60" s="530"/>
      <c r="F60" s="530"/>
      <c r="G60" s="530"/>
      <c r="H60" s="530"/>
      <c r="I60" s="530"/>
      <c r="J60" s="533"/>
      <c r="K60" s="533"/>
      <c r="L60" s="533"/>
      <c r="M60" s="533"/>
    </row>
    <row r="61" spans="1:13" x14ac:dyDescent="0.3">
      <c r="B61" s="534" t="s">
        <v>33</v>
      </c>
      <c r="C61" s="534"/>
      <c r="D61" s="1">
        <f>NewEngland!F12</f>
        <v>23</v>
      </c>
      <c r="E61" s="209"/>
      <c r="F61" s="210">
        <f>LosAngeles!F11</f>
        <v>21</v>
      </c>
      <c r="G61" s="534" t="s">
        <v>46</v>
      </c>
      <c r="H61" s="534"/>
      <c r="I61" s="215" t="str">
        <f>NewEngland!T12</f>
        <v>3-14</v>
      </c>
      <c r="J61" s="1" t="s">
        <v>160</v>
      </c>
      <c r="K61" s="300">
        <v>17</v>
      </c>
      <c r="L61" s="211">
        <f t="shared" ref="L61:L67" si="0">SUM(D61+F61)-K61</f>
        <v>27</v>
      </c>
      <c r="M61" s="211">
        <f t="shared" ref="M61:M67" si="1">D61+F61</f>
        <v>44</v>
      </c>
    </row>
    <row r="62" spans="1:13" x14ac:dyDescent="0.3">
      <c r="B62" s="534" t="s">
        <v>70</v>
      </c>
      <c r="C62" s="534"/>
      <c r="D62" s="1">
        <f>Anthem!F12</f>
        <v>19</v>
      </c>
      <c r="E62" s="209"/>
      <c r="F62" s="210">
        <f>Seattle!F11</f>
        <v>60</v>
      </c>
      <c r="G62" s="534" t="s">
        <v>43</v>
      </c>
      <c r="H62" s="534"/>
      <c r="I62" s="215" t="str">
        <f>Anthem!T12</f>
        <v>14-31</v>
      </c>
      <c r="J62" s="1" t="s">
        <v>156</v>
      </c>
      <c r="K62" s="301">
        <v>45</v>
      </c>
      <c r="L62" s="211">
        <f t="shared" si="0"/>
        <v>34</v>
      </c>
      <c r="M62" s="211">
        <f t="shared" si="1"/>
        <v>79</v>
      </c>
    </row>
    <row r="63" spans="1:13" x14ac:dyDescent="0.3">
      <c r="B63" s="534" t="s">
        <v>44</v>
      </c>
      <c r="C63" s="534"/>
      <c r="D63" s="1">
        <f>Houston!F12</f>
        <v>48</v>
      </c>
      <c r="E63" s="209"/>
      <c r="F63" s="210">
        <f>OldGlory!F12</f>
        <v>27</v>
      </c>
      <c r="G63" s="534" t="s">
        <v>37</v>
      </c>
      <c r="H63" s="534"/>
      <c r="I63" s="215" t="str">
        <f>Houston!T12</f>
        <v>27-10</v>
      </c>
      <c r="J63" s="1" t="s">
        <v>151</v>
      </c>
      <c r="K63" s="211">
        <v>37</v>
      </c>
      <c r="L63" s="211">
        <f t="shared" si="0"/>
        <v>38</v>
      </c>
      <c r="M63" s="211">
        <f t="shared" si="1"/>
        <v>75</v>
      </c>
    </row>
    <row r="64" spans="1:13" x14ac:dyDescent="0.3">
      <c r="B64" s="534" t="s">
        <v>39</v>
      </c>
      <c r="C64" s="534"/>
      <c r="D64" s="1">
        <f>Utah!F11</f>
        <v>41</v>
      </c>
      <c r="E64" s="209"/>
      <c r="F64" s="210">
        <f>Chicago!F12</f>
        <v>31</v>
      </c>
      <c r="G64" s="534" t="s">
        <v>40</v>
      </c>
      <c r="H64" s="534"/>
      <c r="I64" s="215" t="str">
        <f>Utah!T11</f>
        <v>12-31</v>
      </c>
      <c r="J64" s="1" t="s">
        <v>157</v>
      </c>
      <c r="K64" s="211">
        <v>43</v>
      </c>
      <c r="L64" s="211">
        <f t="shared" si="0"/>
        <v>29</v>
      </c>
      <c r="M64" s="211">
        <f t="shared" si="1"/>
        <v>72</v>
      </c>
    </row>
    <row r="65" spans="1:13" x14ac:dyDescent="0.3">
      <c r="B65" s="534" t="s">
        <v>46</v>
      </c>
      <c r="C65" s="534"/>
      <c r="D65" s="1">
        <f>LosAngeles!F12</f>
        <v>36</v>
      </c>
      <c r="E65" s="209"/>
      <c r="F65" s="210">
        <f>SanDiego!F12</f>
        <v>38</v>
      </c>
      <c r="G65" s="534" t="s">
        <v>47</v>
      </c>
      <c r="H65" s="534"/>
      <c r="I65" s="215" t="str">
        <f>LosAngeles!T12</f>
        <v>17-17</v>
      </c>
      <c r="J65" s="1" t="s">
        <v>148</v>
      </c>
      <c r="K65" s="211">
        <v>34</v>
      </c>
      <c r="L65" s="301">
        <f t="shared" si="0"/>
        <v>40</v>
      </c>
      <c r="M65" s="211">
        <f t="shared" si="1"/>
        <v>74</v>
      </c>
    </row>
    <row r="66" spans="1:13" x14ac:dyDescent="0.3">
      <c r="B66" s="534" t="s">
        <v>96</v>
      </c>
      <c r="C66" s="534"/>
      <c r="D66" s="1">
        <f>NOLA!F12</f>
        <v>44</v>
      </c>
      <c r="E66" s="209"/>
      <c r="F66" s="210">
        <f>Seattle!F12</f>
        <v>36</v>
      </c>
      <c r="G66" s="534" t="s">
        <v>43</v>
      </c>
      <c r="H66" s="534"/>
      <c r="I66" s="215" t="str">
        <f>NOLA!T12</f>
        <v>27-14</v>
      </c>
      <c r="J66" s="1" t="s">
        <v>149</v>
      </c>
      <c r="K66" s="211">
        <v>41</v>
      </c>
      <c r="L66" s="211">
        <f t="shared" si="0"/>
        <v>39</v>
      </c>
      <c r="M66" s="301">
        <f t="shared" si="1"/>
        <v>80</v>
      </c>
    </row>
    <row r="67" spans="1:13" x14ac:dyDescent="0.3">
      <c r="B67" s="534" t="s">
        <v>36</v>
      </c>
      <c r="C67" s="534"/>
      <c r="D67" s="1">
        <f>Miami!F12</f>
        <v>31</v>
      </c>
      <c r="E67" s="209"/>
      <c r="F67" s="210">
        <f>Anthem!F13</f>
        <v>5</v>
      </c>
      <c r="G67" s="534" t="s">
        <v>70</v>
      </c>
      <c r="H67" s="534"/>
      <c r="I67" s="215" t="str">
        <f>Miami!T12</f>
        <v>17-0</v>
      </c>
      <c r="J67" s="1" t="s">
        <v>150</v>
      </c>
      <c r="K67" s="300">
        <v>17</v>
      </c>
      <c r="L67" s="211">
        <f t="shared" si="0"/>
        <v>19</v>
      </c>
      <c r="M67" s="300">
        <f t="shared" si="1"/>
        <v>36</v>
      </c>
    </row>
    <row r="68" spans="1:13" x14ac:dyDescent="0.3">
      <c r="A68" s="208" t="s">
        <v>81</v>
      </c>
      <c r="B68" s="530"/>
      <c r="C68" s="530"/>
      <c r="D68" s="530"/>
      <c r="E68" s="530"/>
      <c r="F68" s="530"/>
      <c r="G68" s="530"/>
      <c r="H68" s="530"/>
      <c r="I68" s="530"/>
      <c r="J68" s="533"/>
      <c r="K68" s="533"/>
      <c r="L68" s="533"/>
      <c r="M68" s="533"/>
    </row>
    <row r="69" spans="1:13" x14ac:dyDescent="0.3">
      <c r="B69" s="534" t="s">
        <v>39</v>
      </c>
      <c r="C69" s="534"/>
      <c r="D69" s="1">
        <f>Utah!F12</f>
        <v>38</v>
      </c>
      <c r="E69" s="209"/>
      <c r="F69" s="210">
        <f>SanDiego!F13</f>
        <v>31</v>
      </c>
      <c r="G69" s="534" t="s">
        <v>47</v>
      </c>
      <c r="H69" s="534"/>
      <c r="I69" s="215" t="str">
        <f>Utah!T12</f>
        <v>14-14</v>
      </c>
      <c r="J69" s="1" t="s">
        <v>157</v>
      </c>
      <c r="K69" s="211">
        <v>28</v>
      </c>
      <c r="L69" s="319">
        <f t="shared" ref="L69:L74" si="2">SUM(D69+F69)-K69</f>
        <v>41</v>
      </c>
      <c r="M69" s="211">
        <f t="shared" ref="M69:M74" si="3">D69+F69</f>
        <v>69</v>
      </c>
    </row>
    <row r="70" spans="1:13" x14ac:dyDescent="0.3">
      <c r="B70" s="534" t="s">
        <v>43</v>
      </c>
      <c r="C70" s="534"/>
      <c r="D70" s="1">
        <f>Seattle!F13</f>
        <v>26</v>
      </c>
      <c r="E70" s="209"/>
      <c r="F70" s="210">
        <f>LosAngeles!F13</f>
        <v>26</v>
      </c>
      <c r="G70" s="534" t="s">
        <v>46</v>
      </c>
      <c r="H70" s="534"/>
      <c r="I70" s="215" t="str">
        <f>Seattle!T13</f>
        <v>14-14</v>
      </c>
      <c r="J70" s="1" t="s">
        <v>159</v>
      </c>
      <c r="K70" s="211">
        <v>28</v>
      </c>
      <c r="L70" s="211">
        <f t="shared" si="2"/>
        <v>24</v>
      </c>
      <c r="M70" s="211">
        <f t="shared" si="3"/>
        <v>52</v>
      </c>
    </row>
    <row r="71" spans="1:13" x14ac:dyDescent="0.3">
      <c r="B71" s="534" t="s">
        <v>33</v>
      </c>
      <c r="C71" s="534"/>
      <c r="D71" s="1">
        <f>NewEngland!F13</f>
        <v>36</v>
      </c>
      <c r="E71" s="209"/>
      <c r="F71" s="210">
        <f>Houston!F13</f>
        <v>17</v>
      </c>
      <c r="G71" s="534" t="s">
        <v>44</v>
      </c>
      <c r="H71" s="534"/>
      <c r="I71" s="215" t="str">
        <f>NewEngland!T13</f>
        <v>28-5</v>
      </c>
      <c r="J71" s="1" t="s">
        <v>160</v>
      </c>
      <c r="K71" s="211">
        <v>33</v>
      </c>
      <c r="L71" s="211">
        <f t="shared" si="2"/>
        <v>20</v>
      </c>
      <c r="M71" s="211">
        <f t="shared" si="3"/>
        <v>53</v>
      </c>
    </row>
    <row r="72" spans="1:13" x14ac:dyDescent="0.3">
      <c r="B72" s="534" t="s">
        <v>37</v>
      </c>
      <c r="C72" s="534"/>
      <c r="D72" s="1">
        <f>OldGlory!F13</f>
        <v>28</v>
      </c>
      <c r="E72" s="209"/>
      <c r="F72" s="210">
        <f>Utah!F13</f>
        <v>12</v>
      </c>
      <c r="G72" s="534" t="s">
        <v>39</v>
      </c>
      <c r="H72" s="534"/>
      <c r="I72" s="215" t="str">
        <f>OldGlory!T13</f>
        <v>20-0</v>
      </c>
      <c r="J72" s="1" t="s">
        <v>158</v>
      </c>
      <c r="K72" s="211">
        <v>20</v>
      </c>
      <c r="L72" s="211">
        <f t="shared" si="2"/>
        <v>20</v>
      </c>
      <c r="M72" s="211">
        <f t="shared" si="3"/>
        <v>40</v>
      </c>
    </row>
    <row r="73" spans="1:13" x14ac:dyDescent="0.3">
      <c r="B73" s="534" t="s">
        <v>40</v>
      </c>
      <c r="C73" s="534"/>
      <c r="D73" s="1">
        <f>Chicago!F13</f>
        <v>14</v>
      </c>
      <c r="E73" s="209"/>
      <c r="F73" s="210">
        <f>Miami!F13</f>
        <v>7</v>
      </c>
      <c r="G73" s="534" t="s">
        <v>36</v>
      </c>
      <c r="H73" s="534"/>
      <c r="I73" s="215" t="str">
        <f>Chicago!T13</f>
        <v>0-7</v>
      </c>
      <c r="J73" s="1" t="s">
        <v>154</v>
      </c>
      <c r="K73" s="320">
        <v>7</v>
      </c>
      <c r="L73" s="320">
        <f t="shared" si="2"/>
        <v>14</v>
      </c>
      <c r="M73" s="320">
        <f t="shared" si="3"/>
        <v>21</v>
      </c>
    </row>
    <row r="74" spans="1:13" x14ac:dyDescent="0.3">
      <c r="B74" s="534" t="s">
        <v>47</v>
      </c>
      <c r="C74" s="534"/>
      <c r="D74" s="1">
        <f>SanDiego!F14</f>
        <v>45</v>
      </c>
      <c r="E74" s="209"/>
      <c r="F74" s="210">
        <f>NOLA!F13</f>
        <v>36</v>
      </c>
      <c r="G74" s="534" t="s">
        <v>96</v>
      </c>
      <c r="H74" s="534"/>
      <c r="I74" s="215" t="str">
        <f>SanDiego!T14</f>
        <v>21-24</v>
      </c>
      <c r="J74" s="1" t="s">
        <v>152</v>
      </c>
      <c r="K74" s="319">
        <v>45</v>
      </c>
      <c r="L74" s="211">
        <f t="shared" si="2"/>
        <v>36</v>
      </c>
      <c r="M74" s="319">
        <f t="shared" si="3"/>
        <v>81</v>
      </c>
    </row>
    <row r="75" spans="1:13" x14ac:dyDescent="0.3">
      <c r="A75" s="208" t="s">
        <v>82</v>
      </c>
      <c r="B75" s="530"/>
      <c r="C75" s="530"/>
      <c r="D75" s="530"/>
      <c r="E75" s="530"/>
      <c r="F75" s="530"/>
      <c r="G75" s="530"/>
      <c r="H75" s="530"/>
      <c r="I75" s="530"/>
      <c r="J75" s="533"/>
      <c r="K75" s="533"/>
      <c r="L75" s="533"/>
      <c r="M75" s="533"/>
    </row>
    <row r="76" spans="1:13" x14ac:dyDescent="0.3">
      <c r="B76" s="534" t="s">
        <v>96</v>
      </c>
      <c r="C76" s="534"/>
      <c r="D76" s="1">
        <f>NOLA!F14</f>
        <v>19</v>
      </c>
      <c r="E76" s="209"/>
      <c r="F76" s="210">
        <f>Miami!F14</f>
        <v>25</v>
      </c>
      <c r="G76" s="534" t="s">
        <v>36</v>
      </c>
      <c r="H76" s="534"/>
      <c r="I76" s="215" t="str">
        <f>NOLA!T14</f>
        <v>12-7</v>
      </c>
      <c r="J76" s="1" t="s">
        <v>149</v>
      </c>
      <c r="K76" s="320">
        <v>19</v>
      </c>
      <c r="L76" s="211">
        <f>SUM(D76+F76)-K76</f>
        <v>25</v>
      </c>
      <c r="M76" s="320">
        <f>D76+F76</f>
        <v>44</v>
      </c>
    </row>
    <row r="77" spans="1:13" x14ac:dyDescent="0.3">
      <c r="B77" s="534" t="s">
        <v>33</v>
      </c>
      <c r="C77" s="534"/>
      <c r="D77" s="1">
        <f>NewEngland!F14</f>
        <v>27</v>
      </c>
      <c r="E77" s="209"/>
      <c r="F77" s="210">
        <f>Chicago!F14</f>
        <v>17</v>
      </c>
      <c r="G77" s="534" t="s">
        <v>40</v>
      </c>
      <c r="H77" s="534"/>
      <c r="I77" s="215" t="str">
        <f>NewEngland!T14</f>
        <v>12-17</v>
      </c>
      <c r="J77" s="1" t="s">
        <v>160</v>
      </c>
      <c r="K77" s="211">
        <v>29</v>
      </c>
      <c r="L77" s="320">
        <f>SUM(D77+F77)-K77</f>
        <v>15</v>
      </c>
      <c r="M77" s="320">
        <f>D77+F77</f>
        <v>44</v>
      </c>
    </row>
    <row r="78" spans="1:13" x14ac:dyDescent="0.3">
      <c r="B78" s="534" t="s">
        <v>47</v>
      </c>
      <c r="C78" s="534"/>
      <c r="D78" s="1">
        <f>SanDiego!F15</f>
        <v>20</v>
      </c>
      <c r="E78" s="209"/>
      <c r="F78" s="210">
        <f>Houston!F14</f>
        <v>37</v>
      </c>
      <c r="G78" s="534" t="s">
        <v>44</v>
      </c>
      <c r="H78" s="534"/>
      <c r="I78" s="215" t="str">
        <f>SanDiego!T15</f>
        <v>5-17</v>
      </c>
      <c r="J78" s="1" t="s">
        <v>152</v>
      </c>
      <c r="K78" s="211">
        <v>22</v>
      </c>
      <c r="L78" s="211">
        <f>SUM(D78+F78)-K78</f>
        <v>35</v>
      </c>
      <c r="M78" s="211">
        <f>D78+F78</f>
        <v>57</v>
      </c>
    </row>
    <row r="79" spans="1:13" x14ac:dyDescent="0.3">
      <c r="A79" s="210"/>
      <c r="B79" s="534" t="s">
        <v>46</v>
      </c>
      <c r="C79" s="534"/>
      <c r="D79" s="1">
        <f>LosAngeles!F14</f>
        <v>45</v>
      </c>
      <c r="E79" s="213"/>
      <c r="F79" s="210">
        <f>Anthem!F14</f>
        <v>17</v>
      </c>
      <c r="G79" s="534" t="s">
        <v>70</v>
      </c>
      <c r="H79" s="534"/>
      <c r="I79" s="215" t="str">
        <f>LosAngeles!T14</f>
        <v>19-5</v>
      </c>
      <c r="J79" s="1" t="s">
        <v>155</v>
      </c>
      <c r="K79" s="211">
        <v>24</v>
      </c>
      <c r="L79" s="319">
        <f>SUM(D79+F79)-K79</f>
        <v>38</v>
      </c>
      <c r="M79" s="319">
        <f>D79+F79</f>
        <v>62</v>
      </c>
    </row>
    <row r="80" spans="1:13" x14ac:dyDescent="0.3">
      <c r="A80" s="210"/>
      <c r="B80" s="534" t="s">
        <v>39</v>
      </c>
      <c r="C80" s="534"/>
      <c r="D80" s="1">
        <f>Utah!F14</f>
        <v>24</v>
      </c>
      <c r="E80" s="213"/>
      <c r="F80" s="210">
        <f>Seattle!F14</f>
        <v>28</v>
      </c>
      <c r="G80" s="534" t="s">
        <v>43</v>
      </c>
      <c r="H80" s="534"/>
      <c r="I80" s="215" t="str">
        <f>Utah!T14</f>
        <v>17-14</v>
      </c>
      <c r="J80" s="1" t="s">
        <v>157</v>
      </c>
      <c r="K80" s="319">
        <v>31</v>
      </c>
      <c r="L80" s="211">
        <f>SUM(D80+F80)-K80</f>
        <v>21</v>
      </c>
      <c r="M80" s="211">
        <f>D80+F80</f>
        <v>52</v>
      </c>
    </row>
    <row r="81" spans="1:13" x14ac:dyDescent="0.3">
      <c r="A81" s="214" t="s">
        <v>83</v>
      </c>
      <c r="B81" s="535"/>
      <c r="C81" s="535"/>
      <c r="D81" s="535"/>
      <c r="E81" s="535"/>
      <c r="F81" s="535"/>
      <c r="G81" s="535"/>
      <c r="H81" s="535"/>
      <c r="I81" s="535"/>
      <c r="J81" s="533"/>
      <c r="K81" s="533"/>
      <c r="L81" s="533"/>
      <c r="M81" s="533"/>
    </row>
    <row r="82" spans="1:13" x14ac:dyDescent="0.3">
      <c r="A82" s="210"/>
      <c r="B82" s="534" t="s">
        <v>37</v>
      </c>
      <c r="C82" s="534"/>
      <c r="D82" s="1">
        <f>OldGlory!F14</f>
        <v>27</v>
      </c>
      <c r="E82" s="213"/>
      <c r="F82" s="210">
        <f>NOLA!F15</f>
        <v>14</v>
      </c>
      <c r="G82" s="534" t="s">
        <v>96</v>
      </c>
      <c r="H82" s="534"/>
      <c r="I82" s="215" t="s">
        <v>371</v>
      </c>
      <c r="J82" s="1" t="s">
        <v>373</v>
      </c>
      <c r="K82" s="211">
        <v>22</v>
      </c>
      <c r="L82" s="320">
        <f t="shared" ref="L82:L87" si="4">SUM(D82+F82)-K82</f>
        <v>19</v>
      </c>
      <c r="M82" s="320">
        <f t="shared" ref="M82:M87" si="5">D82+F82</f>
        <v>41</v>
      </c>
    </row>
    <row r="83" spans="1:13" x14ac:dyDescent="0.3">
      <c r="A83" s="210"/>
      <c r="B83" s="534" t="s">
        <v>36</v>
      </c>
      <c r="C83" s="534"/>
      <c r="D83" s="1">
        <f>Miami!F15</f>
        <v>30</v>
      </c>
      <c r="E83" s="213"/>
      <c r="F83" s="210">
        <f>NewEngland!F15</f>
        <v>19</v>
      </c>
      <c r="G83" s="534" t="s">
        <v>33</v>
      </c>
      <c r="H83" s="534"/>
      <c r="I83" s="215" t="s">
        <v>376</v>
      </c>
      <c r="J83" s="1" t="s">
        <v>150</v>
      </c>
      <c r="K83" s="320">
        <v>20</v>
      </c>
      <c r="L83" s="211">
        <f t="shared" si="4"/>
        <v>29</v>
      </c>
      <c r="M83" s="211">
        <f t="shared" si="5"/>
        <v>49</v>
      </c>
    </row>
    <row r="84" spans="1:13" x14ac:dyDescent="0.3">
      <c r="A84" s="210"/>
      <c r="B84" s="534" t="s">
        <v>44</v>
      </c>
      <c r="C84" s="534"/>
      <c r="D84" s="1">
        <f>Houston!F15</f>
        <v>40</v>
      </c>
      <c r="E84" s="213"/>
      <c r="F84" s="210">
        <f>Utah!F15</f>
        <v>19</v>
      </c>
      <c r="G84" s="534" t="s">
        <v>39</v>
      </c>
      <c r="H84" s="534"/>
      <c r="I84" s="215" t="s">
        <v>378</v>
      </c>
      <c r="J84" s="1" t="s">
        <v>151</v>
      </c>
      <c r="K84" s="211">
        <v>27</v>
      </c>
      <c r="L84" s="319">
        <f t="shared" si="4"/>
        <v>32</v>
      </c>
      <c r="M84" s="211">
        <f t="shared" si="5"/>
        <v>59</v>
      </c>
    </row>
    <row r="85" spans="1:13" x14ac:dyDescent="0.3">
      <c r="A85" s="210"/>
      <c r="B85" s="534" t="s">
        <v>43</v>
      </c>
      <c r="C85" s="534"/>
      <c r="D85" s="1">
        <f>Seattle!F15</f>
        <v>29</v>
      </c>
      <c r="E85" s="213"/>
      <c r="F85" s="210">
        <f>SanDiego!F16</f>
        <v>25</v>
      </c>
      <c r="G85" s="534" t="s">
        <v>47</v>
      </c>
      <c r="H85" s="534"/>
      <c r="I85" s="215" t="s">
        <v>335</v>
      </c>
      <c r="J85" s="1" t="s">
        <v>159</v>
      </c>
      <c r="K85" s="211">
        <v>23</v>
      </c>
      <c r="L85" s="211">
        <f t="shared" si="4"/>
        <v>31</v>
      </c>
      <c r="M85" s="211">
        <f t="shared" si="5"/>
        <v>54</v>
      </c>
    </row>
    <row r="86" spans="1:13" x14ac:dyDescent="0.3">
      <c r="A86" s="210"/>
      <c r="B86" s="534" t="s">
        <v>70</v>
      </c>
      <c r="C86" s="534"/>
      <c r="D86" s="1">
        <f>Anthem!F15</f>
        <v>19</v>
      </c>
      <c r="E86" s="213"/>
      <c r="F86" s="210">
        <f>OldGlory!F15</f>
        <v>41</v>
      </c>
      <c r="G86" s="534" t="s">
        <v>37</v>
      </c>
      <c r="H86" s="534"/>
      <c r="I86" s="215" t="s">
        <v>329</v>
      </c>
      <c r="J86" s="1" t="s">
        <v>153</v>
      </c>
      <c r="K86" s="319">
        <v>29</v>
      </c>
      <c r="L86" s="211">
        <f t="shared" si="4"/>
        <v>31</v>
      </c>
      <c r="M86" s="319">
        <f t="shared" si="5"/>
        <v>60</v>
      </c>
    </row>
    <row r="87" spans="1:13" x14ac:dyDescent="0.3">
      <c r="A87" s="210"/>
      <c r="B87" s="534" t="s">
        <v>40</v>
      </c>
      <c r="C87" s="534"/>
      <c r="D87" s="1">
        <f>Chicago!F15</f>
        <v>24</v>
      </c>
      <c r="E87" s="213"/>
      <c r="F87" s="210">
        <f>LosAngeles!F15</f>
        <v>26</v>
      </c>
      <c r="G87" s="534" t="s">
        <v>46</v>
      </c>
      <c r="H87" s="534"/>
      <c r="I87" s="215" t="s">
        <v>234</v>
      </c>
      <c r="J87" s="1" t="s">
        <v>154</v>
      </c>
      <c r="K87" s="211">
        <v>24</v>
      </c>
      <c r="L87" s="211">
        <f t="shared" si="4"/>
        <v>26</v>
      </c>
      <c r="M87" s="211">
        <f t="shared" si="5"/>
        <v>50</v>
      </c>
    </row>
    <row r="88" spans="1:13" x14ac:dyDescent="0.3">
      <c r="A88" s="214" t="s">
        <v>85</v>
      </c>
      <c r="B88" s="535"/>
      <c r="C88" s="535"/>
      <c r="D88" s="535"/>
      <c r="E88" s="535"/>
      <c r="F88" s="535"/>
      <c r="G88" s="535"/>
      <c r="H88" s="535"/>
      <c r="I88" s="535"/>
      <c r="J88" s="533"/>
      <c r="K88" s="533"/>
      <c r="L88" s="533"/>
      <c r="M88" s="533"/>
    </row>
    <row r="89" spans="1:13" x14ac:dyDescent="0.3">
      <c r="A89" s="210"/>
      <c r="B89" s="534" t="s">
        <v>46</v>
      </c>
      <c r="C89" s="534"/>
      <c r="D89" s="1">
        <f>LosAngeles!F16</f>
        <v>26</v>
      </c>
      <c r="E89" s="213"/>
      <c r="F89" s="210">
        <f>Miami!F16</f>
        <v>20</v>
      </c>
      <c r="G89" s="534" t="s">
        <v>36</v>
      </c>
      <c r="H89" s="534"/>
      <c r="I89" s="215" t="str">
        <f>LosAngeles!T16</f>
        <v>12-10</v>
      </c>
      <c r="J89" s="1" t="s">
        <v>155</v>
      </c>
      <c r="K89" s="211">
        <v>22</v>
      </c>
      <c r="L89" s="319">
        <f>SUM(D89+F89)-K89</f>
        <v>24</v>
      </c>
      <c r="M89" s="211">
        <f>D89+F89</f>
        <v>46</v>
      </c>
    </row>
    <row r="90" spans="1:13" x14ac:dyDescent="0.3">
      <c r="A90" s="210"/>
      <c r="B90" s="534" t="s">
        <v>43</v>
      </c>
      <c r="C90" s="534"/>
      <c r="D90" s="1">
        <f>Seattle!F16</f>
        <v>14</v>
      </c>
      <c r="E90" s="213"/>
      <c r="F90" s="210">
        <f>Houston!F16</f>
        <v>9</v>
      </c>
      <c r="G90" s="534" t="s">
        <v>44</v>
      </c>
      <c r="H90" s="534"/>
      <c r="I90" s="215" t="str">
        <f>Seattle!T16</f>
        <v>7-6</v>
      </c>
      <c r="J90" s="1" t="s">
        <v>159</v>
      </c>
      <c r="K90" s="320">
        <v>13</v>
      </c>
      <c r="L90" s="320">
        <f>SUM(D90+F90)-K90</f>
        <v>10</v>
      </c>
      <c r="M90" s="320">
        <f>D90+F90</f>
        <v>23</v>
      </c>
    </row>
    <row r="91" spans="1:13" x14ac:dyDescent="0.3">
      <c r="A91" s="210"/>
      <c r="B91" s="534" t="s">
        <v>33</v>
      </c>
      <c r="C91" s="534"/>
      <c r="D91" s="1">
        <f>NewEngland!F16</f>
        <v>17</v>
      </c>
      <c r="E91" s="213"/>
      <c r="F91" s="210">
        <f>OldGlory!F16</f>
        <v>20</v>
      </c>
      <c r="G91" s="534" t="s">
        <v>37</v>
      </c>
      <c r="H91" s="534"/>
      <c r="I91" s="215" t="str">
        <f>NewEngland!T16</f>
        <v>7-7</v>
      </c>
      <c r="J91" s="1" t="s">
        <v>160</v>
      </c>
      <c r="K91" s="211">
        <v>14</v>
      </c>
      <c r="L91" s="211">
        <f>SUM(D91+F91)-K91</f>
        <v>23</v>
      </c>
      <c r="M91" s="211">
        <f>D91+F91</f>
        <v>37</v>
      </c>
    </row>
    <row r="92" spans="1:13" x14ac:dyDescent="0.3">
      <c r="A92" s="210"/>
      <c r="B92" s="534" t="s">
        <v>70</v>
      </c>
      <c r="C92" s="534"/>
      <c r="D92" s="1">
        <f>Anthem!F16</f>
        <v>19</v>
      </c>
      <c r="E92" s="213"/>
      <c r="F92" s="210">
        <f>Chicago!F16</f>
        <v>33</v>
      </c>
      <c r="G92" s="534" t="s">
        <v>40</v>
      </c>
      <c r="H92" s="534"/>
      <c r="I92" s="215" t="str">
        <f>Anthem!T16</f>
        <v>5-28</v>
      </c>
      <c r="J92" s="1" t="s">
        <v>153</v>
      </c>
      <c r="K92" s="211">
        <v>33</v>
      </c>
      <c r="L92" s="211">
        <f>SUM(D92+F92)-K92</f>
        <v>19</v>
      </c>
      <c r="M92" s="211">
        <f>D92+F92</f>
        <v>52</v>
      </c>
    </row>
    <row r="93" spans="1:13" x14ac:dyDescent="0.3">
      <c r="A93" s="210"/>
      <c r="B93" s="534" t="s">
        <v>96</v>
      </c>
      <c r="C93" s="534"/>
      <c r="D93" s="1">
        <f>NOLA!F16</f>
        <v>28</v>
      </c>
      <c r="E93" s="213"/>
      <c r="F93" s="210">
        <f>Utah!F16</f>
        <v>31</v>
      </c>
      <c r="G93" s="534" t="s">
        <v>39</v>
      </c>
      <c r="H93" s="534"/>
      <c r="I93" s="215" t="str">
        <f>NOLA!T16</f>
        <v>14-31</v>
      </c>
      <c r="J93" s="1" t="s">
        <v>149</v>
      </c>
      <c r="K93" s="319">
        <v>45</v>
      </c>
      <c r="L93" s="211">
        <f>SUM(D93+F93)-K93</f>
        <v>14</v>
      </c>
      <c r="M93" s="319">
        <f>D93+F93</f>
        <v>59</v>
      </c>
    </row>
    <row r="94" spans="1:13" x14ac:dyDescent="0.3">
      <c r="A94" s="214" t="s">
        <v>86</v>
      </c>
      <c r="B94" s="535"/>
      <c r="C94" s="535"/>
      <c r="D94" s="535"/>
      <c r="E94" s="535"/>
      <c r="F94" s="535"/>
      <c r="G94" s="535"/>
      <c r="H94" s="535"/>
      <c r="I94" s="535"/>
      <c r="J94" s="533"/>
      <c r="K94" s="533"/>
      <c r="L94" s="533"/>
      <c r="M94" s="533"/>
    </row>
    <row r="95" spans="1:13" x14ac:dyDescent="0.3">
      <c r="A95" s="210"/>
      <c r="B95" s="534" t="s">
        <v>36</v>
      </c>
      <c r="C95" s="534"/>
      <c r="D95" s="1">
        <f>Miami!F17</f>
        <v>36</v>
      </c>
      <c r="E95" s="213"/>
      <c r="F95" s="210">
        <f>SanDiego!F17</f>
        <v>32</v>
      </c>
      <c r="G95" s="534" t="s">
        <v>47</v>
      </c>
      <c r="H95" s="534"/>
      <c r="I95" s="215" t="str">
        <f>Miami!T17</f>
        <v>17-12</v>
      </c>
      <c r="J95" s="1" t="s">
        <v>150</v>
      </c>
      <c r="K95" s="211">
        <v>29</v>
      </c>
      <c r="L95" s="211">
        <f>SUM(D95+F95)-K95</f>
        <v>39</v>
      </c>
      <c r="M95" s="211">
        <f>D95+F95</f>
        <v>68</v>
      </c>
    </row>
    <row r="96" spans="1:13" x14ac:dyDescent="0.3">
      <c r="A96" s="210"/>
      <c r="B96" s="534" t="s">
        <v>37</v>
      </c>
      <c r="C96" s="534"/>
      <c r="D96" s="1">
        <f>OldGlory!F17</f>
        <v>32</v>
      </c>
      <c r="E96" s="213"/>
      <c r="F96" s="210">
        <f>LosAngeles!F17</f>
        <v>43</v>
      </c>
      <c r="G96" s="534" t="s">
        <v>46</v>
      </c>
      <c r="H96" s="534"/>
      <c r="I96" s="215" t="str">
        <f>OldGlory!T17</f>
        <v>22-14</v>
      </c>
      <c r="J96" s="1" t="s">
        <v>158</v>
      </c>
      <c r="K96" s="319">
        <v>36</v>
      </c>
      <c r="L96" s="211">
        <f>SUM(D96+F96)-K96</f>
        <v>39</v>
      </c>
      <c r="M96" s="319">
        <f>D96+F96</f>
        <v>75</v>
      </c>
    </row>
    <row r="97" spans="1:13" x14ac:dyDescent="0.3">
      <c r="A97" s="210"/>
      <c r="B97" s="534" t="s">
        <v>40</v>
      </c>
      <c r="C97" s="534"/>
      <c r="D97" s="1">
        <f>Chicago!F17</f>
        <v>38</v>
      </c>
      <c r="E97" s="213"/>
      <c r="F97" s="210">
        <f>NOLA!F17</f>
        <v>17</v>
      </c>
      <c r="G97" s="534" t="s">
        <v>96</v>
      </c>
      <c r="H97" s="534"/>
      <c r="I97" s="215" t="str">
        <f>Chicago!T17</f>
        <v>14-7</v>
      </c>
      <c r="J97" s="1" t="s">
        <v>154</v>
      </c>
      <c r="K97" s="211">
        <v>21</v>
      </c>
      <c r="L97" s="211">
        <f>SUM(D97+F97)-K97</f>
        <v>34</v>
      </c>
      <c r="M97" s="211">
        <f>D97+F97</f>
        <v>55</v>
      </c>
    </row>
    <row r="98" spans="1:13" x14ac:dyDescent="0.3">
      <c r="A98" s="210"/>
      <c r="B98" s="534" t="s">
        <v>39</v>
      </c>
      <c r="C98" s="534"/>
      <c r="D98" s="1">
        <f>Utah!F17</f>
        <v>31</v>
      </c>
      <c r="E98" s="213"/>
      <c r="F98" s="210">
        <f>Anthem!F17</f>
        <v>10</v>
      </c>
      <c r="G98" s="534" t="s">
        <v>70</v>
      </c>
      <c r="H98" s="534"/>
      <c r="I98" s="215" t="str">
        <f>Utah!T17</f>
        <v>17-3</v>
      </c>
      <c r="J98" s="1" t="s">
        <v>161</v>
      </c>
      <c r="K98" s="320">
        <v>20</v>
      </c>
      <c r="L98" s="320">
        <f>SUM(D98+F98)-K98</f>
        <v>21</v>
      </c>
      <c r="M98" s="320">
        <f>D98+F98</f>
        <v>41</v>
      </c>
    </row>
    <row r="99" spans="1:13" x14ac:dyDescent="0.3">
      <c r="A99" s="210"/>
      <c r="B99" s="534" t="s">
        <v>33</v>
      </c>
      <c r="C99" s="534"/>
      <c r="D99" s="1">
        <f>NewEngland!F17</f>
        <v>37</v>
      </c>
      <c r="E99" s="213"/>
      <c r="F99" s="210">
        <f>Seattle!F17</f>
        <v>30</v>
      </c>
      <c r="G99" s="534" t="s">
        <v>43</v>
      </c>
      <c r="H99" s="534"/>
      <c r="I99" s="215" t="str">
        <f>NewEngland!T17</f>
        <v>12-15</v>
      </c>
      <c r="J99" s="1" t="s">
        <v>160</v>
      </c>
      <c r="K99" s="211">
        <v>27</v>
      </c>
      <c r="L99" s="319">
        <f>SUM(D99+F99)-K99</f>
        <v>40</v>
      </c>
      <c r="M99" s="211">
        <f>D99+F99</f>
        <v>67</v>
      </c>
    </row>
    <row r="100" spans="1:13" x14ac:dyDescent="0.3">
      <c r="A100" s="214" t="s">
        <v>87</v>
      </c>
      <c r="B100" s="535"/>
      <c r="C100" s="535"/>
      <c r="D100" s="535"/>
      <c r="E100" s="535"/>
      <c r="F100" s="535"/>
      <c r="G100" s="535"/>
      <c r="H100" s="535"/>
      <c r="I100" s="535"/>
      <c r="J100" s="533"/>
      <c r="K100" s="533"/>
      <c r="L100" s="533"/>
      <c r="M100" s="533"/>
    </row>
    <row r="101" spans="1:13" x14ac:dyDescent="0.3">
      <c r="A101" s="210"/>
      <c r="B101" s="534" t="s">
        <v>40</v>
      </c>
      <c r="C101" s="534"/>
      <c r="D101" s="1">
        <f>Chicago!F18</f>
        <v>15</v>
      </c>
      <c r="E101" s="213"/>
      <c r="F101" s="210">
        <f>Houston!F17</f>
        <v>12</v>
      </c>
      <c r="G101" s="534" t="s">
        <v>44</v>
      </c>
      <c r="H101" s="534"/>
      <c r="I101" s="215" t="str">
        <f>Chicago!T18</f>
        <v>12-7</v>
      </c>
      <c r="J101" s="1" t="s">
        <v>154</v>
      </c>
      <c r="K101" s="211">
        <v>19</v>
      </c>
      <c r="L101" s="320">
        <f t="shared" ref="L101:L106" si="6">SUM(D101+F101)-K101</f>
        <v>8</v>
      </c>
      <c r="M101" s="320">
        <f t="shared" ref="M101:M106" si="7">D101+F101</f>
        <v>27</v>
      </c>
    </row>
    <row r="102" spans="1:13" x14ac:dyDescent="0.3">
      <c r="A102" s="210"/>
      <c r="B102" s="534" t="s">
        <v>96</v>
      </c>
      <c r="C102" s="534"/>
      <c r="D102" s="1">
        <f>NOLA!F18</f>
        <v>17</v>
      </c>
      <c r="E102" s="213"/>
      <c r="F102" s="210">
        <f>NewEngland!F18</f>
        <v>21</v>
      </c>
      <c r="G102" s="534" t="s">
        <v>33</v>
      </c>
      <c r="H102" s="534"/>
      <c r="I102" s="215" t="str">
        <f>NOLA!T18</f>
        <v>5-14</v>
      </c>
      <c r="J102" s="1" t="s">
        <v>149</v>
      </c>
      <c r="K102" s="211">
        <v>19</v>
      </c>
      <c r="L102" s="211">
        <f t="shared" si="6"/>
        <v>19</v>
      </c>
      <c r="M102" s="211">
        <f t="shared" si="7"/>
        <v>38</v>
      </c>
    </row>
    <row r="103" spans="1:13" x14ac:dyDescent="0.3">
      <c r="A103" s="210"/>
      <c r="B103" s="534" t="s">
        <v>39</v>
      </c>
      <c r="C103" s="534"/>
      <c r="D103" s="1">
        <f>Utah!F18</f>
        <v>48</v>
      </c>
      <c r="E103" s="213"/>
      <c r="F103" s="210">
        <f>LosAngeles!F18</f>
        <v>33</v>
      </c>
      <c r="G103" s="534" t="s">
        <v>46</v>
      </c>
      <c r="H103" s="534"/>
      <c r="I103" s="215" t="str">
        <f>Utah!T18</f>
        <v>35-12</v>
      </c>
      <c r="J103" s="1" t="s">
        <v>157</v>
      </c>
      <c r="K103" s="319">
        <v>47</v>
      </c>
      <c r="L103" s="211">
        <f t="shared" si="6"/>
        <v>34</v>
      </c>
      <c r="M103" s="319">
        <f t="shared" si="7"/>
        <v>81</v>
      </c>
    </row>
    <row r="104" spans="1:13" x14ac:dyDescent="0.3">
      <c r="A104" s="210"/>
      <c r="B104" s="534" t="s">
        <v>47</v>
      </c>
      <c r="C104" s="534"/>
      <c r="D104" s="1">
        <f>SanDiego!F18</f>
        <v>50</v>
      </c>
      <c r="E104" s="213"/>
      <c r="F104" s="210">
        <f>OldGlory!F18</f>
        <v>5</v>
      </c>
      <c r="G104" s="534" t="s">
        <v>37</v>
      </c>
      <c r="H104" s="534"/>
      <c r="I104" s="215" t="str">
        <f>SanDiego!T18</f>
        <v>21-0</v>
      </c>
      <c r="J104" s="1" t="s">
        <v>152</v>
      </c>
      <c r="K104" s="211">
        <v>21</v>
      </c>
      <c r="L104" s="211">
        <f t="shared" si="6"/>
        <v>34</v>
      </c>
      <c r="M104" s="211">
        <f t="shared" si="7"/>
        <v>55</v>
      </c>
    </row>
    <row r="105" spans="1:13" x14ac:dyDescent="0.3">
      <c r="A105" s="210"/>
      <c r="B105" s="534" t="s">
        <v>44</v>
      </c>
      <c r="C105" s="534"/>
      <c r="D105" s="1">
        <f>Houston!F18</f>
        <v>26</v>
      </c>
      <c r="E105" s="213"/>
      <c r="F105" s="210">
        <f>Anthem!F18</f>
        <v>14</v>
      </c>
      <c r="G105" s="534" t="s">
        <v>70</v>
      </c>
      <c r="H105" s="534"/>
      <c r="I105" s="215" t="str">
        <f>Houston!T18</f>
        <v>7-0</v>
      </c>
      <c r="J105" s="1" t="s">
        <v>151</v>
      </c>
      <c r="K105" s="320">
        <v>7</v>
      </c>
      <c r="L105" s="211">
        <f t="shared" si="6"/>
        <v>33</v>
      </c>
      <c r="M105" s="211">
        <f t="shared" si="7"/>
        <v>40</v>
      </c>
    </row>
    <row r="106" spans="1:13" x14ac:dyDescent="0.3">
      <c r="A106" s="210"/>
      <c r="B106" s="534" t="s">
        <v>43</v>
      </c>
      <c r="C106" s="534"/>
      <c r="D106" s="1">
        <f>Seattle!F18</f>
        <v>42</v>
      </c>
      <c r="E106" s="213"/>
      <c r="F106" s="210">
        <f>Miami!F18</f>
        <v>17</v>
      </c>
      <c r="G106" s="534" t="s">
        <v>36</v>
      </c>
      <c r="H106" s="534"/>
      <c r="I106" s="215" t="str">
        <f>Seattle!T18</f>
        <v>14-10</v>
      </c>
      <c r="J106" s="1" t="s">
        <v>159</v>
      </c>
      <c r="K106" s="211">
        <v>24</v>
      </c>
      <c r="L106" s="319">
        <f t="shared" si="6"/>
        <v>35</v>
      </c>
      <c r="M106" s="211">
        <f t="shared" si="7"/>
        <v>59</v>
      </c>
    </row>
    <row r="107" spans="1:13" x14ac:dyDescent="0.3">
      <c r="A107" s="537" t="s">
        <v>88</v>
      </c>
      <c r="B107" s="537"/>
      <c r="C107" s="537"/>
      <c r="D107" s="537"/>
      <c r="E107" s="537"/>
      <c r="F107" s="537"/>
      <c r="G107" s="537"/>
      <c r="H107" s="537"/>
      <c r="I107" s="537"/>
      <c r="J107" s="533"/>
      <c r="K107" s="533"/>
      <c r="L107" s="533"/>
      <c r="M107" s="533"/>
    </row>
    <row r="108" spans="1:13" x14ac:dyDescent="0.3">
      <c r="A108" s="210"/>
      <c r="B108" s="534" t="s">
        <v>40</v>
      </c>
      <c r="C108" s="534"/>
      <c r="D108" s="1">
        <v>27</v>
      </c>
      <c r="E108" s="213"/>
      <c r="F108" s="210">
        <v>16</v>
      </c>
      <c r="G108" s="534" t="s">
        <v>37</v>
      </c>
      <c r="H108" s="534"/>
      <c r="I108" s="212" t="s">
        <v>418</v>
      </c>
      <c r="J108" s="210" t="s">
        <v>154</v>
      </c>
      <c r="K108" s="319">
        <v>26</v>
      </c>
      <c r="L108" s="320">
        <f>SUM(D108+F108)-K108</f>
        <v>17</v>
      </c>
      <c r="M108" s="211">
        <f>D108+F108</f>
        <v>43</v>
      </c>
    </row>
    <row r="109" spans="1:13" x14ac:dyDescent="0.3">
      <c r="A109" s="210"/>
      <c r="B109" s="534" t="s">
        <v>39</v>
      </c>
      <c r="C109" s="534"/>
      <c r="D109" s="1">
        <v>23</v>
      </c>
      <c r="E109" s="213"/>
      <c r="F109" s="210">
        <v>21</v>
      </c>
      <c r="G109" s="534" t="s">
        <v>43</v>
      </c>
      <c r="H109" s="534"/>
      <c r="I109" s="211" t="s">
        <v>350</v>
      </c>
      <c r="J109" s="210" t="s">
        <v>157</v>
      </c>
      <c r="K109" s="211">
        <v>17</v>
      </c>
      <c r="L109" s="319">
        <f>SUM(D109+F109)-K109</f>
        <v>27</v>
      </c>
      <c r="M109" s="211">
        <f>D109+F109</f>
        <v>44</v>
      </c>
    </row>
    <row r="110" spans="1:13" x14ac:dyDescent="0.3">
      <c r="A110" s="210"/>
      <c r="B110" s="534" t="s">
        <v>33</v>
      </c>
      <c r="C110" s="534"/>
      <c r="D110" s="1">
        <v>32</v>
      </c>
      <c r="E110" s="213"/>
      <c r="F110" s="210">
        <v>10</v>
      </c>
      <c r="G110" s="534" t="s">
        <v>36</v>
      </c>
      <c r="H110" s="534"/>
      <c r="I110" s="211" t="s">
        <v>419</v>
      </c>
      <c r="J110" s="210" t="s">
        <v>160</v>
      </c>
      <c r="K110" s="320">
        <v>15</v>
      </c>
      <c r="L110" s="319">
        <f>SUM(D110+F110)-K110</f>
        <v>27</v>
      </c>
      <c r="M110" s="320">
        <f>D110+F110</f>
        <v>42</v>
      </c>
    </row>
    <row r="111" spans="1:13" x14ac:dyDescent="0.3">
      <c r="A111" s="210"/>
      <c r="B111" s="534" t="s">
        <v>44</v>
      </c>
      <c r="C111" s="534"/>
      <c r="D111" s="1">
        <v>27</v>
      </c>
      <c r="E111" s="213"/>
      <c r="F111" s="210">
        <v>21</v>
      </c>
      <c r="G111" s="534" t="s">
        <v>46</v>
      </c>
      <c r="H111" s="534"/>
      <c r="I111" s="212" t="s">
        <v>428</v>
      </c>
      <c r="J111" s="210" t="s">
        <v>151</v>
      </c>
      <c r="K111" s="319">
        <v>26</v>
      </c>
      <c r="L111" s="211">
        <f>SUM(D111+F111)-K111</f>
        <v>22</v>
      </c>
      <c r="M111" s="319">
        <f>D111+F111</f>
        <v>48</v>
      </c>
    </row>
    <row r="112" spans="1:13" x14ac:dyDescent="0.3">
      <c r="A112" s="536" t="s">
        <v>89</v>
      </c>
      <c r="B112" s="536"/>
      <c r="C112" s="536"/>
      <c r="D112" s="536"/>
      <c r="E112" s="536"/>
      <c r="F112" s="536"/>
      <c r="G112" s="536"/>
      <c r="H112" s="536"/>
      <c r="I112" s="536"/>
      <c r="J112" s="533"/>
      <c r="K112" s="533"/>
      <c r="L112" s="533"/>
      <c r="M112" s="533"/>
    </row>
    <row r="113" spans="1:13" x14ac:dyDescent="0.3">
      <c r="A113" s="210"/>
      <c r="B113" s="534" t="s">
        <v>33</v>
      </c>
      <c r="C113" s="534"/>
      <c r="D113" s="1">
        <v>21</v>
      </c>
      <c r="E113" s="213"/>
      <c r="F113" s="210">
        <v>20</v>
      </c>
      <c r="G113" s="534" t="s">
        <v>40</v>
      </c>
      <c r="H113" s="534"/>
      <c r="I113" s="211" t="s">
        <v>429</v>
      </c>
      <c r="J113" s="1" t="s">
        <v>160</v>
      </c>
      <c r="K113" s="320">
        <v>10</v>
      </c>
      <c r="L113" s="319">
        <f>SUM(D113+F113)-K113</f>
        <v>31</v>
      </c>
      <c r="M113" s="320">
        <f>D113+F113</f>
        <v>41</v>
      </c>
    </row>
    <row r="114" spans="1:13" x14ac:dyDescent="0.3">
      <c r="A114" s="210"/>
      <c r="B114" s="534" t="s">
        <v>39</v>
      </c>
      <c r="C114" s="534"/>
      <c r="D114" s="1">
        <v>19</v>
      </c>
      <c r="E114" s="213"/>
      <c r="F114" s="210">
        <v>33</v>
      </c>
      <c r="G114" s="534" t="s">
        <v>44</v>
      </c>
      <c r="H114" s="534"/>
      <c r="I114" s="211" t="s">
        <v>431</v>
      </c>
      <c r="J114" s="1" t="s">
        <v>157</v>
      </c>
      <c r="K114" s="319">
        <v>26</v>
      </c>
      <c r="L114" s="320">
        <f>SUM(D114+F114)-K114</f>
        <v>26</v>
      </c>
      <c r="M114" s="319">
        <f>D114+F114</f>
        <v>52</v>
      </c>
    </row>
    <row r="115" spans="1:13" x14ac:dyDescent="0.3">
      <c r="A115" s="214" t="s">
        <v>90</v>
      </c>
      <c r="B115" s="535"/>
      <c r="C115" s="535"/>
      <c r="D115" s="535"/>
      <c r="E115" s="535"/>
      <c r="F115" s="535"/>
      <c r="G115" s="535"/>
      <c r="H115" s="535"/>
      <c r="I115" s="535"/>
      <c r="J115" s="530"/>
      <c r="K115" s="530"/>
      <c r="L115" s="530"/>
      <c r="M115" s="530"/>
    </row>
    <row r="116" spans="1:13" x14ac:dyDescent="0.3">
      <c r="A116" s="210"/>
      <c r="B116" s="534" t="s">
        <v>33</v>
      </c>
      <c r="C116" s="534"/>
      <c r="D116" s="1">
        <v>28</v>
      </c>
      <c r="E116" s="213"/>
      <c r="F116" s="210">
        <v>22</v>
      </c>
      <c r="G116" s="534" t="s">
        <v>44</v>
      </c>
      <c r="H116" s="534"/>
      <c r="I116" s="212" t="s">
        <v>435</v>
      </c>
      <c r="J116" s="1" t="s">
        <v>420</v>
      </c>
      <c r="K116" s="211">
        <v>23</v>
      </c>
      <c r="L116" s="211">
        <f>SUM(D116+F116)-K116</f>
        <v>27</v>
      </c>
      <c r="M116" s="211">
        <f t="shared" ref="M116" si="8">D116+F116</f>
        <v>50</v>
      </c>
    </row>
    <row r="117" spans="1:13" x14ac:dyDescent="0.3">
      <c r="B117" s="531"/>
      <c r="C117" s="531"/>
      <c r="G117" s="531"/>
      <c r="H117" s="531"/>
      <c r="I117" s="211"/>
      <c r="L117" s="211"/>
    </row>
    <row r="118" spans="1:13" x14ac:dyDescent="0.3">
      <c r="D118" s="1">
        <f>SUM(D1:D116)</f>
        <v>2748</v>
      </c>
      <c r="F118" s="210">
        <f>SUM(F1:F117)</f>
        <v>2385</v>
      </c>
      <c r="G118" s="1">
        <f>SUM(D118+F118)</f>
        <v>5133</v>
      </c>
      <c r="I118" s="211"/>
      <c r="L118" s="211"/>
    </row>
    <row r="120" spans="1:13" x14ac:dyDescent="0.3">
      <c r="A120" s="1" t="s">
        <v>52</v>
      </c>
    </row>
  </sheetData>
  <mergeCells count="227">
    <mergeCell ref="B116:C116"/>
    <mergeCell ref="G116:H116"/>
    <mergeCell ref="B117:C117"/>
    <mergeCell ref="G117:H117"/>
    <mergeCell ref="B66:C66"/>
    <mergeCell ref="G66:H66"/>
    <mergeCell ref="B67:C67"/>
    <mergeCell ref="G67:H67"/>
    <mergeCell ref="B74:C74"/>
    <mergeCell ref="G74:H74"/>
    <mergeCell ref="B113:C113"/>
    <mergeCell ref="G113:H113"/>
    <mergeCell ref="B114:C114"/>
    <mergeCell ref="G114:H114"/>
    <mergeCell ref="B115:I115"/>
    <mergeCell ref="B105:C105"/>
    <mergeCell ref="G105:H105"/>
    <mergeCell ref="B106:C106"/>
    <mergeCell ref="G106:H106"/>
    <mergeCell ref="B102:C102"/>
    <mergeCell ref="G102:H102"/>
    <mergeCell ref="B103:C103"/>
    <mergeCell ref="G103:H103"/>
    <mergeCell ref="B104:C104"/>
    <mergeCell ref="J115:M115"/>
    <mergeCell ref="B110:C110"/>
    <mergeCell ref="G110:H110"/>
    <mergeCell ref="B111:C111"/>
    <mergeCell ref="G111:H111"/>
    <mergeCell ref="A112:I112"/>
    <mergeCell ref="J112:M112"/>
    <mergeCell ref="A107:I107"/>
    <mergeCell ref="J107:M107"/>
    <mergeCell ref="B108:C108"/>
    <mergeCell ref="G108:H108"/>
    <mergeCell ref="B109:C109"/>
    <mergeCell ref="G109:H109"/>
    <mergeCell ref="G104:H104"/>
    <mergeCell ref="B100:I100"/>
    <mergeCell ref="J100:M100"/>
    <mergeCell ref="B101:C101"/>
    <mergeCell ref="G101:H101"/>
    <mergeCell ref="B97:C97"/>
    <mergeCell ref="G97:H97"/>
    <mergeCell ref="B98:C98"/>
    <mergeCell ref="G98:H98"/>
    <mergeCell ref="B99:C99"/>
    <mergeCell ref="G99:H99"/>
    <mergeCell ref="B94:I94"/>
    <mergeCell ref="J94:M94"/>
    <mergeCell ref="B95:C95"/>
    <mergeCell ref="G95:H95"/>
    <mergeCell ref="B96:C96"/>
    <mergeCell ref="G96:H96"/>
    <mergeCell ref="B92:C92"/>
    <mergeCell ref="G92:H92"/>
    <mergeCell ref="B93:C93"/>
    <mergeCell ref="G93:H93"/>
    <mergeCell ref="B89:C89"/>
    <mergeCell ref="G89:H89"/>
    <mergeCell ref="B90:C90"/>
    <mergeCell ref="G90:H90"/>
    <mergeCell ref="B91:C91"/>
    <mergeCell ref="G91:H91"/>
    <mergeCell ref="B85:C85"/>
    <mergeCell ref="G85:H85"/>
    <mergeCell ref="B87:C87"/>
    <mergeCell ref="G87:H87"/>
    <mergeCell ref="B88:I88"/>
    <mergeCell ref="J88:M88"/>
    <mergeCell ref="B86:C86"/>
    <mergeCell ref="G86:H86"/>
    <mergeCell ref="B82:C82"/>
    <mergeCell ref="G82:H82"/>
    <mergeCell ref="B83:C83"/>
    <mergeCell ref="G83:H83"/>
    <mergeCell ref="B84:C84"/>
    <mergeCell ref="G84:H84"/>
    <mergeCell ref="B78:C78"/>
    <mergeCell ref="G78:H78"/>
    <mergeCell ref="B80:C80"/>
    <mergeCell ref="G80:H80"/>
    <mergeCell ref="B81:I81"/>
    <mergeCell ref="J81:M81"/>
    <mergeCell ref="B79:C79"/>
    <mergeCell ref="G79:H79"/>
    <mergeCell ref="B75:I75"/>
    <mergeCell ref="J75:M75"/>
    <mergeCell ref="B76:C76"/>
    <mergeCell ref="G76:H76"/>
    <mergeCell ref="B77:C77"/>
    <mergeCell ref="G77:H77"/>
    <mergeCell ref="B71:C71"/>
    <mergeCell ref="G71:H71"/>
    <mergeCell ref="B72:C72"/>
    <mergeCell ref="G72:H72"/>
    <mergeCell ref="B73:C73"/>
    <mergeCell ref="G73:H73"/>
    <mergeCell ref="B68:I68"/>
    <mergeCell ref="J68:M68"/>
    <mergeCell ref="B69:C69"/>
    <mergeCell ref="G69:H69"/>
    <mergeCell ref="B70:C70"/>
    <mergeCell ref="G70:H70"/>
    <mergeCell ref="B63:C63"/>
    <mergeCell ref="G63:H63"/>
    <mergeCell ref="B64:C64"/>
    <mergeCell ref="G64:H64"/>
    <mergeCell ref="B65:C65"/>
    <mergeCell ref="G65:H65"/>
    <mergeCell ref="B60:I60"/>
    <mergeCell ref="J60:M60"/>
    <mergeCell ref="B61:C61"/>
    <mergeCell ref="G61:H61"/>
    <mergeCell ref="B62:C62"/>
    <mergeCell ref="G62:H62"/>
    <mergeCell ref="B57:C57"/>
    <mergeCell ref="G57:H57"/>
    <mergeCell ref="B58:C58"/>
    <mergeCell ref="G58:H58"/>
    <mergeCell ref="B59:C59"/>
    <mergeCell ref="G59:H59"/>
    <mergeCell ref="B54:I54"/>
    <mergeCell ref="J54:M54"/>
    <mergeCell ref="B55:C55"/>
    <mergeCell ref="G55:H55"/>
    <mergeCell ref="B56:C56"/>
    <mergeCell ref="G56:H56"/>
    <mergeCell ref="B51:C51"/>
    <mergeCell ref="G51:H51"/>
    <mergeCell ref="B52:C52"/>
    <mergeCell ref="G52:H52"/>
    <mergeCell ref="B53:C53"/>
    <mergeCell ref="G53:H53"/>
    <mergeCell ref="B48:I48"/>
    <mergeCell ref="J48:M48"/>
    <mergeCell ref="B49:C49"/>
    <mergeCell ref="G49:H49"/>
    <mergeCell ref="B50:C50"/>
    <mergeCell ref="G50:H50"/>
    <mergeCell ref="B45:C45"/>
    <mergeCell ref="G45:H45"/>
    <mergeCell ref="B46:C46"/>
    <mergeCell ref="G46:H46"/>
    <mergeCell ref="B47:C47"/>
    <mergeCell ref="G47:H47"/>
    <mergeCell ref="B42:I42"/>
    <mergeCell ref="J42:M42"/>
    <mergeCell ref="B43:C43"/>
    <mergeCell ref="G43:H43"/>
    <mergeCell ref="B44:C44"/>
    <mergeCell ref="G44:H44"/>
    <mergeCell ref="B39:C39"/>
    <mergeCell ref="G39:H39"/>
    <mergeCell ref="B40:C40"/>
    <mergeCell ref="G40:H40"/>
    <mergeCell ref="B41:C41"/>
    <mergeCell ref="G41:H41"/>
    <mergeCell ref="B35:C35"/>
    <mergeCell ref="G35:H35"/>
    <mergeCell ref="B36:M36"/>
    <mergeCell ref="B37:C37"/>
    <mergeCell ref="G37:H37"/>
    <mergeCell ref="B38:C38"/>
    <mergeCell ref="G38:H38"/>
    <mergeCell ref="B32:C32"/>
    <mergeCell ref="G32:H32"/>
    <mergeCell ref="B33:C33"/>
    <mergeCell ref="G33:H33"/>
    <mergeCell ref="B34:C34"/>
    <mergeCell ref="G34:H34"/>
    <mergeCell ref="B28:C28"/>
    <mergeCell ref="G28:H28"/>
    <mergeCell ref="B29:C29"/>
    <mergeCell ref="G29:H29"/>
    <mergeCell ref="B30:M30"/>
    <mergeCell ref="B31:C31"/>
    <mergeCell ref="G31:H31"/>
    <mergeCell ref="B25:M25"/>
    <mergeCell ref="B26:C26"/>
    <mergeCell ref="G26:H26"/>
    <mergeCell ref="B27:C27"/>
    <mergeCell ref="G27:H27"/>
    <mergeCell ref="B22:C22"/>
    <mergeCell ref="G22:H22"/>
    <mergeCell ref="B23:C23"/>
    <mergeCell ref="G23:H23"/>
    <mergeCell ref="B24:C24"/>
    <mergeCell ref="G24:H24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B14:C14"/>
    <mergeCell ref="G14:H14"/>
    <mergeCell ref="B15:C15"/>
    <mergeCell ref="G15:H15"/>
    <mergeCell ref="B11:C11"/>
    <mergeCell ref="G11:H11"/>
    <mergeCell ref="B12:C12"/>
    <mergeCell ref="G12:H12"/>
    <mergeCell ref="B19:M19"/>
    <mergeCell ref="B10:C10"/>
    <mergeCell ref="G10:H10"/>
    <mergeCell ref="B5:C5"/>
    <mergeCell ref="G5:H5"/>
    <mergeCell ref="B6:C6"/>
    <mergeCell ref="G6:H6"/>
    <mergeCell ref="B7:C7"/>
    <mergeCell ref="G7:H7"/>
    <mergeCell ref="B13:M13"/>
    <mergeCell ref="B1:C1"/>
    <mergeCell ref="G1:H1"/>
    <mergeCell ref="B2:M2"/>
    <mergeCell ref="B3:C3"/>
    <mergeCell ref="G3:H3"/>
    <mergeCell ref="B4:C4"/>
    <mergeCell ref="G4:H4"/>
    <mergeCell ref="B8:M8"/>
    <mergeCell ref="B9:C9"/>
    <mergeCell ref="G9:H9"/>
  </mergeCells>
  <pageMargins left="0.7" right="0.7" top="0.75" bottom="0.75" header="0.3" footer="0.3"/>
  <ignoredErrors>
    <ignoredError sqref="I82 I86:I87" twoDigitTextYear="1"/>
    <ignoredError sqref="L86 L7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E8A4-7EB8-744E-A98D-4C5CCDF13B84}">
  <dimension ref="A1:I28"/>
  <sheetViews>
    <sheetView workbookViewId="0"/>
  </sheetViews>
  <sheetFormatPr defaultColWidth="11.44140625" defaultRowHeight="16.3" x14ac:dyDescent="0.3"/>
  <cols>
    <col min="1" max="1" width="10.77734375" style="1"/>
    <col min="2" max="2" width="17.77734375" style="1" customWidth="1"/>
    <col min="3" max="3" width="4.77734375" style="1" customWidth="1"/>
    <col min="4" max="4" width="17.77734375" style="1" customWidth="1"/>
    <col min="5" max="5" width="3.77734375" style="1" customWidth="1"/>
    <col min="6" max="6" width="17.77734375" style="1" customWidth="1"/>
    <col min="7" max="7" width="5.33203125" style="1" customWidth="1"/>
    <col min="8" max="8" width="20.77734375" style="1" customWidth="1"/>
    <col min="9" max="9" width="5.109375" style="1" customWidth="1"/>
  </cols>
  <sheetData>
    <row r="1" spans="2:9" ht="17" thickBot="1" x14ac:dyDescent="0.35">
      <c r="B1" s="230" t="s">
        <v>414</v>
      </c>
    </row>
    <row r="2" spans="2:9" ht="17" thickBot="1" x14ac:dyDescent="0.35">
      <c r="B2" s="216" t="s">
        <v>91</v>
      </c>
      <c r="C2" s="217"/>
      <c r="D2" s="218" t="s">
        <v>92</v>
      </c>
      <c r="E2" s="218"/>
      <c r="F2" s="219" t="s">
        <v>93</v>
      </c>
      <c r="G2" s="219"/>
      <c r="H2" s="220" t="s">
        <v>94</v>
      </c>
      <c r="I2" s="220"/>
    </row>
    <row r="3" spans="2:9" ht="17" thickBot="1" x14ac:dyDescent="0.35">
      <c r="B3" s="221" t="s">
        <v>39</v>
      </c>
      <c r="C3" s="222">
        <f>Utah!J21</f>
        <v>77</v>
      </c>
      <c r="D3" s="223" t="s">
        <v>46</v>
      </c>
      <c r="E3" s="224">
        <f>LosAngeles!H20</f>
        <v>14</v>
      </c>
      <c r="F3" s="225" t="s">
        <v>33</v>
      </c>
      <c r="G3" s="226">
        <f>NewEngland!R22</f>
        <v>47</v>
      </c>
      <c r="H3" s="227" t="s">
        <v>40</v>
      </c>
      <c r="I3" s="228">
        <f>Chicago!P21</f>
        <v>5</v>
      </c>
    </row>
    <row r="4" spans="2:9" ht="17" thickBot="1" x14ac:dyDescent="0.35">
      <c r="B4" s="221" t="s">
        <v>46</v>
      </c>
      <c r="C4" s="222">
        <f>LosAngeles!J20</f>
        <v>76</v>
      </c>
      <c r="D4" s="223" t="s">
        <v>47</v>
      </c>
      <c r="E4" s="224">
        <f>SanDiego!H19</f>
        <v>12</v>
      </c>
      <c r="F4" s="225" t="s">
        <v>40</v>
      </c>
      <c r="G4" s="226">
        <f>Chicago!R21</f>
        <v>49</v>
      </c>
      <c r="H4" s="227" t="s">
        <v>33</v>
      </c>
      <c r="I4" s="228">
        <f>NewEngland!P22</f>
        <v>6</v>
      </c>
    </row>
    <row r="5" spans="2:9" ht="17" thickBot="1" x14ac:dyDescent="0.35">
      <c r="B5" s="221" t="s">
        <v>47</v>
      </c>
      <c r="C5" s="222">
        <f>SanDiego!J19</f>
        <v>74</v>
      </c>
      <c r="D5" s="223" t="s">
        <v>39</v>
      </c>
      <c r="E5" s="224">
        <f>Utah!H21</f>
        <v>12</v>
      </c>
      <c r="F5" s="225" t="s">
        <v>44</v>
      </c>
      <c r="G5" s="226">
        <f>Houston!R22</f>
        <v>53</v>
      </c>
      <c r="H5" s="227" t="s">
        <v>44</v>
      </c>
      <c r="I5" s="228">
        <f>Houston!P22</f>
        <v>6</v>
      </c>
    </row>
    <row r="6" spans="2:9" ht="17" thickBot="1" x14ac:dyDescent="0.35">
      <c r="B6" s="221" t="s">
        <v>43</v>
      </c>
      <c r="C6" s="222">
        <f>Seattle!J20</f>
        <v>67</v>
      </c>
      <c r="D6" s="223" t="s">
        <v>37</v>
      </c>
      <c r="E6" s="224">
        <f>OldGlory!H20</f>
        <v>11</v>
      </c>
      <c r="F6" s="225" t="s">
        <v>43</v>
      </c>
      <c r="G6" s="226">
        <f>Seattle!R20</f>
        <v>56</v>
      </c>
      <c r="H6" s="227" t="s">
        <v>37</v>
      </c>
      <c r="I6" s="228">
        <f>OldGlory!P20</f>
        <v>8</v>
      </c>
    </row>
    <row r="7" spans="2:9" ht="17" thickBot="1" x14ac:dyDescent="0.35">
      <c r="B7" s="221" t="s">
        <v>37</v>
      </c>
      <c r="C7" s="222">
        <f>OldGlory!J20</f>
        <v>63</v>
      </c>
      <c r="D7" s="223" t="s">
        <v>43</v>
      </c>
      <c r="E7" s="224">
        <f>Seattle!H20</f>
        <v>11</v>
      </c>
      <c r="F7" s="225" t="s">
        <v>39</v>
      </c>
      <c r="G7" s="226">
        <f>Utah!R21</f>
        <v>59</v>
      </c>
      <c r="H7" s="227" t="s">
        <v>43</v>
      </c>
      <c r="I7" s="228">
        <f>Seattle!P20</f>
        <v>8</v>
      </c>
    </row>
    <row r="8" spans="2:9" ht="17" thickBot="1" x14ac:dyDescent="0.35">
      <c r="B8" s="221" t="s">
        <v>44</v>
      </c>
      <c r="C8" s="222">
        <f>Houston!J22</f>
        <v>63</v>
      </c>
      <c r="D8" s="223" t="s">
        <v>44</v>
      </c>
      <c r="E8" s="224">
        <f>Houston!H22</f>
        <v>10</v>
      </c>
      <c r="F8" s="225" t="s">
        <v>47</v>
      </c>
      <c r="G8" s="226">
        <f>SanDiego!R19</f>
        <v>60</v>
      </c>
      <c r="H8" s="227" t="s">
        <v>96</v>
      </c>
      <c r="I8" s="228">
        <f>NOLA!P19</f>
        <v>9</v>
      </c>
    </row>
    <row r="9" spans="2:9" ht="17" thickBot="1" x14ac:dyDescent="0.35">
      <c r="B9" s="221" t="s">
        <v>33</v>
      </c>
      <c r="C9" s="222">
        <f>NewEngland!J22</f>
        <v>61</v>
      </c>
      <c r="D9" s="223" t="s">
        <v>33</v>
      </c>
      <c r="E9" s="224">
        <f>NewEngland!H22</f>
        <v>9</v>
      </c>
      <c r="F9" s="225" t="s">
        <v>36</v>
      </c>
      <c r="G9" s="226">
        <f>Miami!R20</f>
        <v>66</v>
      </c>
      <c r="H9" s="227" t="s">
        <v>47</v>
      </c>
      <c r="I9" s="228">
        <f>SanDiego!P19</f>
        <v>10</v>
      </c>
    </row>
    <row r="10" spans="2:9" ht="17" thickBot="1" x14ac:dyDescent="0.35">
      <c r="B10" s="221" t="s">
        <v>96</v>
      </c>
      <c r="C10" s="222">
        <f>NOLA!J19</f>
        <v>60</v>
      </c>
      <c r="D10" s="223" t="s">
        <v>96</v>
      </c>
      <c r="E10" s="224">
        <f>NOLA!H19</f>
        <v>8</v>
      </c>
      <c r="F10" s="225" t="s">
        <v>37</v>
      </c>
      <c r="G10" s="226">
        <f>OldGlory!R20</f>
        <v>67</v>
      </c>
      <c r="H10" s="227" t="s">
        <v>36</v>
      </c>
      <c r="I10" s="228">
        <f>Miami!P20</f>
        <v>11</v>
      </c>
    </row>
    <row r="11" spans="2:9" ht="17" thickBot="1" x14ac:dyDescent="0.35">
      <c r="B11" s="221" t="s">
        <v>40</v>
      </c>
      <c r="C11" s="222">
        <f>Chicago!J21</f>
        <v>57</v>
      </c>
      <c r="D11" s="223" t="s">
        <v>40</v>
      </c>
      <c r="E11" s="224">
        <f>Chicago!H21</f>
        <v>7</v>
      </c>
      <c r="F11" s="225" t="s">
        <v>46</v>
      </c>
      <c r="G11" s="226">
        <f>LosAngeles!R20</f>
        <v>71</v>
      </c>
      <c r="H11" s="227" t="s">
        <v>39</v>
      </c>
      <c r="I11" s="228">
        <f>Utah!P21</f>
        <v>11</v>
      </c>
    </row>
    <row r="12" spans="2:9" ht="17" thickBot="1" x14ac:dyDescent="0.35">
      <c r="B12" s="221" t="s">
        <v>36</v>
      </c>
      <c r="C12" s="222">
        <f>Miami!J20</f>
        <v>45</v>
      </c>
      <c r="D12" s="223" t="s">
        <v>36</v>
      </c>
      <c r="E12" s="224">
        <f>Miami!H20</f>
        <v>6</v>
      </c>
      <c r="F12" s="225" t="s">
        <v>96</v>
      </c>
      <c r="G12" s="226">
        <f>NOLA!R19</f>
        <v>71</v>
      </c>
      <c r="H12" s="227" t="s">
        <v>46</v>
      </c>
      <c r="I12" s="228">
        <f>LosAngeles!P20</f>
        <v>12</v>
      </c>
    </row>
    <row r="13" spans="2:9" ht="17" thickBot="1" x14ac:dyDescent="0.35">
      <c r="B13" s="221" t="s">
        <v>70</v>
      </c>
      <c r="C13" s="222">
        <f>Anthem!J19</f>
        <v>42</v>
      </c>
      <c r="D13" s="223" t="s">
        <v>70</v>
      </c>
      <c r="E13" s="224">
        <f>Anthem!H19</f>
        <v>2</v>
      </c>
      <c r="F13" s="225" t="s">
        <v>70</v>
      </c>
      <c r="G13" s="226">
        <f>Anthem!R19</f>
        <v>86</v>
      </c>
      <c r="H13" s="227" t="s">
        <v>70</v>
      </c>
      <c r="I13" s="228">
        <f>Anthem!P19</f>
        <v>16</v>
      </c>
    </row>
    <row r="15" spans="2:9" x14ac:dyDescent="0.3">
      <c r="B15" s="229" t="s">
        <v>95</v>
      </c>
      <c r="C15" s="230">
        <f>SUM(C3:C13)</f>
        <v>685</v>
      </c>
      <c r="D15" s="230"/>
      <c r="E15" s="230">
        <f>SUM(E3:E13)</f>
        <v>102</v>
      </c>
      <c r="F15" s="230"/>
      <c r="G15" s="230">
        <f>SUM(G3:G13)</f>
        <v>685</v>
      </c>
      <c r="H15" s="230"/>
      <c r="I15" s="230">
        <f>SUM(I3:I13)</f>
        <v>102</v>
      </c>
    </row>
    <row r="17" spans="2:5" ht="17" thickBot="1" x14ac:dyDescent="0.35">
      <c r="B17" s="230" t="s">
        <v>415</v>
      </c>
    </row>
    <row r="18" spans="2:5" ht="17" thickBot="1" x14ac:dyDescent="0.35">
      <c r="B18" s="370" t="s">
        <v>91</v>
      </c>
      <c r="C18" s="370"/>
      <c r="D18" s="371" t="s">
        <v>93</v>
      </c>
      <c r="E18" s="372"/>
    </row>
    <row r="19" spans="2:5" ht="17" thickBot="1" x14ac:dyDescent="0.35">
      <c r="B19" s="373" t="s">
        <v>44</v>
      </c>
      <c r="C19" s="373">
        <f>Houston!J23</f>
        <v>12</v>
      </c>
      <c r="D19" s="372" t="s">
        <v>43</v>
      </c>
      <c r="E19" s="372">
        <f>Seattle!R21</f>
        <v>2</v>
      </c>
    </row>
    <row r="20" spans="2:5" ht="17" thickBot="1" x14ac:dyDescent="0.35">
      <c r="B20" s="373" t="s">
        <v>33</v>
      </c>
      <c r="C20" s="373">
        <f>NewEngland!J23</f>
        <v>10</v>
      </c>
      <c r="D20" s="372" t="s">
        <v>37</v>
      </c>
      <c r="E20" s="372">
        <f>OldGlory!R21</f>
        <v>3</v>
      </c>
    </row>
    <row r="21" spans="2:5" ht="17" thickBot="1" x14ac:dyDescent="0.35">
      <c r="B21" s="373" t="s">
        <v>40</v>
      </c>
      <c r="C21" s="373">
        <f>Chicago!J22</f>
        <v>5</v>
      </c>
      <c r="D21" s="372" t="s">
        <v>40</v>
      </c>
      <c r="E21" s="372">
        <f>Chicago!R22</f>
        <v>4</v>
      </c>
    </row>
    <row r="22" spans="2:5" ht="17" thickBot="1" x14ac:dyDescent="0.35">
      <c r="B22" s="373" t="s">
        <v>39</v>
      </c>
      <c r="C22" s="373">
        <f>Utah!J22</f>
        <v>5</v>
      </c>
      <c r="D22" s="372" t="s">
        <v>46</v>
      </c>
      <c r="E22" s="372">
        <f>LosAngeles!R21</f>
        <v>4</v>
      </c>
    </row>
    <row r="23" spans="2:5" ht="17" thickBot="1" x14ac:dyDescent="0.35">
      <c r="B23" s="373" t="s">
        <v>46</v>
      </c>
      <c r="C23" s="373">
        <f>LosAngeles!J21</f>
        <v>3</v>
      </c>
      <c r="D23" s="372" t="s">
        <v>36</v>
      </c>
      <c r="E23" s="372">
        <f>Miami!R21</f>
        <v>4</v>
      </c>
    </row>
    <row r="24" spans="2:5" ht="17" thickBot="1" x14ac:dyDescent="0.35">
      <c r="B24" s="373" t="s">
        <v>43</v>
      </c>
      <c r="C24" s="373">
        <f>Seattle!J21</f>
        <v>3</v>
      </c>
      <c r="D24" s="372" t="s">
        <v>33</v>
      </c>
      <c r="E24" s="372">
        <f>NewEngland!R23</f>
        <v>6</v>
      </c>
    </row>
    <row r="25" spans="2:5" ht="17" thickBot="1" x14ac:dyDescent="0.35">
      <c r="B25" s="373" t="s">
        <v>36</v>
      </c>
      <c r="C25" s="373">
        <f>Miami!J21</f>
        <v>1</v>
      </c>
      <c r="D25" s="372" t="s">
        <v>39</v>
      </c>
      <c r="E25" s="372">
        <f>Utah!R22</f>
        <v>8</v>
      </c>
    </row>
    <row r="26" spans="2:5" ht="17" thickBot="1" x14ac:dyDescent="0.35">
      <c r="B26" s="373" t="s">
        <v>37</v>
      </c>
      <c r="C26" s="373">
        <f>OldGlory!J21</f>
        <v>1</v>
      </c>
      <c r="D26" s="372" t="s">
        <v>44</v>
      </c>
      <c r="E26" s="372">
        <f>Houston!R23</f>
        <v>9</v>
      </c>
    </row>
    <row r="28" spans="2:5" x14ac:dyDescent="0.3">
      <c r="B28" s="230" t="s">
        <v>95</v>
      </c>
      <c r="C28" s="230">
        <f>SUM(C19:C26)</f>
        <v>40</v>
      </c>
      <c r="D28" s="230"/>
      <c r="E28" s="230">
        <f>SUM(E19:E26)</f>
        <v>40</v>
      </c>
    </row>
  </sheetData>
  <sortState xmlns:xlrd2="http://schemas.microsoft.com/office/spreadsheetml/2017/richdata2" ref="H3:I13">
    <sortCondition ref="I3:I13"/>
    <sortCondition ref="H3:H1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2F839-BBC6-F846-B33C-2214F0A074F9}">
  <dimension ref="A1:Q37"/>
  <sheetViews>
    <sheetView workbookViewId="0">
      <selection sqref="A1:B1"/>
    </sheetView>
  </sheetViews>
  <sheetFormatPr defaultColWidth="11.44140625" defaultRowHeight="16.3" x14ac:dyDescent="0.3"/>
  <cols>
    <col min="1" max="1" width="14.109375" style="47" customWidth="1"/>
    <col min="2" max="2" width="5" style="47" customWidth="1"/>
    <col min="3" max="3" width="57.33203125" style="47" bestFit="1" customWidth="1"/>
    <col min="4" max="4" width="5.109375" style="47" customWidth="1"/>
    <col min="5" max="5" width="17" style="47" bestFit="1" customWidth="1"/>
    <col min="6" max="6" width="5.33203125" style="47" customWidth="1"/>
    <col min="8" max="8" width="14.33203125" bestFit="1" customWidth="1"/>
    <col min="9" max="17" width="8.77734375"/>
  </cols>
  <sheetData>
    <row r="1" spans="1:17" ht="17" thickBot="1" x14ac:dyDescent="0.35">
      <c r="A1" s="532" t="s">
        <v>167</v>
      </c>
      <c r="B1" s="532"/>
    </row>
    <row r="2" spans="1:17" ht="17" thickBot="1" x14ac:dyDescent="0.35">
      <c r="A2" s="283"/>
      <c r="B2" s="284"/>
      <c r="C2" s="285" t="s">
        <v>162</v>
      </c>
      <c r="D2" s="542" t="s">
        <v>163</v>
      </c>
      <c r="E2" s="543"/>
      <c r="F2" s="286" t="s">
        <v>164</v>
      </c>
      <c r="H2" s="545" t="s">
        <v>84</v>
      </c>
      <c r="I2" s="539" t="s">
        <v>168</v>
      </c>
      <c r="J2" s="541"/>
      <c r="K2" s="539" t="s">
        <v>169</v>
      </c>
      <c r="L2" s="540"/>
      <c r="M2" s="540"/>
      <c r="N2" s="540"/>
      <c r="O2" s="541"/>
      <c r="P2" s="539" t="s">
        <v>170</v>
      </c>
      <c r="Q2" s="541"/>
    </row>
    <row r="3" spans="1:17" ht="32.950000000000003" customHeight="1" thickBot="1" x14ac:dyDescent="0.35">
      <c r="A3" s="322" t="s">
        <v>37</v>
      </c>
      <c r="B3" s="323">
        <f>OldGlory!N20</f>
        <v>14</v>
      </c>
      <c r="C3" s="330" t="s">
        <v>421</v>
      </c>
      <c r="D3" s="324">
        <f>OldGlory!O20</f>
        <v>0</v>
      </c>
      <c r="E3" s="325"/>
      <c r="F3" s="326">
        <f t="shared" ref="F3:F13" si="0">SUM(B3+D3*2)</f>
        <v>14</v>
      </c>
      <c r="H3" s="546"/>
      <c r="I3" s="257" t="s">
        <v>20</v>
      </c>
      <c r="J3" s="257" t="s">
        <v>21</v>
      </c>
      <c r="K3" s="258" t="s">
        <v>171</v>
      </c>
      <c r="L3" s="259" t="s">
        <v>172</v>
      </c>
      <c r="M3" s="259" t="s">
        <v>173</v>
      </c>
      <c r="N3" s="260" t="s">
        <v>174</v>
      </c>
      <c r="O3" s="261" t="s">
        <v>175</v>
      </c>
      <c r="P3" s="258" t="s">
        <v>20</v>
      </c>
      <c r="Q3" s="261" t="s">
        <v>21</v>
      </c>
    </row>
    <row r="4" spans="1:17" ht="32.950000000000003" customHeight="1" thickBot="1" x14ac:dyDescent="0.35">
      <c r="A4" s="322" t="s">
        <v>70</v>
      </c>
      <c r="B4" s="355">
        <f>Anthem!N19</f>
        <v>15</v>
      </c>
      <c r="C4" s="356" t="s">
        <v>407</v>
      </c>
      <c r="D4" s="327">
        <f>Anthem!O19</f>
        <v>0</v>
      </c>
      <c r="E4" s="328"/>
      <c r="F4" s="326">
        <f t="shared" si="0"/>
        <v>15</v>
      </c>
      <c r="H4" s="336" t="s">
        <v>70</v>
      </c>
      <c r="I4" s="337">
        <v>0</v>
      </c>
      <c r="J4" s="338">
        <v>56</v>
      </c>
      <c r="K4" s="337">
        <v>90</v>
      </c>
      <c r="L4" s="339">
        <v>10</v>
      </c>
      <c r="M4" s="340"/>
      <c r="N4" s="339"/>
      <c r="O4" s="341">
        <f>SUM(K4:N4)</f>
        <v>100</v>
      </c>
      <c r="P4" s="342">
        <f t="shared" ref="P4:P12" si="1">SUM(I4/O4)*10</f>
        <v>0</v>
      </c>
      <c r="Q4" s="343">
        <f t="shared" ref="Q4:Q12" si="2">SUM(J4/O4)*10</f>
        <v>5.6000000000000005</v>
      </c>
    </row>
    <row r="5" spans="1:17" ht="32.950000000000003" customHeight="1" thickBot="1" x14ac:dyDescent="0.35">
      <c r="A5" s="329" t="s">
        <v>33</v>
      </c>
      <c r="B5" s="323">
        <f>NewEngland!N22</f>
        <v>9</v>
      </c>
      <c r="C5" s="330" t="s">
        <v>436</v>
      </c>
      <c r="D5" s="324">
        <f>NewEngland!O22</f>
        <v>3</v>
      </c>
      <c r="E5" s="325" t="s">
        <v>365</v>
      </c>
      <c r="F5" s="326">
        <f t="shared" si="0"/>
        <v>15</v>
      </c>
      <c r="H5" s="344" t="s">
        <v>40</v>
      </c>
      <c r="I5" s="345">
        <v>53</v>
      </c>
      <c r="J5" s="346">
        <v>110</v>
      </c>
      <c r="K5" s="345">
        <v>168</v>
      </c>
      <c r="L5" s="340">
        <v>19</v>
      </c>
      <c r="M5" s="340"/>
      <c r="N5" s="340"/>
      <c r="O5" s="341">
        <f t="shared" ref="O5:O14" si="3">SUM(K5:N5)</f>
        <v>187</v>
      </c>
      <c r="P5" s="342">
        <f t="shared" si="1"/>
        <v>2.8342245989304815</v>
      </c>
      <c r="Q5" s="343">
        <f t="shared" si="2"/>
        <v>5.882352941176471</v>
      </c>
    </row>
    <row r="6" spans="1:17" ht="32.950000000000003" customHeight="1" thickBot="1" x14ac:dyDescent="0.35">
      <c r="A6" s="329" t="s">
        <v>44</v>
      </c>
      <c r="B6" s="323">
        <f>Houston!N22</f>
        <v>12</v>
      </c>
      <c r="C6" s="360" t="s">
        <v>432</v>
      </c>
      <c r="D6" s="324">
        <f>Houston!O22</f>
        <v>2</v>
      </c>
      <c r="E6" s="325" t="s">
        <v>380</v>
      </c>
      <c r="F6" s="326">
        <f t="shared" si="0"/>
        <v>16</v>
      </c>
      <c r="H6" s="344" t="s">
        <v>44</v>
      </c>
      <c r="I6" s="345">
        <v>23</v>
      </c>
      <c r="J6" s="346">
        <v>93</v>
      </c>
      <c r="K6" s="345">
        <v>119</v>
      </c>
      <c r="L6" s="340">
        <v>1</v>
      </c>
      <c r="M6" s="340"/>
      <c r="N6" s="340"/>
      <c r="O6" s="341">
        <f t="shared" si="3"/>
        <v>120</v>
      </c>
      <c r="P6" s="342">
        <f t="shared" si="1"/>
        <v>1.9166666666666667</v>
      </c>
      <c r="Q6" s="343">
        <f t="shared" si="2"/>
        <v>7.75</v>
      </c>
    </row>
    <row r="7" spans="1:17" ht="32.950000000000003" customHeight="1" thickBot="1" x14ac:dyDescent="0.35">
      <c r="A7" s="329" t="s">
        <v>39</v>
      </c>
      <c r="B7" s="323">
        <f>Utah!N21</f>
        <v>16</v>
      </c>
      <c r="C7" s="321" t="s">
        <v>422</v>
      </c>
      <c r="D7" s="324">
        <f>Utah!O21</f>
        <v>0</v>
      </c>
      <c r="E7" s="325"/>
      <c r="F7" s="326">
        <f t="shared" si="0"/>
        <v>16</v>
      </c>
      <c r="H7" s="344" t="s">
        <v>36</v>
      </c>
      <c r="I7" s="345">
        <v>49</v>
      </c>
      <c r="J7" s="346">
        <v>99</v>
      </c>
      <c r="K7" s="345">
        <v>116</v>
      </c>
      <c r="L7" s="340">
        <v>8</v>
      </c>
      <c r="M7" s="340"/>
      <c r="N7" s="340"/>
      <c r="O7" s="341">
        <f t="shared" si="3"/>
        <v>124</v>
      </c>
      <c r="P7" s="342">
        <f t="shared" si="1"/>
        <v>3.9516129032258061</v>
      </c>
      <c r="Q7" s="343">
        <f t="shared" si="2"/>
        <v>7.9838709677419351</v>
      </c>
    </row>
    <row r="8" spans="1:17" ht="32.950000000000003" customHeight="1" thickBot="1" x14ac:dyDescent="0.35">
      <c r="A8" s="329" t="s">
        <v>96</v>
      </c>
      <c r="B8" s="323">
        <f>NOLA!N19</f>
        <v>17</v>
      </c>
      <c r="C8" s="321" t="s">
        <v>387</v>
      </c>
      <c r="D8" s="324">
        <f>NOLA!O19</f>
        <v>0</v>
      </c>
      <c r="E8" s="328"/>
      <c r="F8" s="326">
        <f t="shared" si="0"/>
        <v>17</v>
      </c>
      <c r="H8" s="344" t="s">
        <v>33</v>
      </c>
      <c r="I8" s="345">
        <v>34</v>
      </c>
      <c r="J8" s="346">
        <v>60</v>
      </c>
      <c r="K8" s="345">
        <v>99</v>
      </c>
      <c r="L8" s="340">
        <v>9</v>
      </c>
      <c r="M8" s="340"/>
      <c r="N8" s="340"/>
      <c r="O8" s="341">
        <f t="shared" si="3"/>
        <v>108</v>
      </c>
      <c r="P8" s="342">
        <f t="shared" si="1"/>
        <v>3.1481481481481484</v>
      </c>
      <c r="Q8" s="343">
        <f t="shared" si="2"/>
        <v>5.5555555555555554</v>
      </c>
    </row>
    <row r="9" spans="1:17" ht="32.950000000000003" customHeight="1" thickBot="1" x14ac:dyDescent="0.35">
      <c r="A9" s="329" t="s">
        <v>36</v>
      </c>
      <c r="B9" s="331">
        <f>Miami!N20</f>
        <v>14</v>
      </c>
      <c r="C9" s="332" t="s">
        <v>410</v>
      </c>
      <c r="D9" s="324">
        <f>Miami!O20</f>
        <v>2</v>
      </c>
      <c r="E9" s="354" t="s">
        <v>289</v>
      </c>
      <c r="F9" s="326">
        <f t="shared" si="0"/>
        <v>18</v>
      </c>
      <c r="H9" s="344" t="s">
        <v>35</v>
      </c>
      <c r="I9" s="345">
        <v>22</v>
      </c>
      <c r="J9" s="346">
        <v>96</v>
      </c>
      <c r="K9" s="345">
        <v>130</v>
      </c>
      <c r="L9" s="340">
        <v>7</v>
      </c>
      <c r="M9" s="340"/>
      <c r="N9" s="340"/>
      <c r="O9" s="341">
        <f t="shared" si="3"/>
        <v>137</v>
      </c>
      <c r="P9" s="342">
        <f t="shared" si="1"/>
        <v>1.6058394160583942</v>
      </c>
      <c r="Q9" s="343">
        <f t="shared" si="2"/>
        <v>7.007299270072993</v>
      </c>
    </row>
    <row r="10" spans="1:17" ht="32.950000000000003" customHeight="1" thickBot="1" x14ac:dyDescent="0.35">
      <c r="A10" s="329" t="s">
        <v>43</v>
      </c>
      <c r="B10" s="323">
        <f>Seattle!N20</f>
        <v>12</v>
      </c>
      <c r="C10" s="330" t="s">
        <v>408</v>
      </c>
      <c r="D10" s="324">
        <f>Seattle!O20</f>
        <v>4</v>
      </c>
      <c r="E10" s="325" t="s">
        <v>409</v>
      </c>
      <c r="F10" s="326">
        <f t="shared" si="0"/>
        <v>20</v>
      </c>
      <c r="H10" s="344" t="s">
        <v>37</v>
      </c>
      <c r="I10" s="345">
        <v>43</v>
      </c>
      <c r="J10" s="346">
        <v>60</v>
      </c>
      <c r="K10" s="345">
        <v>111</v>
      </c>
      <c r="L10" s="340">
        <v>2</v>
      </c>
      <c r="M10" s="340"/>
      <c r="N10" s="340"/>
      <c r="O10" s="341">
        <f t="shared" si="3"/>
        <v>113</v>
      </c>
      <c r="P10" s="342">
        <f t="shared" si="1"/>
        <v>3.805309734513274</v>
      </c>
      <c r="Q10" s="343">
        <f t="shared" si="2"/>
        <v>5.3097345132743365</v>
      </c>
    </row>
    <row r="11" spans="1:17" ht="32.950000000000003" customHeight="1" thickBot="1" x14ac:dyDescent="0.35">
      <c r="A11" s="329" t="s">
        <v>47</v>
      </c>
      <c r="B11" s="323">
        <f>SanDiego!N19</f>
        <v>18</v>
      </c>
      <c r="C11" s="321" t="s">
        <v>391</v>
      </c>
      <c r="D11" s="324">
        <f>SanDiego!O19</f>
        <v>2</v>
      </c>
      <c r="E11" s="325" t="s">
        <v>406</v>
      </c>
      <c r="F11" s="326">
        <f t="shared" si="0"/>
        <v>22</v>
      </c>
      <c r="H11" s="344" t="s">
        <v>46</v>
      </c>
      <c r="I11" s="345">
        <v>61</v>
      </c>
      <c r="J11" s="346">
        <v>135</v>
      </c>
      <c r="K11" s="345">
        <v>209</v>
      </c>
      <c r="L11" s="340">
        <v>25</v>
      </c>
      <c r="M11" s="340"/>
      <c r="N11" s="340"/>
      <c r="O11" s="341">
        <f t="shared" si="3"/>
        <v>234</v>
      </c>
      <c r="P11" s="342">
        <f t="shared" si="1"/>
        <v>2.6068376068376069</v>
      </c>
      <c r="Q11" s="343">
        <f t="shared" si="2"/>
        <v>5.7692307692307683</v>
      </c>
    </row>
    <row r="12" spans="1:17" ht="32.950000000000003" customHeight="1" thickBot="1" x14ac:dyDescent="0.35">
      <c r="A12" s="329" t="s">
        <v>40</v>
      </c>
      <c r="B12" s="323">
        <f>Chicago!N21</f>
        <v>18</v>
      </c>
      <c r="C12" s="330" t="s">
        <v>397</v>
      </c>
      <c r="D12" s="324">
        <f>Chicago!O21</f>
        <v>4</v>
      </c>
      <c r="E12" s="325" t="s">
        <v>347</v>
      </c>
      <c r="F12" s="326">
        <f t="shared" si="0"/>
        <v>26</v>
      </c>
      <c r="H12" s="344" t="s">
        <v>47</v>
      </c>
      <c r="I12" s="345">
        <v>45</v>
      </c>
      <c r="J12" s="346">
        <v>109</v>
      </c>
      <c r="K12" s="345">
        <v>166</v>
      </c>
      <c r="L12" s="340">
        <v>17</v>
      </c>
      <c r="M12" s="340"/>
      <c r="N12" s="340"/>
      <c r="O12" s="341">
        <f t="shared" si="3"/>
        <v>183</v>
      </c>
      <c r="P12" s="342">
        <f t="shared" si="1"/>
        <v>2.459016393442623</v>
      </c>
      <c r="Q12" s="343">
        <f t="shared" si="2"/>
        <v>5.9562841530054644</v>
      </c>
    </row>
    <row r="13" spans="1:17" ht="43.5" thickBot="1" x14ac:dyDescent="0.35">
      <c r="A13" s="329" t="s">
        <v>46</v>
      </c>
      <c r="B13" s="331">
        <f>LosAngeles!N20</f>
        <v>24</v>
      </c>
      <c r="C13" s="332" t="s">
        <v>403</v>
      </c>
      <c r="D13" s="324">
        <f>LosAngeles!O20</f>
        <v>4</v>
      </c>
      <c r="E13" s="325" t="s">
        <v>370</v>
      </c>
      <c r="F13" s="326">
        <f t="shared" si="0"/>
        <v>32</v>
      </c>
      <c r="H13" s="344" t="s">
        <v>43</v>
      </c>
      <c r="I13" s="345">
        <v>17</v>
      </c>
      <c r="J13" s="346">
        <v>88</v>
      </c>
      <c r="K13" s="345">
        <v>104</v>
      </c>
      <c r="L13" s="340">
        <v>27</v>
      </c>
      <c r="M13" s="340"/>
      <c r="N13" s="340"/>
      <c r="O13" s="341">
        <f t="shared" si="3"/>
        <v>131</v>
      </c>
      <c r="P13" s="342">
        <f t="shared" ref="P13:P14" si="4">SUM(I13/O13)*10</f>
        <v>1.2977099236641221</v>
      </c>
      <c r="Q13" s="343">
        <f t="shared" ref="Q13:Q14" si="5">SUM(J13/O13)*10</f>
        <v>6.7175572519083975</v>
      </c>
    </row>
    <row r="14" spans="1:17" ht="17" thickBot="1" x14ac:dyDescent="0.35">
      <c r="A14" s="333" t="s">
        <v>165</v>
      </c>
      <c r="B14" s="323">
        <f>SUM(B3:B13)</f>
        <v>169</v>
      </c>
      <c r="C14" s="330"/>
      <c r="D14" s="334">
        <f>SUM(D3:D13)</f>
        <v>21</v>
      </c>
      <c r="E14" s="335"/>
      <c r="F14" s="326"/>
      <c r="H14" s="344" t="s">
        <v>39</v>
      </c>
      <c r="I14" s="345">
        <v>20</v>
      </c>
      <c r="J14" s="346">
        <v>58</v>
      </c>
      <c r="K14" s="345">
        <v>87</v>
      </c>
      <c r="L14" s="340">
        <v>9</v>
      </c>
      <c r="M14" s="340"/>
      <c r="N14" s="340"/>
      <c r="O14" s="341">
        <f t="shared" si="3"/>
        <v>96</v>
      </c>
      <c r="P14" s="342">
        <f t="shared" si="4"/>
        <v>2.0833333333333335</v>
      </c>
      <c r="Q14" s="343">
        <f t="shared" si="5"/>
        <v>6.0416666666666661</v>
      </c>
    </row>
    <row r="15" spans="1:17" ht="17" thickBot="1" x14ac:dyDescent="0.35">
      <c r="H15" s="347" t="s">
        <v>176</v>
      </c>
      <c r="I15" s="348">
        <f t="shared" ref="I15:Q15" si="6">SUM(I4:I14)</f>
        <v>367</v>
      </c>
      <c r="J15" s="348">
        <f t="shared" si="6"/>
        <v>964</v>
      </c>
      <c r="K15" s="348">
        <f t="shared" si="6"/>
        <v>1399</v>
      </c>
      <c r="L15" s="348">
        <f t="shared" si="6"/>
        <v>134</v>
      </c>
      <c r="M15" s="348">
        <f t="shared" si="6"/>
        <v>0</v>
      </c>
      <c r="N15" s="348">
        <f t="shared" si="6"/>
        <v>0</v>
      </c>
      <c r="O15" s="348">
        <f t="shared" si="6"/>
        <v>1533</v>
      </c>
      <c r="P15" s="349">
        <f t="shared" si="6"/>
        <v>25.708698724820458</v>
      </c>
      <c r="Q15" s="349">
        <f t="shared" si="6"/>
        <v>69.573552088632582</v>
      </c>
    </row>
    <row r="16" spans="1:17" x14ac:dyDescent="0.3">
      <c r="A16" s="544" t="s">
        <v>166</v>
      </c>
      <c r="B16" s="544"/>
      <c r="C16" s="544"/>
    </row>
    <row r="17" spans="1:17" x14ac:dyDescent="0.3">
      <c r="H17" s="249" t="s">
        <v>177</v>
      </c>
    </row>
    <row r="18" spans="1:17" ht="17" thickBot="1" x14ac:dyDescent="0.35">
      <c r="A18" s="1" t="s">
        <v>52</v>
      </c>
      <c r="H18" s="249"/>
    </row>
    <row r="19" spans="1:17" ht="17" thickBot="1" x14ac:dyDescent="0.35">
      <c r="H19" s="249"/>
      <c r="I19" s="539" t="s">
        <v>168</v>
      </c>
      <c r="J19" s="541"/>
      <c r="K19" s="539" t="s">
        <v>178</v>
      </c>
      <c r="L19" s="540"/>
      <c r="M19" s="540"/>
      <c r="N19" s="540"/>
      <c r="O19" s="541"/>
      <c r="P19" s="539" t="s">
        <v>170</v>
      </c>
      <c r="Q19" s="541"/>
    </row>
    <row r="20" spans="1:17" ht="17" thickBot="1" x14ac:dyDescent="0.35">
      <c r="A20" s="538" t="s">
        <v>236</v>
      </c>
      <c r="B20" s="538"/>
      <c r="C20" s="538"/>
      <c r="H20" s="255" t="s">
        <v>84</v>
      </c>
      <c r="I20" s="256" t="s">
        <v>20</v>
      </c>
      <c r="J20" s="256" t="s">
        <v>21</v>
      </c>
      <c r="K20" s="258" t="s">
        <v>179</v>
      </c>
      <c r="L20" s="259" t="s">
        <v>180</v>
      </c>
      <c r="M20" s="259" t="s">
        <v>181</v>
      </c>
      <c r="N20" s="260" t="s">
        <v>182</v>
      </c>
      <c r="O20" s="261" t="s">
        <v>175</v>
      </c>
      <c r="P20" s="258" t="s">
        <v>20</v>
      </c>
      <c r="Q20" s="261" t="s">
        <v>21</v>
      </c>
    </row>
    <row r="21" spans="1:17" x14ac:dyDescent="0.3">
      <c r="A21" s="287"/>
      <c r="H21" s="262" t="s">
        <v>70</v>
      </c>
      <c r="I21" s="268">
        <v>52</v>
      </c>
      <c r="J21" s="267">
        <v>38</v>
      </c>
      <c r="K21" s="267">
        <v>92</v>
      </c>
      <c r="L21" s="267"/>
      <c r="M21" s="267"/>
      <c r="N21" s="267"/>
      <c r="O21" s="263">
        <f>SUM(K21:N21)</f>
        <v>92</v>
      </c>
      <c r="P21" s="264">
        <f>SUM(I21/O21)*10</f>
        <v>5.6521739130434776</v>
      </c>
      <c r="Q21" s="265">
        <f>SUM(J21/O21)*10</f>
        <v>4.1304347826086953</v>
      </c>
    </row>
    <row r="22" spans="1:17" x14ac:dyDescent="0.3">
      <c r="H22" s="266" t="s">
        <v>40</v>
      </c>
      <c r="I22" s="268">
        <v>65</v>
      </c>
      <c r="J22" s="267">
        <v>17</v>
      </c>
      <c r="K22" s="267">
        <v>90</v>
      </c>
      <c r="L22" s="267">
        <v>8</v>
      </c>
      <c r="M22" s="267"/>
      <c r="N22" s="267"/>
      <c r="O22" s="263">
        <f t="shared" ref="O22:O31" si="7">SUM(K22:N22)</f>
        <v>98</v>
      </c>
      <c r="P22" s="264">
        <f t="shared" ref="P22:P31" si="8">SUM(I22/O22)*10</f>
        <v>6.6326530612244898</v>
      </c>
      <c r="Q22" s="265">
        <f t="shared" ref="Q22:Q32" si="9">SUM(J22/O22)*10</f>
        <v>1.7346938775510203</v>
      </c>
    </row>
    <row r="23" spans="1:17" x14ac:dyDescent="0.3">
      <c r="H23" s="266" t="s">
        <v>44</v>
      </c>
      <c r="I23" s="268">
        <v>99</v>
      </c>
      <c r="J23" s="267">
        <v>24</v>
      </c>
      <c r="K23" s="267">
        <v>153</v>
      </c>
      <c r="L23" s="267">
        <v>15</v>
      </c>
      <c r="M23" s="267"/>
      <c r="N23" s="267"/>
      <c r="O23" s="263">
        <f t="shared" si="7"/>
        <v>168</v>
      </c>
      <c r="P23" s="264">
        <f t="shared" si="8"/>
        <v>5.8928571428571432</v>
      </c>
      <c r="Q23" s="265">
        <f t="shared" si="9"/>
        <v>1.4285714285714284</v>
      </c>
    </row>
    <row r="24" spans="1:17" x14ac:dyDescent="0.3">
      <c r="H24" s="266" t="s">
        <v>36</v>
      </c>
      <c r="I24" s="268">
        <v>71</v>
      </c>
      <c r="J24" s="267">
        <v>21</v>
      </c>
      <c r="K24" s="267">
        <v>110</v>
      </c>
      <c r="L24" s="267">
        <v>34</v>
      </c>
      <c r="M24" s="267"/>
      <c r="N24" s="267"/>
      <c r="O24" s="263">
        <f t="shared" si="7"/>
        <v>144</v>
      </c>
      <c r="P24" s="264">
        <f t="shared" si="8"/>
        <v>4.9305555555555554</v>
      </c>
      <c r="Q24" s="265">
        <f t="shared" si="9"/>
        <v>1.4583333333333335</v>
      </c>
    </row>
    <row r="25" spans="1:17" x14ac:dyDescent="0.3">
      <c r="A25" s="287"/>
      <c r="H25" s="266" t="s">
        <v>33</v>
      </c>
      <c r="I25" s="268">
        <v>94</v>
      </c>
      <c r="J25" s="267">
        <v>23</v>
      </c>
      <c r="K25" s="267">
        <v>116</v>
      </c>
      <c r="L25" s="267"/>
      <c r="M25" s="267"/>
      <c r="N25" s="267"/>
      <c r="O25" s="263">
        <f t="shared" si="7"/>
        <v>116</v>
      </c>
      <c r="P25" s="264">
        <f t="shared" si="8"/>
        <v>8.1034482758620676</v>
      </c>
      <c r="Q25" s="265">
        <f t="shared" si="9"/>
        <v>1.9827586206896552</v>
      </c>
    </row>
    <row r="26" spans="1:17" x14ac:dyDescent="0.3">
      <c r="H26" s="266" t="s">
        <v>35</v>
      </c>
      <c r="I26" s="268">
        <v>87</v>
      </c>
      <c r="J26" s="267">
        <v>26</v>
      </c>
      <c r="K26" s="267">
        <v>96</v>
      </c>
      <c r="L26" s="267">
        <v>15</v>
      </c>
      <c r="M26" s="267"/>
      <c r="N26" s="267"/>
      <c r="O26" s="263">
        <f t="shared" si="7"/>
        <v>111</v>
      </c>
      <c r="P26" s="264">
        <f t="shared" si="8"/>
        <v>7.8378378378378377</v>
      </c>
      <c r="Q26" s="265">
        <f t="shared" si="9"/>
        <v>2.3423423423423424</v>
      </c>
    </row>
    <row r="27" spans="1:17" x14ac:dyDescent="0.3">
      <c r="H27" s="266" t="s">
        <v>37</v>
      </c>
      <c r="I27" s="268">
        <v>109</v>
      </c>
      <c r="J27" s="267">
        <v>81</v>
      </c>
      <c r="K27" s="267">
        <v>162</v>
      </c>
      <c r="L27" s="267">
        <v>19</v>
      </c>
      <c r="M27" s="267"/>
      <c r="N27" s="267"/>
      <c r="O27" s="263">
        <f t="shared" si="7"/>
        <v>181</v>
      </c>
      <c r="P27" s="264">
        <f t="shared" si="8"/>
        <v>6.0220994475138125</v>
      </c>
      <c r="Q27" s="265">
        <f t="shared" si="9"/>
        <v>4.4751381215469612</v>
      </c>
    </row>
    <row r="28" spans="1:17" x14ac:dyDescent="0.3">
      <c r="A28" s="288"/>
      <c r="H28" s="266" t="s">
        <v>46</v>
      </c>
      <c r="I28" s="268">
        <v>57</v>
      </c>
      <c r="J28" s="267">
        <v>17</v>
      </c>
      <c r="K28" s="267">
        <v>107</v>
      </c>
      <c r="L28" s="267">
        <v>4</v>
      </c>
      <c r="M28" s="267"/>
      <c r="N28" s="267"/>
      <c r="O28" s="263">
        <f t="shared" si="7"/>
        <v>111</v>
      </c>
      <c r="P28" s="264">
        <f t="shared" si="8"/>
        <v>5.1351351351351351</v>
      </c>
      <c r="Q28" s="265">
        <f t="shared" si="9"/>
        <v>1.5315315315315314</v>
      </c>
    </row>
    <row r="29" spans="1:17" x14ac:dyDescent="0.3">
      <c r="A29" s="288"/>
      <c r="H29" s="266" t="s">
        <v>47</v>
      </c>
      <c r="I29" s="268">
        <v>72</v>
      </c>
      <c r="J29" s="267">
        <v>20</v>
      </c>
      <c r="K29" s="267">
        <v>95</v>
      </c>
      <c r="L29" s="267">
        <v>11</v>
      </c>
      <c r="M29" s="267"/>
      <c r="N29" s="267"/>
      <c r="O29" s="263">
        <f t="shared" si="7"/>
        <v>106</v>
      </c>
      <c r="P29" s="264">
        <f t="shared" si="8"/>
        <v>6.7924528301886786</v>
      </c>
      <c r="Q29" s="265">
        <f t="shared" si="9"/>
        <v>1.8867924528301887</v>
      </c>
    </row>
    <row r="30" spans="1:17" x14ac:dyDescent="0.3">
      <c r="A30" s="288"/>
      <c r="H30" s="266" t="s">
        <v>43</v>
      </c>
      <c r="I30" s="268">
        <v>132</v>
      </c>
      <c r="J30" s="267">
        <v>33</v>
      </c>
      <c r="K30" s="267">
        <v>181</v>
      </c>
      <c r="L30" s="267">
        <v>25</v>
      </c>
      <c r="M30" s="267"/>
      <c r="N30" s="267"/>
      <c r="O30" s="263">
        <f t="shared" si="7"/>
        <v>206</v>
      </c>
      <c r="P30" s="264">
        <f t="shared" si="8"/>
        <v>6.4077669902912628</v>
      </c>
      <c r="Q30" s="265">
        <f t="shared" si="9"/>
        <v>1.6019417475728157</v>
      </c>
    </row>
    <row r="31" spans="1:17" ht="17" thickBot="1" x14ac:dyDescent="0.35">
      <c r="A31" s="288"/>
      <c r="H31" s="266" t="s">
        <v>39</v>
      </c>
      <c r="I31" s="268">
        <v>114</v>
      </c>
      <c r="J31" s="267">
        <v>57</v>
      </c>
      <c r="K31" s="267">
        <v>165</v>
      </c>
      <c r="L31" s="267"/>
      <c r="M31" s="267"/>
      <c r="N31" s="267"/>
      <c r="O31" s="263">
        <f t="shared" si="7"/>
        <v>165</v>
      </c>
      <c r="P31" s="264">
        <f t="shared" si="8"/>
        <v>6.9090909090909092</v>
      </c>
      <c r="Q31" s="265">
        <f t="shared" si="9"/>
        <v>3.4545454545454546</v>
      </c>
    </row>
    <row r="32" spans="1:17" ht="17" thickBot="1" x14ac:dyDescent="0.35">
      <c r="A32" s="288"/>
      <c r="H32" s="269" t="s">
        <v>176</v>
      </c>
      <c r="I32" s="270">
        <f t="shared" ref="I32:O32" si="10">SUM(I21:I31)</f>
        <v>952</v>
      </c>
      <c r="J32" s="271">
        <f t="shared" si="10"/>
        <v>357</v>
      </c>
      <c r="K32" s="270">
        <f t="shared" si="10"/>
        <v>1367</v>
      </c>
      <c r="L32" s="272">
        <f t="shared" si="10"/>
        <v>131</v>
      </c>
      <c r="M32" s="272">
        <f t="shared" si="10"/>
        <v>0</v>
      </c>
      <c r="N32" s="272">
        <f t="shared" si="10"/>
        <v>0</v>
      </c>
      <c r="O32" s="271">
        <f t="shared" si="10"/>
        <v>1498</v>
      </c>
      <c r="P32" s="273">
        <f>SUM(I32/O32)*10</f>
        <v>6.3551401869158877</v>
      </c>
      <c r="Q32" s="273">
        <f t="shared" si="9"/>
        <v>2.3831775700934581</v>
      </c>
    </row>
    <row r="33" spans="1:8" x14ac:dyDescent="0.3">
      <c r="A33" s="288"/>
    </row>
    <row r="34" spans="1:8" x14ac:dyDescent="0.3">
      <c r="A34" s="288"/>
      <c r="H34" s="1" t="s">
        <v>50</v>
      </c>
    </row>
    <row r="36" spans="1:8" x14ac:dyDescent="0.3">
      <c r="A36" s="288"/>
    </row>
    <row r="37" spans="1:8" x14ac:dyDescent="0.3">
      <c r="A37" s="288"/>
    </row>
  </sheetData>
  <sortState xmlns:xlrd2="http://schemas.microsoft.com/office/spreadsheetml/2017/richdata2" ref="A3:F13">
    <sortCondition ref="F3:F13"/>
    <sortCondition ref="D3:D13"/>
    <sortCondition ref="A3:A13"/>
  </sortState>
  <mergeCells count="11">
    <mergeCell ref="A1:B1"/>
    <mergeCell ref="A20:C20"/>
    <mergeCell ref="K2:O2"/>
    <mergeCell ref="P2:Q2"/>
    <mergeCell ref="I19:J19"/>
    <mergeCell ref="K19:O19"/>
    <mergeCell ref="P19:Q19"/>
    <mergeCell ref="D2:E2"/>
    <mergeCell ref="A16:C16"/>
    <mergeCell ref="H2:H3"/>
    <mergeCell ref="I2:J2"/>
  </mergeCells>
  <pageMargins left="0.7" right="0.7" top="0.75" bottom="0.75" header="0.3" footer="0.3"/>
  <ignoredErrors>
    <ignoredError sqref="O4:O14 O21:O3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31F1-77F5-F242-9797-83F73B722DA2}">
  <dimension ref="A1:O19"/>
  <sheetViews>
    <sheetView zoomScale="120" zoomScaleNormal="120" workbookViewId="0">
      <selection sqref="A1:C1"/>
    </sheetView>
  </sheetViews>
  <sheetFormatPr defaultColWidth="11.44140625" defaultRowHeight="16.3" x14ac:dyDescent="0.3"/>
  <cols>
    <col min="1" max="1" width="4.109375" style="1" customWidth="1"/>
    <col min="2" max="2" width="6.6640625" style="1" customWidth="1"/>
    <col min="3" max="3" width="17.77734375" style="1" customWidth="1"/>
    <col min="4" max="4" width="6.109375" style="1" customWidth="1"/>
    <col min="5" max="9" width="5.109375" style="1" customWidth="1"/>
    <col min="10" max="12" width="6.77734375" style="1" customWidth="1"/>
    <col min="15" max="15" width="10.77734375" style="47"/>
  </cols>
  <sheetData>
    <row r="1" spans="1:15" x14ac:dyDescent="0.3">
      <c r="A1" s="532" t="s">
        <v>137</v>
      </c>
      <c r="B1" s="532"/>
      <c r="C1" s="532"/>
    </row>
    <row r="2" spans="1:15" x14ac:dyDescent="0.3">
      <c r="A2" s="532"/>
      <c r="B2" s="532"/>
      <c r="C2" s="230"/>
    </row>
    <row r="3" spans="1:15" x14ac:dyDescent="0.3">
      <c r="A3" s="250" t="s">
        <v>138</v>
      </c>
      <c r="B3" s="251" t="s">
        <v>139</v>
      </c>
      <c r="C3" s="252" t="s">
        <v>140</v>
      </c>
      <c r="D3" s="251" t="s">
        <v>29</v>
      </c>
      <c r="E3" s="252" t="s">
        <v>30</v>
      </c>
      <c r="F3" s="251" t="s">
        <v>26</v>
      </c>
      <c r="G3" s="251" t="s">
        <v>31</v>
      </c>
      <c r="H3" s="251" t="s">
        <v>20</v>
      </c>
      <c r="I3" s="251" t="s">
        <v>21</v>
      </c>
      <c r="J3" s="252" t="s">
        <v>141</v>
      </c>
      <c r="K3" s="251" t="s">
        <v>142</v>
      </c>
      <c r="L3" s="252" t="s">
        <v>143</v>
      </c>
    </row>
    <row r="4" spans="1:15" x14ac:dyDescent="0.3">
      <c r="A4" s="357">
        <v>1</v>
      </c>
      <c r="B4" s="357" t="s">
        <v>144</v>
      </c>
      <c r="C4" s="357" t="s">
        <v>39</v>
      </c>
      <c r="D4" s="357">
        <f>Utah!Y21</f>
        <v>16</v>
      </c>
      <c r="E4" s="357">
        <f>Utah!Z21</f>
        <v>11</v>
      </c>
      <c r="F4" s="357">
        <f>Utah!AA21</f>
        <v>0</v>
      </c>
      <c r="G4" s="357">
        <f>Utah!AB21</f>
        <v>5</v>
      </c>
      <c r="H4" s="357">
        <f>Utah!F21</f>
        <v>529</v>
      </c>
      <c r="I4" s="357">
        <f>Utah!G21</f>
        <v>443</v>
      </c>
      <c r="J4" s="358">
        <f>H4-I4</f>
        <v>86</v>
      </c>
      <c r="K4" s="357">
        <f>SUM(Utah!H21+Utah!I21)</f>
        <v>14</v>
      </c>
      <c r="L4" s="358">
        <f>SUM(E4*4+F4*2+K4)</f>
        <v>58</v>
      </c>
      <c r="O4" s="1" t="s">
        <v>146</v>
      </c>
    </row>
    <row r="5" spans="1:15" x14ac:dyDescent="0.3">
      <c r="A5" s="361">
        <v>2</v>
      </c>
      <c r="B5" s="357" t="s">
        <v>374</v>
      </c>
      <c r="C5" s="357" t="s">
        <v>44</v>
      </c>
      <c r="D5" s="357">
        <f>Houston!Y22</f>
        <v>16</v>
      </c>
      <c r="E5" s="357">
        <f>Houston!Z22</f>
        <v>10</v>
      </c>
      <c r="F5" s="357">
        <f>Houston!AA22</f>
        <v>0</v>
      </c>
      <c r="G5" s="357">
        <f>Houston!AB22</f>
        <v>6</v>
      </c>
      <c r="H5" s="357">
        <f>Houston!F22</f>
        <v>458</v>
      </c>
      <c r="I5" s="357">
        <f>Houston!G22</f>
        <v>365</v>
      </c>
      <c r="J5" s="358">
        <f>H5-I5</f>
        <v>93</v>
      </c>
      <c r="K5" s="357">
        <f>SUM(Houston!H22+Houston!I22)</f>
        <v>14</v>
      </c>
      <c r="L5" s="358">
        <f>SUM(E5*4+F5*2+K5)</f>
        <v>54</v>
      </c>
      <c r="O5" s="253" t="s">
        <v>147</v>
      </c>
    </row>
    <row r="6" spans="1:15" x14ac:dyDescent="0.3">
      <c r="A6" s="296">
        <v>3</v>
      </c>
      <c r="B6" s="296" t="s">
        <v>398</v>
      </c>
      <c r="C6" s="296" t="s">
        <v>46</v>
      </c>
      <c r="D6" s="296">
        <f>LosAngeles!Y20</f>
        <v>16</v>
      </c>
      <c r="E6" s="296">
        <f>LosAngeles!Z20</f>
        <v>8</v>
      </c>
      <c r="F6" s="296">
        <f>LosAngeles!AA20</f>
        <v>1</v>
      </c>
      <c r="G6" s="296">
        <f>LosAngeles!AB20</f>
        <v>7</v>
      </c>
      <c r="H6" s="296">
        <f>LosAngeles!F20</f>
        <v>501</v>
      </c>
      <c r="I6" s="296">
        <f>LosAngeles!G20</f>
        <v>497</v>
      </c>
      <c r="J6" s="254">
        <f>H6-I6</f>
        <v>4</v>
      </c>
      <c r="K6" s="296">
        <f>SUM(LosAngeles!H20+LosAngeles!I20)</f>
        <v>17</v>
      </c>
      <c r="L6" s="254">
        <f>SUM(E6*4+F6*2+K6)</f>
        <v>51</v>
      </c>
      <c r="O6" s="1" t="s">
        <v>144</v>
      </c>
    </row>
    <row r="7" spans="1:15" x14ac:dyDescent="0.3">
      <c r="A7" s="296">
        <v>4</v>
      </c>
      <c r="B7" s="296" t="s">
        <v>144</v>
      </c>
      <c r="C7" s="296" t="s">
        <v>43</v>
      </c>
      <c r="D7" s="296">
        <f>Seattle!Y20</f>
        <v>16</v>
      </c>
      <c r="E7" s="296">
        <f>Seattle!Z20</f>
        <v>8</v>
      </c>
      <c r="F7" s="296">
        <f>Seattle!AA20</f>
        <v>1</v>
      </c>
      <c r="G7" s="296">
        <f>Seattle!AB20</f>
        <v>7</v>
      </c>
      <c r="H7" s="296">
        <f>Seattle!F20</f>
        <v>460</v>
      </c>
      <c r="I7" s="296">
        <f>Seattle!G20</f>
        <v>422</v>
      </c>
      <c r="J7" s="254">
        <f>H7-I7</f>
        <v>38</v>
      </c>
      <c r="K7" s="296">
        <f>SUM(Seattle!H20+Seattle!I20)</f>
        <v>15</v>
      </c>
      <c r="L7" s="254">
        <f>SUM(E7*4+F7*2+K7)</f>
        <v>49</v>
      </c>
    </row>
    <row r="8" spans="1:15" x14ac:dyDescent="0.3">
      <c r="A8" s="302">
        <v>5</v>
      </c>
      <c r="B8" s="302" t="s">
        <v>144</v>
      </c>
      <c r="C8" s="302" t="s">
        <v>47</v>
      </c>
      <c r="D8" s="302">
        <f>SanDiego!Y19</f>
        <v>16</v>
      </c>
      <c r="E8" s="302">
        <f>SanDiego!Z19</f>
        <v>8</v>
      </c>
      <c r="F8" s="302">
        <f>SanDiego!AA19</f>
        <v>0</v>
      </c>
      <c r="G8" s="302">
        <f>SanDiego!AB19</f>
        <v>8</v>
      </c>
      <c r="H8" s="302">
        <f>SanDiego!F19</f>
        <v>490</v>
      </c>
      <c r="I8" s="302">
        <f>SanDiego!G19</f>
        <v>429</v>
      </c>
      <c r="J8" s="352">
        <f>H8-I8</f>
        <v>61</v>
      </c>
      <c r="K8" s="302">
        <f>SUM(SanDiego!H19+SanDiego!I19)</f>
        <v>16</v>
      </c>
      <c r="L8" s="352">
        <f>SUM(E8*4+F8*2+K8)</f>
        <v>48</v>
      </c>
    </row>
    <row r="10" spans="1:15" x14ac:dyDescent="0.3">
      <c r="A10" s="250" t="s">
        <v>138</v>
      </c>
      <c r="B10" s="251" t="s">
        <v>139</v>
      </c>
      <c r="C10" s="252" t="s">
        <v>145</v>
      </c>
      <c r="D10" s="251" t="s">
        <v>29</v>
      </c>
      <c r="E10" s="252" t="s">
        <v>30</v>
      </c>
      <c r="F10" s="251" t="s">
        <v>26</v>
      </c>
      <c r="G10" s="251" t="s">
        <v>31</v>
      </c>
      <c r="H10" s="251" t="s">
        <v>20</v>
      </c>
      <c r="I10" s="251" t="s">
        <v>21</v>
      </c>
      <c r="J10" s="252" t="s">
        <v>141</v>
      </c>
      <c r="K10" s="251" t="s">
        <v>142</v>
      </c>
      <c r="L10" s="252" t="s">
        <v>143</v>
      </c>
    </row>
    <row r="11" spans="1:15" x14ac:dyDescent="0.3">
      <c r="A11" s="357">
        <v>1</v>
      </c>
      <c r="B11" s="357" t="s">
        <v>374</v>
      </c>
      <c r="C11" s="357" t="s">
        <v>33</v>
      </c>
      <c r="D11" s="357">
        <f>NewEngland!Y22</f>
        <v>16</v>
      </c>
      <c r="E11" s="357">
        <f>NewEngland!Z22</f>
        <v>11</v>
      </c>
      <c r="F11" s="357">
        <f>NewEngland!AA22</f>
        <v>0</v>
      </c>
      <c r="G11" s="357">
        <f>NewEngland!AB22</f>
        <v>5</v>
      </c>
      <c r="H11" s="357">
        <f>NewEngland!F22</f>
        <v>425</v>
      </c>
      <c r="I11" s="357">
        <f>NewEngland!G22</f>
        <v>341</v>
      </c>
      <c r="J11" s="358">
        <f t="shared" ref="J11:J16" si="0">H11-I11</f>
        <v>84</v>
      </c>
      <c r="K11" s="357">
        <f>SUM(NewEngland!H22+NewEngland!I22)</f>
        <v>11</v>
      </c>
      <c r="L11" s="358">
        <f t="shared" ref="L11:L16" si="1">SUM(E11*4+F11*2+K11)</f>
        <v>55</v>
      </c>
    </row>
    <row r="12" spans="1:15" x14ac:dyDescent="0.3">
      <c r="A12" s="357">
        <v>2</v>
      </c>
      <c r="B12" s="357" t="s">
        <v>398</v>
      </c>
      <c r="C12" s="357" t="s">
        <v>40</v>
      </c>
      <c r="D12" s="357">
        <f>Chicago!Y21</f>
        <v>16</v>
      </c>
      <c r="E12" s="357">
        <f>Chicago!Z21</f>
        <v>11</v>
      </c>
      <c r="F12" s="357">
        <f>Chicago!AA21</f>
        <v>0</v>
      </c>
      <c r="G12" s="357">
        <f>Chicago!AB21</f>
        <v>5</v>
      </c>
      <c r="H12" s="357">
        <f>Chicago!F21</f>
        <v>422</v>
      </c>
      <c r="I12" s="357">
        <f>Chicago!G21</f>
        <v>353</v>
      </c>
      <c r="J12" s="358">
        <f t="shared" si="0"/>
        <v>69</v>
      </c>
      <c r="K12" s="357">
        <f>SUM(Chicago!H21+Chicago!I21)</f>
        <v>9</v>
      </c>
      <c r="L12" s="358">
        <f t="shared" si="1"/>
        <v>53</v>
      </c>
    </row>
    <row r="13" spans="1:15" x14ac:dyDescent="0.3">
      <c r="A13" s="296">
        <v>3</v>
      </c>
      <c r="B13" s="296" t="s">
        <v>144</v>
      </c>
      <c r="C13" s="296" t="s">
        <v>37</v>
      </c>
      <c r="D13" s="296">
        <f>OldGlory!Y20</f>
        <v>16</v>
      </c>
      <c r="E13" s="296">
        <f>OldGlory!Z20</f>
        <v>8</v>
      </c>
      <c r="F13" s="296">
        <f>OldGlory!AA20</f>
        <v>0</v>
      </c>
      <c r="G13" s="296">
        <f>OldGlory!AB20</f>
        <v>8</v>
      </c>
      <c r="H13" s="296">
        <f>OldGlory!F20</f>
        <v>438</v>
      </c>
      <c r="I13" s="296">
        <f>OldGlory!G20</f>
        <v>478</v>
      </c>
      <c r="J13" s="254">
        <f t="shared" si="0"/>
        <v>-40</v>
      </c>
      <c r="K13" s="296">
        <f>SUM(OldGlory!H20+OldGlory!I20)</f>
        <v>13</v>
      </c>
      <c r="L13" s="254">
        <f t="shared" si="1"/>
        <v>45</v>
      </c>
    </row>
    <row r="14" spans="1:15" x14ac:dyDescent="0.3">
      <c r="A14" s="296">
        <v>4</v>
      </c>
      <c r="B14" s="296" t="s">
        <v>144</v>
      </c>
      <c r="C14" s="296" t="s">
        <v>36</v>
      </c>
      <c r="D14" s="296">
        <f>Miami!Y20</f>
        <v>16</v>
      </c>
      <c r="E14" s="296">
        <f>Miami!Z20</f>
        <v>8</v>
      </c>
      <c r="F14" s="296">
        <f>Miami!AA20</f>
        <v>0</v>
      </c>
      <c r="G14" s="296">
        <f>Miami!AB20</f>
        <v>8</v>
      </c>
      <c r="H14" s="296">
        <f>Miami!F20</f>
        <v>380</v>
      </c>
      <c r="I14" s="296">
        <f>Miami!G20</f>
        <v>442</v>
      </c>
      <c r="J14" s="254">
        <f t="shared" si="0"/>
        <v>-62</v>
      </c>
      <c r="K14" s="296">
        <f>SUM(Miami!H20+Miami!I20)</f>
        <v>9</v>
      </c>
      <c r="L14" s="254">
        <f t="shared" si="1"/>
        <v>41</v>
      </c>
    </row>
    <row r="15" spans="1:15" x14ac:dyDescent="0.3">
      <c r="A15" s="302">
        <v>5</v>
      </c>
      <c r="B15" s="302" t="s">
        <v>144</v>
      </c>
      <c r="C15" s="302" t="s">
        <v>96</v>
      </c>
      <c r="D15" s="302">
        <f>NOLA!Y19</f>
        <v>16</v>
      </c>
      <c r="E15" s="302">
        <f>NOLA!Z19</f>
        <v>4</v>
      </c>
      <c r="F15" s="302">
        <f>NOLA!AA19</f>
        <v>0</v>
      </c>
      <c r="G15" s="302">
        <f>NOLA!AB19</f>
        <v>12</v>
      </c>
      <c r="H15" s="302">
        <f>NOLA!F19</f>
        <v>428</v>
      </c>
      <c r="I15" s="302">
        <f>NOLA!G19</f>
        <v>473</v>
      </c>
      <c r="J15" s="352">
        <f t="shared" si="0"/>
        <v>-45</v>
      </c>
      <c r="K15" s="302">
        <f>SUM(NOLA!H19+NOLA!I19)</f>
        <v>16</v>
      </c>
      <c r="L15" s="352">
        <f t="shared" si="1"/>
        <v>32</v>
      </c>
    </row>
    <row r="16" spans="1:15" x14ac:dyDescent="0.3">
      <c r="A16" s="353">
        <v>6</v>
      </c>
      <c r="B16" s="302" t="s">
        <v>144</v>
      </c>
      <c r="C16" s="302" t="s">
        <v>70</v>
      </c>
      <c r="D16" s="302">
        <f>Anthem!Y19</f>
        <v>16</v>
      </c>
      <c r="E16" s="302">
        <f>Anthem!Z19</f>
        <v>0</v>
      </c>
      <c r="F16" s="302">
        <f>Anthem!AA19</f>
        <v>0</v>
      </c>
      <c r="G16" s="302">
        <f>Anthem!AB19</f>
        <v>16</v>
      </c>
      <c r="H16" s="302">
        <f>Anthem!F19</f>
        <v>282</v>
      </c>
      <c r="I16" s="302">
        <f>Anthem!G19</f>
        <v>570</v>
      </c>
      <c r="J16" s="352">
        <f t="shared" si="0"/>
        <v>-288</v>
      </c>
      <c r="K16" s="302">
        <f>SUM(Anthem!H19+Anthem!I19)</f>
        <v>5</v>
      </c>
      <c r="L16" s="352">
        <f t="shared" si="1"/>
        <v>5</v>
      </c>
    </row>
    <row r="17" spans="1:9" x14ac:dyDescent="0.3">
      <c r="H17" s="1">
        <f>SUM(H1:H16)</f>
        <v>4813</v>
      </c>
      <c r="I17" s="1">
        <f>SUM(I1:I16)</f>
        <v>4813</v>
      </c>
    </row>
    <row r="19" spans="1:9" x14ac:dyDescent="0.3">
      <c r="A19" s="1" t="s">
        <v>52</v>
      </c>
    </row>
  </sheetData>
  <sortState xmlns:xlrd2="http://schemas.microsoft.com/office/spreadsheetml/2017/richdata2" ref="A11:L16">
    <sortCondition descending="1" ref="L11:L16"/>
  </sortState>
  <mergeCells count="2">
    <mergeCell ref="A1:C1"/>
    <mergeCell ref="A2:B2"/>
  </mergeCells>
  <phoneticPr fontId="4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C47A-A2C3-7048-9830-FB818F938895}">
  <dimension ref="A1:P66"/>
  <sheetViews>
    <sheetView zoomScale="110" zoomScaleNormal="110" workbookViewId="0">
      <selection sqref="A1:F1"/>
    </sheetView>
  </sheetViews>
  <sheetFormatPr defaultColWidth="11.44140625" defaultRowHeight="16.3" x14ac:dyDescent="0.3"/>
  <cols>
    <col min="1" max="1" width="6" style="210" customWidth="1"/>
    <col min="2" max="2" width="12.77734375" style="1" bestFit="1" customWidth="1"/>
    <col min="3" max="15" width="5.6640625" style="211" customWidth="1"/>
    <col min="16" max="16" width="10.77734375" style="1"/>
  </cols>
  <sheetData>
    <row r="1" spans="1:12" x14ac:dyDescent="0.3">
      <c r="A1" s="548" t="s">
        <v>189</v>
      </c>
      <c r="B1" s="548"/>
      <c r="C1" s="548"/>
      <c r="D1" s="548"/>
      <c r="E1" s="548"/>
      <c r="F1" s="548"/>
    </row>
    <row r="3" spans="1:12" x14ac:dyDescent="0.3">
      <c r="A3" s="207" t="s">
        <v>183</v>
      </c>
      <c r="B3" s="230" t="s">
        <v>184</v>
      </c>
      <c r="C3" s="206" t="s">
        <v>29</v>
      </c>
      <c r="D3" s="206" t="s">
        <v>30</v>
      </c>
      <c r="E3" s="206" t="s">
        <v>26</v>
      </c>
      <c r="F3" s="206" t="s">
        <v>31</v>
      </c>
      <c r="G3" s="206" t="s">
        <v>185</v>
      </c>
      <c r="H3" s="206" t="s">
        <v>186</v>
      </c>
      <c r="I3" s="206" t="s">
        <v>187</v>
      </c>
      <c r="J3" s="206" t="s">
        <v>22</v>
      </c>
      <c r="K3" s="206" t="s">
        <v>23</v>
      </c>
      <c r="L3" s="206" t="s">
        <v>143</v>
      </c>
    </row>
    <row r="4" spans="1:12" x14ac:dyDescent="0.3">
      <c r="A4" s="276">
        <v>1</v>
      </c>
      <c r="B4" s="277" t="s">
        <v>191</v>
      </c>
      <c r="C4" s="274">
        <f>100+SanDiego!Y19</f>
        <v>116</v>
      </c>
      <c r="D4" s="275">
        <f>64+SanDiego!Z19</f>
        <v>72</v>
      </c>
      <c r="E4" s="275">
        <f>1+SanDiego!AA19</f>
        <v>1</v>
      </c>
      <c r="F4" s="275">
        <f>35+SanDiego!AB19</f>
        <v>43</v>
      </c>
      <c r="G4" s="275">
        <f>2886+SanDiego!F19</f>
        <v>3376</v>
      </c>
      <c r="H4" s="275">
        <f>2350+SanDiego!G19</f>
        <v>2779</v>
      </c>
      <c r="I4" s="275">
        <f t="shared" ref="I4:I21" si="0">G4-H4</f>
        <v>597</v>
      </c>
      <c r="J4" s="275">
        <f>52+SanDiego!P19</f>
        <v>62</v>
      </c>
      <c r="K4" s="275">
        <f>20+SanDiego!Q19</f>
        <v>21</v>
      </c>
      <c r="L4" s="211">
        <f t="shared" ref="L4:L21" si="1">SUM(D4*4+E4*2+J4+K4)</f>
        <v>373</v>
      </c>
    </row>
    <row r="5" spans="1:12" x14ac:dyDescent="0.3">
      <c r="A5" s="276">
        <v>2</v>
      </c>
      <c r="B5" s="277" t="s">
        <v>192</v>
      </c>
      <c r="C5" s="274">
        <f>105+Seattle!Y20</f>
        <v>121</v>
      </c>
      <c r="D5" s="275">
        <f>63+Seattle!Z20</f>
        <v>71</v>
      </c>
      <c r="E5" s="275">
        <f>1+Seattle!AA20</f>
        <v>2</v>
      </c>
      <c r="F5" s="275">
        <f>41+Seattle!AB20</f>
        <v>48</v>
      </c>
      <c r="G5" s="275">
        <f>2990+Seattle!F20</f>
        <v>3450</v>
      </c>
      <c r="H5" s="275">
        <f>2581+Seattle!G20</f>
        <v>3003</v>
      </c>
      <c r="I5" s="275">
        <f t="shared" si="0"/>
        <v>447</v>
      </c>
      <c r="J5" s="275">
        <f>50+Seattle!P20</f>
        <v>58</v>
      </c>
      <c r="K5" s="275">
        <f>21+Seattle!Q20</f>
        <v>25</v>
      </c>
      <c r="L5" s="211">
        <f t="shared" si="1"/>
        <v>371</v>
      </c>
    </row>
    <row r="6" spans="1:12" x14ac:dyDescent="0.3">
      <c r="A6" s="276">
        <v>3</v>
      </c>
      <c r="B6" s="277" t="s">
        <v>193</v>
      </c>
      <c r="C6" s="274">
        <f>75+NewEngland!Y22</f>
        <v>91</v>
      </c>
      <c r="D6" s="275">
        <f>54+NewEngland!Z22</f>
        <v>65</v>
      </c>
      <c r="E6" s="275">
        <f>0+NewEngland!AA22</f>
        <v>0</v>
      </c>
      <c r="F6" s="275">
        <f>21+NewEngland!AB22</f>
        <v>26</v>
      </c>
      <c r="G6" s="275">
        <f>2136+NewEngland!F22</f>
        <v>2561</v>
      </c>
      <c r="H6" s="275">
        <f>1566+NewEngland!G22</f>
        <v>1907</v>
      </c>
      <c r="I6" s="275">
        <f t="shared" si="0"/>
        <v>654</v>
      </c>
      <c r="J6" s="275">
        <f>38+NewEngland!P22</f>
        <v>44</v>
      </c>
      <c r="K6" s="275">
        <f>8+NewEngland!Q22</f>
        <v>13</v>
      </c>
      <c r="L6" s="211">
        <f t="shared" si="1"/>
        <v>317</v>
      </c>
    </row>
    <row r="7" spans="1:12" x14ac:dyDescent="0.3">
      <c r="A7" s="276">
        <v>4</v>
      </c>
      <c r="B7" s="277" t="s">
        <v>196</v>
      </c>
      <c r="C7" s="274">
        <f>95+Utah!Y21</f>
        <v>111</v>
      </c>
      <c r="D7" s="275">
        <f>37+Utah!Z21</f>
        <v>48</v>
      </c>
      <c r="E7" s="275">
        <f>3+Utah!AA21</f>
        <v>3</v>
      </c>
      <c r="F7" s="275">
        <f>55+Utah!AB21</f>
        <v>60</v>
      </c>
      <c r="G7" s="275">
        <f>2608+Utah!F21</f>
        <v>3137</v>
      </c>
      <c r="H7" s="275">
        <f>2727+Utah!G21</f>
        <v>3170</v>
      </c>
      <c r="I7" s="275">
        <f t="shared" si="0"/>
        <v>-33</v>
      </c>
      <c r="J7" s="275">
        <f>47+Utah!P21</f>
        <v>58</v>
      </c>
      <c r="K7" s="275">
        <f>30+Utah!Q21</f>
        <v>33</v>
      </c>
      <c r="L7" s="211">
        <f t="shared" si="1"/>
        <v>289</v>
      </c>
    </row>
    <row r="8" spans="1:12" x14ac:dyDescent="0.3">
      <c r="A8" s="276">
        <v>5</v>
      </c>
      <c r="B8" s="277" t="s">
        <v>197</v>
      </c>
      <c r="C8" s="274">
        <f>96+Houston!Y22</f>
        <v>112</v>
      </c>
      <c r="D8" s="275">
        <f>43+Houston!Z22</f>
        <v>53</v>
      </c>
      <c r="E8" s="275">
        <f>0+Houston!AA22</f>
        <v>0</v>
      </c>
      <c r="F8" s="275">
        <f>53+Houston!AB22</f>
        <v>59</v>
      </c>
      <c r="G8" s="275">
        <f>2377+Houston!F22</f>
        <v>2835</v>
      </c>
      <c r="H8" s="275">
        <f>2690+Houston!G22</f>
        <v>3055</v>
      </c>
      <c r="I8" s="275">
        <f t="shared" si="0"/>
        <v>-220</v>
      </c>
      <c r="J8" s="275">
        <f>43+Houston!P22</f>
        <v>49</v>
      </c>
      <c r="K8" s="275">
        <f>15+Houston!Q22</f>
        <v>18</v>
      </c>
      <c r="L8" s="211">
        <f t="shared" si="1"/>
        <v>279</v>
      </c>
    </row>
    <row r="9" spans="1:12" x14ac:dyDescent="0.3">
      <c r="A9" s="276">
        <v>6</v>
      </c>
      <c r="B9" s="277" t="s">
        <v>194</v>
      </c>
      <c r="C9" s="274">
        <f>94+NOLA!Y19</f>
        <v>110</v>
      </c>
      <c r="D9" s="275">
        <f>46+NOLA!Z19</f>
        <v>50</v>
      </c>
      <c r="E9" s="275">
        <f>1+NOLA!AA19</f>
        <v>1</v>
      </c>
      <c r="F9" s="275">
        <f>47+NOLA!AB19</f>
        <v>59</v>
      </c>
      <c r="G9" s="275">
        <f>2310+NOLA!F19</f>
        <v>2738</v>
      </c>
      <c r="H9" s="275">
        <f>2520+NOLA!G19</f>
        <v>2993</v>
      </c>
      <c r="I9" s="275">
        <f t="shared" si="0"/>
        <v>-255</v>
      </c>
      <c r="J9" s="275">
        <f>45+NOLA!P19</f>
        <v>54</v>
      </c>
      <c r="K9" s="275">
        <f>16+NOLA!Q19</f>
        <v>16</v>
      </c>
      <c r="L9" s="211">
        <f t="shared" si="1"/>
        <v>272</v>
      </c>
    </row>
    <row r="10" spans="1:12" x14ac:dyDescent="0.3">
      <c r="A10" s="276">
        <v>7</v>
      </c>
      <c r="B10" s="278" t="s">
        <v>195</v>
      </c>
      <c r="C10" s="279">
        <v>75</v>
      </c>
      <c r="D10" s="280">
        <v>46</v>
      </c>
      <c r="E10" s="280">
        <v>0</v>
      </c>
      <c r="F10" s="280">
        <v>29</v>
      </c>
      <c r="G10" s="280">
        <v>2000</v>
      </c>
      <c r="H10" s="280">
        <v>1786</v>
      </c>
      <c r="I10" s="280">
        <f t="shared" si="0"/>
        <v>214</v>
      </c>
      <c r="J10" s="280">
        <v>41</v>
      </c>
      <c r="K10" s="280">
        <v>13</v>
      </c>
      <c r="L10" s="280">
        <f t="shared" si="1"/>
        <v>238</v>
      </c>
    </row>
    <row r="11" spans="1:12" x14ac:dyDescent="0.3">
      <c r="A11" s="276">
        <v>8</v>
      </c>
      <c r="B11" s="277" t="s">
        <v>198</v>
      </c>
      <c r="C11" s="274">
        <f>72+OldGlory!Y20</f>
        <v>88</v>
      </c>
      <c r="D11" s="275">
        <f>28+OldGlory!Z20</f>
        <v>36</v>
      </c>
      <c r="E11" s="275">
        <f>4+OldGlory!AA20</f>
        <v>4</v>
      </c>
      <c r="F11" s="275">
        <f>40+OldGlory!AB20</f>
        <v>48</v>
      </c>
      <c r="G11" s="275">
        <f>1829+OldGlory!F20</f>
        <v>2267</v>
      </c>
      <c r="H11" s="275">
        <f>2160+OldGlory!G20</f>
        <v>2638</v>
      </c>
      <c r="I11" s="275">
        <f t="shared" si="0"/>
        <v>-371</v>
      </c>
      <c r="J11" s="275">
        <f>36+OldGlory!P20</f>
        <v>44</v>
      </c>
      <c r="K11" s="275">
        <f>15+OldGlory!Q20</f>
        <v>18</v>
      </c>
      <c r="L11" s="211">
        <f t="shared" si="1"/>
        <v>214</v>
      </c>
    </row>
    <row r="12" spans="1:12" x14ac:dyDescent="0.3">
      <c r="A12" s="276">
        <v>9</v>
      </c>
      <c r="B12" s="278" t="s">
        <v>201</v>
      </c>
      <c r="C12" s="279">
        <v>70</v>
      </c>
      <c r="D12" s="280">
        <v>29</v>
      </c>
      <c r="E12" s="280">
        <v>2</v>
      </c>
      <c r="F12" s="280">
        <v>39</v>
      </c>
      <c r="G12" s="280">
        <v>1771</v>
      </c>
      <c r="H12" s="280">
        <v>1884</v>
      </c>
      <c r="I12" s="280">
        <f t="shared" si="0"/>
        <v>-113</v>
      </c>
      <c r="J12" s="280">
        <v>27</v>
      </c>
      <c r="K12" s="280">
        <v>16</v>
      </c>
      <c r="L12" s="280">
        <f t="shared" si="1"/>
        <v>163</v>
      </c>
    </row>
    <row r="13" spans="1:12" x14ac:dyDescent="0.3">
      <c r="A13" s="276">
        <v>10</v>
      </c>
      <c r="B13" s="278" t="s">
        <v>200</v>
      </c>
      <c r="C13" s="279">
        <v>56</v>
      </c>
      <c r="D13" s="280">
        <v>30</v>
      </c>
      <c r="E13" s="280">
        <v>1</v>
      </c>
      <c r="F13" s="280">
        <v>25</v>
      </c>
      <c r="G13" s="280">
        <v>1405</v>
      </c>
      <c r="H13" s="280">
        <v>1265</v>
      </c>
      <c r="I13" s="280">
        <f t="shared" si="0"/>
        <v>140</v>
      </c>
      <c r="J13" s="280">
        <v>27</v>
      </c>
      <c r="K13" s="280">
        <v>10</v>
      </c>
      <c r="L13" s="280">
        <f t="shared" si="1"/>
        <v>159</v>
      </c>
    </row>
    <row r="14" spans="1:12" x14ac:dyDescent="0.3">
      <c r="A14" s="276">
        <v>11</v>
      </c>
      <c r="B14" s="278" t="s">
        <v>199</v>
      </c>
      <c r="C14" s="279">
        <v>61</v>
      </c>
      <c r="D14" s="280">
        <v>25</v>
      </c>
      <c r="E14" s="280">
        <v>1</v>
      </c>
      <c r="F14" s="280">
        <v>35</v>
      </c>
      <c r="G14" s="280">
        <v>1457</v>
      </c>
      <c r="H14" s="280">
        <v>1421</v>
      </c>
      <c r="I14" s="280">
        <f t="shared" si="0"/>
        <v>36</v>
      </c>
      <c r="J14" s="280">
        <v>24</v>
      </c>
      <c r="K14" s="280">
        <v>9</v>
      </c>
      <c r="L14" s="280">
        <f t="shared" si="1"/>
        <v>135</v>
      </c>
    </row>
    <row r="15" spans="1:12" x14ac:dyDescent="0.3">
      <c r="A15" s="276">
        <v>12</v>
      </c>
      <c r="B15" s="277" t="s">
        <v>205</v>
      </c>
      <c r="C15" s="274">
        <f>34+Chicago!Y21</f>
        <v>50</v>
      </c>
      <c r="D15" s="275">
        <f>12+Chicago!Z21</f>
        <v>23</v>
      </c>
      <c r="E15" s="275">
        <f>1+Chicago!AA21</f>
        <v>1</v>
      </c>
      <c r="F15" s="275">
        <f>21+Chicago!AB21</f>
        <v>26</v>
      </c>
      <c r="G15" s="275">
        <f>843+Chicago!F21</f>
        <v>1265</v>
      </c>
      <c r="H15" s="275">
        <f>928+Chicago!G21</f>
        <v>1281</v>
      </c>
      <c r="I15" s="275">
        <f t="shared" si="0"/>
        <v>-16</v>
      </c>
      <c r="J15" s="275">
        <f>12+Chicago!P21</f>
        <v>17</v>
      </c>
      <c r="K15" s="275">
        <f>9+Chicago!Q21</f>
        <v>15</v>
      </c>
      <c r="L15" s="211">
        <f t="shared" si="1"/>
        <v>126</v>
      </c>
    </row>
    <row r="16" spans="1:12" x14ac:dyDescent="0.3">
      <c r="A16" s="276">
        <v>13</v>
      </c>
      <c r="B16" s="278" t="s">
        <v>202</v>
      </c>
      <c r="C16" s="279">
        <v>34</v>
      </c>
      <c r="D16" s="280">
        <v>25</v>
      </c>
      <c r="E16" s="280">
        <v>0</v>
      </c>
      <c r="F16" s="280">
        <v>9</v>
      </c>
      <c r="G16" s="280">
        <v>1036</v>
      </c>
      <c r="H16" s="280">
        <v>618</v>
      </c>
      <c r="I16" s="280">
        <f t="shared" si="0"/>
        <v>418</v>
      </c>
      <c r="J16" s="280">
        <v>20</v>
      </c>
      <c r="K16" s="280">
        <v>5</v>
      </c>
      <c r="L16" s="280">
        <f t="shared" si="1"/>
        <v>125</v>
      </c>
    </row>
    <row r="17" spans="1:12" x14ac:dyDescent="0.3">
      <c r="A17" s="276">
        <v>14</v>
      </c>
      <c r="B17" s="278" t="s">
        <v>203</v>
      </c>
      <c r="C17" s="279">
        <v>31</v>
      </c>
      <c r="D17" s="280">
        <v>17</v>
      </c>
      <c r="E17" s="280">
        <v>2</v>
      </c>
      <c r="F17" s="280">
        <v>12</v>
      </c>
      <c r="G17" s="280">
        <v>856</v>
      </c>
      <c r="H17" s="280">
        <v>802</v>
      </c>
      <c r="I17" s="280">
        <f t="shared" si="0"/>
        <v>54</v>
      </c>
      <c r="J17" s="280">
        <v>17</v>
      </c>
      <c r="K17" s="280">
        <v>3</v>
      </c>
      <c r="L17" s="280">
        <f t="shared" si="1"/>
        <v>92</v>
      </c>
    </row>
    <row r="18" spans="1:12" x14ac:dyDescent="0.3">
      <c r="A18" s="276">
        <v>15</v>
      </c>
      <c r="B18" s="277" t="s">
        <v>207</v>
      </c>
      <c r="C18" s="274">
        <f>16+LosAngeles!Y20</f>
        <v>32</v>
      </c>
      <c r="D18" s="275">
        <f>5+LosAngeles!Z20</f>
        <v>13</v>
      </c>
      <c r="E18" s="275">
        <f>1+LosAngeles!AA20</f>
        <v>2</v>
      </c>
      <c r="F18" s="275">
        <f>10+LosAngeles!AB20</f>
        <v>17</v>
      </c>
      <c r="G18" s="275">
        <f>367+LosAngeles!F20</f>
        <v>868</v>
      </c>
      <c r="H18" s="275">
        <f>473+LosAngeles!G20</f>
        <v>970</v>
      </c>
      <c r="I18" s="275">
        <f t="shared" si="0"/>
        <v>-102</v>
      </c>
      <c r="J18" s="275">
        <f>7+LosAngeles!P20</f>
        <v>19</v>
      </c>
      <c r="K18" s="275">
        <f>2+LosAngeles!Q20</f>
        <v>7</v>
      </c>
      <c r="L18" s="211">
        <f t="shared" si="1"/>
        <v>82</v>
      </c>
    </row>
    <row r="19" spans="1:12" x14ac:dyDescent="0.3">
      <c r="A19" s="276">
        <v>16</v>
      </c>
      <c r="B19" s="277" t="s">
        <v>206</v>
      </c>
      <c r="C19" s="274">
        <f>16+Miami!Y20</f>
        <v>32</v>
      </c>
      <c r="D19" s="275">
        <f>6+Miami!Z20</f>
        <v>14</v>
      </c>
      <c r="E19" s="275">
        <f>0+Miami!AA20</f>
        <v>0</v>
      </c>
      <c r="F19" s="275">
        <f>10+Miami!AB20</f>
        <v>18</v>
      </c>
      <c r="G19" s="275">
        <f>335+Miami!F20</f>
        <v>715</v>
      </c>
      <c r="H19" s="275">
        <f>389+Miami!G20</f>
        <v>831</v>
      </c>
      <c r="I19" s="275">
        <f t="shared" si="0"/>
        <v>-116</v>
      </c>
      <c r="J19" s="275">
        <f>4+Miami!P20</f>
        <v>15</v>
      </c>
      <c r="K19" s="275">
        <f>4+Miami!Q20</f>
        <v>9</v>
      </c>
      <c r="L19" s="211">
        <f t="shared" si="1"/>
        <v>80</v>
      </c>
    </row>
    <row r="20" spans="1:12" x14ac:dyDescent="0.3">
      <c r="A20" s="276">
        <v>17</v>
      </c>
      <c r="B20" s="278" t="s">
        <v>204</v>
      </c>
      <c r="C20" s="279">
        <v>50</v>
      </c>
      <c r="D20" s="280">
        <v>9</v>
      </c>
      <c r="E20" s="280">
        <v>0</v>
      </c>
      <c r="F20" s="280">
        <v>41</v>
      </c>
      <c r="G20" s="280">
        <v>1017</v>
      </c>
      <c r="H20" s="280">
        <v>1710</v>
      </c>
      <c r="I20" s="280">
        <f t="shared" si="0"/>
        <v>-693</v>
      </c>
      <c r="J20" s="280">
        <v>19</v>
      </c>
      <c r="K20" s="280">
        <v>17</v>
      </c>
      <c r="L20" s="280">
        <f t="shared" si="1"/>
        <v>72</v>
      </c>
    </row>
    <row r="21" spans="1:12" x14ac:dyDescent="0.3">
      <c r="A21" s="276">
        <v>18</v>
      </c>
      <c r="B21" s="277" t="s">
        <v>208</v>
      </c>
      <c r="C21" s="274">
        <f>16+Anthem!Y19</f>
        <v>32</v>
      </c>
      <c r="D21" s="275">
        <f>0+Anthem!Z19</f>
        <v>0</v>
      </c>
      <c r="E21" s="275">
        <f>0+Anthem!AA19</f>
        <v>0</v>
      </c>
      <c r="F21" s="275">
        <f>16+Anthem!AB19</f>
        <v>32</v>
      </c>
      <c r="G21" s="275">
        <f>323+Anthem!F19</f>
        <v>605</v>
      </c>
      <c r="H21" s="275">
        <f>676+Anthem!G19</f>
        <v>1246</v>
      </c>
      <c r="I21" s="275">
        <f t="shared" si="0"/>
        <v>-641</v>
      </c>
      <c r="J21" s="275">
        <f>6+Anthem!P19</f>
        <v>22</v>
      </c>
      <c r="K21" s="275">
        <f>1+Anthem!Q19</f>
        <v>1</v>
      </c>
      <c r="L21" s="211">
        <f t="shared" si="1"/>
        <v>23</v>
      </c>
    </row>
    <row r="25" spans="1:12" x14ac:dyDescent="0.3">
      <c r="A25" s="547" t="s">
        <v>188</v>
      </c>
      <c r="B25" s="547"/>
      <c r="C25" s="547"/>
      <c r="D25" s="547"/>
      <c r="E25" s="547"/>
    </row>
    <row r="27" spans="1:12" x14ac:dyDescent="0.3">
      <c r="A27" s="207" t="s">
        <v>183</v>
      </c>
      <c r="B27" s="230" t="s">
        <v>184</v>
      </c>
      <c r="C27" s="206" t="s">
        <v>29</v>
      </c>
      <c r="D27" s="206" t="s">
        <v>30</v>
      </c>
      <c r="E27" s="206" t="s">
        <v>26</v>
      </c>
      <c r="F27" s="206" t="s">
        <v>31</v>
      </c>
      <c r="G27" s="206" t="s">
        <v>185</v>
      </c>
      <c r="H27" s="206" t="s">
        <v>186</v>
      </c>
      <c r="I27" s="206" t="s">
        <v>187</v>
      </c>
      <c r="J27" s="206" t="s">
        <v>22</v>
      </c>
      <c r="K27" s="206" t="s">
        <v>23</v>
      </c>
      <c r="L27" s="206" t="s">
        <v>143</v>
      </c>
    </row>
    <row r="28" spans="1:12" x14ac:dyDescent="0.3">
      <c r="A28" s="276">
        <v>1</v>
      </c>
      <c r="B28" s="277" t="s">
        <v>191</v>
      </c>
      <c r="C28" s="274">
        <f>93+SanDiego!Y19</f>
        <v>109</v>
      </c>
      <c r="D28" s="275">
        <f>62+SanDiego!Z19</f>
        <v>70</v>
      </c>
      <c r="E28" s="275">
        <f>1+SanDiego!AA19</f>
        <v>1</v>
      </c>
      <c r="F28" s="275">
        <f>30+SanDiego!AB19</f>
        <v>38</v>
      </c>
      <c r="G28" s="275">
        <f>2712+SanDiego!F19</f>
        <v>3202</v>
      </c>
      <c r="H28" s="275">
        <f>2156+SanDiego!G19</f>
        <v>2585</v>
      </c>
      <c r="I28" s="275">
        <f t="shared" ref="I28:I45" si="2">G28-H28</f>
        <v>617</v>
      </c>
      <c r="J28" s="275">
        <f>51+SanDiego!P19</f>
        <v>61</v>
      </c>
      <c r="K28" s="275">
        <f>17+SanDiego!Q19</f>
        <v>18</v>
      </c>
      <c r="L28" s="211">
        <f t="shared" ref="L28:L45" si="3">SUM(D28*4+E28*2+J28+K28)</f>
        <v>361</v>
      </c>
    </row>
    <row r="29" spans="1:12" x14ac:dyDescent="0.3">
      <c r="A29" s="276">
        <v>2</v>
      </c>
      <c r="B29" s="277" t="s">
        <v>192</v>
      </c>
      <c r="C29" s="274">
        <f>93+Seattle!Y20</f>
        <v>109</v>
      </c>
      <c r="D29" s="275">
        <f>54+Seattle!Z20</f>
        <v>62</v>
      </c>
      <c r="E29" s="275">
        <f>1+Seattle!AA20</f>
        <v>2</v>
      </c>
      <c r="F29" s="275">
        <f>38+Seattle!AB20</f>
        <v>45</v>
      </c>
      <c r="G29" s="275">
        <f>2653+Seattle!F20</f>
        <v>3113</v>
      </c>
      <c r="H29" s="275">
        <f>2291+Seattle!G20</f>
        <v>2713</v>
      </c>
      <c r="I29" s="275">
        <f t="shared" si="2"/>
        <v>400</v>
      </c>
      <c r="J29" s="275">
        <f>44+Seattle!P20</f>
        <v>52</v>
      </c>
      <c r="K29" s="275">
        <f>21+Seattle!Q20</f>
        <v>25</v>
      </c>
      <c r="L29" s="211">
        <f t="shared" si="3"/>
        <v>329</v>
      </c>
    </row>
    <row r="30" spans="1:12" x14ac:dyDescent="0.3">
      <c r="A30" s="276">
        <v>3</v>
      </c>
      <c r="B30" s="277" t="s">
        <v>193</v>
      </c>
      <c r="C30" s="274">
        <f>69+NewEngland!Y22</f>
        <v>85</v>
      </c>
      <c r="D30" s="275">
        <f>49+NewEngland!Z22</f>
        <v>60</v>
      </c>
      <c r="E30" s="275">
        <f>0+NewEngland!AA22</f>
        <v>0</v>
      </c>
      <c r="F30" s="275">
        <f>20+NewEngland!AB22</f>
        <v>25</v>
      </c>
      <c r="G30" s="275">
        <f>1994+NewEngland!F22</f>
        <v>2419</v>
      </c>
      <c r="H30" s="275">
        <f>1454+NewEngland!G22</f>
        <v>1795</v>
      </c>
      <c r="I30" s="275">
        <f t="shared" si="2"/>
        <v>624</v>
      </c>
      <c r="J30" s="275">
        <f>38+NewEngland!P22</f>
        <v>44</v>
      </c>
      <c r="K30" s="275">
        <f>8+NewEngland!Q22</f>
        <v>13</v>
      </c>
      <c r="L30" s="211">
        <f t="shared" si="3"/>
        <v>297</v>
      </c>
    </row>
    <row r="31" spans="1:12" x14ac:dyDescent="0.3">
      <c r="A31" s="276">
        <v>4</v>
      </c>
      <c r="B31" s="277" t="s">
        <v>196</v>
      </c>
      <c r="C31" s="274">
        <f>93+Utah!Y21</f>
        <v>109</v>
      </c>
      <c r="D31" s="275">
        <f>37+Utah!Z21</f>
        <v>48</v>
      </c>
      <c r="E31" s="275">
        <f>3+Utah!AA21</f>
        <v>3</v>
      </c>
      <c r="F31" s="275">
        <f>53+Utah!AB21</f>
        <v>58</v>
      </c>
      <c r="G31" s="275">
        <f>2574+Utah!F21</f>
        <v>3103</v>
      </c>
      <c r="H31" s="275">
        <f>2676+Utah!G21</f>
        <v>3119</v>
      </c>
      <c r="I31" s="275">
        <f t="shared" si="2"/>
        <v>-16</v>
      </c>
      <c r="J31" s="275">
        <f>47+Utah!P21</f>
        <v>58</v>
      </c>
      <c r="K31" s="275">
        <f>29+Utah!Q21</f>
        <v>32</v>
      </c>
      <c r="L31" s="211">
        <f t="shared" si="3"/>
        <v>288</v>
      </c>
    </row>
    <row r="32" spans="1:12" x14ac:dyDescent="0.3">
      <c r="A32" s="276">
        <v>5</v>
      </c>
      <c r="B32" s="277" t="s">
        <v>197</v>
      </c>
      <c r="C32" s="274">
        <f>93+Houston!Y22</f>
        <v>109</v>
      </c>
      <c r="D32" s="275">
        <f>43+Houston!Z22</f>
        <v>53</v>
      </c>
      <c r="E32" s="275">
        <f>0+Houston!AA22</f>
        <v>0</v>
      </c>
      <c r="F32" s="275">
        <f>50+Houston!AB22</f>
        <v>56</v>
      </c>
      <c r="G32" s="275">
        <f>2302+Houston!F22</f>
        <v>2760</v>
      </c>
      <c r="H32" s="275">
        <f>2573+Houston!G22</f>
        <v>2938</v>
      </c>
      <c r="I32" s="275">
        <f t="shared" si="2"/>
        <v>-178</v>
      </c>
      <c r="J32" s="275">
        <f>41+Houston!P22</f>
        <v>47</v>
      </c>
      <c r="K32" s="275">
        <f>15+Houston!Q22</f>
        <v>18</v>
      </c>
      <c r="L32" s="211">
        <f t="shared" si="3"/>
        <v>277</v>
      </c>
    </row>
    <row r="33" spans="1:12" x14ac:dyDescent="0.3">
      <c r="A33" s="276">
        <v>6</v>
      </c>
      <c r="B33" s="277" t="s">
        <v>194</v>
      </c>
      <c r="C33" s="274">
        <f>93+NOLA!Y19</f>
        <v>109</v>
      </c>
      <c r="D33" s="275">
        <f>46+NOLA!Z19</f>
        <v>50</v>
      </c>
      <c r="E33" s="275">
        <f>1+NOLA!AA19</f>
        <v>1</v>
      </c>
      <c r="F33" s="275">
        <f>46+NOLA!AB19</f>
        <v>58</v>
      </c>
      <c r="G33" s="275">
        <f>2289+NOLA!F19</f>
        <v>2717</v>
      </c>
      <c r="H33" s="275">
        <f>2475+NOLA!G19</f>
        <v>2948</v>
      </c>
      <c r="I33" s="275">
        <f t="shared" si="2"/>
        <v>-231</v>
      </c>
      <c r="J33" s="275">
        <f>45+NOLA!P19</f>
        <v>54</v>
      </c>
      <c r="K33" s="275">
        <f>16+NOLA!Q19</f>
        <v>16</v>
      </c>
      <c r="L33" s="211">
        <f t="shared" si="3"/>
        <v>272</v>
      </c>
    </row>
    <row r="34" spans="1:12" x14ac:dyDescent="0.3">
      <c r="A34" s="276">
        <v>7</v>
      </c>
      <c r="B34" s="278" t="s">
        <v>195</v>
      </c>
      <c r="C34" s="279">
        <v>69</v>
      </c>
      <c r="D34" s="280">
        <v>43</v>
      </c>
      <c r="E34" s="280">
        <v>0</v>
      </c>
      <c r="F34" s="280">
        <v>26</v>
      </c>
      <c r="G34" s="280">
        <v>1856</v>
      </c>
      <c r="H34" s="280">
        <v>1665</v>
      </c>
      <c r="I34" s="275">
        <f t="shared" si="2"/>
        <v>191</v>
      </c>
      <c r="J34" s="280">
        <v>39</v>
      </c>
      <c r="K34" s="280">
        <v>10</v>
      </c>
      <c r="L34" s="280">
        <f t="shared" si="3"/>
        <v>221</v>
      </c>
    </row>
    <row r="35" spans="1:12" x14ac:dyDescent="0.3">
      <c r="A35" s="276">
        <v>8</v>
      </c>
      <c r="B35" s="277" t="s">
        <v>198</v>
      </c>
      <c r="C35" s="274">
        <f>69+OldGlory!Y20</f>
        <v>85</v>
      </c>
      <c r="D35" s="275">
        <f>27+OldGlory!Z20</f>
        <v>35</v>
      </c>
      <c r="E35" s="275">
        <f>4+OldGlory!AA20</f>
        <v>4</v>
      </c>
      <c r="F35" s="275">
        <f>38+OldGlory!AB20</f>
        <v>46</v>
      </c>
      <c r="G35" s="275">
        <f>1756+OldGlory!F20</f>
        <v>2194</v>
      </c>
      <c r="H35" s="275">
        <f>2069+OldGlory!G20</f>
        <v>2547</v>
      </c>
      <c r="I35" s="275">
        <f t="shared" si="2"/>
        <v>-353</v>
      </c>
      <c r="J35" s="275">
        <f>34+OldGlory!P20</f>
        <v>42</v>
      </c>
      <c r="K35" s="275">
        <f>14+OldGlory!Q20</f>
        <v>17</v>
      </c>
      <c r="L35" s="211">
        <f t="shared" si="3"/>
        <v>207</v>
      </c>
    </row>
    <row r="36" spans="1:12" x14ac:dyDescent="0.3">
      <c r="A36" s="276">
        <v>9</v>
      </c>
      <c r="B36" s="278" t="s">
        <v>201</v>
      </c>
      <c r="C36" s="279">
        <v>69</v>
      </c>
      <c r="D36" s="280">
        <v>29</v>
      </c>
      <c r="E36" s="280">
        <v>2</v>
      </c>
      <c r="F36" s="280">
        <v>38</v>
      </c>
      <c r="G36" s="280">
        <v>1754</v>
      </c>
      <c r="H36" s="280">
        <v>1854</v>
      </c>
      <c r="I36" s="275">
        <f t="shared" si="2"/>
        <v>-100</v>
      </c>
      <c r="J36" s="280">
        <v>27</v>
      </c>
      <c r="K36" s="280">
        <v>16</v>
      </c>
      <c r="L36" s="280">
        <f t="shared" si="3"/>
        <v>163</v>
      </c>
    </row>
    <row r="37" spans="1:12" x14ac:dyDescent="0.3">
      <c r="A37" s="276">
        <v>10</v>
      </c>
      <c r="B37" s="278" t="s">
        <v>200</v>
      </c>
      <c r="C37" s="279">
        <v>53</v>
      </c>
      <c r="D37" s="280">
        <v>29</v>
      </c>
      <c r="E37" s="280">
        <v>1</v>
      </c>
      <c r="F37" s="280">
        <v>23</v>
      </c>
      <c r="G37" s="280">
        <v>1359</v>
      </c>
      <c r="H37" s="280">
        <v>1199</v>
      </c>
      <c r="I37" s="275">
        <f t="shared" si="2"/>
        <v>160</v>
      </c>
      <c r="J37" s="280">
        <v>27</v>
      </c>
      <c r="K37" s="280">
        <v>9</v>
      </c>
      <c r="L37" s="280">
        <f t="shared" si="3"/>
        <v>154</v>
      </c>
    </row>
    <row r="38" spans="1:12" x14ac:dyDescent="0.3">
      <c r="A38" s="276">
        <v>11</v>
      </c>
      <c r="B38" s="278" t="s">
        <v>199</v>
      </c>
      <c r="C38" s="279">
        <v>61</v>
      </c>
      <c r="D38" s="280">
        <v>25</v>
      </c>
      <c r="E38" s="280">
        <v>1</v>
      </c>
      <c r="F38" s="280">
        <v>35</v>
      </c>
      <c r="G38" s="280">
        <v>1457</v>
      </c>
      <c r="H38" s="280">
        <v>1421</v>
      </c>
      <c r="I38" s="275">
        <f t="shared" si="2"/>
        <v>36</v>
      </c>
      <c r="J38" s="280">
        <v>24</v>
      </c>
      <c r="K38" s="280">
        <v>9</v>
      </c>
      <c r="L38" s="280">
        <f t="shared" si="3"/>
        <v>135</v>
      </c>
    </row>
    <row r="39" spans="1:12" x14ac:dyDescent="0.3">
      <c r="A39" s="276">
        <v>12</v>
      </c>
      <c r="B39" s="277" t="s">
        <v>205</v>
      </c>
      <c r="C39" s="274">
        <f>32+Chicago!Y21</f>
        <v>48</v>
      </c>
      <c r="D39" s="275">
        <f>11+Chicago!Z21</f>
        <v>22</v>
      </c>
      <c r="E39" s="275">
        <f>1+Chicago!AA21</f>
        <v>1</v>
      </c>
      <c r="F39" s="275">
        <f>20+Chicago!AB21</f>
        <v>25</v>
      </c>
      <c r="G39" s="275">
        <f>781+Chicago!F21</f>
        <v>1203</v>
      </c>
      <c r="H39" s="275">
        <f>884+Chicago!G21</f>
        <v>1237</v>
      </c>
      <c r="I39" s="275">
        <f t="shared" si="2"/>
        <v>-34</v>
      </c>
      <c r="J39" s="275">
        <f>11+Chicago!P21</f>
        <v>16</v>
      </c>
      <c r="K39" s="275">
        <f>8+Chicago!Q21</f>
        <v>14</v>
      </c>
      <c r="L39" s="211">
        <f t="shared" si="3"/>
        <v>120</v>
      </c>
    </row>
    <row r="40" spans="1:12" x14ac:dyDescent="0.3">
      <c r="A40" s="276">
        <v>13</v>
      </c>
      <c r="B40" s="278" t="s">
        <v>202</v>
      </c>
      <c r="C40" s="279">
        <v>32</v>
      </c>
      <c r="D40" s="280">
        <v>23</v>
      </c>
      <c r="E40" s="280">
        <v>0</v>
      </c>
      <c r="F40" s="280">
        <v>9</v>
      </c>
      <c r="G40" s="280">
        <v>988</v>
      </c>
      <c r="H40" s="280">
        <v>588</v>
      </c>
      <c r="I40" s="275">
        <f t="shared" si="2"/>
        <v>400</v>
      </c>
      <c r="J40" s="280">
        <v>20</v>
      </c>
      <c r="K40" s="280">
        <v>5</v>
      </c>
      <c r="L40" s="280">
        <f t="shared" si="3"/>
        <v>117</v>
      </c>
    </row>
    <row r="41" spans="1:12" x14ac:dyDescent="0.3">
      <c r="A41" s="276">
        <v>14</v>
      </c>
      <c r="B41" s="278" t="s">
        <v>203</v>
      </c>
      <c r="C41" s="279">
        <v>29</v>
      </c>
      <c r="D41" s="280">
        <v>16</v>
      </c>
      <c r="E41" s="280">
        <v>2</v>
      </c>
      <c r="F41" s="280">
        <v>11</v>
      </c>
      <c r="G41" s="280">
        <v>803</v>
      </c>
      <c r="H41" s="280">
        <v>758</v>
      </c>
      <c r="I41" s="275">
        <f t="shared" si="2"/>
        <v>45</v>
      </c>
      <c r="J41" s="280">
        <v>16</v>
      </c>
      <c r="K41" s="280">
        <v>2</v>
      </c>
      <c r="L41" s="280">
        <f t="shared" si="3"/>
        <v>86</v>
      </c>
    </row>
    <row r="42" spans="1:12" x14ac:dyDescent="0.3">
      <c r="A42" s="276">
        <v>15</v>
      </c>
      <c r="B42" s="277" t="s">
        <v>207</v>
      </c>
      <c r="C42" s="274">
        <f>16+LosAngeles!Y20</f>
        <v>32</v>
      </c>
      <c r="D42" s="275">
        <f>5+LosAngeles!Z20</f>
        <v>13</v>
      </c>
      <c r="E42" s="275">
        <f>1+LosAngeles!AA20</f>
        <v>2</v>
      </c>
      <c r="F42" s="275">
        <f>10+LosAngeles!AB20</f>
        <v>17</v>
      </c>
      <c r="G42" s="275">
        <f>367+LosAngeles!F20</f>
        <v>868</v>
      </c>
      <c r="H42" s="275">
        <f>473+Miami!G20</f>
        <v>915</v>
      </c>
      <c r="I42" s="275">
        <f t="shared" si="2"/>
        <v>-47</v>
      </c>
      <c r="J42" s="275">
        <f>7+LosAngeles!P20</f>
        <v>19</v>
      </c>
      <c r="K42" s="275">
        <f>2+LosAngeles!Q20</f>
        <v>7</v>
      </c>
      <c r="L42" s="211">
        <f t="shared" si="3"/>
        <v>82</v>
      </c>
    </row>
    <row r="43" spans="1:12" x14ac:dyDescent="0.3">
      <c r="A43" s="276">
        <v>16</v>
      </c>
      <c r="B43" s="277" t="s">
        <v>206</v>
      </c>
      <c r="C43" s="274">
        <f>16+Miami!Y20</f>
        <v>32</v>
      </c>
      <c r="D43" s="275">
        <f>6+Miami!Z20</f>
        <v>14</v>
      </c>
      <c r="E43" s="275">
        <f>0+Miami!AA20</f>
        <v>0</v>
      </c>
      <c r="F43" s="275">
        <f>10+Miami!AB20</f>
        <v>18</v>
      </c>
      <c r="G43" s="275">
        <f>335+Miami!F20</f>
        <v>715</v>
      </c>
      <c r="H43" s="275">
        <f>389+Miami!G20</f>
        <v>831</v>
      </c>
      <c r="I43" s="275">
        <f t="shared" si="2"/>
        <v>-116</v>
      </c>
      <c r="J43" s="275">
        <f>4+Miami!P20</f>
        <v>15</v>
      </c>
      <c r="K43" s="275">
        <f>4+Miami!Q20</f>
        <v>9</v>
      </c>
      <c r="L43" s="211">
        <f t="shared" si="3"/>
        <v>80</v>
      </c>
    </row>
    <row r="44" spans="1:12" x14ac:dyDescent="0.3">
      <c r="A44" s="276">
        <v>17</v>
      </c>
      <c r="B44" s="278" t="s">
        <v>204</v>
      </c>
      <c r="C44" s="279">
        <v>48</v>
      </c>
      <c r="D44" s="280">
        <v>8</v>
      </c>
      <c r="E44" s="280">
        <v>0</v>
      </c>
      <c r="F44" s="280">
        <v>40</v>
      </c>
      <c r="G44" s="280">
        <v>958</v>
      </c>
      <c r="H44" s="280">
        <v>1660</v>
      </c>
      <c r="I44" s="275">
        <f t="shared" si="2"/>
        <v>-702</v>
      </c>
      <c r="J44" s="280">
        <v>18</v>
      </c>
      <c r="K44" s="280">
        <v>16</v>
      </c>
      <c r="L44" s="280">
        <f t="shared" si="3"/>
        <v>66</v>
      </c>
    </row>
    <row r="45" spans="1:12" x14ac:dyDescent="0.3">
      <c r="A45" s="276">
        <v>18</v>
      </c>
      <c r="B45" s="277" t="s">
        <v>208</v>
      </c>
      <c r="C45" s="274">
        <f>16+Anthem!Y19</f>
        <v>32</v>
      </c>
      <c r="D45" s="275">
        <f>0+Anthem!Z19</f>
        <v>0</v>
      </c>
      <c r="E45" s="275">
        <f>0+Anthem!AA19</f>
        <v>0</v>
      </c>
      <c r="F45" s="275">
        <f>16+Anthem!AB19</f>
        <v>32</v>
      </c>
      <c r="G45" s="275">
        <f>323+Anthem!F19</f>
        <v>605</v>
      </c>
      <c r="H45" s="275">
        <f>676+Anthem!G19</f>
        <v>1246</v>
      </c>
      <c r="I45" s="275">
        <f t="shared" si="2"/>
        <v>-641</v>
      </c>
      <c r="J45" s="275">
        <f>6+Anthem!P19</f>
        <v>22</v>
      </c>
      <c r="K45" s="275">
        <f>1+Anthem!Q19</f>
        <v>1</v>
      </c>
      <c r="L45" s="211">
        <f t="shared" si="3"/>
        <v>23</v>
      </c>
    </row>
    <row r="49" spans="1:16" x14ac:dyDescent="0.3">
      <c r="A49" s="547" t="s">
        <v>190</v>
      </c>
      <c r="B49" s="547"/>
      <c r="C49" s="547"/>
      <c r="D49" s="547"/>
      <c r="F49" s="529"/>
      <c r="G49" s="529"/>
      <c r="H49" s="529"/>
      <c r="I49" s="529"/>
      <c r="J49" s="529"/>
      <c r="K49" s="529"/>
      <c r="L49" s="529"/>
      <c r="M49" s="529"/>
    </row>
    <row r="51" spans="1:16" x14ac:dyDescent="0.3">
      <c r="A51" s="207" t="s">
        <v>183</v>
      </c>
      <c r="B51" s="230" t="s">
        <v>184</v>
      </c>
      <c r="C51" s="206" t="s">
        <v>29</v>
      </c>
      <c r="D51" s="206" t="s">
        <v>30</v>
      </c>
      <c r="E51" s="206" t="s">
        <v>31</v>
      </c>
      <c r="F51" s="206" t="s">
        <v>185</v>
      </c>
      <c r="G51" s="206" t="s">
        <v>186</v>
      </c>
      <c r="H51" s="211" t="s">
        <v>187</v>
      </c>
      <c r="I51" s="206" t="s">
        <v>209</v>
      </c>
      <c r="J51"/>
      <c r="K51"/>
      <c r="L51"/>
      <c r="M51"/>
      <c r="N51"/>
      <c r="O51"/>
      <c r="P51"/>
    </row>
    <row r="52" spans="1:16" x14ac:dyDescent="0.3">
      <c r="A52" s="276">
        <v>1</v>
      </c>
      <c r="B52" s="277" t="s">
        <v>193</v>
      </c>
      <c r="C52" s="275">
        <v>9</v>
      </c>
      <c r="D52" s="275">
        <v>8</v>
      </c>
      <c r="E52" s="275">
        <v>1</v>
      </c>
      <c r="F52" s="384">
        <v>223</v>
      </c>
      <c r="G52" s="384">
        <v>164</v>
      </c>
      <c r="H52" s="385">
        <f>F52-G52</f>
        <v>59</v>
      </c>
      <c r="I52" s="274">
        <v>3</v>
      </c>
      <c r="J52"/>
      <c r="K52"/>
      <c r="L52"/>
      <c r="M52"/>
      <c r="N52"/>
      <c r="O52"/>
      <c r="P52"/>
    </row>
    <row r="53" spans="1:16" x14ac:dyDescent="0.3">
      <c r="A53" s="276">
        <v>2</v>
      </c>
      <c r="B53" s="386" t="s">
        <v>192</v>
      </c>
      <c r="C53" s="275">
        <v>13</v>
      </c>
      <c r="D53" s="275">
        <v>9</v>
      </c>
      <c r="E53" s="275">
        <v>4</v>
      </c>
      <c r="F53" s="384">
        <v>358</v>
      </c>
      <c r="G53" s="384">
        <v>313</v>
      </c>
      <c r="H53" s="385">
        <f t="shared" ref="H53:H66" si="4">F53-G53</f>
        <v>45</v>
      </c>
      <c r="I53" s="274">
        <v>2</v>
      </c>
      <c r="J53"/>
      <c r="K53"/>
      <c r="L53"/>
      <c r="M53"/>
      <c r="N53"/>
      <c r="O53"/>
      <c r="P53"/>
    </row>
    <row r="54" spans="1:16" x14ac:dyDescent="0.3">
      <c r="A54" s="276">
        <v>3</v>
      </c>
      <c r="B54" s="278" t="s">
        <v>195</v>
      </c>
      <c r="C54" s="280">
        <v>6</v>
      </c>
      <c r="D54" s="280">
        <v>3</v>
      </c>
      <c r="E54" s="280">
        <v>3</v>
      </c>
      <c r="F54" s="387">
        <v>144</v>
      </c>
      <c r="G54" s="387">
        <v>121</v>
      </c>
      <c r="H54" s="385">
        <f t="shared" si="4"/>
        <v>23</v>
      </c>
      <c r="I54" s="279">
        <v>1</v>
      </c>
      <c r="J54"/>
      <c r="K54"/>
      <c r="L54"/>
      <c r="M54"/>
      <c r="N54"/>
      <c r="O54"/>
      <c r="P54"/>
    </row>
    <row r="55" spans="1:16" x14ac:dyDescent="0.3">
      <c r="A55" s="276">
        <v>4</v>
      </c>
      <c r="B55" s="278" t="s">
        <v>202</v>
      </c>
      <c r="C55" s="280">
        <v>2</v>
      </c>
      <c r="D55" s="280">
        <v>2</v>
      </c>
      <c r="E55" s="280">
        <v>0</v>
      </c>
      <c r="F55" s="387">
        <v>48</v>
      </c>
      <c r="G55" s="387">
        <v>30</v>
      </c>
      <c r="H55" s="385">
        <f>F55-G55</f>
        <v>18</v>
      </c>
      <c r="I55" s="279">
        <v>1</v>
      </c>
      <c r="J55"/>
      <c r="K55"/>
      <c r="L55"/>
      <c r="M55"/>
      <c r="N55"/>
      <c r="O55"/>
      <c r="P55"/>
    </row>
    <row r="56" spans="1:16" x14ac:dyDescent="0.3">
      <c r="A56" s="276">
        <v>5</v>
      </c>
      <c r="B56" s="277" t="s">
        <v>205</v>
      </c>
      <c r="C56" s="275">
        <v>4</v>
      </c>
      <c r="D56" s="275">
        <v>2</v>
      </c>
      <c r="E56" s="275">
        <v>2</v>
      </c>
      <c r="F56" s="384">
        <v>109</v>
      </c>
      <c r="G56" s="384">
        <v>81</v>
      </c>
      <c r="H56" s="385">
        <f>F56-G56</f>
        <v>28</v>
      </c>
      <c r="I56" s="274">
        <v>0</v>
      </c>
      <c r="J56"/>
      <c r="K56"/>
      <c r="L56"/>
      <c r="M56"/>
      <c r="N56"/>
      <c r="O56"/>
      <c r="P56"/>
    </row>
    <row r="57" spans="1:16" x14ac:dyDescent="0.3">
      <c r="A57" s="276">
        <v>6</v>
      </c>
      <c r="B57" s="277" t="s">
        <v>197</v>
      </c>
      <c r="C57" s="275">
        <v>5</v>
      </c>
      <c r="D57" s="275">
        <v>2</v>
      </c>
      <c r="E57" s="275">
        <v>3</v>
      </c>
      <c r="F57" s="384">
        <v>135</v>
      </c>
      <c r="G57" s="384">
        <v>151</v>
      </c>
      <c r="H57" s="385">
        <f>F57-G57</f>
        <v>-16</v>
      </c>
      <c r="I57" s="274">
        <v>0</v>
      </c>
      <c r="J57"/>
      <c r="K57"/>
      <c r="L57"/>
      <c r="M57"/>
      <c r="N57"/>
      <c r="O57"/>
      <c r="P57"/>
    </row>
    <row r="58" spans="1:16" x14ac:dyDescent="0.3">
      <c r="A58" s="276">
        <v>7</v>
      </c>
      <c r="B58" s="277" t="s">
        <v>191</v>
      </c>
      <c r="C58" s="275">
        <v>7</v>
      </c>
      <c r="D58" s="275">
        <v>2</v>
      </c>
      <c r="E58" s="275">
        <v>5</v>
      </c>
      <c r="F58" s="384">
        <v>174</v>
      </c>
      <c r="G58" s="384">
        <v>194</v>
      </c>
      <c r="H58" s="385">
        <f t="shared" si="4"/>
        <v>-20</v>
      </c>
      <c r="I58" s="274">
        <v>0</v>
      </c>
      <c r="J58"/>
      <c r="K58"/>
      <c r="L58"/>
      <c r="M58"/>
      <c r="N58"/>
      <c r="O58"/>
      <c r="P58"/>
    </row>
    <row r="59" spans="1:16" x14ac:dyDescent="0.3">
      <c r="A59" s="276">
        <v>8</v>
      </c>
      <c r="B59" s="278" t="s">
        <v>204</v>
      </c>
      <c r="C59" s="280">
        <v>2</v>
      </c>
      <c r="D59" s="280">
        <v>1</v>
      </c>
      <c r="E59" s="280">
        <v>1</v>
      </c>
      <c r="F59" s="387">
        <v>59</v>
      </c>
      <c r="G59" s="387">
        <v>50</v>
      </c>
      <c r="H59" s="385">
        <f>F59-G59</f>
        <v>9</v>
      </c>
      <c r="I59" s="279">
        <v>0</v>
      </c>
      <c r="J59"/>
      <c r="K59"/>
      <c r="L59"/>
      <c r="M59"/>
      <c r="N59"/>
      <c r="O59"/>
      <c r="P59"/>
    </row>
    <row r="60" spans="1:16" x14ac:dyDescent="0.3">
      <c r="A60" s="276">
        <v>9</v>
      </c>
      <c r="B60" s="278" t="s">
        <v>203</v>
      </c>
      <c r="C60" s="280">
        <v>2</v>
      </c>
      <c r="D60" s="280">
        <v>1</v>
      </c>
      <c r="E60" s="280">
        <v>1</v>
      </c>
      <c r="F60" s="387">
        <v>53</v>
      </c>
      <c r="G60" s="387">
        <v>44</v>
      </c>
      <c r="H60" s="385">
        <f>F60-G60</f>
        <v>9</v>
      </c>
      <c r="I60" s="279">
        <v>0</v>
      </c>
      <c r="J60"/>
      <c r="K60"/>
      <c r="L60"/>
      <c r="M60"/>
      <c r="N60"/>
      <c r="O60"/>
      <c r="P60"/>
    </row>
    <row r="61" spans="1:16" x14ac:dyDescent="0.3">
      <c r="A61" s="276">
        <v>10</v>
      </c>
      <c r="B61" s="278" t="s">
        <v>200</v>
      </c>
      <c r="C61" s="280">
        <v>3</v>
      </c>
      <c r="D61" s="280">
        <v>1</v>
      </c>
      <c r="E61" s="280">
        <v>2</v>
      </c>
      <c r="F61" s="387">
        <v>46</v>
      </c>
      <c r="G61" s="387">
        <v>66</v>
      </c>
      <c r="H61" s="385">
        <f>F61-G61</f>
        <v>-20</v>
      </c>
      <c r="I61" s="279">
        <v>0</v>
      </c>
      <c r="J61"/>
      <c r="K61"/>
      <c r="L61"/>
      <c r="M61"/>
      <c r="N61"/>
      <c r="O61"/>
      <c r="P61"/>
    </row>
    <row r="62" spans="1:16" x14ac:dyDescent="0.3">
      <c r="A62" s="276">
        <v>11</v>
      </c>
      <c r="B62" s="277" t="s">
        <v>198</v>
      </c>
      <c r="C62" s="275">
        <v>4</v>
      </c>
      <c r="D62" s="275">
        <v>1</v>
      </c>
      <c r="E62" s="275">
        <v>3</v>
      </c>
      <c r="F62" s="384">
        <v>89</v>
      </c>
      <c r="G62" s="384">
        <v>118</v>
      </c>
      <c r="H62" s="385">
        <f t="shared" si="4"/>
        <v>-29</v>
      </c>
      <c r="I62" s="274">
        <v>0</v>
      </c>
      <c r="J62"/>
      <c r="K62"/>
      <c r="L62"/>
      <c r="M62"/>
      <c r="N62"/>
      <c r="O62"/>
      <c r="P62"/>
    </row>
    <row r="63" spans="1:16" x14ac:dyDescent="0.3">
      <c r="A63" s="276">
        <v>12</v>
      </c>
      <c r="B63" s="277" t="s">
        <v>196</v>
      </c>
      <c r="C63" s="275">
        <v>4</v>
      </c>
      <c r="D63" s="275">
        <v>1</v>
      </c>
      <c r="E63" s="275">
        <v>3</v>
      </c>
      <c r="F63" s="384">
        <v>76</v>
      </c>
      <c r="G63" s="384">
        <v>105</v>
      </c>
      <c r="H63" s="385">
        <f t="shared" si="4"/>
        <v>-29</v>
      </c>
      <c r="I63" s="274">
        <v>0</v>
      </c>
      <c r="J63"/>
      <c r="K63"/>
      <c r="L63"/>
      <c r="M63"/>
      <c r="N63"/>
      <c r="O63"/>
      <c r="P63"/>
    </row>
    <row r="64" spans="1:16" x14ac:dyDescent="0.3">
      <c r="A64" s="276">
        <v>13</v>
      </c>
      <c r="B64" s="278" t="s">
        <v>201</v>
      </c>
      <c r="C64" s="280">
        <v>1</v>
      </c>
      <c r="D64" s="280">
        <v>0</v>
      </c>
      <c r="E64" s="280">
        <v>1</v>
      </c>
      <c r="F64" s="387">
        <v>17</v>
      </c>
      <c r="G64" s="387">
        <v>30</v>
      </c>
      <c r="H64" s="385">
        <f t="shared" si="4"/>
        <v>-13</v>
      </c>
      <c r="I64" s="279">
        <v>0</v>
      </c>
      <c r="J64"/>
      <c r="K64"/>
      <c r="L64"/>
      <c r="M64"/>
      <c r="N64"/>
      <c r="O64"/>
      <c r="P64"/>
    </row>
    <row r="65" spans="1:16" x14ac:dyDescent="0.3">
      <c r="A65" s="276">
        <v>14</v>
      </c>
      <c r="B65" s="277" t="s">
        <v>96</v>
      </c>
      <c r="C65" s="275">
        <v>1</v>
      </c>
      <c r="D65" s="275">
        <v>0</v>
      </c>
      <c r="E65" s="275">
        <v>1</v>
      </c>
      <c r="F65" s="384">
        <v>21</v>
      </c>
      <c r="G65" s="384">
        <v>45</v>
      </c>
      <c r="H65" s="385">
        <f t="shared" si="4"/>
        <v>-24</v>
      </c>
      <c r="I65" s="274">
        <v>0</v>
      </c>
      <c r="J65"/>
      <c r="K65"/>
      <c r="L65"/>
      <c r="M65"/>
      <c r="N65"/>
      <c r="O65"/>
      <c r="P65"/>
    </row>
    <row r="66" spans="1:16" x14ac:dyDescent="0.3">
      <c r="A66" s="207">
        <v>15</v>
      </c>
      <c r="B66" s="230" t="s">
        <v>206</v>
      </c>
      <c r="C66" s="206">
        <v>1</v>
      </c>
      <c r="D66" s="206">
        <v>0</v>
      </c>
      <c r="E66" s="206">
        <v>1</v>
      </c>
      <c r="F66" s="388">
        <v>10</v>
      </c>
      <c r="G66" s="388">
        <v>32</v>
      </c>
      <c r="H66" s="388">
        <f t="shared" si="4"/>
        <v>-22</v>
      </c>
      <c r="I66" s="206">
        <v>0</v>
      </c>
    </row>
  </sheetData>
  <mergeCells count="4">
    <mergeCell ref="A49:D49"/>
    <mergeCell ref="A25:E25"/>
    <mergeCell ref="A1:F1"/>
    <mergeCell ref="F49:M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BE62-A852-8748-8E30-B9A151205B0F}">
  <dimension ref="A1:AN25"/>
  <sheetViews>
    <sheetView workbookViewId="0">
      <selection sqref="A1:D1"/>
    </sheetView>
  </sheetViews>
  <sheetFormatPr defaultColWidth="11.44140625" defaultRowHeight="16.3" x14ac:dyDescent="0.3"/>
  <cols>
    <col min="1" max="1" width="6.44140625" style="47" bestFit="1" customWidth="1"/>
    <col min="2" max="2" width="6" style="47" bestFit="1" customWidth="1"/>
    <col min="3" max="3" width="12" style="47" customWidth="1"/>
    <col min="4" max="4" width="4.77734375" style="47" customWidth="1"/>
    <col min="5" max="7" width="4.6640625" style="47" customWidth="1"/>
    <col min="8" max="18" width="4.77734375" style="47" customWidth="1"/>
    <col min="19" max="19" width="7" style="47" customWidth="1"/>
    <col min="20" max="20" width="6.77734375" style="47" customWidth="1"/>
    <col min="21" max="21" width="24" style="47" bestFit="1" customWidth="1"/>
    <col min="22" max="23" width="29" style="47" bestFit="1" customWidth="1"/>
    <col min="24" max="24" width="24" style="47" bestFit="1" customWidth="1"/>
    <col min="25" max="40" width="4.77734375" style="47" customWidth="1"/>
  </cols>
  <sheetData>
    <row r="1" spans="1:40" ht="17" thickBot="1" x14ac:dyDescent="0.35">
      <c r="A1" s="407" t="s">
        <v>53</v>
      </c>
      <c r="B1" s="408"/>
      <c r="C1" s="408"/>
      <c r="D1" s="409"/>
      <c r="E1" s="410" t="s">
        <v>0</v>
      </c>
      <c r="F1" s="411"/>
      <c r="G1" s="412"/>
      <c r="H1" s="410" t="s">
        <v>1</v>
      </c>
      <c r="I1" s="412"/>
      <c r="J1" s="413" t="s">
        <v>2</v>
      </c>
      <c r="K1" s="414"/>
      <c r="L1" s="414"/>
      <c r="M1" s="415"/>
      <c r="N1" s="413" t="s">
        <v>3</v>
      </c>
      <c r="O1" s="415"/>
      <c r="P1" s="413" t="s">
        <v>4</v>
      </c>
      <c r="Q1" s="414"/>
      <c r="R1" s="415"/>
      <c r="S1" s="49" t="s">
        <v>5</v>
      </c>
      <c r="T1" s="49" t="s">
        <v>6</v>
      </c>
      <c r="U1" s="50" t="s">
        <v>7</v>
      </c>
      <c r="V1" s="51" t="s">
        <v>8</v>
      </c>
      <c r="W1" s="51" t="s">
        <v>9</v>
      </c>
      <c r="X1" s="52" t="s">
        <v>10</v>
      </c>
      <c r="Y1" s="418" t="s">
        <v>11</v>
      </c>
      <c r="Z1" s="419"/>
      <c r="AA1" s="419"/>
      <c r="AB1" s="420"/>
      <c r="AC1" s="418" t="s">
        <v>12</v>
      </c>
      <c r="AD1" s="419"/>
      <c r="AE1" s="419"/>
      <c r="AF1" s="420"/>
      <c r="AG1" s="418" t="s">
        <v>13</v>
      </c>
      <c r="AH1" s="419"/>
      <c r="AI1" s="419"/>
      <c r="AJ1" s="420"/>
      <c r="AK1" s="418" t="s">
        <v>14</v>
      </c>
      <c r="AL1" s="419"/>
      <c r="AM1" s="419"/>
      <c r="AN1" s="420"/>
    </row>
    <row r="2" spans="1:40" ht="17" thickBot="1" x14ac:dyDescent="0.35">
      <c r="A2" s="53" t="s">
        <v>15</v>
      </c>
      <c r="B2" s="54" t="s">
        <v>16</v>
      </c>
      <c r="C2" s="55" t="s">
        <v>17</v>
      </c>
      <c r="D2" s="55" t="s">
        <v>18</v>
      </c>
      <c r="E2" s="56" t="s">
        <v>19</v>
      </c>
      <c r="F2" s="56" t="s">
        <v>20</v>
      </c>
      <c r="G2" s="56" t="s">
        <v>21</v>
      </c>
      <c r="H2" s="57" t="s">
        <v>22</v>
      </c>
      <c r="I2" s="57" t="s">
        <v>23</v>
      </c>
      <c r="J2" s="57" t="s">
        <v>24</v>
      </c>
      <c r="K2" s="57" t="s">
        <v>25</v>
      </c>
      <c r="L2" s="57" t="s">
        <v>26</v>
      </c>
      <c r="M2" s="57" t="s">
        <v>27</v>
      </c>
      <c r="N2" s="57" t="s">
        <v>28</v>
      </c>
      <c r="O2" s="57" t="s">
        <v>19</v>
      </c>
      <c r="P2" s="57" t="s">
        <v>22</v>
      </c>
      <c r="Q2" s="57" t="s">
        <v>23</v>
      </c>
      <c r="R2" s="57" t="s">
        <v>24</v>
      </c>
      <c r="S2" s="58"/>
      <c r="T2" s="59"/>
      <c r="U2" s="60"/>
      <c r="V2" s="58"/>
      <c r="W2" s="61"/>
      <c r="X2" s="62"/>
      <c r="Y2" s="63" t="s">
        <v>29</v>
      </c>
      <c r="Z2" s="63" t="s">
        <v>30</v>
      </c>
      <c r="AA2" s="63" t="s">
        <v>26</v>
      </c>
      <c r="AB2" s="63" t="s">
        <v>31</v>
      </c>
      <c r="AC2" s="63" t="s">
        <v>29</v>
      </c>
      <c r="AD2" s="63" t="s">
        <v>30</v>
      </c>
      <c r="AE2" s="63" t="s">
        <v>26</v>
      </c>
      <c r="AF2" s="63" t="s">
        <v>31</v>
      </c>
      <c r="AG2" s="63" t="s">
        <v>29</v>
      </c>
      <c r="AH2" s="63" t="s">
        <v>30</v>
      </c>
      <c r="AI2" s="63" t="s">
        <v>26</v>
      </c>
      <c r="AJ2" s="63" t="s">
        <v>31</v>
      </c>
      <c r="AK2" s="63" t="s">
        <v>29</v>
      </c>
      <c r="AL2" s="63" t="s">
        <v>30</v>
      </c>
      <c r="AM2" s="63" t="s">
        <v>26</v>
      </c>
      <c r="AN2" s="64" t="s">
        <v>31</v>
      </c>
    </row>
    <row r="3" spans="1:40" ht="17" thickBot="1" x14ac:dyDescent="0.35">
      <c r="A3" s="15" t="s">
        <v>97</v>
      </c>
      <c r="B3" s="16" t="s">
        <v>32</v>
      </c>
      <c r="C3" s="17" t="s">
        <v>44</v>
      </c>
      <c r="D3" s="18" t="s">
        <v>21</v>
      </c>
      <c r="E3" s="18" t="s">
        <v>30</v>
      </c>
      <c r="F3" s="18">
        <v>25</v>
      </c>
      <c r="G3" s="19">
        <v>22</v>
      </c>
      <c r="H3" s="20">
        <v>0</v>
      </c>
      <c r="I3" s="21">
        <v>0</v>
      </c>
      <c r="J3" s="21">
        <v>3</v>
      </c>
      <c r="K3" s="21">
        <v>2</v>
      </c>
      <c r="L3" s="21">
        <v>0</v>
      </c>
      <c r="M3" s="21">
        <v>2</v>
      </c>
      <c r="N3" s="21">
        <v>3</v>
      </c>
      <c r="O3" s="21">
        <v>1</v>
      </c>
      <c r="P3" s="21">
        <v>0</v>
      </c>
      <c r="Q3" s="21">
        <v>1</v>
      </c>
      <c r="R3" s="21">
        <v>3</v>
      </c>
      <c r="S3" s="22"/>
      <c r="T3" s="281" t="s">
        <v>233</v>
      </c>
      <c r="U3" s="24" t="str">
        <f>Houston!U3</f>
        <v>Robin Kaluzniak</v>
      </c>
      <c r="V3" s="24" t="str">
        <f>Houston!V3</f>
        <v>Chris Assmus</v>
      </c>
      <c r="W3" s="24" t="str">
        <f>Houston!W3</f>
        <v>Kat Roche</v>
      </c>
      <c r="X3" s="24" t="str">
        <f>Houston!X3</f>
        <v>Jono Cooper</v>
      </c>
      <c r="Y3" s="25">
        <v>1</v>
      </c>
      <c r="Z3" s="25">
        <v>1</v>
      </c>
      <c r="AA3" s="25">
        <v>0</v>
      </c>
      <c r="AB3" s="26">
        <v>0</v>
      </c>
      <c r="AC3" s="25"/>
      <c r="AD3" s="25"/>
      <c r="AE3" s="25"/>
      <c r="AF3" s="26"/>
      <c r="AG3" s="25">
        <v>1</v>
      </c>
      <c r="AH3" s="25">
        <v>1</v>
      </c>
      <c r="AI3" s="25">
        <v>0</v>
      </c>
      <c r="AJ3" s="26">
        <v>0</v>
      </c>
      <c r="AK3" s="25"/>
      <c r="AL3" s="25"/>
      <c r="AM3" s="25"/>
      <c r="AN3" s="26"/>
    </row>
    <row r="4" spans="1:40" ht="17" thickBot="1" x14ac:dyDescent="0.35">
      <c r="A4" s="2" t="s">
        <v>115</v>
      </c>
      <c r="B4" s="3" t="s">
        <v>32</v>
      </c>
      <c r="C4" s="4" t="s">
        <v>39</v>
      </c>
      <c r="D4" s="5" t="s">
        <v>34</v>
      </c>
      <c r="E4" s="5" t="s">
        <v>31</v>
      </c>
      <c r="F4" s="5">
        <v>31</v>
      </c>
      <c r="G4" s="6">
        <v>45</v>
      </c>
      <c r="H4" s="7">
        <v>1</v>
      </c>
      <c r="I4" s="8">
        <v>0</v>
      </c>
      <c r="J4" s="8">
        <v>4</v>
      </c>
      <c r="K4" s="5">
        <v>3</v>
      </c>
      <c r="L4" s="8">
        <v>0</v>
      </c>
      <c r="M4" s="5">
        <v>1</v>
      </c>
      <c r="N4" s="8">
        <v>0</v>
      </c>
      <c r="O4" s="8">
        <v>1</v>
      </c>
      <c r="P4" s="8">
        <v>1</v>
      </c>
      <c r="Q4" s="5">
        <v>0</v>
      </c>
      <c r="R4" s="8">
        <v>6</v>
      </c>
      <c r="S4" s="9"/>
      <c r="T4" s="36" t="s">
        <v>249</v>
      </c>
      <c r="U4" s="11" t="s">
        <v>226</v>
      </c>
      <c r="V4" s="12" t="s">
        <v>215</v>
      </c>
      <c r="W4" s="12" t="s">
        <v>241</v>
      </c>
      <c r="X4" s="13" t="s">
        <v>242</v>
      </c>
      <c r="Y4" s="12">
        <v>1</v>
      </c>
      <c r="Z4" s="12">
        <v>0</v>
      </c>
      <c r="AA4" s="12">
        <v>0</v>
      </c>
      <c r="AB4" s="14">
        <v>1</v>
      </c>
      <c r="AC4" s="12">
        <v>1</v>
      </c>
      <c r="AD4" s="12">
        <v>0</v>
      </c>
      <c r="AE4" s="12">
        <v>0</v>
      </c>
      <c r="AF4" s="14">
        <v>1</v>
      </c>
      <c r="AG4" s="12"/>
      <c r="AH4" s="12"/>
      <c r="AI4" s="12"/>
      <c r="AJ4" s="14"/>
      <c r="AK4" s="12"/>
      <c r="AL4" s="12"/>
      <c r="AM4" s="12"/>
      <c r="AN4" s="14"/>
    </row>
    <row r="5" spans="1:40" ht="17" thickBot="1" x14ac:dyDescent="0.35">
      <c r="A5" s="2" t="s">
        <v>116</v>
      </c>
      <c r="B5" s="3" t="s">
        <v>32</v>
      </c>
      <c r="C5" s="4" t="s">
        <v>33</v>
      </c>
      <c r="D5" s="5" t="s">
        <v>34</v>
      </c>
      <c r="E5" s="5" t="s">
        <v>30</v>
      </c>
      <c r="F5" s="5">
        <v>36</v>
      </c>
      <c r="G5" s="6">
        <v>7</v>
      </c>
      <c r="H5" s="27">
        <v>1</v>
      </c>
      <c r="I5" s="6">
        <v>0</v>
      </c>
      <c r="J5" s="8">
        <v>5</v>
      </c>
      <c r="K5" s="8">
        <v>1</v>
      </c>
      <c r="L5" s="8">
        <v>0</v>
      </c>
      <c r="M5" s="8">
        <v>1</v>
      </c>
      <c r="N5" s="8">
        <v>1</v>
      </c>
      <c r="O5" s="8">
        <v>0</v>
      </c>
      <c r="P5" s="5">
        <v>0</v>
      </c>
      <c r="Q5" s="8">
        <v>0</v>
      </c>
      <c r="R5" s="5">
        <v>1</v>
      </c>
      <c r="S5" s="9"/>
      <c r="T5" s="282" t="s">
        <v>267</v>
      </c>
      <c r="U5" s="11" t="s">
        <v>216</v>
      </c>
      <c r="V5" s="12" t="s">
        <v>215</v>
      </c>
      <c r="W5" s="12" t="s">
        <v>242</v>
      </c>
      <c r="X5" s="13" t="s">
        <v>258</v>
      </c>
      <c r="Y5" s="12">
        <v>1</v>
      </c>
      <c r="Z5" s="12">
        <v>1</v>
      </c>
      <c r="AA5" s="12">
        <v>0</v>
      </c>
      <c r="AB5" s="14">
        <v>0</v>
      </c>
      <c r="AC5" s="12">
        <v>1</v>
      </c>
      <c r="AD5" s="12">
        <v>1</v>
      </c>
      <c r="AE5" s="12">
        <v>0</v>
      </c>
      <c r="AF5" s="14">
        <v>0</v>
      </c>
      <c r="AG5" s="12"/>
      <c r="AH5" s="12"/>
      <c r="AI5" s="12"/>
      <c r="AJ5" s="14"/>
      <c r="AK5" s="12"/>
      <c r="AL5" s="12"/>
      <c r="AM5" s="12"/>
      <c r="AN5" s="14"/>
    </row>
    <row r="6" spans="1:40" ht="17" thickBot="1" x14ac:dyDescent="0.35">
      <c r="A6" s="15" t="s">
        <v>100</v>
      </c>
      <c r="B6" s="16" t="s">
        <v>32</v>
      </c>
      <c r="C6" s="17" t="s">
        <v>36</v>
      </c>
      <c r="D6" s="18" t="s">
        <v>21</v>
      </c>
      <c r="E6" s="18" t="s">
        <v>30</v>
      </c>
      <c r="F6" s="18">
        <v>31</v>
      </c>
      <c r="G6" s="19">
        <v>18</v>
      </c>
      <c r="H6" s="19">
        <v>1</v>
      </c>
      <c r="I6" s="21">
        <v>0</v>
      </c>
      <c r="J6" s="18">
        <v>4</v>
      </c>
      <c r="K6" s="18">
        <v>3</v>
      </c>
      <c r="L6" s="21">
        <v>0</v>
      </c>
      <c r="M6" s="21">
        <v>1</v>
      </c>
      <c r="N6" s="21">
        <v>1</v>
      </c>
      <c r="O6" s="21">
        <v>0</v>
      </c>
      <c r="P6" s="21">
        <v>0</v>
      </c>
      <c r="Q6" s="18">
        <v>0</v>
      </c>
      <c r="R6" s="21">
        <v>2</v>
      </c>
      <c r="S6" s="22"/>
      <c r="T6" s="292" t="s">
        <v>272</v>
      </c>
      <c r="U6" s="25" t="str">
        <f>Miami!U6</f>
        <v>Peter Pender</v>
      </c>
      <c r="V6" s="25" t="str">
        <f>Miami!V6</f>
        <v>Greg Gilliam</v>
      </c>
      <c r="W6" s="25" t="str">
        <f>Miami!W6</f>
        <v>Luke Rogan</v>
      </c>
      <c r="X6" s="25" t="str">
        <f>Miami!X6</f>
        <v>Tom Ciampa</v>
      </c>
      <c r="Y6" s="25">
        <v>1</v>
      </c>
      <c r="Z6" s="25">
        <v>1</v>
      </c>
      <c r="AA6" s="25">
        <v>0</v>
      </c>
      <c r="AB6" s="26">
        <v>0</v>
      </c>
      <c r="AC6" s="25"/>
      <c r="AD6" s="25"/>
      <c r="AE6" s="25"/>
      <c r="AF6" s="26"/>
      <c r="AG6" s="25">
        <v>1</v>
      </c>
      <c r="AH6" s="25">
        <v>1</v>
      </c>
      <c r="AI6" s="25">
        <v>0</v>
      </c>
      <c r="AJ6" s="26">
        <v>0</v>
      </c>
      <c r="AK6" s="25"/>
      <c r="AL6" s="25"/>
      <c r="AM6" s="25"/>
      <c r="AN6" s="26"/>
    </row>
    <row r="7" spans="1:40" ht="17" thickBot="1" x14ac:dyDescent="0.35">
      <c r="A7" s="2" t="s">
        <v>117</v>
      </c>
      <c r="B7" s="3" t="s">
        <v>32</v>
      </c>
      <c r="C7" s="4" t="s">
        <v>37</v>
      </c>
      <c r="D7" s="5" t="s">
        <v>34</v>
      </c>
      <c r="E7" s="8" t="s">
        <v>30</v>
      </c>
      <c r="F7" s="5">
        <v>30</v>
      </c>
      <c r="G7" s="6">
        <v>26</v>
      </c>
      <c r="H7" s="7">
        <v>0</v>
      </c>
      <c r="I7" s="5">
        <v>0</v>
      </c>
      <c r="J7" s="8">
        <v>3</v>
      </c>
      <c r="K7" s="8">
        <v>2</v>
      </c>
      <c r="L7" s="8">
        <v>0</v>
      </c>
      <c r="M7" s="8">
        <v>3</v>
      </c>
      <c r="N7" s="8">
        <v>2</v>
      </c>
      <c r="O7" s="8">
        <v>0</v>
      </c>
      <c r="P7" s="8">
        <v>1</v>
      </c>
      <c r="Q7" s="8">
        <v>1</v>
      </c>
      <c r="R7" s="8">
        <v>4</v>
      </c>
      <c r="S7" s="9"/>
      <c r="T7" s="282" t="s">
        <v>276</v>
      </c>
      <c r="U7" s="11" t="s">
        <v>222</v>
      </c>
      <c r="V7" s="12" t="s">
        <v>220</v>
      </c>
      <c r="W7" s="12" t="s">
        <v>243</v>
      </c>
      <c r="X7" s="13" t="s">
        <v>258</v>
      </c>
      <c r="Y7" s="12">
        <v>1</v>
      </c>
      <c r="Z7" s="12">
        <v>1</v>
      </c>
      <c r="AA7" s="12">
        <v>0</v>
      </c>
      <c r="AB7" s="14">
        <v>0</v>
      </c>
      <c r="AC7" s="12">
        <v>1</v>
      </c>
      <c r="AD7" s="12">
        <v>1</v>
      </c>
      <c r="AE7" s="12">
        <v>0</v>
      </c>
      <c r="AF7" s="14">
        <v>0</v>
      </c>
      <c r="AG7" s="12"/>
      <c r="AH7" s="12"/>
      <c r="AI7" s="12"/>
      <c r="AJ7" s="14"/>
      <c r="AK7" s="12"/>
      <c r="AL7" s="12"/>
      <c r="AM7" s="12"/>
      <c r="AN7" s="14"/>
    </row>
    <row r="8" spans="1:40" ht="17" thickBot="1" x14ac:dyDescent="0.35">
      <c r="A8" s="15" t="s">
        <v>102</v>
      </c>
      <c r="B8" s="16" t="s">
        <v>32</v>
      </c>
      <c r="C8" s="17" t="s">
        <v>96</v>
      </c>
      <c r="D8" s="18" t="s">
        <v>21</v>
      </c>
      <c r="E8" s="21" t="s">
        <v>30</v>
      </c>
      <c r="F8" s="18">
        <v>20</v>
      </c>
      <c r="G8" s="19">
        <v>18</v>
      </c>
      <c r="H8" s="20">
        <v>0</v>
      </c>
      <c r="I8" s="18">
        <v>0</v>
      </c>
      <c r="J8" s="21">
        <v>3</v>
      </c>
      <c r="K8" s="21">
        <v>0</v>
      </c>
      <c r="L8" s="21">
        <v>0</v>
      </c>
      <c r="M8" s="21">
        <v>1</v>
      </c>
      <c r="N8" s="21">
        <v>2</v>
      </c>
      <c r="O8" s="21">
        <v>0</v>
      </c>
      <c r="P8" s="18">
        <v>0</v>
      </c>
      <c r="Q8" s="21">
        <v>1</v>
      </c>
      <c r="R8" s="21">
        <v>2</v>
      </c>
      <c r="S8" s="22"/>
      <c r="T8" s="281" t="s">
        <v>311</v>
      </c>
      <c r="U8" s="24" t="str">
        <f>NOLA!U8</f>
        <v>Luke Rogan</v>
      </c>
      <c r="V8" s="24" t="str">
        <f>NOLA!V8</f>
        <v>Cam Russell</v>
      </c>
      <c r="W8" s="24" t="str">
        <f>NOLA!W8</f>
        <v>Jarrod Ford</v>
      </c>
      <c r="X8" s="24" t="str">
        <f>NOLA!X8</f>
        <v>Tom Ciampa</v>
      </c>
      <c r="Y8" s="25">
        <v>1</v>
      </c>
      <c r="Z8" s="25">
        <v>1</v>
      </c>
      <c r="AA8" s="25">
        <v>0</v>
      </c>
      <c r="AB8" s="26">
        <v>0</v>
      </c>
      <c r="AC8" s="25"/>
      <c r="AD8" s="25"/>
      <c r="AE8" s="25"/>
      <c r="AF8" s="26"/>
      <c r="AG8" s="25">
        <v>1</v>
      </c>
      <c r="AH8" s="25">
        <v>1</v>
      </c>
      <c r="AI8" s="25">
        <v>0</v>
      </c>
      <c r="AJ8" s="26">
        <v>0</v>
      </c>
      <c r="AK8" s="25"/>
      <c r="AL8" s="25"/>
      <c r="AM8" s="25"/>
      <c r="AN8" s="26"/>
    </row>
    <row r="9" spans="1:40" ht="17" thickBot="1" x14ac:dyDescent="0.35">
      <c r="A9" s="15" t="s">
        <v>103</v>
      </c>
      <c r="B9" s="16" t="s">
        <v>32</v>
      </c>
      <c r="C9" s="17" t="s">
        <v>47</v>
      </c>
      <c r="D9" s="18" t="s">
        <v>21</v>
      </c>
      <c r="E9" s="21" t="s">
        <v>30</v>
      </c>
      <c r="F9" s="18">
        <v>27</v>
      </c>
      <c r="G9" s="19">
        <v>20</v>
      </c>
      <c r="H9" s="20">
        <v>0</v>
      </c>
      <c r="I9" s="21">
        <v>0</v>
      </c>
      <c r="J9" s="21">
        <v>3</v>
      </c>
      <c r="K9" s="21">
        <v>2</v>
      </c>
      <c r="L9" s="21">
        <v>0</v>
      </c>
      <c r="M9" s="21">
        <v>2</v>
      </c>
      <c r="N9" s="21">
        <v>0</v>
      </c>
      <c r="O9" s="21">
        <v>0</v>
      </c>
      <c r="P9" s="21">
        <v>0</v>
      </c>
      <c r="Q9" s="21">
        <v>1</v>
      </c>
      <c r="R9" s="21">
        <v>2</v>
      </c>
      <c r="S9" s="22"/>
      <c r="T9" s="292" t="s">
        <v>322</v>
      </c>
      <c r="U9" s="24" t="str">
        <f>SanDiego!U9</f>
        <v>Pete Pender</v>
      </c>
      <c r="V9" s="24" t="str">
        <f>SanDiego!V9</f>
        <v>Mike Kelly</v>
      </c>
      <c r="W9" s="24" t="str">
        <f>SanDiego!W9</f>
        <v>Jacob Gonzales</v>
      </c>
      <c r="X9" s="24" t="str">
        <f>SanDiego!X9</f>
        <v>Kirk Swanner</v>
      </c>
      <c r="Y9" s="25">
        <f>SanDiego!Y9</f>
        <v>1</v>
      </c>
      <c r="Z9" s="25">
        <f>SanDiego!AB9</f>
        <v>1</v>
      </c>
      <c r="AA9" s="25">
        <f>SanDiego!AA9</f>
        <v>0</v>
      </c>
      <c r="AB9" s="26">
        <f>SanDiego!Z9</f>
        <v>0</v>
      </c>
      <c r="AC9" s="25"/>
      <c r="AD9" s="25"/>
      <c r="AE9" s="25"/>
      <c r="AF9" s="26"/>
      <c r="AG9" s="25">
        <f>Y9</f>
        <v>1</v>
      </c>
      <c r="AH9" s="25">
        <f t="shared" ref="AH9:AJ9" si="0">Z9</f>
        <v>1</v>
      </c>
      <c r="AI9" s="25">
        <f t="shared" si="0"/>
        <v>0</v>
      </c>
      <c r="AJ9" s="25">
        <f t="shared" si="0"/>
        <v>0</v>
      </c>
      <c r="AK9" s="25"/>
      <c r="AL9" s="25"/>
      <c r="AM9" s="25"/>
      <c r="AN9" s="26"/>
    </row>
    <row r="10" spans="1:40" ht="17" thickBot="1" x14ac:dyDescent="0.35">
      <c r="A10" s="2" t="s">
        <v>104</v>
      </c>
      <c r="B10" s="3" t="s">
        <v>32</v>
      </c>
      <c r="C10" s="4" t="s">
        <v>70</v>
      </c>
      <c r="D10" s="5" t="s">
        <v>34</v>
      </c>
      <c r="E10" s="5" t="s">
        <v>30</v>
      </c>
      <c r="F10" s="5">
        <v>28</v>
      </c>
      <c r="G10" s="6">
        <v>20</v>
      </c>
      <c r="H10" s="7">
        <v>1</v>
      </c>
      <c r="I10" s="8">
        <v>0</v>
      </c>
      <c r="J10" s="8">
        <v>4</v>
      </c>
      <c r="K10" s="8">
        <v>3</v>
      </c>
      <c r="L10" s="8">
        <v>0</v>
      </c>
      <c r="M10" s="8">
        <v>0</v>
      </c>
      <c r="N10" s="5">
        <v>0</v>
      </c>
      <c r="O10" s="8">
        <v>0</v>
      </c>
      <c r="P10" s="8">
        <v>0</v>
      </c>
      <c r="Q10" s="5">
        <v>0</v>
      </c>
      <c r="R10" s="8">
        <v>3</v>
      </c>
      <c r="S10" s="9"/>
      <c r="T10" s="282" t="s">
        <v>330</v>
      </c>
      <c r="U10" s="11" t="s">
        <v>238</v>
      </c>
      <c r="V10" s="12" t="s">
        <v>237</v>
      </c>
      <c r="W10" s="12" t="s">
        <v>245</v>
      </c>
      <c r="X10" s="13" t="s">
        <v>305</v>
      </c>
      <c r="Y10" s="12">
        <v>1</v>
      </c>
      <c r="Z10" s="12">
        <v>1</v>
      </c>
      <c r="AA10" s="12">
        <v>0</v>
      </c>
      <c r="AB10" s="14">
        <v>0</v>
      </c>
      <c r="AC10" s="12">
        <f>Y10</f>
        <v>1</v>
      </c>
      <c r="AD10" s="12">
        <f t="shared" ref="AD10:AF10" si="1">Z10</f>
        <v>1</v>
      </c>
      <c r="AE10" s="12">
        <f t="shared" si="1"/>
        <v>0</v>
      </c>
      <c r="AF10" s="12">
        <f t="shared" si="1"/>
        <v>0</v>
      </c>
      <c r="AG10" s="12"/>
      <c r="AH10" s="12"/>
      <c r="AI10" s="12"/>
      <c r="AJ10" s="14"/>
      <c r="AK10" s="12"/>
      <c r="AL10" s="12"/>
      <c r="AM10" s="12"/>
      <c r="AN10" s="14"/>
    </row>
    <row r="11" spans="1:40" ht="17" thickBot="1" x14ac:dyDescent="0.35">
      <c r="A11" s="15" t="s">
        <v>105</v>
      </c>
      <c r="B11" s="16" t="s">
        <v>32</v>
      </c>
      <c r="C11" s="17" t="s">
        <v>43</v>
      </c>
      <c r="D11" s="18" t="s">
        <v>21</v>
      </c>
      <c r="E11" s="18" t="s">
        <v>31</v>
      </c>
      <c r="F11" s="18">
        <v>22</v>
      </c>
      <c r="G11" s="19">
        <v>28</v>
      </c>
      <c r="H11" s="20">
        <v>0</v>
      </c>
      <c r="I11" s="21">
        <v>1</v>
      </c>
      <c r="J11" s="21">
        <v>3</v>
      </c>
      <c r="K11" s="21">
        <v>2</v>
      </c>
      <c r="L11" s="21">
        <v>0</v>
      </c>
      <c r="M11" s="21">
        <v>1</v>
      </c>
      <c r="N11" s="21">
        <v>2</v>
      </c>
      <c r="O11" s="21">
        <v>1</v>
      </c>
      <c r="P11" s="21">
        <v>0</v>
      </c>
      <c r="Q11" s="18">
        <v>0</v>
      </c>
      <c r="R11" s="21">
        <v>3</v>
      </c>
      <c r="S11" s="22"/>
      <c r="T11" s="23" t="s">
        <v>336</v>
      </c>
      <c r="U11" s="24" t="str">
        <f>Seattle!U10</f>
        <v>George Myers</v>
      </c>
      <c r="V11" s="24" t="str">
        <f>Seattle!V10</f>
        <v>Mike Kelly</v>
      </c>
      <c r="W11" s="24" t="str">
        <f>Seattle!W10</f>
        <v>Kahlil Harrison</v>
      </c>
      <c r="X11" s="24" t="str">
        <f>Seattle!X10</f>
        <v>Saro Turner</v>
      </c>
      <c r="Y11" s="25">
        <f>Seattle!Y10</f>
        <v>1</v>
      </c>
      <c r="Z11" s="25">
        <f>Seattle!AB10</f>
        <v>0</v>
      </c>
      <c r="AA11" s="25">
        <f>Seattle!AA10</f>
        <v>0</v>
      </c>
      <c r="AB11" s="25">
        <f>Seattle!Z10</f>
        <v>1</v>
      </c>
      <c r="AC11" s="25"/>
      <c r="AD11" s="25"/>
      <c r="AE11" s="25"/>
      <c r="AF11" s="26"/>
      <c r="AG11" s="25">
        <f>Y11</f>
        <v>1</v>
      </c>
      <c r="AH11" s="25">
        <f t="shared" ref="AH11:AJ12" si="2">Z11</f>
        <v>0</v>
      </c>
      <c r="AI11" s="25">
        <f t="shared" si="2"/>
        <v>0</v>
      </c>
      <c r="AJ11" s="25">
        <f t="shared" si="2"/>
        <v>1</v>
      </c>
      <c r="AK11" s="25"/>
      <c r="AL11" s="25"/>
      <c r="AM11" s="25"/>
      <c r="AN11" s="26"/>
    </row>
    <row r="12" spans="1:40" ht="17" thickBot="1" x14ac:dyDescent="0.35">
      <c r="A12" s="33" t="s">
        <v>118</v>
      </c>
      <c r="B12" s="16" t="s">
        <v>32</v>
      </c>
      <c r="C12" s="17" t="s">
        <v>39</v>
      </c>
      <c r="D12" s="18" t="s">
        <v>21</v>
      </c>
      <c r="E12" s="18" t="s">
        <v>31</v>
      </c>
      <c r="F12" s="18">
        <v>31</v>
      </c>
      <c r="G12" s="19">
        <v>41</v>
      </c>
      <c r="H12" s="20">
        <v>1</v>
      </c>
      <c r="I12" s="21">
        <v>0</v>
      </c>
      <c r="J12" s="21">
        <v>4</v>
      </c>
      <c r="K12" s="21">
        <v>3</v>
      </c>
      <c r="L12" s="21">
        <v>0</v>
      </c>
      <c r="M12" s="21">
        <v>1</v>
      </c>
      <c r="N12" s="18">
        <v>1</v>
      </c>
      <c r="O12" s="21">
        <v>1</v>
      </c>
      <c r="P12" s="21">
        <v>1</v>
      </c>
      <c r="Q12" s="21">
        <v>0</v>
      </c>
      <c r="R12" s="21">
        <v>6</v>
      </c>
      <c r="S12" s="34"/>
      <c r="T12" s="29" t="s">
        <v>346</v>
      </c>
      <c r="U12" s="24" t="str">
        <f>Utah!U11</f>
        <v>Federico Anselmi</v>
      </c>
      <c r="V12" s="24" t="str">
        <f>Utah!V11</f>
        <v>Mike Kelly</v>
      </c>
      <c r="W12" s="24" t="str">
        <f>Utah!W11</f>
        <v>Kahlil Harrison</v>
      </c>
      <c r="X12" s="24" t="str">
        <f>Utah!X11</f>
        <v>Alex Nunnally</v>
      </c>
      <c r="Y12" s="25">
        <f>Utah!Y11</f>
        <v>1</v>
      </c>
      <c r="Z12" s="25">
        <f>Utah!AB11</f>
        <v>0</v>
      </c>
      <c r="AA12" s="25">
        <f>Utah!AA11</f>
        <v>0</v>
      </c>
      <c r="AB12" s="26">
        <f>Utah!Z11</f>
        <v>1</v>
      </c>
      <c r="AC12" s="25"/>
      <c r="AD12" s="25"/>
      <c r="AE12" s="25"/>
      <c r="AF12" s="26"/>
      <c r="AG12" s="25">
        <f>Y12</f>
        <v>1</v>
      </c>
      <c r="AH12" s="25">
        <f t="shared" si="2"/>
        <v>0</v>
      </c>
      <c r="AI12" s="25">
        <f t="shared" si="2"/>
        <v>0</v>
      </c>
      <c r="AJ12" s="25">
        <f t="shared" si="2"/>
        <v>1</v>
      </c>
      <c r="AK12" s="25"/>
      <c r="AL12" s="25"/>
      <c r="AM12" s="25"/>
      <c r="AN12" s="26"/>
    </row>
    <row r="13" spans="1:40" ht="17" thickBot="1" x14ac:dyDescent="0.35">
      <c r="A13" s="31" t="s">
        <v>42</v>
      </c>
      <c r="B13" s="3" t="s">
        <v>32</v>
      </c>
      <c r="C13" s="4" t="s">
        <v>36</v>
      </c>
      <c r="D13" s="5" t="s">
        <v>34</v>
      </c>
      <c r="E13" s="5" t="s">
        <v>30</v>
      </c>
      <c r="F13" s="5">
        <v>14</v>
      </c>
      <c r="G13" s="6">
        <v>7</v>
      </c>
      <c r="H13" s="7">
        <v>0</v>
      </c>
      <c r="I13" s="8">
        <v>0</v>
      </c>
      <c r="J13" s="8">
        <v>2</v>
      </c>
      <c r="K13" s="8">
        <v>2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1</v>
      </c>
      <c r="R13" s="8">
        <v>1</v>
      </c>
      <c r="S13" s="32"/>
      <c r="T13" s="298" t="s">
        <v>358</v>
      </c>
      <c r="U13" s="11" t="s">
        <v>218</v>
      </c>
      <c r="V13" s="12" t="s">
        <v>220</v>
      </c>
      <c r="W13" s="12" t="s">
        <v>212</v>
      </c>
      <c r="X13" s="13" t="s">
        <v>280</v>
      </c>
      <c r="Y13" s="12">
        <v>1</v>
      </c>
      <c r="Z13" s="12">
        <v>1</v>
      </c>
      <c r="AA13" s="12">
        <v>0</v>
      </c>
      <c r="AB13" s="14">
        <v>0</v>
      </c>
      <c r="AC13" s="12">
        <f>Y13</f>
        <v>1</v>
      </c>
      <c r="AD13" s="12">
        <f t="shared" ref="AD13:AF13" si="3">Z13</f>
        <v>1</v>
      </c>
      <c r="AE13" s="12">
        <f t="shared" si="3"/>
        <v>0</v>
      </c>
      <c r="AF13" s="12">
        <f t="shared" si="3"/>
        <v>0</v>
      </c>
      <c r="AG13" s="12"/>
      <c r="AH13" s="12"/>
      <c r="AI13" s="12"/>
      <c r="AJ13" s="14"/>
      <c r="AK13" s="12"/>
      <c r="AL13" s="12"/>
      <c r="AM13" s="12"/>
      <c r="AN13" s="14"/>
    </row>
    <row r="14" spans="1:40" ht="17" thickBot="1" x14ac:dyDescent="0.35">
      <c r="A14" s="33" t="s">
        <v>107</v>
      </c>
      <c r="B14" s="16" t="s">
        <v>32</v>
      </c>
      <c r="C14" s="17" t="s">
        <v>33</v>
      </c>
      <c r="D14" s="18" t="s">
        <v>21</v>
      </c>
      <c r="E14" s="18" t="s">
        <v>31</v>
      </c>
      <c r="F14" s="18">
        <v>17</v>
      </c>
      <c r="G14" s="19">
        <v>27</v>
      </c>
      <c r="H14" s="20">
        <v>0</v>
      </c>
      <c r="I14" s="21">
        <v>0</v>
      </c>
      <c r="J14" s="21">
        <v>3</v>
      </c>
      <c r="K14" s="21">
        <v>1</v>
      </c>
      <c r="L14" s="21">
        <v>0</v>
      </c>
      <c r="M14" s="21">
        <v>0</v>
      </c>
      <c r="N14" s="21">
        <v>3</v>
      </c>
      <c r="O14" s="21">
        <v>0</v>
      </c>
      <c r="P14" s="21">
        <v>1</v>
      </c>
      <c r="Q14" s="21">
        <v>0</v>
      </c>
      <c r="R14" s="21">
        <v>4</v>
      </c>
      <c r="S14" s="34"/>
      <c r="T14" s="29" t="s">
        <v>232</v>
      </c>
      <c r="U14" s="24" t="str">
        <f>NewEngland!U14</f>
        <v>Federico Anselmi</v>
      </c>
      <c r="V14" s="24" t="str">
        <f>NewEngland!V14</f>
        <v>Mike Kelly</v>
      </c>
      <c r="W14" s="24" t="str">
        <f>NewEngland!W14</f>
        <v>Amelia Luciano</v>
      </c>
      <c r="X14" s="24" t="str">
        <f>NewEngland!X14</f>
        <v>Jarrod Ford</v>
      </c>
      <c r="Y14" s="25">
        <f>NewEngland!Y14</f>
        <v>1</v>
      </c>
      <c r="Z14" s="25">
        <f>NewEngland!AB14</f>
        <v>0</v>
      </c>
      <c r="AA14" s="25">
        <f>NewEngland!AA14</f>
        <v>0</v>
      </c>
      <c r="AB14" s="26">
        <f>NewEngland!Z14</f>
        <v>1</v>
      </c>
      <c r="AC14" s="25"/>
      <c r="AD14" s="25"/>
      <c r="AE14" s="25"/>
      <c r="AF14" s="26"/>
      <c r="AG14" s="25">
        <f>Y14</f>
        <v>1</v>
      </c>
      <c r="AH14" s="25">
        <f t="shared" ref="AH14:AJ14" si="4">Z14</f>
        <v>0</v>
      </c>
      <c r="AI14" s="25">
        <f t="shared" si="4"/>
        <v>0</v>
      </c>
      <c r="AJ14" s="25">
        <f t="shared" si="4"/>
        <v>1</v>
      </c>
      <c r="AK14" s="25"/>
      <c r="AL14" s="25"/>
      <c r="AM14" s="25"/>
      <c r="AN14" s="26"/>
    </row>
    <row r="15" spans="1:40" ht="17" thickBot="1" x14ac:dyDescent="0.35">
      <c r="A15" s="31" t="s">
        <v>45</v>
      </c>
      <c r="B15" s="3" t="s">
        <v>32</v>
      </c>
      <c r="C15" s="4" t="s">
        <v>46</v>
      </c>
      <c r="D15" s="5" t="s">
        <v>34</v>
      </c>
      <c r="E15" s="5" t="s">
        <v>31</v>
      </c>
      <c r="F15" s="5">
        <v>24</v>
      </c>
      <c r="G15" s="6">
        <v>26</v>
      </c>
      <c r="H15" s="7">
        <v>0</v>
      </c>
      <c r="I15" s="8">
        <v>1</v>
      </c>
      <c r="J15" s="8">
        <v>3</v>
      </c>
      <c r="K15" s="8">
        <v>2</v>
      </c>
      <c r="L15" s="8">
        <v>0</v>
      </c>
      <c r="M15" s="8">
        <v>1</v>
      </c>
      <c r="N15" s="8">
        <v>0</v>
      </c>
      <c r="O15" s="8">
        <v>0</v>
      </c>
      <c r="P15" s="8">
        <v>1</v>
      </c>
      <c r="Q15" s="8">
        <v>0</v>
      </c>
      <c r="R15" s="8">
        <v>4</v>
      </c>
      <c r="S15" s="32"/>
      <c r="T15" s="10" t="s">
        <v>234</v>
      </c>
      <c r="U15" s="11" t="s">
        <v>222</v>
      </c>
      <c r="V15" s="12" t="s">
        <v>305</v>
      </c>
      <c r="W15" s="12" t="s">
        <v>258</v>
      </c>
      <c r="X15" s="13" t="s">
        <v>280</v>
      </c>
      <c r="Y15" s="12">
        <v>1</v>
      </c>
      <c r="Z15" s="12">
        <v>0</v>
      </c>
      <c r="AA15" s="12">
        <v>0</v>
      </c>
      <c r="AB15" s="14">
        <v>1</v>
      </c>
      <c r="AC15" s="12">
        <f>Y15</f>
        <v>1</v>
      </c>
      <c r="AD15" s="12">
        <f t="shared" ref="AD15:AF15" si="5">Z15</f>
        <v>0</v>
      </c>
      <c r="AE15" s="12">
        <f t="shared" si="5"/>
        <v>0</v>
      </c>
      <c r="AF15" s="12">
        <f t="shared" si="5"/>
        <v>1</v>
      </c>
      <c r="AG15" s="12"/>
      <c r="AH15" s="12"/>
      <c r="AI15" s="12"/>
      <c r="AJ15" s="14"/>
      <c r="AK15" s="12"/>
      <c r="AL15" s="12"/>
      <c r="AM15" s="12"/>
      <c r="AN15" s="14"/>
    </row>
    <row r="16" spans="1:40" ht="17" thickBot="1" x14ac:dyDescent="0.35">
      <c r="A16" s="33" t="s">
        <v>109</v>
      </c>
      <c r="B16" s="16" t="s">
        <v>32</v>
      </c>
      <c r="C16" s="17" t="s">
        <v>70</v>
      </c>
      <c r="D16" s="18" t="s">
        <v>21</v>
      </c>
      <c r="E16" s="18" t="s">
        <v>30</v>
      </c>
      <c r="F16" s="18">
        <v>33</v>
      </c>
      <c r="G16" s="19">
        <v>19</v>
      </c>
      <c r="H16" s="20">
        <v>1</v>
      </c>
      <c r="I16" s="21">
        <v>0</v>
      </c>
      <c r="J16" s="21">
        <v>5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3</v>
      </c>
      <c r="S16" s="34"/>
      <c r="T16" s="292" t="s">
        <v>356</v>
      </c>
      <c r="U16" s="24" t="str">
        <f>Anthem!U16</f>
        <v>Marquise Goodwin</v>
      </c>
      <c r="V16" s="24" t="str">
        <f>Anthem!V16</f>
        <v>Amanda Cox</v>
      </c>
      <c r="W16" s="24" t="str">
        <f>Anthem!W16</f>
        <v>Jacob Gonzales</v>
      </c>
      <c r="X16" s="24" t="str">
        <f>Anthem!X16</f>
        <v>Dave Edwards</v>
      </c>
      <c r="Y16" s="25">
        <f>Anthem!Y16</f>
        <v>1</v>
      </c>
      <c r="Z16" s="25">
        <f>Anthem!AB16</f>
        <v>1</v>
      </c>
      <c r="AA16" s="25">
        <f>Anthem!AA16</f>
        <v>0</v>
      </c>
      <c r="AB16" s="26">
        <f>Anthem!Z16</f>
        <v>0</v>
      </c>
      <c r="AC16" s="25"/>
      <c r="AD16" s="25"/>
      <c r="AE16" s="25"/>
      <c r="AF16" s="26"/>
      <c r="AG16" s="25">
        <f>Y16</f>
        <v>1</v>
      </c>
      <c r="AH16" s="25">
        <f t="shared" ref="AH16:AJ16" si="6">Z16</f>
        <v>1</v>
      </c>
      <c r="AI16" s="25">
        <f t="shared" si="6"/>
        <v>0</v>
      </c>
      <c r="AJ16" s="25">
        <f t="shared" si="6"/>
        <v>0</v>
      </c>
      <c r="AK16" s="25"/>
      <c r="AL16" s="25"/>
      <c r="AM16" s="25"/>
      <c r="AN16" s="26"/>
    </row>
    <row r="17" spans="1:40" ht="17" thickBot="1" x14ac:dyDescent="0.35">
      <c r="A17" s="31" t="s">
        <v>110</v>
      </c>
      <c r="B17" s="3" t="s">
        <v>32</v>
      </c>
      <c r="C17" s="4" t="s">
        <v>96</v>
      </c>
      <c r="D17" s="5" t="s">
        <v>34</v>
      </c>
      <c r="E17" s="5" t="s">
        <v>30</v>
      </c>
      <c r="F17" s="5">
        <v>38</v>
      </c>
      <c r="G17" s="6">
        <v>17</v>
      </c>
      <c r="H17" s="7">
        <v>1</v>
      </c>
      <c r="I17" s="8">
        <v>0</v>
      </c>
      <c r="J17" s="8">
        <v>6</v>
      </c>
      <c r="K17" s="8">
        <v>4</v>
      </c>
      <c r="L17" s="8">
        <v>0</v>
      </c>
      <c r="M17" s="8">
        <v>0</v>
      </c>
      <c r="N17" s="5">
        <v>0</v>
      </c>
      <c r="O17" s="8">
        <v>0</v>
      </c>
      <c r="P17" s="8">
        <v>0</v>
      </c>
      <c r="Q17" s="8">
        <v>0</v>
      </c>
      <c r="R17" s="8">
        <v>3</v>
      </c>
      <c r="S17" s="9"/>
      <c r="T17" s="282" t="s">
        <v>265</v>
      </c>
      <c r="U17" s="12" t="s">
        <v>386</v>
      </c>
      <c r="V17" s="12" t="s">
        <v>237</v>
      </c>
      <c r="W17" s="12" t="s">
        <v>218</v>
      </c>
      <c r="X17" s="12" t="s">
        <v>390</v>
      </c>
      <c r="Y17" s="12">
        <v>1</v>
      </c>
      <c r="Z17" s="12">
        <v>1</v>
      </c>
      <c r="AA17" s="12">
        <v>0</v>
      </c>
      <c r="AB17" s="14">
        <v>0</v>
      </c>
      <c r="AC17" s="12">
        <f>Y17</f>
        <v>1</v>
      </c>
      <c r="AD17" s="12">
        <f t="shared" ref="AD17:AF18" si="7">Z17</f>
        <v>1</v>
      </c>
      <c r="AE17" s="12">
        <f t="shared" si="7"/>
        <v>0</v>
      </c>
      <c r="AF17" s="12">
        <f t="shared" si="7"/>
        <v>0</v>
      </c>
      <c r="AG17" s="12"/>
      <c r="AH17" s="12"/>
      <c r="AI17" s="12"/>
      <c r="AJ17" s="14"/>
      <c r="AK17" s="12"/>
      <c r="AL17" s="12"/>
      <c r="AM17" s="12"/>
      <c r="AN17" s="14"/>
    </row>
    <row r="18" spans="1:40" ht="17" thickBot="1" x14ac:dyDescent="0.35">
      <c r="A18" s="31" t="s">
        <v>119</v>
      </c>
      <c r="B18" s="3" t="s">
        <v>32</v>
      </c>
      <c r="C18" s="167" t="s">
        <v>44</v>
      </c>
      <c r="D18" s="45" t="s">
        <v>34</v>
      </c>
      <c r="E18" s="45" t="s">
        <v>30</v>
      </c>
      <c r="F18" s="5">
        <v>15</v>
      </c>
      <c r="G18" s="6">
        <v>12</v>
      </c>
      <c r="H18" s="7">
        <v>0</v>
      </c>
      <c r="I18" s="8">
        <v>0</v>
      </c>
      <c r="J18" s="8">
        <v>2</v>
      </c>
      <c r="K18" s="8">
        <v>1</v>
      </c>
      <c r="L18" s="8">
        <v>0</v>
      </c>
      <c r="M18" s="8">
        <v>1</v>
      </c>
      <c r="N18" s="8">
        <v>3</v>
      </c>
      <c r="O18" s="8">
        <v>0</v>
      </c>
      <c r="P18" s="8">
        <v>0</v>
      </c>
      <c r="Q18" s="8">
        <v>1</v>
      </c>
      <c r="R18" s="8">
        <v>2</v>
      </c>
      <c r="S18" s="32"/>
      <c r="T18" s="282" t="s">
        <v>363</v>
      </c>
      <c r="U18" s="12" t="s">
        <v>222</v>
      </c>
      <c r="V18" s="12" t="s">
        <v>215</v>
      </c>
      <c r="W18" s="12" t="s">
        <v>305</v>
      </c>
      <c r="X18" s="247" t="s">
        <v>396</v>
      </c>
      <c r="Y18" s="12">
        <v>1</v>
      </c>
      <c r="Z18" s="12">
        <v>1</v>
      </c>
      <c r="AA18" s="12">
        <v>0</v>
      </c>
      <c r="AB18" s="14">
        <v>0</v>
      </c>
      <c r="AC18" s="12">
        <f>Y18</f>
        <v>1</v>
      </c>
      <c r="AD18" s="12">
        <f t="shared" si="7"/>
        <v>1</v>
      </c>
      <c r="AE18" s="12">
        <f t="shared" si="7"/>
        <v>0</v>
      </c>
      <c r="AF18" s="12">
        <f t="shared" si="7"/>
        <v>0</v>
      </c>
      <c r="AG18" s="12"/>
      <c r="AH18" s="12"/>
      <c r="AI18" s="12"/>
      <c r="AJ18" s="14"/>
      <c r="AK18" s="12"/>
      <c r="AL18" s="12"/>
      <c r="AM18" s="12"/>
      <c r="AN18" s="14"/>
    </row>
    <row r="19" spans="1:40" ht="17" thickBot="1" x14ac:dyDescent="0.35">
      <c r="A19" s="362" t="s">
        <v>411</v>
      </c>
      <c r="B19" s="362" t="s">
        <v>112</v>
      </c>
      <c r="C19" s="167" t="s">
        <v>37</v>
      </c>
      <c r="D19" s="45" t="s">
        <v>34</v>
      </c>
      <c r="E19" s="45" t="s">
        <v>30</v>
      </c>
      <c r="F19" s="45">
        <v>27</v>
      </c>
      <c r="G19" s="363">
        <v>16</v>
      </c>
      <c r="H19" s="364"/>
      <c r="I19" s="365"/>
      <c r="J19" s="365">
        <v>3</v>
      </c>
      <c r="K19" s="365">
        <v>3</v>
      </c>
      <c r="L19" s="365">
        <v>0</v>
      </c>
      <c r="M19" s="365">
        <v>2</v>
      </c>
      <c r="N19" s="365">
        <v>0</v>
      </c>
      <c r="O19" s="365">
        <v>0</v>
      </c>
      <c r="P19" s="365"/>
      <c r="Q19" s="365"/>
      <c r="R19" s="365">
        <v>1</v>
      </c>
      <c r="S19" s="32"/>
      <c r="T19" s="298" t="s">
        <v>416</v>
      </c>
      <c r="U19" s="12" t="s">
        <v>214</v>
      </c>
      <c r="V19" s="12" t="s">
        <v>213</v>
      </c>
      <c r="W19" s="12" t="s">
        <v>216</v>
      </c>
      <c r="X19" s="12" t="s">
        <v>284</v>
      </c>
      <c r="Y19" s="12">
        <v>1</v>
      </c>
      <c r="Z19" s="12">
        <v>1</v>
      </c>
      <c r="AA19" s="12">
        <v>0</v>
      </c>
      <c r="AB19" s="12">
        <v>0</v>
      </c>
      <c r="AC19" s="12">
        <v>1</v>
      </c>
      <c r="AD19" s="12">
        <v>1</v>
      </c>
      <c r="AE19" s="12">
        <v>0</v>
      </c>
      <c r="AF19" s="12">
        <v>0</v>
      </c>
      <c r="AG19" s="12"/>
      <c r="AH19" s="12"/>
      <c r="AI19" s="12"/>
      <c r="AJ19" s="12"/>
      <c r="AK19" s="12"/>
      <c r="AL19" s="12"/>
      <c r="AM19" s="12"/>
      <c r="AN19" s="12"/>
    </row>
    <row r="20" spans="1:40" ht="17" thickBot="1" x14ac:dyDescent="0.35">
      <c r="A20" s="366" t="s">
        <v>427</v>
      </c>
      <c r="B20" s="366" t="s">
        <v>113</v>
      </c>
      <c r="C20" s="37" t="s">
        <v>33</v>
      </c>
      <c r="D20" s="38" t="s">
        <v>21</v>
      </c>
      <c r="E20" s="38" t="s">
        <v>31</v>
      </c>
      <c r="F20" s="38">
        <v>20</v>
      </c>
      <c r="G20" s="367">
        <v>21</v>
      </c>
      <c r="H20" s="368"/>
      <c r="I20" s="369"/>
      <c r="J20" s="369">
        <v>2</v>
      </c>
      <c r="K20" s="369">
        <v>2</v>
      </c>
      <c r="L20" s="369">
        <v>0</v>
      </c>
      <c r="M20" s="369">
        <v>2</v>
      </c>
      <c r="N20" s="369">
        <v>0</v>
      </c>
      <c r="O20" s="369">
        <v>0</v>
      </c>
      <c r="P20" s="369"/>
      <c r="Q20" s="369"/>
      <c r="R20" s="369">
        <v>3</v>
      </c>
      <c r="S20" s="34"/>
      <c r="T20" s="29" t="s">
        <v>430</v>
      </c>
      <c r="U20" s="25" t="s">
        <v>216</v>
      </c>
      <c r="V20" s="25" t="s">
        <v>210</v>
      </c>
      <c r="W20" s="25" t="s">
        <v>226</v>
      </c>
      <c r="X20" s="25" t="s">
        <v>220</v>
      </c>
      <c r="Y20" s="25">
        <v>1</v>
      </c>
      <c r="Z20" s="25">
        <v>0</v>
      </c>
      <c r="AA20" s="25">
        <v>0</v>
      </c>
      <c r="AB20" s="25">
        <v>1</v>
      </c>
      <c r="AC20" s="25"/>
      <c r="AD20" s="25"/>
      <c r="AE20" s="25"/>
      <c r="AF20" s="25"/>
      <c r="AG20" s="25">
        <v>1</v>
      </c>
      <c r="AH20" s="25">
        <v>0</v>
      </c>
      <c r="AI20" s="25">
        <v>0</v>
      </c>
      <c r="AJ20" s="25">
        <v>1</v>
      </c>
      <c r="AK20" s="25"/>
      <c r="AL20" s="25"/>
      <c r="AM20" s="25"/>
      <c r="AN20" s="25"/>
    </row>
    <row r="21" spans="1:40" ht="17" thickBot="1" x14ac:dyDescent="0.35">
      <c r="A21" s="39"/>
      <c r="B21" s="40"/>
      <c r="C21" s="389" t="s">
        <v>48</v>
      </c>
      <c r="D21" s="416"/>
      <c r="E21" s="417"/>
      <c r="F21" s="41">
        <f t="shared" ref="F21:R21" si="8">SUM(F3+F4+F5+F6+F7+F8+F9+F10+F11+F12+F13+F14+F15+F16+F17+F18)</f>
        <v>422</v>
      </c>
      <c r="G21" s="41">
        <f t="shared" si="8"/>
        <v>353</v>
      </c>
      <c r="H21" s="41">
        <f t="shared" si="8"/>
        <v>7</v>
      </c>
      <c r="I21" s="41">
        <f t="shared" si="8"/>
        <v>2</v>
      </c>
      <c r="J21" s="41">
        <f t="shared" si="8"/>
        <v>57</v>
      </c>
      <c r="K21" s="41">
        <f t="shared" si="8"/>
        <v>35</v>
      </c>
      <c r="L21" s="41">
        <f t="shared" si="8"/>
        <v>0</v>
      </c>
      <c r="M21" s="41">
        <f t="shared" si="8"/>
        <v>15</v>
      </c>
      <c r="N21" s="41">
        <f t="shared" si="8"/>
        <v>18</v>
      </c>
      <c r="O21" s="41">
        <f t="shared" si="8"/>
        <v>4</v>
      </c>
      <c r="P21" s="41">
        <f t="shared" si="8"/>
        <v>5</v>
      </c>
      <c r="Q21" s="41">
        <f t="shared" si="8"/>
        <v>6</v>
      </c>
      <c r="R21" s="41">
        <f t="shared" si="8"/>
        <v>49</v>
      </c>
      <c r="S21" s="42"/>
      <c r="T21" s="42"/>
      <c r="U21" s="42"/>
      <c r="V21" s="42"/>
      <c r="W21" s="43"/>
      <c r="X21" s="44" t="s">
        <v>48</v>
      </c>
      <c r="Y21" s="41">
        <f t="shared" ref="Y21:AN21" si="9">Y3+Y4+Y5+Y6+Y7+Y8+Y9+Y10+Y11+Y12+Y13+Y14+Y15+Y16+Y17+Y18</f>
        <v>16</v>
      </c>
      <c r="Z21" s="41">
        <f t="shared" si="9"/>
        <v>11</v>
      </c>
      <c r="AA21" s="41">
        <f t="shared" si="9"/>
        <v>0</v>
      </c>
      <c r="AB21" s="41">
        <f t="shared" si="9"/>
        <v>5</v>
      </c>
      <c r="AC21" s="45">
        <f t="shared" si="9"/>
        <v>8</v>
      </c>
      <c r="AD21" s="45">
        <f t="shared" si="9"/>
        <v>6</v>
      </c>
      <c r="AE21" s="45">
        <f t="shared" si="9"/>
        <v>0</v>
      </c>
      <c r="AF21" s="45">
        <f t="shared" si="9"/>
        <v>2</v>
      </c>
      <c r="AG21" s="38">
        <f t="shared" si="9"/>
        <v>8</v>
      </c>
      <c r="AH21" s="38">
        <f t="shared" si="9"/>
        <v>5</v>
      </c>
      <c r="AI21" s="38">
        <f t="shared" si="9"/>
        <v>0</v>
      </c>
      <c r="AJ21" s="38">
        <f t="shared" si="9"/>
        <v>3</v>
      </c>
      <c r="AK21" s="41">
        <f t="shared" si="9"/>
        <v>0</v>
      </c>
      <c r="AL21" s="41">
        <f t="shared" si="9"/>
        <v>0</v>
      </c>
      <c r="AM21" s="41">
        <f t="shared" si="9"/>
        <v>0</v>
      </c>
      <c r="AN21" s="41">
        <f t="shared" si="9"/>
        <v>0</v>
      </c>
    </row>
    <row r="22" spans="1:40" ht="17" customHeight="1" thickBot="1" x14ac:dyDescent="0.35">
      <c r="A22" s="39"/>
      <c r="B22" s="40"/>
      <c r="C22" s="389" t="s">
        <v>413</v>
      </c>
      <c r="D22" s="416"/>
      <c r="E22" s="417"/>
      <c r="F22" s="46">
        <f>F19+F20</f>
        <v>47</v>
      </c>
      <c r="G22" s="46">
        <f t="shared" ref="G22:R22" si="10">G19+G20</f>
        <v>37</v>
      </c>
      <c r="H22" s="46">
        <f t="shared" si="10"/>
        <v>0</v>
      </c>
      <c r="I22" s="46">
        <f t="shared" si="10"/>
        <v>0</v>
      </c>
      <c r="J22" s="46">
        <f t="shared" si="10"/>
        <v>5</v>
      </c>
      <c r="K22" s="46">
        <f t="shared" si="10"/>
        <v>5</v>
      </c>
      <c r="L22" s="46">
        <f t="shared" si="10"/>
        <v>0</v>
      </c>
      <c r="M22" s="46">
        <f t="shared" si="10"/>
        <v>4</v>
      </c>
      <c r="N22" s="46">
        <f t="shared" si="10"/>
        <v>0</v>
      </c>
      <c r="O22" s="46">
        <f t="shared" si="10"/>
        <v>0</v>
      </c>
      <c r="P22" s="46">
        <f t="shared" si="10"/>
        <v>0</v>
      </c>
      <c r="Q22" s="46">
        <f t="shared" si="10"/>
        <v>0</v>
      </c>
      <c r="R22" s="46">
        <f t="shared" si="10"/>
        <v>4</v>
      </c>
      <c r="S22" s="42"/>
      <c r="T22" s="42"/>
      <c r="U22" s="42"/>
      <c r="V22" s="42"/>
      <c r="W22" s="43"/>
      <c r="X22" s="359" t="s">
        <v>413</v>
      </c>
      <c r="Y22" s="41">
        <f>Y19+Y20</f>
        <v>2</v>
      </c>
      <c r="Z22" s="41">
        <f t="shared" ref="Z22:AB22" si="11">Z19+Z20</f>
        <v>1</v>
      </c>
      <c r="AA22" s="41">
        <f t="shared" si="11"/>
        <v>0</v>
      </c>
      <c r="AB22" s="41">
        <f t="shared" si="11"/>
        <v>1</v>
      </c>
      <c r="AC22" s="45">
        <f>AC19+AC20</f>
        <v>1</v>
      </c>
      <c r="AD22" s="45">
        <f t="shared" ref="AD22:AF22" si="12">AD19+AD20</f>
        <v>1</v>
      </c>
      <c r="AE22" s="45">
        <f t="shared" si="12"/>
        <v>0</v>
      </c>
      <c r="AF22" s="45">
        <f t="shared" si="12"/>
        <v>0</v>
      </c>
      <c r="AG22" s="38">
        <f>AG19+AG20</f>
        <v>1</v>
      </c>
      <c r="AH22" s="38">
        <f t="shared" ref="AH22:AJ22" si="13">AH19+AH20</f>
        <v>0</v>
      </c>
      <c r="AI22" s="38">
        <f t="shared" si="13"/>
        <v>0</v>
      </c>
      <c r="AJ22" s="38">
        <f t="shared" si="13"/>
        <v>1</v>
      </c>
      <c r="AK22" s="41">
        <f>AK19+AK20</f>
        <v>0</v>
      </c>
      <c r="AL22" s="41">
        <f t="shared" ref="AL22:AN22" si="14">AL19+AL20</f>
        <v>0</v>
      </c>
      <c r="AM22" s="41">
        <f t="shared" si="14"/>
        <v>0</v>
      </c>
      <c r="AN22" s="41">
        <f t="shared" si="14"/>
        <v>0</v>
      </c>
    </row>
    <row r="23" spans="1:40" ht="17" thickBot="1" x14ac:dyDescent="0.35">
      <c r="A23" s="39"/>
      <c r="B23" s="40"/>
      <c r="C23" s="389" t="s">
        <v>49</v>
      </c>
      <c r="D23" s="390"/>
      <c r="E23" s="391"/>
      <c r="F23" s="46">
        <f>F21+F22</f>
        <v>469</v>
      </c>
      <c r="G23" s="46">
        <f t="shared" ref="G23:R23" si="15">G21+G22</f>
        <v>390</v>
      </c>
      <c r="H23" s="46">
        <f t="shared" si="15"/>
        <v>7</v>
      </c>
      <c r="I23" s="46">
        <f t="shared" si="15"/>
        <v>2</v>
      </c>
      <c r="J23" s="46">
        <f t="shared" si="15"/>
        <v>62</v>
      </c>
      <c r="K23" s="46">
        <f t="shared" si="15"/>
        <v>40</v>
      </c>
      <c r="L23" s="46">
        <f t="shared" si="15"/>
        <v>0</v>
      </c>
      <c r="M23" s="46">
        <f t="shared" si="15"/>
        <v>19</v>
      </c>
      <c r="N23" s="46">
        <f t="shared" si="15"/>
        <v>18</v>
      </c>
      <c r="O23" s="46">
        <f t="shared" si="15"/>
        <v>4</v>
      </c>
      <c r="P23" s="46">
        <f t="shared" si="15"/>
        <v>5</v>
      </c>
      <c r="Q23" s="46">
        <f t="shared" si="15"/>
        <v>6</v>
      </c>
      <c r="R23" s="46">
        <f t="shared" si="15"/>
        <v>53</v>
      </c>
      <c r="S23" s="42"/>
      <c r="T23" s="42"/>
      <c r="U23" s="42"/>
      <c r="V23" s="42"/>
      <c r="W23" s="43"/>
      <c r="X23" s="44" t="s">
        <v>49</v>
      </c>
      <c r="Y23" s="41">
        <f t="shared" ref="Y23:AN23" si="16">Y21+Y22</f>
        <v>18</v>
      </c>
      <c r="Z23" s="41">
        <f t="shared" si="16"/>
        <v>12</v>
      </c>
      <c r="AA23" s="41">
        <f t="shared" si="16"/>
        <v>0</v>
      </c>
      <c r="AB23" s="41">
        <f t="shared" si="16"/>
        <v>6</v>
      </c>
      <c r="AC23" s="45">
        <f t="shared" si="16"/>
        <v>9</v>
      </c>
      <c r="AD23" s="45">
        <f t="shared" si="16"/>
        <v>7</v>
      </c>
      <c r="AE23" s="45">
        <f t="shared" si="16"/>
        <v>0</v>
      </c>
      <c r="AF23" s="45">
        <f t="shared" si="16"/>
        <v>2</v>
      </c>
      <c r="AG23" s="38">
        <f t="shared" si="16"/>
        <v>9</v>
      </c>
      <c r="AH23" s="38">
        <f t="shared" si="16"/>
        <v>5</v>
      </c>
      <c r="AI23" s="38">
        <f t="shared" si="16"/>
        <v>0</v>
      </c>
      <c r="AJ23" s="38">
        <f t="shared" si="16"/>
        <v>4</v>
      </c>
      <c r="AK23" s="41">
        <f t="shared" si="16"/>
        <v>0</v>
      </c>
      <c r="AL23" s="41">
        <f t="shared" si="16"/>
        <v>0</v>
      </c>
      <c r="AM23" s="41">
        <f t="shared" si="16"/>
        <v>0</v>
      </c>
      <c r="AN23" s="41">
        <f t="shared" si="16"/>
        <v>0</v>
      </c>
    </row>
    <row r="24" spans="1:40" x14ac:dyDescent="0.3">
      <c r="A24" s="47" t="s">
        <v>382</v>
      </c>
    </row>
    <row r="25" spans="1:40" x14ac:dyDescent="0.3">
      <c r="A25" s="1" t="s">
        <v>52</v>
      </c>
    </row>
  </sheetData>
  <mergeCells count="13">
    <mergeCell ref="Y1:AB1"/>
    <mergeCell ref="AC1:AF1"/>
    <mergeCell ref="AG1:AJ1"/>
    <mergeCell ref="AK1:AN1"/>
    <mergeCell ref="C21:E21"/>
    <mergeCell ref="N1:O1"/>
    <mergeCell ref="P1:R1"/>
    <mergeCell ref="C23:E23"/>
    <mergeCell ref="A1:D1"/>
    <mergeCell ref="E1:G1"/>
    <mergeCell ref="H1:I1"/>
    <mergeCell ref="J1:M1"/>
    <mergeCell ref="C22:E22"/>
  </mergeCells>
  <pageMargins left="0.7" right="0.7" top="0.75" bottom="0.75" header="0.3" footer="0.3"/>
  <ignoredErrors>
    <ignoredError sqref="T15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1FD0-FBC8-4C4A-A00C-208529217292}">
  <dimension ref="A1:AN26"/>
  <sheetViews>
    <sheetView zoomScale="80" zoomScaleNormal="80" workbookViewId="0">
      <selection sqref="A1:D1"/>
    </sheetView>
  </sheetViews>
  <sheetFormatPr defaultColWidth="11.44140625" defaultRowHeight="16.3" x14ac:dyDescent="0.3"/>
  <cols>
    <col min="1" max="1" width="6.44140625" style="47" bestFit="1" customWidth="1"/>
    <col min="2" max="2" width="6" style="47" bestFit="1" customWidth="1"/>
    <col min="3" max="3" width="12" style="47" customWidth="1"/>
    <col min="4" max="4" width="4.77734375" style="47" customWidth="1"/>
    <col min="5" max="7" width="4.6640625" style="47" customWidth="1"/>
    <col min="8" max="18" width="4.77734375" style="47" customWidth="1"/>
    <col min="19" max="19" width="7" style="47" customWidth="1"/>
    <col min="20" max="20" width="6.77734375" style="47" customWidth="1"/>
    <col min="21" max="21" width="24" style="47" bestFit="1" customWidth="1"/>
    <col min="22" max="23" width="29" style="47" bestFit="1" customWidth="1"/>
    <col min="24" max="24" width="24" style="47" bestFit="1" customWidth="1"/>
    <col min="25" max="40" width="4.77734375" style="47" customWidth="1"/>
  </cols>
  <sheetData>
    <row r="1" spans="1:40" ht="17" thickBot="1" x14ac:dyDescent="0.35">
      <c r="A1" s="421" t="s">
        <v>54</v>
      </c>
      <c r="B1" s="422"/>
      <c r="C1" s="422"/>
      <c r="D1" s="423"/>
      <c r="E1" s="424" t="s">
        <v>0</v>
      </c>
      <c r="F1" s="425"/>
      <c r="G1" s="426"/>
      <c r="H1" s="424" t="s">
        <v>1</v>
      </c>
      <c r="I1" s="426"/>
      <c r="J1" s="427" t="s">
        <v>2</v>
      </c>
      <c r="K1" s="428"/>
      <c r="L1" s="428"/>
      <c r="M1" s="429"/>
      <c r="N1" s="427" t="s">
        <v>3</v>
      </c>
      <c r="O1" s="429"/>
      <c r="P1" s="427" t="s">
        <v>4</v>
      </c>
      <c r="Q1" s="428"/>
      <c r="R1" s="429"/>
      <c r="S1" s="81" t="s">
        <v>5</v>
      </c>
      <c r="T1" s="81" t="s">
        <v>6</v>
      </c>
      <c r="U1" s="82" t="s">
        <v>7</v>
      </c>
      <c r="V1" s="83" t="s">
        <v>8</v>
      </c>
      <c r="W1" s="83" t="s">
        <v>9</v>
      </c>
      <c r="X1" s="84" t="s">
        <v>10</v>
      </c>
      <c r="Y1" s="430" t="s">
        <v>11</v>
      </c>
      <c r="Z1" s="431"/>
      <c r="AA1" s="431"/>
      <c r="AB1" s="432"/>
      <c r="AC1" s="430" t="s">
        <v>12</v>
      </c>
      <c r="AD1" s="431"/>
      <c r="AE1" s="431"/>
      <c r="AF1" s="432"/>
      <c r="AG1" s="430" t="s">
        <v>13</v>
      </c>
      <c r="AH1" s="431"/>
      <c r="AI1" s="431"/>
      <c r="AJ1" s="432"/>
      <c r="AK1" s="430" t="s">
        <v>14</v>
      </c>
      <c r="AL1" s="431"/>
      <c r="AM1" s="431"/>
      <c r="AN1" s="432"/>
    </row>
    <row r="2" spans="1:40" ht="17" thickBot="1" x14ac:dyDescent="0.35">
      <c r="A2" s="85" t="s">
        <v>15</v>
      </c>
      <c r="B2" s="86" t="s">
        <v>16</v>
      </c>
      <c r="C2" s="87" t="s">
        <v>17</v>
      </c>
      <c r="D2" s="87" t="s">
        <v>18</v>
      </c>
      <c r="E2" s="88" t="s">
        <v>19</v>
      </c>
      <c r="F2" s="88" t="s">
        <v>20</v>
      </c>
      <c r="G2" s="88" t="s">
        <v>21</v>
      </c>
      <c r="H2" s="89" t="s">
        <v>22</v>
      </c>
      <c r="I2" s="89" t="s">
        <v>23</v>
      </c>
      <c r="J2" s="89" t="s">
        <v>24</v>
      </c>
      <c r="K2" s="89" t="s">
        <v>25</v>
      </c>
      <c r="L2" s="89" t="s">
        <v>26</v>
      </c>
      <c r="M2" s="89" t="s">
        <v>27</v>
      </c>
      <c r="N2" s="89" t="s">
        <v>28</v>
      </c>
      <c r="O2" s="89" t="s">
        <v>19</v>
      </c>
      <c r="P2" s="89" t="s">
        <v>22</v>
      </c>
      <c r="Q2" s="89" t="s">
        <v>23</v>
      </c>
      <c r="R2" s="89" t="s">
        <v>24</v>
      </c>
      <c r="S2" s="90"/>
      <c r="T2" s="91"/>
      <c r="U2" s="92"/>
      <c r="V2" s="90"/>
      <c r="W2" s="93"/>
      <c r="X2" s="94"/>
      <c r="Y2" s="95" t="s">
        <v>29</v>
      </c>
      <c r="Z2" s="95" t="s">
        <v>30</v>
      </c>
      <c r="AA2" s="95" t="s">
        <v>26</v>
      </c>
      <c r="AB2" s="95" t="s">
        <v>31</v>
      </c>
      <c r="AC2" s="95" t="s">
        <v>29</v>
      </c>
      <c r="AD2" s="95" t="s">
        <v>30</v>
      </c>
      <c r="AE2" s="95" t="s">
        <v>26</v>
      </c>
      <c r="AF2" s="95" t="s">
        <v>31</v>
      </c>
      <c r="AG2" s="95" t="s">
        <v>29</v>
      </c>
      <c r="AH2" s="95" t="s">
        <v>30</v>
      </c>
      <c r="AI2" s="95" t="s">
        <v>26</v>
      </c>
      <c r="AJ2" s="95" t="s">
        <v>31</v>
      </c>
      <c r="AK2" s="95" t="s">
        <v>29</v>
      </c>
      <c r="AL2" s="95" t="s">
        <v>30</v>
      </c>
      <c r="AM2" s="95" t="s">
        <v>26</v>
      </c>
      <c r="AN2" s="96" t="s">
        <v>31</v>
      </c>
    </row>
    <row r="3" spans="1:40" ht="17" thickBot="1" x14ac:dyDescent="0.35">
      <c r="A3" s="2" t="s">
        <v>97</v>
      </c>
      <c r="B3" s="3" t="s">
        <v>32</v>
      </c>
      <c r="C3" s="4" t="s">
        <v>40</v>
      </c>
      <c r="D3" s="5" t="s">
        <v>34</v>
      </c>
      <c r="E3" s="5" t="s">
        <v>31</v>
      </c>
      <c r="F3" s="5">
        <v>22</v>
      </c>
      <c r="G3" s="6">
        <v>25</v>
      </c>
      <c r="H3" s="7">
        <v>0</v>
      </c>
      <c r="I3" s="8">
        <v>1</v>
      </c>
      <c r="J3" s="8">
        <v>3</v>
      </c>
      <c r="K3" s="8">
        <v>1</v>
      </c>
      <c r="L3" s="8">
        <v>0</v>
      </c>
      <c r="M3" s="8">
        <v>1</v>
      </c>
      <c r="N3" s="8">
        <v>1</v>
      </c>
      <c r="O3" s="8">
        <v>0</v>
      </c>
      <c r="P3" s="8">
        <v>0</v>
      </c>
      <c r="Q3" s="8">
        <v>0</v>
      </c>
      <c r="R3" s="8">
        <v>3</v>
      </c>
      <c r="S3" s="9"/>
      <c r="T3" s="28" t="s">
        <v>232</v>
      </c>
      <c r="U3" s="11" t="s">
        <v>222</v>
      </c>
      <c r="V3" s="12" t="s">
        <v>223</v>
      </c>
      <c r="W3" s="13" t="s">
        <v>224</v>
      </c>
      <c r="X3" s="12" t="s">
        <v>225</v>
      </c>
      <c r="Y3" s="12">
        <v>1</v>
      </c>
      <c r="Z3" s="12">
        <v>0</v>
      </c>
      <c r="AA3" s="12">
        <v>0</v>
      </c>
      <c r="AB3" s="14">
        <v>1</v>
      </c>
      <c r="AC3" s="12">
        <v>1</v>
      </c>
      <c r="AD3" s="12">
        <v>0</v>
      </c>
      <c r="AE3" s="12">
        <v>0</v>
      </c>
      <c r="AF3" s="14">
        <v>1</v>
      </c>
      <c r="AG3" s="12"/>
      <c r="AH3" s="12"/>
      <c r="AI3" s="12"/>
      <c r="AJ3" s="14"/>
      <c r="AK3" s="12"/>
      <c r="AL3" s="12"/>
      <c r="AM3" s="12"/>
      <c r="AN3" s="14"/>
    </row>
    <row r="4" spans="1:40" ht="17" thickBot="1" x14ac:dyDescent="0.35">
      <c r="A4" s="15" t="s">
        <v>115</v>
      </c>
      <c r="B4" s="16" t="s">
        <v>32</v>
      </c>
      <c r="C4" s="17" t="s">
        <v>46</v>
      </c>
      <c r="D4" s="18" t="s">
        <v>21</v>
      </c>
      <c r="E4" s="18" t="s">
        <v>30</v>
      </c>
      <c r="F4" s="18">
        <v>45</v>
      </c>
      <c r="G4" s="19">
        <v>28</v>
      </c>
      <c r="H4" s="20">
        <v>1</v>
      </c>
      <c r="I4" s="21">
        <v>0</v>
      </c>
      <c r="J4" s="21">
        <v>7</v>
      </c>
      <c r="K4" s="18">
        <v>3</v>
      </c>
      <c r="L4" s="21">
        <v>0</v>
      </c>
      <c r="M4" s="18">
        <v>0</v>
      </c>
      <c r="N4" s="21">
        <v>1</v>
      </c>
      <c r="O4" s="21">
        <v>0</v>
      </c>
      <c r="P4" s="21">
        <v>1</v>
      </c>
      <c r="Q4" s="18">
        <v>0</v>
      </c>
      <c r="R4" s="21">
        <v>4</v>
      </c>
      <c r="S4" s="22"/>
      <c r="T4" s="281" t="s">
        <v>253</v>
      </c>
      <c r="U4" s="24" t="str">
        <f>LosAngeles!U4</f>
        <v>Moe Chaudry</v>
      </c>
      <c r="V4" s="24" t="str">
        <f>LosAngeles!V4</f>
        <v>Greg Gilliam</v>
      </c>
      <c r="W4" s="24" t="str">
        <f>LosAngeles!W4</f>
        <v>Kahlil Harrison</v>
      </c>
      <c r="X4" s="24" t="str">
        <f>LosAngeles!X4</f>
        <v>Kirk Swanner</v>
      </c>
      <c r="Y4" s="25">
        <v>1</v>
      </c>
      <c r="Z4" s="25">
        <v>1</v>
      </c>
      <c r="AA4" s="25">
        <v>0</v>
      </c>
      <c r="AB4" s="26">
        <v>0</v>
      </c>
      <c r="AC4" s="25"/>
      <c r="AD4" s="25"/>
      <c r="AE4" s="25"/>
      <c r="AF4" s="26"/>
      <c r="AG4" s="25">
        <v>1</v>
      </c>
      <c r="AH4" s="25">
        <v>1</v>
      </c>
      <c r="AI4" s="25">
        <v>0</v>
      </c>
      <c r="AJ4" s="26">
        <v>0</v>
      </c>
      <c r="AK4" s="25"/>
      <c r="AL4" s="25"/>
      <c r="AM4" s="25"/>
      <c r="AN4" s="26"/>
    </row>
    <row r="5" spans="1:40" ht="17" thickBot="1" x14ac:dyDescent="0.35">
      <c r="A5" s="2" t="s">
        <v>120</v>
      </c>
      <c r="B5" s="3" t="s">
        <v>32</v>
      </c>
      <c r="C5" s="4" t="s">
        <v>43</v>
      </c>
      <c r="D5" s="5" t="s">
        <v>34</v>
      </c>
      <c r="E5" s="5" t="s">
        <v>30</v>
      </c>
      <c r="F5" s="5">
        <v>24</v>
      </c>
      <c r="G5" s="6">
        <v>21</v>
      </c>
      <c r="H5" s="27">
        <v>0</v>
      </c>
      <c r="I5" s="6">
        <v>0</v>
      </c>
      <c r="J5" s="8">
        <v>3</v>
      </c>
      <c r="K5" s="8">
        <v>3</v>
      </c>
      <c r="L5" s="8">
        <v>0</v>
      </c>
      <c r="M5" s="8">
        <v>1</v>
      </c>
      <c r="N5" s="8">
        <v>0</v>
      </c>
      <c r="O5" s="8">
        <v>0</v>
      </c>
      <c r="P5" s="5">
        <v>0</v>
      </c>
      <c r="Q5" s="8">
        <v>1</v>
      </c>
      <c r="R5" s="5">
        <v>3</v>
      </c>
      <c r="S5" s="9"/>
      <c r="T5" s="282" t="s">
        <v>265</v>
      </c>
      <c r="U5" s="11" t="s">
        <v>214</v>
      </c>
      <c r="V5" s="12" t="s">
        <v>210</v>
      </c>
      <c r="W5" s="12" t="s">
        <v>224</v>
      </c>
      <c r="X5" s="13" t="s">
        <v>257</v>
      </c>
      <c r="Y5" s="12">
        <v>1</v>
      </c>
      <c r="Z5" s="12">
        <v>1</v>
      </c>
      <c r="AA5" s="12">
        <v>0</v>
      </c>
      <c r="AB5" s="14">
        <v>0</v>
      </c>
      <c r="AC5" s="12">
        <v>1</v>
      </c>
      <c r="AD5" s="12">
        <v>1</v>
      </c>
      <c r="AE5" s="12">
        <v>0</v>
      </c>
      <c r="AF5" s="14">
        <v>0</v>
      </c>
      <c r="AG5" s="12"/>
      <c r="AH5" s="12"/>
      <c r="AI5" s="12"/>
      <c r="AJ5" s="14"/>
      <c r="AK5" s="12"/>
      <c r="AL5" s="12"/>
      <c r="AM5" s="12"/>
      <c r="AN5" s="14"/>
    </row>
    <row r="6" spans="1:40" ht="17" thickBot="1" x14ac:dyDescent="0.35">
      <c r="A6" s="15" t="s">
        <v>100</v>
      </c>
      <c r="B6" s="16" t="s">
        <v>32</v>
      </c>
      <c r="C6" s="17" t="s">
        <v>39</v>
      </c>
      <c r="D6" s="18" t="s">
        <v>21</v>
      </c>
      <c r="E6" s="18" t="s">
        <v>30</v>
      </c>
      <c r="F6" s="18">
        <v>37</v>
      </c>
      <c r="G6" s="19">
        <v>17</v>
      </c>
      <c r="H6" s="19">
        <v>1</v>
      </c>
      <c r="I6" s="21">
        <v>0</v>
      </c>
      <c r="J6" s="18">
        <v>4</v>
      </c>
      <c r="K6" s="18">
        <v>4</v>
      </c>
      <c r="L6" s="21">
        <v>1</v>
      </c>
      <c r="M6" s="21">
        <v>2</v>
      </c>
      <c r="N6" s="21">
        <v>0</v>
      </c>
      <c r="O6" s="21">
        <v>1</v>
      </c>
      <c r="P6" s="21">
        <v>0</v>
      </c>
      <c r="Q6" s="18">
        <v>0</v>
      </c>
      <c r="R6" s="21">
        <v>3</v>
      </c>
      <c r="S6" s="22"/>
      <c r="T6" s="292" t="s">
        <v>276</v>
      </c>
      <c r="U6" s="25" t="str">
        <f>Utah!U5</f>
        <v>Kat Roche</v>
      </c>
      <c r="V6" s="25" t="str">
        <f>Utah!V5</f>
        <v>Austin Reed</v>
      </c>
      <c r="W6" s="25" t="str">
        <f>Utah!W5</f>
        <v>Kahlil Harrison</v>
      </c>
      <c r="X6" s="25" t="str">
        <f>Utah!X5</f>
        <v>Kage Green</v>
      </c>
      <c r="Y6" s="25">
        <v>1</v>
      </c>
      <c r="Z6" s="25">
        <v>1</v>
      </c>
      <c r="AA6" s="25">
        <v>0</v>
      </c>
      <c r="AB6" s="26">
        <v>0</v>
      </c>
      <c r="AC6" s="25"/>
      <c r="AD6" s="25"/>
      <c r="AE6" s="25"/>
      <c r="AF6" s="26"/>
      <c r="AG6" s="25">
        <v>1</v>
      </c>
      <c r="AH6" s="25">
        <v>1</v>
      </c>
      <c r="AI6" s="25">
        <v>0</v>
      </c>
      <c r="AJ6" s="26">
        <v>0</v>
      </c>
      <c r="AK6" s="25"/>
      <c r="AL6" s="25"/>
      <c r="AM6" s="25"/>
      <c r="AN6" s="26"/>
    </row>
    <row r="7" spans="1:40" ht="17" thickBot="1" x14ac:dyDescent="0.35">
      <c r="A7" s="15" t="s">
        <v>101</v>
      </c>
      <c r="B7" s="16" t="s">
        <v>32</v>
      </c>
      <c r="C7" s="17" t="s">
        <v>70</v>
      </c>
      <c r="D7" s="18" t="s">
        <v>21</v>
      </c>
      <c r="E7" s="21" t="s">
        <v>30</v>
      </c>
      <c r="F7" s="18">
        <v>46</v>
      </c>
      <c r="G7" s="19">
        <v>45</v>
      </c>
      <c r="H7" s="20">
        <v>1</v>
      </c>
      <c r="I7" s="18">
        <v>0</v>
      </c>
      <c r="J7" s="21">
        <v>7</v>
      </c>
      <c r="K7" s="21">
        <v>4</v>
      </c>
      <c r="L7" s="21">
        <v>0</v>
      </c>
      <c r="M7" s="21">
        <v>1</v>
      </c>
      <c r="N7" s="21">
        <v>1</v>
      </c>
      <c r="O7" s="21">
        <v>0</v>
      </c>
      <c r="P7" s="21">
        <v>1</v>
      </c>
      <c r="Q7" s="21">
        <v>1</v>
      </c>
      <c r="R7" s="21">
        <v>7</v>
      </c>
      <c r="S7" s="22"/>
      <c r="T7" s="292" t="s">
        <v>297</v>
      </c>
      <c r="U7" s="24" t="str">
        <f>Anthem!U7</f>
        <v>Kahlil Harrison</v>
      </c>
      <c r="V7" s="24" t="str">
        <f>Anthem!V7</f>
        <v>Cam Russell</v>
      </c>
      <c r="W7" s="24" t="str">
        <f>Anthem!W7</f>
        <v>Lex Weiner</v>
      </c>
      <c r="X7" s="24" t="str">
        <f>Anthem!X7</f>
        <v>Ian Seaton</v>
      </c>
      <c r="Y7" s="25">
        <v>1</v>
      </c>
      <c r="Z7" s="25">
        <v>1</v>
      </c>
      <c r="AA7" s="25">
        <v>0</v>
      </c>
      <c r="AB7" s="26">
        <v>0</v>
      </c>
      <c r="AC7" s="25"/>
      <c r="AD7" s="25"/>
      <c r="AE7" s="25"/>
      <c r="AF7" s="26"/>
      <c r="AG7" s="25">
        <v>1</v>
      </c>
      <c r="AH7" s="25">
        <v>1</v>
      </c>
      <c r="AI7" s="25">
        <v>0</v>
      </c>
      <c r="AJ7" s="26">
        <v>0</v>
      </c>
      <c r="AK7" s="25"/>
      <c r="AL7" s="25"/>
      <c r="AM7" s="25"/>
      <c r="AN7" s="26"/>
    </row>
    <row r="8" spans="1:40" ht="17" thickBot="1" x14ac:dyDescent="0.35">
      <c r="A8" s="2" t="s">
        <v>102</v>
      </c>
      <c r="B8" s="3" t="s">
        <v>32</v>
      </c>
      <c r="C8" s="4" t="s">
        <v>47</v>
      </c>
      <c r="D8" s="5" t="s">
        <v>34</v>
      </c>
      <c r="E8" s="8" t="s">
        <v>30</v>
      </c>
      <c r="F8" s="5">
        <v>34</v>
      </c>
      <c r="G8" s="6">
        <v>14</v>
      </c>
      <c r="H8" s="7">
        <v>1</v>
      </c>
      <c r="I8" s="5">
        <v>0</v>
      </c>
      <c r="J8" s="8">
        <v>4</v>
      </c>
      <c r="K8" s="8">
        <v>2</v>
      </c>
      <c r="L8" s="8">
        <v>0</v>
      </c>
      <c r="M8" s="8">
        <v>2</v>
      </c>
      <c r="N8" s="8">
        <v>1</v>
      </c>
      <c r="O8" s="8">
        <v>0</v>
      </c>
      <c r="P8" s="5">
        <v>0</v>
      </c>
      <c r="Q8" s="8">
        <v>0</v>
      </c>
      <c r="R8" s="8">
        <v>2</v>
      </c>
      <c r="S8" s="9"/>
      <c r="T8" s="282" t="s">
        <v>312</v>
      </c>
      <c r="U8" s="11" t="s">
        <v>216</v>
      </c>
      <c r="V8" s="12" t="s">
        <v>210</v>
      </c>
      <c r="W8" s="12" t="s">
        <v>223</v>
      </c>
      <c r="X8" s="13" t="s">
        <v>302</v>
      </c>
      <c r="Y8" s="12">
        <v>1</v>
      </c>
      <c r="Z8" s="12">
        <v>1</v>
      </c>
      <c r="AA8" s="12">
        <v>0</v>
      </c>
      <c r="AB8" s="14">
        <v>0</v>
      </c>
      <c r="AC8" s="12">
        <v>1</v>
      </c>
      <c r="AD8" s="12">
        <v>1</v>
      </c>
      <c r="AE8" s="12">
        <v>0</v>
      </c>
      <c r="AF8" s="14">
        <v>0</v>
      </c>
      <c r="AG8" s="12"/>
      <c r="AH8" s="12"/>
      <c r="AI8" s="12"/>
      <c r="AJ8" s="14"/>
      <c r="AK8" s="12"/>
      <c r="AL8" s="12"/>
      <c r="AM8" s="12"/>
      <c r="AN8" s="14"/>
    </row>
    <row r="9" spans="1:40" ht="17" thickBot="1" x14ac:dyDescent="0.35">
      <c r="A9" s="2" t="s">
        <v>103</v>
      </c>
      <c r="B9" s="3" t="s">
        <v>32</v>
      </c>
      <c r="C9" s="4" t="s">
        <v>46</v>
      </c>
      <c r="D9" s="5" t="s">
        <v>34</v>
      </c>
      <c r="E9" s="8" t="s">
        <v>31</v>
      </c>
      <c r="F9" s="5">
        <v>22</v>
      </c>
      <c r="G9" s="6">
        <v>24</v>
      </c>
      <c r="H9" s="7">
        <v>1</v>
      </c>
      <c r="I9" s="8">
        <v>1</v>
      </c>
      <c r="J9" s="8">
        <v>4</v>
      </c>
      <c r="K9" s="8">
        <v>1</v>
      </c>
      <c r="L9" s="8">
        <v>0</v>
      </c>
      <c r="M9" s="8">
        <v>0</v>
      </c>
      <c r="N9" s="8">
        <v>1</v>
      </c>
      <c r="O9" s="8">
        <v>0</v>
      </c>
      <c r="P9" s="8">
        <v>1</v>
      </c>
      <c r="Q9" s="8">
        <v>0</v>
      </c>
      <c r="R9" s="8">
        <v>4</v>
      </c>
      <c r="S9" s="9"/>
      <c r="T9" s="36" t="s">
        <v>320</v>
      </c>
      <c r="U9" s="11" t="s">
        <v>303</v>
      </c>
      <c r="V9" s="12" t="s">
        <v>305</v>
      </c>
      <c r="W9" s="12" t="s">
        <v>218</v>
      </c>
      <c r="X9" s="13" t="s">
        <v>225</v>
      </c>
      <c r="Y9" s="12">
        <v>1</v>
      </c>
      <c r="Z9" s="12">
        <v>0</v>
      </c>
      <c r="AA9" s="12">
        <v>0</v>
      </c>
      <c r="AB9" s="14">
        <v>1</v>
      </c>
      <c r="AC9" s="12">
        <f>Y9</f>
        <v>1</v>
      </c>
      <c r="AD9" s="12">
        <f t="shared" ref="AD9:AF9" si="0">Z9</f>
        <v>0</v>
      </c>
      <c r="AE9" s="12">
        <f t="shared" si="0"/>
        <v>0</v>
      </c>
      <c r="AF9" s="12">
        <f t="shared" si="0"/>
        <v>1</v>
      </c>
      <c r="AG9" s="12"/>
      <c r="AH9" s="12"/>
      <c r="AI9" s="12"/>
      <c r="AJ9" s="14"/>
      <c r="AK9" s="12"/>
      <c r="AL9" s="12"/>
      <c r="AM9" s="12"/>
      <c r="AN9" s="14"/>
    </row>
    <row r="10" spans="1:40" ht="17" thickBot="1" x14ac:dyDescent="0.35">
      <c r="A10" s="15" t="s">
        <v>121</v>
      </c>
      <c r="B10" s="16" t="s">
        <v>32</v>
      </c>
      <c r="C10" s="17" t="s">
        <v>36</v>
      </c>
      <c r="D10" s="18" t="s">
        <v>21</v>
      </c>
      <c r="E10" s="18" t="s">
        <v>31</v>
      </c>
      <c r="F10" s="18">
        <v>22</v>
      </c>
      <c r="G10" s="19">
        <v>31</v>
      </c>
      <c r="H10" s="20">
        <v>1</v>
      </c>
      <c r="I10" s="21">
        <v>0</v>
      </c>
      <c r="J10" s="21">
        <v>4</v>
      </c>
      <c r="K10" s="21">
        <v>0</v>
      </c>
      <c r="L10" s="21">
        <v>0</v>
      </c>
      <c r="M10" s="21">
        <v>0</v>
      </c>
      <c r="N10" s="18">
        <v>0</v>
      </c>
      <c r="O10" s="21">
        <v>0</v>
      </c>
      <c r="P10" s="21">
        <v>1</v>
      </c>
      <c r="Q10" s="18">
        <v>0</v>
      </c>
      <c r="R10" s="21">
        <v>4</v>
      </c>
      <c r="S10" s="22"/>
      <c r="T10" s="23" t="s">
        <v>329</v>
      </c>
      <c r="U10" s="24" t="str">
        <f>Miami!U10</f>
        <v>Marquise Goodwin</v>
      </c>
      <c r="V10" s="24" t="str">
        <f>Miami!V10</f>
        <v>Derek Summers</v>
      </c>
      <c r="W10" s="24" t="str">
        <f>Miami!W10</f>
        <v>Moe Chaudry</v>
      </c>
      <c r="X10" s="24" t="str">
        <f>Miami!X10</f>
        <v>Tom Ciampa</v>
      </c>
      <c r="Y10" s="25">
        <f>Miami!Y10</f>
        <v>1</v>
      </c>
      <c r="Z10" s="25">
        <f>Miami!AB10</f>
        <v>0</v>
      </c>
      <c r="AA10" s="25">
        <f>Miami!AA10</f>
        <v>0</v>
      </c>
      <c r="AB10" s="26">
        <f>Miami!Z10</f>
        <v>1</v>
      </c>
      <c r="AC10" s="25"/>
      <c r="AD10" s="25"/>
      <c r="AE10" s="25"/>
      <c r="AF10" s="26"/>
      <c r="AG10" s="25">
        <f>Y10</f>
        <v>1</v>
      </c>
      <c r="AH10" s="25">
        <f t="shared" ref="AH10:AJ10" si="1">Z10</f>
        <v>0</v>
      </c>
      <c r="AI10" s="25">
        <f t="shared" si="1"/>
        <v>0</v>
      </c>
      <c r="AJ10" s="25">
        <f t="shared" si="1"/>
        <v>1</v>
      </c>
      <c r="AK10" s="25"/>
      <c r="AL10" s="25"/>
      <c r="AM10" s="25"/>
      <c r="AN10" s="26"/>
    </row>
    <row r="11" spans="1:40" ht="17" thickBot="1" x14ac:dyDescent="0.35">
      <c r="A11" s="2" t="s">
        <v>122</v>
      </c>
      <c r="B11" s="3" t="s">
        <v>32</v>
      </c>
      <c r="C11" s="4" t="s">
        <v>96</v>
      </c>
      <c r="D11" s="5" t="s">
        <v>34</v>
      </c>
      <c r="E11" s="5" t="s">
        <v>30</v>
      </c>
      <c r="F11" s="5">
        <v>17</v>
      </c>
      <c r="G11" s="6">
        <v>15</v>
      </c>
      <c r="H11" s="7">
        <v>0</v>
      </c>
      <c r="I11" s="8">
        <v>0</v>
      </c>
      <c r="J11" s="8">
        <v>3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5">
        <v>1</v>
      </c>
      <c r="R11" s="8">
        <v>2</v>
      </c>
      <c r="S11" s="9"/>
      <c r="T11" s="298" t="s">
        <v>339</v>
      </c>
      <c r="U11" s="162" t="s">
        <v>214</v>
      </c>
      <c r="V11" s="163" t="s">
        <v>210</v>
      </c>
      <c r="W11" s="163" t="s">
        <v>218</v>
      </c>
      <c r="X11" s="164" t="s">
        <v>283</v>
      </c>
      <c r="Y11" s="12">
        <v>1</v>
      </c>
      <c r="Z11" s="12">
        <v>1</v>
      </c>
      <c r="AA11" s="12">
        <v>0</v>
      </c>
      <c r="AB11" s="14">
        <v>0</v>
      </c>
      <c r="AC11" s="12">
        <f>Y11</f>
        <v>1</v>
      </c>
      <c r="AD11" s="12">
        <f t="shared" ref="AD11:AF12" si="2">Z11</f>
        <v>1</v>
      </c>
      <c r="AE11" s="12">
        <f t="shared" si="2"/>
        <v>0</v>
      </c>
      <c r="AF11" s="12">
        <f t="shared" si="2"/>
        <v>0</v>
      </c>
      <c r="AG11" s="12"/>
      <c r="AH11" s="12"/>
      <c r="AI11" s="12"/>
      <c r="AJ11" s="14"/>
      <c r="AK11" s="12"/>
      <c r="AL11" s="12"/>
      <c r="AM11" s="12"/>
      <c r="AN11" s="14"/>
    </row>
    <row r="12" spans="1:40" ht="17" thickBot="1" x14ac:dyDescent="0.35">
      <c r="A12" s="31" t="s">
        <v>118</v>
      </c>
      <c r="B12" s="3" t="s">
        <v>32</v>
      </c>
      <c r="C12" s="4" t="s">
        <v>37</v>
      </c>
      <c r="D12" s="5" t="s">
        <v>34</v>
      </c>
      <c r="E12" s="5" t="s">
        <v>30</v>
      </c>
      <c r="F12" s="5">
        <v>48</v>
      </c>
      <c r="G12" s="6">
        <v>27</v>
      </c>
      <c r="H12" s="7">
        <v>1</v>
      </c>
      <c r="I12" s="8">
        <v>0</v>
      </c>
      <c r="J12" s="8">
        <v>6</v>
      </c>
      <c r="K12" s="8">
        <v>3</v>
      </c>
      <c r="L12" s="8">
        <v>0</v>
      </c>
      <c r="M12" s="8">
        <v>4</v>
      </c>
      <c r="N12" s="5">
        <v>0</v>
      </c>
      <c r="O12" s="8">
        <v>0</v>
      </c>
      <c r="P12" s="8">
        <v>0</v>
      </c>
      <c r="Q12" s="8">
        <v>0</v>
      </c>
      <c r="R12" s="8">
        <v>3</v>
      </c>
      <c r="S12" s="32"/>
      <c r="T12" s="282" t="s">
        <v>343</v>
      </c>
      <c r="U12" s="11" t="s">
        <v>332</v>
      </c>
      <c r="V12" s="12" t="s">
        <v>210</v>
      </c>
      <c r="W12" s="12" t="s">
        <v>224</v>
      </c>
      <c r="X12" s="13" t="s">
        <v>325</v>
      </c>
      <c r="Y12" s="12">
        <v>1</v>
      </c>
      <c r="Z12" s="12">
        <v>1</v>
      </c>
      <c r="AA12" s="12">
        <v>0</v>
      </c>
      <c r="AB12" s="14">
        <v>0</v>
      </c>
      <c r="AC12" s="12">
        <f>Y12</f>
        <v>1</v>
      </c>
      <c r="AD12" s="12">
        <f t="shared" si="2"/>
        <v>1</v>
      </c>
      <c r="AE12" s="12">
        <f t="shared" si="2"/>
        <v>0</v>
      </c>
      <c r="AF12" s="12">
        <f t="shared" si="2"/>
        <v>0</v>
      </c>
      <c r="AG12" s="12"/>
      <c r="AH12" s="12"/>
      <c r="AI12" s="12"/>
      <c r="AJ12" s="14"/>
      <c r="AK12" s="12"/>
      <c r="AL12" s="12"/>
      <c r="AM12" s="12"/>
      <c r="AN12" s="14"/>
    </row>
    <row r="13" spans="1:40" ht="17" thickBot="1" x14ac:dyDescent="0.35">
      <c r="A13" s="33" t="s">
        <v>42</v>
      </c>
      <c r="B13" s="16" t="s">
        <v>32</v>
      </c>
      <c r="C13" s="17" t="s">
        <v>33</v>
      </c>
      <c r="D13" s="18" t="s">
        <v>21</v>
      </c>
      <c r="E13" s="18" t="s">
        <v>31</v>
      </c>
      <c r="F13" s="18">
        <v>17</v>
      </c>
      <c r="G13" s="19">
        <v>36</v>
      </c>
      <c r="H13" s="20">
        <v>0</v>
      </c>
      <c r="I13" s="21">
        <v>0</v>
      </c>
      <c r="J13" s="21">
        <v>3</v>
      </c>
      <c r="K13" s="21">
        <v>1</v>
      </c>
      <c r="L13" s="21">
        <v>0</v>
      </c>
      <c r="M13" s="21">
        <v>0</v>
      </c>
      <c r="N13" s="21">
        <v>0</v>
      </c>
      <c r="O13" s="21">
        <v>0</v>
      </c>
      <c r="P13" s="21">
        <v>1</v>
      </c>
      <c r="Q13" s="21">
        <v>0</v>
      </c>
      <c r="R13" s="21">
        <v>5</v>
      </c>
      <c r="S13" s="34"/>
      <c r="T13" s="23" t="s">
        <v>357</v>
      </c>
      <c r="U13" s="24" t="str">
        <f>NewEngland!U13</f>
        <v>Lex Weiner</v>
      </c>
      <c r="V13" s="24" t="str">
        <f>NewEngland!V13</f>
        <v>Derek Summers</v>
      </c>
      <c r="W13" s="24" t="str">
        <f>NewEngland!W13</f>
        <v>Amelia Luciano</v>
      </c>
      <c r="X13" s="24" t="str">
        <f>NewEngland!X13</f>
        <v>Miles McIvor</v>
      </c>
      <c r="Y13" s="25">
        <f>NewEngland!Y13</f>
        <v>1</v>
      </c>
      <c r="Z13" s="25">
        <f>NewEngland!AB13</f>
        <v>0</v>
      </c>
      <c r="AA13" s="25">
        <f>NewEngland!AA13</f>
        <v>0</v>
      </c>
      <c r="AB13" s="26">
        <f>NewEngland!Z13</f>
        <v>1</v>
      </c>
      <c r="AC13" s="25"/>
      <c r="AD13" s="25"/>
      <c r="AE13" s="25"/>
      <c r="AF13" s="26"/>
      <c r="AG13" s="25">
        <f>Y13</f>
        <v>1</v>
      </c>
      <c r="AH13" s="25">
        <f t="shared" ref="AH13:AJ14" si="3">Z13</f>
        <v>0</v>
      </c>
      <c r="AI13" s="25">
        <f t="shared" si="3"/>
        <v>0</v>
      </c>
      <c r="AJ13" s="25">
        <f t="shared" si="3"/>
        <v>1</v>
      </c>
      <c r="AK13" s="25"/>
      <c r="AL13" s="25"/>
      <c r="AM13" s="25"/>
      <c r="AN13" s="26"/>
    </row>
    <row r="14" spans="1:40" ht="17" thickBot="1" x14ac:dyDescent="0.35">
      <c r="A14" s="33" t="s">
        <v>107</v>
      </c>
      <c r="B14" s="16" t="s">
        <v>32</v>
      </c>
      <c r="C14" s="17" t="s">
        <v>47</v>
      </c>
      <c r="D14" s="18" t="s">
        <v>21</v>
      </c>
      <c r="E14" s="18" t="s">
        <v>30</v>
      </c>
      <c r="F14" s="18">
        <v>37</v>
      </c>
      <c r="G14" s="19">
        <v>20</v>
      </c>
      <c r="H14" s="20">
        <v>1</v>
      </c>
      <c r="I14" s="21">
        <v>0</v>
      </c>
      <c r="J14" s="21">
        <v>4</v>
      </c>
      <c r="K14" s="21">
        <v>4</v>
      </c>
      <c r="L14" s="21">
        <v>0</v>
      </c>
      <c r="M14" s="21">
        <v>3</v>
      </c>
      <c r="N14" s="21">
        <v>3</v>
      </c>
      <c r="O14" s="21">
        <v>0</v>
      </c>
      <c r="P14" s="21">
        <v>1</v>
      </c>
      <c r="Q14" s="21">
        <v>0</v>
      </c>
      <c r="R14" s="21">
        <v>4</v>
      </c>
      <c r="S14" s="34"/>
      <c r="T14" s="292" t="s">
        <v>367</v>
      </c>
      <c r="U14" s="24" t="str">
        <f>SanDiego!U15</f>
        <v>Luke Rogan</v>
      </c>
      <c r="V14" s="24" t="str">
        <f>SanDiego!V15</f>
        <v>Austin Reed</v>
      </c>
      <c r="W14" s="24" t="str">
        <f>SanDiego!W15</f>
        <v>Chris Assmus</v>
      </c>
      <c r="X14" s="24" t="str">
        <f>SanDiego!X15</f>
        <v>Jacob Gonzales</v>
      </c>
      <c r="Y14" s="25">
        <f>SanDiego!Y15</f>
        <v>1</v>
      </c>
      <c r="Z14" s="25">
        <f>SanDiego!AB15</f>
        <v>1</v>
      </c>
      <c r="AA14" s="25">
        <f>SanDiego!AA15</f>
        <v>0</v>
      </c>
      <c r="AB14" s="26">
        <f>SanDiego!Z15</f>
        <v>0</v>
      </c>
      <c r="AC14" s="25"/>
      <c r="AD14" s="25"/>
      <c r="AE14" s="25"/>
      <c r="AF14" s="26"/>
      <c r="AG14" s="25">
        <f>Y14</f>
        <v>1</v>
      </c>
      <c r="AH14" s="25">
        <f t="shared" si="3"/>
        <v>1</v>
      </c>
      <c r="AI14" s="25">
        <f t="shared" si="3"/>
        <v>0</v>
      </c>
      <c r="AJ14" s="25">
        <f t="shared" si="3"/>
        <v>0</v>
      </c>
      <c r="AK14" s="25"/>
      <c r="AL14" s="25"/>
      <c r="AM14" s="25"/>
      <c r="AN14" s="26"/>
    </row>
    <row r="15" spans="1:40" ht="17" thickBot="1" x14ac:dyDescent="0.35">
      <c r="A15" s="31" t="s">
        <v>123</v>
      </c>
      <c r="B15" s="3" t="s">
        <v>32</v>
      </c>
      <c r="C15" s="4" t="s">
        <v>39</v>
      </c>
      <c r="D15" s="5" t="s">
        <v>34</v>
      </c>
      <c r="E15" s="5" t="s">
        <v>30</v>
      </c>
      <c r="F15" s="5">
        <v>40</v>
      </c>
      <c r="G15" s="6">
        <v>19</v>
      </c>
      <c r="H15" s="7">
        <v>1</v>
      </c>
      <c r="I15" s="8">
        <v>0</v>
      </c>
      <c r="J15" s="8">
        <v>5</v>
      </c>
      <c r="K15" s="8">
        <v>3</v>
      </c>
      <c r="L15" s="8">
        <v>0</v>
      </c>
      <c r="M15" s="8">
        <v>3</v>
      </c>
      <c r="N15" s="8">
        <v>1</v>
      </c>
      <c r="O15" s="8">
        <v>1</v>
      </c>
      <c r="P15" s="8">
        <v>0</v>
      </c>
      <c r="Q15" s="8">
        <v>0</v>
      </c>
      <c r="R15" s="8">
        <v>3</v>
      </c>
      <c r="S15" s="32"/>
      <c r="T15" s="282" t="s">
        <v>378</v>
      </c>
      <c r="U15" s="11" t="s">
        <v>216</v>
      </c>
      <c r="V15" s="12" t="s">
        <v>215</v>
      </c>
      <c r="W15" s="12" t="s">
        <v>218</v>
      </c>
      <c r="X15" s="13" t="s">
        <v>302</v>
      </c>
      <c r="Y15" s="12">
        <v>1</v>
      </c>
      <c r="Z15" s="12">
        <v>1</v>
      </c>
      <c r="AA15" s="12">
        <v>0</v>
      </c>
      <c r="AB15" s="14">
        <v>0</v>
      </c>
      <c r="AC15" s="12">
        <v>1</v>
      </c>
      <c r="AD15" s="12">
        <v>1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4">
        <v>0</v>
      </c>
      <c r="AK15" s="12">
        <v>0</v>
      </c>
      <c r="AL15" s="12">
        <v>0</v>
      </c>
      <c r="AM15" s="12">
        <v>0</v>
      </c>
      <c r="AN15" s="14">
        <v>0</v>
      </c>
    </row>
    <row r="16" spans="1:40" ht="17" thickBot="1" x14ac:dyDescent="0.35">
      <c r="A16" s="33" t="s">
        <v>124</v>
      </c>
      <c r="B16" s="16" t="s">
        <v>32</v>
      </c>
      <c r="C16" s="17" t="s">
        <v>43</v>
      </c>
      <c r="D16" s="18" t="s">
        <v>21</v>
      </c>
      <c r="E16" s="18" t="s">
        <v>31</v>
      </c>
      <c r="F16" s="18">
        <v>9</v>
      </c>
      <c r="G16" s="19">
        <v>14</v>
      </c>
      <c r="H16" s="20">
        <v>0</v>
      </c>
      <c r="I16" s="21">
        <v>1</v>
      </c>
      <c r="J16" s="21">
        <v>0</v>
      </c>
      <c r="K16" s="21">
        <v>0</v>
      </c>
      <c r="L16" s="21">
        <v>0</v>
      </c>
      <c r="M16" s="21">
        <v>3</v>
      </c>
      <c r="N16" s="21">
        <v>1</v>
      </c>
      <c r="O16" s="21">
        <v>0</v>
      </c>
      <c r="P16" s="21">
        <v>0</v>
      </c>
      <c r="Q16" s="21">
        <v>0</v>
      </c>
      <c r="R16" s="21">
        <v>2</v>
      </c>
      <c r="S16" s="34"/>
      <c r="T16" s="23" t="s">
        <v>384</v>
      </c>
      <c r="U16" s="24" t="str">
        <f>Seattle!U16</f>
        <v>Robin Kaluzniak</v>
      </c>
      <c r="V16" s="24" t="str">
        <f>Seattle!V16</f>
        <v>Derek Summers</v>
      </c>
      <c r="W16" s="24" t="str">
        <f>Seattle!W16</f>
        <v>Chris Assmus</v>
      </c>
      <c r="X16" s="24" t="str">
        <f>Seattle!X16</f>
        <v>Saro Turner</v>
      </c>
      <c r="Y16" s="25">
        <f>Seattle!Y16</f>
        <v>1</v>
      </c>
      <c r="Z16" s="25">
        <f>Seattle!AB16</f>
        <v>0</v>
      </c>
      <c r="AA16" s="25">
        <f>Seattle!AA16</f>
        <v>0</v>
      </c>
      <c r="AB16" s="26">
        <f>Seattle!Z16</f>
        <v>1</v>
      </c>
      <c r="AC16" s="25"/>
      <c r="AD16" s="25"/>
      <c r="AE16" s="25"/>
      <c r="AF16" s="26"/>
      <c r="AG16" s="25">
        <f>Y16</f>
        <v>1</v>
      </c>
      <c r="AH16" s="25">
        <f t="shared" ref="AH16:AJ17" si="4">Z16</f>
        <v>0</v>
      </c>
      <c r="AI16" s="25">
        <f t="shared" si="4"/>
        <v>0</v>
      </c>
      <c r="AJ16" s="25">
        <f t="shared" si="4"/>
        <v>1</v>
      </c>
      <c r="AK16" s="25"/>
      <c r="AL16" s="25"/>
      <c r="AM16" s="25"/>
      <c r="AN16" s="26"/>
    </row>
    <row r="17" spans="1:40" ht="17" thickBot="1" x14ac:dyDescent="0.35">
      <c r="A17" s="33" t="s">
        <v>119</v>
      </c>
      <c r="B17" s="16" t="s">
        <v>32</v>
      </c>
      <c r="C17" s="17" t="s">
        <v>40</v>
      </c>
      <c r="D17" s="18" t="s">
        <v>21</v>
      </c>
      <c r="E17" s="18" t="s">
        <v>31</v>
      </c>
      <c r="F17" s="18">
        <v>12</v>
      </c>
      <c r="G17" s="19">
        <v>15</v>
      </c>
      <c r="H17" s="20">
        <v>0</v>
      </c>
      <c r="I17" s="21">
        <v>1</v>
      </c>
      <c r="J17" s="21">
        <v>2</v>
      </c>
      <c r="K17" s="21">
        <v>1</v>
      </c>
      <c r="L17" s="21">
        <v>0</v>
      </c>
      <c r="M17" s="21">
        <v>0</v>
      </c>
      <c r="N17" s="18">
        <v>1</v>
      </c>
      <c r="O17" s="21">
        <v>0</v>
      </c>
      <c r="P17" s="21">
        <v>0</v>
      </c>
      <c r="Q17" s="21">
        <v>0</v>
      </c>
      <c r="R17" s="21">
        <v>2</v>
      </c>
      <c r="S17" s="22"/>
      <c r="T17" s="23" t="s">
        <v>364</v>
      </c>
      <c r="U17" s="25" t="str">
        <f>Chicago!U18</f>
        <v>Robin Kaluzniak</v>
      </c>
      <c r="V17" s="25" t="str">
        <f>Chicago!V18</f>
        <v>Mike Kelly</v>
      </c>
      <c r="W17" s="25" t="str">
        <f>Chicago!W18</f>
        <v>Chris O'Malley</v>
      </c>
      <c r="X17" s="25" t="str">
        <f>Chicago!X18</f>
        <v>Martin Steffens</v>
      </c>
      <c r="Y17" s="25">
        <f>Chicago!Y18</f>
        <v>1</v>
      </c>
      <c r="Z17" s="25">
        <f>Chicago!AB18</f>
        <v>0</v>
      </c>
      <c r="AA17" s="25">
        <f>Chicago!AA18</f>
        <v>0</v>
      </c>
      <c r="AB17" s="26">
        <f>Chicago!Z18</f>
        <v>1</v>
      </c>
      <c r="AC17" s="25"/>
      <c r="AD17" s="25"/>
      <c r="AE17" s="25"/>
      <c r="AF17" s="26"/>
      <c r="AG17" s="25">
        <f>Y17</f>
        <v>1</v>
      </c>
      <c r="AH17" s="25">
        <f t="shared" si="4"/>
        <v>0</v>
      </c>
      <c r="AI17" s="25">
        <f t="shared" si="4"/>
        <v>0</v>
      </c>
      <c r="AJ17" s="25">
        <f t="shared" si="4"/>
        <v>1</v>
      </c>
      <c r="AK17" s="25"/>
      <c r="AL17" s="25"/>
      <c r="AM17" s="25"/>
      <c r="AN17" s="26"/>
    </row>
    <row r="18" spans="1:40" ht="17" thickBot="1" x14ac:dyDescent="0.35">
      <c r="A18" s="31" t="s">
        <v>111</v>
      </c>
      <c r="B18" s="3" t="s">
        <v>32</v>
      </c>
      <c r="C18" s="167" t="s">
        <v>70</v>
      </c>
      <c r="D18" s="45" t="s">
        <v>34</v>
      </c>
      <c r="E18" s="45" t="s">
        <v>30</v>
      </c>
      <c r="F18" s="5">
        <v>26</v>
      </c>
      <c r="G18" s="6">
        <v>14</v>
      </c>
      <c r="H18" s="7">
        <v>1</v>
      </c>
      <c r="I18" s="8">
        <v>0</v>
      </c>
      <c r="J18" s="8">
        <v>4</v>
      </c>
      <c r="K18" s="8">
        <v>3</v>
      </c>
      <c r="L18" s="8">
        <v>0</v>
      </c>
      <c r="M18" s="8">
        <v>0</v>
      </c>
      <c r="N18" s="8">
        <v>1</v>
      </c>
      <c r="O18" s="8">
        <v>0</v>
      </c>
      <c r="P18" s="8">
        <v>0</v>
      </c>
      <c r="Q18" s="8">
        <v>0</v>
      </c>
      <c r="R18" s="8">
        <v>2</v>
      </c>
      <c r="S18" s="32"/>
      <c r="T18" s="282" t="s">
        <v>359</v>
      </c>
      <c r="U18" s="12" t="s">
        <v>216</v>
      </c>
      <c r="V18" s="12" t="s">
        <v>213</v>
      </c>
      <c r="W18" s="12" t="s">
        <v>223</v>
      </c>
      <c r="X18" s="247" t="s">
        <v>302</v>
      </c>
      <c r="Y18" s="12">
        <v>1</v>
      </c>
      <c r="Z18" s="12">
        <v>1</v>
      </c>
      <c r="AA18" s="12">
        <v>0</v>
      </c>
      <c r="AB18" s="14">
        <v>0</v>
      </c>
      <c r="AC18" s="12">
        <f>Y18</f>
        <v>1</v>
      </c>
      <c r="AD18" s="12">
        <f t="shared" ref="AD18:AF18" si="5">Z18</f>
        <v>1</v>
      </c>
      <c r="AE18" s="12">
        <f t="shared" si="5"/>
        <v>0</v>
      </c>
      <c r="AF18" s="12">
        <f t="shared" si="5"/>
        <v>0</v>
      </c>
      <c r="AG18" s="12"/>
      <c r="AH18" s="12"/>
      <c r="AI18" s="12"/>
      <c r="AJ18" s="14"/>
      <c r="AK18" s="12"/>
      <c r="AL18" s="12"/>
      <c r="AM18" s="12"/>
      <c r="AN18" s="14"/>
    </row>
    <row r="19" spans="1:40" ht="17" thickBot="1" x14ac:dyDescent="0.35">
      <c r="A19" s="362" t="s">
        <v>412</v>
      </c>
      <c r="B19" s="362" t="s">
        <v>112</v>
      </c>
      <c r="C19" s="167" t="s">
        <v>46</v>
      </c>
      <c r="D19" s="45" t="s">
        <v>34</v>
      </c>
      <c r="E19" s="45" t="s">
        <v>30</v>
      </c>
      <c r="F19" s="45">
        <v>27</v>
      </c>
      <c r="G19" s="363">
        <v>21</v>
      </c>
      <c r="H19" s="364"/>
      <c r="I19" s="365"/>
      <c r="J19" s="365">
        <v>4</v>
      </c>
      <c r="K19" s="365">
        <v>2</v>
      </c>
      <c r="L19" s="365">
        <v>0</v>
      </c>
      <c r="M19" s="365">
        <v>1</v>
      </c>
      <c r="N19" s="365">
        <v>1</v>
      </c>
      <c r="O19" s="365">
        <v>0</v>
      </c>
      <c r="P19" s="365"/>
      <c r="Q19" s="365"/>
      <c r="R19" s="365">
        <v>3</v>
      </c>
      <c r="S19" s="32"/>
      <c r="T19" s="298" t="s">
        <v>423</v>
      </c>
      <c r="U19" s="12" t="s">
        <v>226</v>
      </c>
      <c r="V19" s="12" t="s">
        <v>210</v>
      </c>
      <c r="W19" s="12" t="s">
        <v>223</v>
      </c>
      <c r="X19" s="12" t="s">
        <v>220</v>
      </c>
      <c r="Y19" s="12">
        <v>1</v>
      </c>
      <c r="Z19" s="12">
        <v>1</v>
      </c>
      <c r="AA19" s="12">
        <v>0</v>
      </c>
      <c r="AB19" s="12">
        <v>0</v>
      </c>
      <c r="AC19" s="12">
        <v>1</v>
      </c>
      <c r="AD19" s="12">
        <v>1</v>
      </c>
      <c r="AE19" s="12">
        <v>0</v>
      </c>
      <c r="AF19" s="12">
        <v>0</v>
      </c>
      <c r="AG19" s="12"/>
      <c r="AH19" s="12"/>
      <c r="AI19" s="12"/>
      <c r="AJ19" s="12"/>
      <c r="AK19" s="12"/>
      <c r="AL19" s="12"/>
      <c r="AM19" s="12"/>
      <c r="AN19" s="12"/>
    </row>
    <row r="20" spans="1:40" ht="17" thickBot="1" x14ac:dyDescent="0.35">
      <c r="A20" s="366" t="s">
        <v>427</v>
      </c>
      <c r="B20" s="366" t="s">
        <v>113</v>
      </c>
      <c r="C20" s="37" t="s">
        <v>39</v>
      </c>
      <c r="D20" s="38" t="s">
        <v>21</v>
      </c>
      <c r="E20" s="38" t="s">
        <v>30</v>
      </c>
      <c r="F20" s="38">
        <v>33</v>
      </c>
      <c r="G20" s="367">
        <v>19</v>
      </c>
      <c r="H20" s="368"/>
      <c r="I20" s="369"/>
      <c r="J20" s="369">
        <v>5</v>
      </c>
      <c r="K20" s="369">
        <v>4</v>
      </c>
      <c r="L20" s="369">
        <v>0</v>
      </c>
      <c r="M20" s="369">
        <v>0</v>
      </c>
      <c r="N20" s="369">
        <v>1</v>
      </c>
      <c r="O20" s="369">
        <v>0</v>
      </c>
      <c r="P20" s="369"/>
      <c r="Q20" s="369"/>
      <c r="R20" s="369">
        <v>3</v>
      </c>
      <c r="S20" s="34"/>
      <c r="T20" s="292" t="s">
        <v>300</v>
      </c>
      <c r="U20" s="25" t="s">
        <v>222</v>
      </c>
      <c r="V20" s="25" t="s">
        <v>210</v>
      </c>
      <c r="W20" s="25" t="s">
        <v>218</v>
      </c>
      <c r="X20" s="25" t="s">
        <v>242</v>
      </c>
      <c r="Y20" s="25">
        <v>1</v>
      </c>
      <c r="Z20" s="25">
        <v>1</v>
      </c>
      <c r="AA20" s="25">
        <v>0</v>
      </c>
      <c r="AB20" s="25">
        <v>0</v>
      </c>
      <c r="AC20" s="25"/>
      <c r="AD20" s="25"/>
      <c r="AE20" s="25"/>
      <c r="AF20" s="25"/>
      <c r="AG20" s="25">
        <v>1</v>
      </c>
      <c r="AH20" s="25">
        <v>1</v>
      </c>
      <c r="AI20" s="25">
        <v>0</v>
      </c>
      <c r="AJ20" s="25">
        <v>0</v>
      </c>
      <c r="AK20" s="25"/>
      <c r="AL20" s="25"/>
      <c r="AM20" s="25"/>
      <c r="AN20" s="25"/>
    </row>
    <row r="21" spans="1:40" ht="17" thickBot="1" x14ac:dyDescent="0.35">
      <c r="A21" s="374" t="s">
        <v>425</v>
      </c>
      <c r="B21" s="374" t="s">
        <v>114</v>
      </c>
      <c r="C21" s="375" t="s">
        <v>33</v>
      </c>
      <c r="D21" s="376" t="s">
        <v>424</v>
      </c>
      <c r="E21" s="376" t="s">
        <v>31</v>
      </c>
      <c r="F21" s="376">
        <v>22</v>
      </c>
      <c r="G21" s="377">
        <v>28</v>
      </c>
      <c r="H21" s="378"/>
      <c r="I21" s="379"/>
      <c r="J21" s="379">
        <v>3</v>
      </c>
      <c r="K21" s="379">
        <v>2</v>
      </c>
      <c r="L21" s="379">
        <v>0</v>
      </c>
      <c r="M21" s="379">
        <v>1</v>
      </c>
      <c r="N21" s="379">
        <v>0</v>
      </c>
      <c r="O21" s="379">
        <v>0</v>
      </c>
      <c r="P21" s="379"/>
      <c r="Q21" s="379"/>
      <c r="R21" s="379">
        <v>3</v>
      </c>
      <c r="S21" s="380"/>
      <c r="T21" s="381" t="s">
        <v>434</v>
      </c>
      <c r="U21" s="382" t="str">
        <f>NewEngland!U21</f>
        <v>Luke Rogan</v>
      </c>
      <c r="V21" s="382" t="str">
        <f>NewEngland!V21</f>
        <v>Derek Summers</v>
      </c>
      <c r="W21" s="382" t="str">
        <f>NewEngland!W21</f>
        <v>Robin Kaluzniak</v>
      </c>
      <c r="X21" s="382" t="str">
        <f>NewEngland!X21</f>
        <v>Federico Anselmi</v>
      </c>
      <c r="Y21" s="382">
        <v>1</v>
      </c>
      <c r="Z21" s="382">
        <v>0</v>
      </c>
      <c r="AA21" s="382">
        <v>0</v>
      </c>
      <c r="AB21" s="382">
        <v>1</v>
      </c>
      <c r="AC21" s="382"/>
      <c r="AD21" s="382"/>
      <c r="AE21" s="382"/>
      <c r="AF21" s="382"/>
      <c r="AG21" s="382"/>
      <c r="AH21" s="382"/>
      <c r="AI21" s="382"/>
      <c r="AJ21" s="382"/>
      <c r="AK21" s="382">
        <v>1</v>
      </c>
      <c r="AL21" s="382">
        <v>0</v>
      </c>
      <c r="AM21" s="382">
        <v>0</v>
      </c>
      <c r="AN21" s="382">
        <v>1</v>
      </c>
    </row>
    <row r="22" spans="1:40" ht="17" thickBot="1" x14ac:dyDescent="0.35">
      <c r="A22" s="39"/>
      <c r="B22" s="40"/>
      <c r="C22" s="389" t="s">
        <v>48</v>
      </c>
      <c r="D22" s="416"/>
      <c r="E22" s="417"/>
      <c r="F22" s="41">
        <f t="shared" ref="F22:R22" si="6">SUM(F3+F4+F5+F6+F7+F8+F9+F10+F11+F12+F13+F14+F15+F16+F17+F18)</f>
        <v>458</v>
      </c>
      <c r="G22" s="41">
        <f t="shared" si="6"/>
        <v>365</v>
      </c>
      <c r="H22" s="41">
        <f t="shared" si="6"/>
        <v>10</v>
      </c>
      <c r="I22" s="41">
        <f t="shared" si="6"/>
        <v>4</v>
      </c>
      <c r="J22" s="41">
        <f t="shared" si="6"/>
        <v>63</v>
      </c>
      <c r="K22" s="41">
        <f t="shared" si="6"/>
        <v>34</v>
      </c>
      <c r="L22" s="41">
        <f t="shared" si="6"/>
        <v>1</v>
      </c>
      <c r="M22" s="41">
        <f t="shared" si="6"/>
        <v>20</v>
      </c>
      <c r="N22" s="41">
        <f t="shared" si="6"/>
        <v>12</v>
      </c>
      <c r="O22" s="41">
        <f t="shared" si="6"/>
        <v>2</v>
      </c>
      <c r="P22" s="41">
        <f t="shared" si="6"/>
        <v>6</v>
      </c>
      <c r="Q22" s="41">
        <f t="shared" si="6"/>
        <v>3</v>
      </c>
      <c r="R22" s="41">
        <f t="shared" si="6"/>
        <v>53</v>
      </c>
      <c r="S22" s="42"/>
      <c r="T22" s="42"/>
      <c r="U22" s="42"/>
      <c r="V22" s="42"/>
      <c r="W22" s="43"/>
      <c r="X22" s="44" t="s">
        <v>48</v>
      </c>
      <c r="Y22" s="41">
        <f t="shared" ref="Y22:AN22" si="7">Y3+Y4+Y5+Y6+Y7+Y8+Y9+Y10+Y11+Y12+Y13+Y14+Y15+Y16+Y17+Y18</f>
        <v>16</v>
      </c>
      <c r="Z22" s="41">
        <f t="shared" si="7"/>
        <v>10</v>
      </c>
      <c r="AA22" s="41">
        <f t="shared" si="7"/>
        <v>0</v>
      </c>
      <c r="AB22" s="41">
        <f t="shared" si="7"/>
        <v>6</v>
      </c>
      <c r="AC22" s="45">
        <f t="shared" si="7"/>
        <v>8</v>
      </c>
      <c r="AD22" s="45">
        <f t="shared" si="7"/>
        <v>6</v>
      </c>
      <c r="AE22" s="45">
        <f t="shared" si="7"/>
        <v>0</v>
      </c>
      <c r="AF22" s="45">
        <f t="shared" si="7"/>
        <v>2</v>
      </c>
      <c r="AG22" s="38">
        <f t="shared" si="7"/>
        <v>8</v>
      </c>
      <c r="AH22" s="38">
        <f t="shared" si="7"/>
        <v>4</v>
      </c>
      <c r="AI22" s="38">
        <f t="shared" si="7"/>
        <v>0</v>
      </c>
      <c r="AJ22" s="38">
        <f t="shared" si="7"/>
        <v>4</v>
      </c>
      <c r="AK22" s="41">
        <f t="shared" si="7"/>
        <v>0</v>
      </c>
      <c r="AL22" s="41">
        <f t="shared" si="7"/>
        <v>0</v>
      </c>
      <c r="AM22" s="41">
        <f t="shared" si="7"/>
        <v>0</v>
      </c>
      <c r="AN22" s="41">
        <f t="shared" si="7"/>
        <v>0</v>
      </c>
    </row>
    <row r="23" spans="1:40" ht="17" thickBot="1" x14ac:dyDescent="0.35">
      <c r="A23" s="39"/>
      <c r="B23" s="40"/>
      <c r="C23" s="389" t="s">
        <v>413</v>
      </c>
      <c r="D23" s="416"/>
      <c r="E23" s="417"/>
      <c r="F23" s="46">
        <f>F19+F20+F21</f>
        <v>82</v>
      </c>
      <c r="G23" s="46">
        <f t="shared" ref="G23:R23" si="8">G19+G20+G21</f>
        <v>68</v>
      </c>
      <c r="H23" s="46">
        <f t="shared" si="8"/>
        <v>0</v>
      </c>
      <c r="I23" s="46">
        <f t="shared" si="8"/>
        <v>0</v>
      </c>
      <c r="J23" s="46">
        <f t="shared" si="8"/>
        <v>12</v>
      </c>
      <c r="K23" s="46">
        <f t="shared" si="8"/>
        <v>8</v>
      </c>
      <c r="L23" s="46">
        <f t="shared" si="8"/>
        <v>0</v>
      </c>
      <c r="M23" s="46">
        <f t="shared" si="8"/>
        <v>2</v>
      </c>
      <c r="N23" s="46">
        <f t="shared" si="8"/>
        <v>2</v>
      </c>
      <c r="O23" s="46">
        <f t="shared" si="8"/>
        <v>0</v>
      </c>
      <c r="P23" s="46">
        <f t="shared" si="8"/>
        <v>0</v>
      </c>
      <c r="Q23" s="46">
        <f t="shared" si="8"/>
        <v>0</v>
      </c>
      <c r="R23" s="46">
        <f t="shared" si="8"/>
        <v>9</v>
      </c>
      <c r="S23" s="42"/>
      <c r="T23" s="42"/>
      <c r="U23" s="42"/>
      <c r="V23" s="42"/>
      <c r="W23" s="43"/>
      <c r="X23" s="44" t="s">
        <v>413</v>
      </c>
      <c r="Y23" s="41">
        <f>Y19+Y20+Y21</f>
        <v>3</v>
      </c>
      <c r="Z23" s="41">
        <f t="shared" ref="Z23:AN23" si="9">Z19+Z20+Z21</f>
        <v>2</v>
      </c>
      <c r="AA23" s="41">
        <f t="shared" si="9"/>
        <v>0</v>
      </c>
      <c r="AB23" s="41">
        <f t="shared" si="9"/>
        <v>1</v>
      </c>
      <c r="AC23" s="45">
        <f t="shared" si="9"/>
        <v>1</v>
      </c>
      <c r="AD23" s="45">
        <f t="shared" si="9"/>
        <v>1</v>
      </c>
      <c r="AE23" s="45">
        <f t="shared" si="9"/>
        <v>0</v>
      </c>
      <c r="AF23" s="45">
        <f t="shared" si="9"/>
        <v>0</v>
      </c>
      <c r="AG23" s="38">
        <f t="shared" si="9"/>
        <v>1</v>
      </c>
      <c r="AH23" s="38">
        <f t="shared" si="9"/>
        <v>1</v>
      </c>
      <c r="AI23" s="38">
        <f t="shared" si="9"/>
        <v>0</v>
      </c>
      <c r="AJ23" s="38">
        <f t="shared" si="9"/>
        <v>0</v>
      </c>
      <c r="AK23" s="41">
        <f t="shared" si="9"/>
        <v>1</v>
      </c>
      <c r="AL23" s="41">
        <f t="shared" si="9"/>
        <v>0</v>
      </c>
      <c r="AM23" s="41">
        <f t="shared" si="9"/>
        <v>0</v>
      </c>
      <c r="AN23" s="41">
        <f t="shared" si="9"/>
        <v>1</v>
      </c>
    </row>
    <row r="24" spans="1:40" ht="17" thickBot="1" x14ac:dyDescent="0.35">
      <c r="A24" s="39"/>
      <c r="B24" s="40"/>
      <c r="C24" s="389" t="s">
        <v>49</v>
      </c>
      <c r="D24" s="390"/>
      <c r="E24" s="391"/>
      <c r="F24" s="46">
        <f>F22+F23</f>
        <v>540</v>
      </c>
      <c r="G24" s="46">
        <f t="shared" ref="G24:R24" si="10">G22+G23</f>
        <v>433</v>
      </c>
      <c r="H24" s="46">
        <f t="shared" si="10"/>
        <v>10</v>
      </c>
      <c r="I24" s="46">
        <f t="shared" si="10"/>
        <v>4</v>
      </c>
      <c r="J24" s="46">
        <f t="shared" si="10"/>
        <v>75</v>
      </c>
      <c r="K24" s="46">
        <f t="shared" si="10"/>
        <v>42</v>
      </c>
      <c r="L24" s="46">
        <f t="shared" si="10"/>
        <v>1</v>
      </c>
      <c r="M24" s="46">
        <f t="shared" si="10"/>
        <v>22</v>
      </c>
      <c r="N24" s="46">
        <f t="shared" si="10"/>
        <v>14</v>
      </c>
      <c r="O24" s="46">
        <f t="shared" si="10"/>
        <v>2</v>
      </c>
      <c r="P24" s="46">
        <f t="shared" si="10"/>
        <v>6</v>
      </c>
      <c r="Q24" s="46">
        <f t="shared" si="10"/>
        <v>3</v>
      </c>
      <c r="R24" s="46">
        <f t="shared" si="10"/>
        <v>62</v>
      </c>
      <c r="S24" s="42"/>
      <c r="T24" s="42"/>
      <c r="U24" s="42"/>
      <c r="V24" s="42"/>
      <c r="W24" s="43"/>
      <c r="X24" s="44" t="s">
        <v>49</v>
      </c>
      <c r="Y24" s="41">
        <f>Y22+Y23</f>
        <v>19</v>
      </c>
      <c r="Z24" s="41">
        <f t="shared" ref="Z24:AN24" si="11">Z22+Z23</f>
        <v>12</v>
      </c>
      <c r="AA24" s="41">
        <f t="shared" si="11"/>
        <v>0</v>
      </c>
      <c r="AB24" s="41">
        <f t="shared" si="11"/>
        <v>7</v>
      </c>
      <c r="AC24" s="45">
        <f t="shared" si="11"/>
        <v>9</v>
      </c>
      <c r="AD24" s="45">
        <f t="shared" si="11"/>
        <v>7</v>
      </c>
      <c r="AE24" s="45">
        <f t="shared" si="11"/>
        <v>0</v>
      </c>
      <c r="AF24" s="45">
        <f t="shared" si="11"/>
        <v>2</v>
      </c>
      <c r="AG24" s="38">
        <f t="shared" si="11"/>
        <v>9</v>
      </c>
      <c r="AH24" s="38">
        <f t="shared" si="11"/>
        <v>5</v>
      </c>
      <c r="AI24" s="38">
        <f t="shared" si="11"/>
        <v>0</v>
      </c>
      <c r="AJ24" s="38">
        <f t="shared" si="11"/>
        <v>4</v>
      </c>
      <c r="AK24" s="41">
        <f t="shared" si="11"/>
        <v>1</v>
      </c>
      <c r="AL24" s="41">
        <f t="shared" si="11"/>
        <v>0</v>
      </c>
      <c r="AM24" s="41">
        <f t="shared" si="11"/>
        <v>0</v>
      </c>
      <c r="AN24" s="41">
        <f t="shared" si="11"/>
        <v>1</v>
      </c>
    </row>
    <row r="26" spans="1:40" x14ac:dyDescent="0.3">
      <c r="A26" s="1" t="s">
        <v>52</v>
      </c>
    </row>
  </sheetData>
  <mergeCells count="13">
    <mergeCell ref="Y1:AB1"/>
    <mergeCell ref="AC1:AF1"/>
    <mergeCell ref="AG1:AJ1"/>
    <mergeCell ref="AK1:AN1"/>
    <mergeCell ref="C22:E22"/>
    <mergeCell ref="N1:O1"/>
    <mergeCell ref="P1:R1"/>
    <mergeCell ref="C24:E24"/>
    <mergeCell ref="A1:D1"/>
    <mergeCell ref="E1:G1"/>
    <mergeCell ref="H1:I1"/>
    <mergeCell ref="J1:M1"/>
    <mergeCell ref="C23:E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BB19-EC5C-BF4E-AE54-D1AED339535B}">
  <dimension ref="A1:AN24"/>
  <sheetViews>
    <sheetView workbookViewId="0">
      <selection sqref="A1:D1"/>
    </sheetView>
  </sheetViews>
  <sheetFormatPr defaultColWidth="11.44140625" defaultRowHeight="16.3" x14ac:dyDescent="0.3"/>
  <cols>
    <col min="1" max="1" width="6.44140625" style="47" bestFit="1" customWidth="1"/>
    <col min="2" max="2" width="6" style="47" bestFit="1" customWidth="1"/>
    <col min="3" max="3" width="12" style="47" customWidth="1"/>
    <col min="4" max="4" width="4.77734375" style="47" customWidth="1"/>
    <col min="5" max="7" width="4.6640625" style="47" customWidth="1"/>
    <col min="8" max="18" width="4.77734375" style="47" customWidth="1"/>
    <col min="19" max="19" width="7" style="47" customWidth="1"/>
    <col min="20" max="20" width="6.77734375" style="47" customWidth="1"/>
    <col min="21" max="21" width="24" style="47" bestFit="1" customWidth="1"/>
    <col min="22" max="23" width="29" style="47" bestFit="1" customWidth="1"/>
    <col min="24" max="24" width="24" style="47" bestFit="1" customWidth="1"/>
    <col min="25" max="40" width="4.77734375" style="47" customWidth="1"/>
  </cols>
  <sheetData>
    <row r="1" spans="1:40" ht="17" thickBot="1" x14ac:dyDescent="0.35">
      <c r="A1" s="433" t="s">
        <v>59</v>
      </c>
      <c r="B1" s="434"/>
      <c r="C1" s="434"/>
      <c r="D1" s="435"/>
      <c r="E1" s="436" t="s">
        <v>0</v>
      </c>
      <c r="F1" s="437"/>
      <c r="G1" s="438"/>
      <c r="H1" s="436" t="s">
        <v>1</v>
      </c>
      <c r="I1" s="438"/>
      <c r="J1" s="439" t="s">
        <v>2</v>
      </c>
      <c r="K1" s="440"/>
      <c r="L1" s="440"/>
      <c r="M1" s="441"/>
      <c r="N1" s="439" t="s">
        <v>3</v>
      </c>
      <c r="O1" s="441"/>
      <c r="P1" s="439" t="s">
        <v>4</v>
      </c>
      <c r="Q1" s="440"/>
      <c r="R1" s="441"/>
      <c r="S1" s="65" t="s">
        <v>5</v>
      </c>
      <c r="T1" s="65" t="s">
        <v>6</v>
      </c>
      <c r="U1" s="66" t="s">
        <v>7</v>
      </c>
      <c r="V1" s="67" t="s">
        <v>8</v>
      </c>
      <c r="W1" s="67" t="s">
        <v>9</v>
      </c>
      <c r="X1" s="68" t="s">
        <v>10</v>
      </c>
      <c r="Y1" s="442" t="s">
        <v>11</v>
      </c>
      <c r="Z1" s="443"/>
      <c r="AA1" s="443"/>
      <c r="AB1" s="444"/>
      <c r="AC1" s="442" t="s">
        <v>12</v>
      </c>
      <c r="AD1" s="443"/>
      <c r="AE1" s="443"/>
      <c r="AF1" s="444"/>
      <c r="AG1" s="442" t="s">
        <v>13</v>
      </c>
      <c r="AH1" s="443"/>
      <c r="AI1" s="443"/>
      <c r="AJ1" s="444"/>
      <c r="AK1" s="442" t="s">
        <v>14</v>
      </c>
      <c r="AL1" s="443"/>
      <c r="AM1" s="443"/>
      <c r="AN1" s="444"/>
    </row>
    <row r="2" spans="1:40" ht="17" thickBot="1" x14ac:dyDescent="0.35">
      <c r="A2" s="69" t="s">
        <v>15</v>
      </c>
      <c r="B2" s="70" t="s">
        <v>16</v>
      </c>
      <c r="C2" s="71" t="s">
        <v>17</v>
      </c>
      <c r="D2" s="71" t="s">
        <v>18</v>
      </c>
      <c r="E2" s="72" t="s">
        <v>19</v>
      </c>
      <c r="F2" s="72" t="s">
        <v>20</v>
      </c>
      <c r="G2" s="72" t="s">
        <v>21</v>
      </c>
      <c r="H2" s="73" t="s">
        <v>22</v>
      </c>
      <c r="I2" s="73" t="s">
        <v>23</v>
      </c>
      <c r="J2" s="73" t="s">
        <v>24</v>
      </c>
      <c r="K2" s="73" t="s">
        <v>25</v>
      </c>
      <c r="L2" s="73" t="s">
        <v>26</v>
      </c>
      <c r="M2" s="73" t="s">
        <v>27</v>
      </c>
      <c r="N2" s="73" t="s">
        <v>28</v>
      </c>
      <c r="O2" s="73" t="s">
        <v>19</v>
      </c>
      <c r="P2" s="73" t="s">
        <v>22</v>
      </c>
      <c r="Q2" s="73" t="s">
        <v>23</v>
      </c>
      <c r="R2" s="73" t="s">
        <v>24</v>
      </c>
      <c r="S2" s="74"/>
      <c r="T2" s="75"/>
      <c r="U2" s="76"/>
      <c r="V2" s="74"/>
      <c r="W2" s="77"/>
      <c r="X2" s="78"/>
      <c r="Y2" s="79" t="s">
        <v>29</v>
      </c>
      <c r="Z2" s="79" t="s">
        <v>30</v>
      </c>
      <c r="AA2" s="79" t="s">
        <v>26</v>
      </c>
      <c r="AB2" s="79" t="s">
        <v>31</v>
      </c>
      <c r="AC2" s="79" t="s">
        <v>29</v>
      </c>
      <c r="AD2" s="79" t="s">
        <v>30</v>
      </c>
      <c r="AE2" s="79" t="s">
        <v>26</v>
      </c>
      <c r="AF2" s="79" t="s">
        <v>31</v>
      </c>
      <c r="AG2" s="79" t="s">
        <v>29</v>
      </c>
      <c r="AH2" s="79" t="s">
        <v>30</v>
      </c>
      <c r="AI2" s="79" t="s">
        <v>26</v>
      </c>
      <c r="AJ2" s="79" t="s">
        <v>31</v>
      </c>
      <c r="AK2" s="79" t="s">
        <v>29</v>
      </c>
      <c r="AL2" s="79" t="s">
        <v>30</v>
      </c>
      <c r="AM2" s="79" t="s">
        <v>26</v>
      </c>
      <c r="AN2" s="80" t="s">
        <v>31</v>
      </c>
    </row>
    <row r="3" spans="1:40" ht="17" thickBot="1" x14ac:dyDescent="0.35">
      <c r="A3" s="2" t="s">
        <v>127</v>
      </c>
      <c r="B3" s="3" t="s">
        <v>32</v>
      </c>
      <c r="C3" s="4" t="s">
        <v>33</v>
      </c>
      <c r="D3" s="5" t="s">
        <v>34</v>
      </c>
      <c r="E3" s="5" t="s">
        <v>31</v>
      </c>
      <c r="F3" s="5">
        <v>17</v>
      </c>
      <c r="G3" s="6">
        <v>24</v>
      </c>
      <c r="H3" s="7">
        <v>0</v>
      </c>
      <c r="I3" s="8">
        <v>1</v>
      </c>
      <c r="J3" s="8">
        <v>2</v>
      </c>
      <c r="K3" s="8">
        <v>2</v>
      </c>
      <c r="L3" s="8">
        <v>0</v>
      </c>
      <c r="M3" s="8">
        <v>1</v>
      </c>
      <c r="N3" s="8">
        <v>1</v>
      </c>
      <c r="O3" s="8">
        <v>0</v>
      </c>
      <c r="P3" s="8">
        <v>1</v>
      </c>
      <c r="Q3" s="8">
        <v>0</v>
      </c>
      <c r="R3" s="8">
        <v>4</v>
      </c>
      <c r="S3" s="289"/>
      <c r="T3" s="10" t="s">
        <v>234</v>
      </c>
      <c r="U3" s="11" t="s">
        <v>210</v>
      </c>
      <c r="V3" s="12" t="s">
        <v>211</v>
      </c>
      <c r="W3" s="13" t="s">
        <v>212</v>
      </c>
      <c r="X3" s="12" t="s">
        <v>213</v>
      </c>
      <c r="Y3" s="12">
        <v>1</v>
      </c>
      <c r="Z3" s="12">
        <v>0</v>
      </c>
      <c r="AA3" s="12">
        <v>0</v>
      </c>
      <c r="AB3" s="14">
        <v>1</v>
      </c>
      <c r="AC3" s="12">
        <v>1</v>
      </c>
      <c r="AD3" s="12">
        <v>0</v>
      </c>
      <c r="AE3" s="12">
        <v>0</v>
      </c>
      <c r="AF3" s="14">
        <v>1</v>
      </c>
      <c r="AG3" s="12"/>
      <c r="AH3" s="12"/>
      <c r="AI3" s="12"/>
      <c r="AJ3" s="14"/>
      <c r="AK3" s="12"/>
      <c r="AL3" s="12"/>
      <c r="AM3" s="12"/>
      <c r="AN3" s="14"/>
    </row>
    <row r="4" spans="1:40" ht="17" thickBot="1" x14ac:dyDescent="0.35">
      <c r="A4" s="2" t="s">
        <v>115</v>
      </c>
      <c r="B4" s="3" t="s">
        <v>32</v>
      </c>
      <c r="C4" s="4" t="s">
        <v>44</v>
      </c>
      <c r="D4" s="5" t="s">
        <v>34</v>
      </c>
      <c r="E4" s="5" t="s">
        <v>31</v>
      </c>
      <c r="F4" s="5">
        <v>28</v>
      </c>
      <c r="G4" s="6">
        <v>45</v>
      </c>
      <c r="H4" s="7">
        <v>1</v>
      </c>
      <c r="I4" s="8">
        <v>0</v>
      </c>
      <c r="J4" s="8">
        <v>4</v>
      </c>
      <c r="K4" s="5">
        <v>4</v>
      </c>
      <c r="L4" s="8">
        <v>0</v>
      </c>
      <c r="M4" s="5">
        <v>0</v>
      </c>
      <c r="N4" s="8">
        <v>3</v>
      </c>
      <c r="O4" s="8">
        <v>1</v>
      </c>
      <c r="P4" s="8">
        <v>1</v>
      </c>
      <c r="Q4" s="5">
        <v>0</v>
      </c>
      <c r="R4" s="8">
        <v>7</v>
      </c>
      <c r="S4" s="27"/>
      <c r="T4" s="28" t="s">
        <v>252</v>
      </c>
      <c r="U4" s="11" t="s">
        <v>243</v>
      </c>
      <c r="V4" s="12" t="s">
        <v>244</v>
      </c>
      <c r="W4" s="12" t="s">
        <v>245</v>
      </c>
      <c r="X4" s="13" t="s">
        <v>246</v>
      </c>
      <c r="Y4" s="12">
        <v>1</v>
      </c>
      <c r="Z4" s="12">
        <v>0</v>
      </c>
      <c r="AA4" s="12">
        <v>0</v>
      </c>
      <c r="AB4" s="14">
        <v>1</v>
      </c>
      <c r="AC4" s="12">
        <v>1</v>
      </c>
      <c r="AD4" s="12">
        <v>0</v>
      </c>
      <c r="AE4" s="12">
        <v>0</v>
      </c>
      <c r="AF4" s="14">
        <v>1</v>
      </c>
      <c r="AG4" s="12"/>
      <c r="AH4" s="12"/>
      <c r="AI4" s="12"/>
      <c r="AJ4" s="14"/>
      <c r="AK4" s="12"/>
      <c r="AL4" s="12"/>
      <c r="AM4" s="12"/>
      <c r="AN4" s="14"/>
    </row>
    <row r="5" spans="1:40" ht="17" thickBot="1" x14ac:dyDescent="0.35">
      <c r="A5" s="15" t="s">
        <v>100</v>
      </c>
      <c r="B5" s="16" t="s">
        <v>32</v>
      </c>
      <c r="C5" s="17" t="s">
        <v>47</v>
      </c>
      <c r="D5" s="18" t="s">
        <v>21</v>
      </c>
      <c r="E5" s="18" t="s">
        <v>31</v>
      </c>
      <c r="F5" s="18">
        <v>28</v>
      </c>
      <c r="G5" s="19">
        <v>36</v>
      </c>
      <c r="H5" s="248">
        <v>1</v>
      </c>
      <c r="I5" s="19">
        <v>0</v>
      </c>
      <c r="J5" s="21">
        <v>4</v>
      </c>
      <c r="K5" s="21">
        <v>4</v>
      </c>
      <c r="L5" s="21">
        <v>0</v>
      </c>
      <c r="M5" s="21">
        <v>0</v>
      </c>
      <c r="N5" s="21">
        <v>3</v>
      </c>
      <c r="O5" s="21">
        <v>1</v>
      </c>
      <c r="P5" s="18">
        <v>1</v>
      </c>
      <c r="Q5" s="21">
        <v>0</v>
      </c>
      <c r="R5" s="18">
        <v>5</v>
      </c>
      <c r="S5" s="248"/>
      <c r="T5" s="29" t="s">
        <v>235</v>
      </c>
      <c r="U5" s="24" t="str">
        <f>SanDiego!U6</f>
        <v>Chris Assmus</v>
      </c>
      <c r="V5" s="24" t="str">
        <f>SanDiego!V6</f>
        <v>Austin Reed</v>
      </c>
      <c r="W5" s="24" t="str">
        <f>SanDiego!W6</f>
        <v>Marquise Goodwin</v>
      </c>
      <c r="X5" s="24" t="str">
        <f>SanDiego!X6</f>
        <v>Kirk Swanner</v>
      </c>
      <c r="Y5" s="25">
        <v>1</v>
      </c>
      <c r="Z5" s="25">
        <v>0</v>
      </c>
      <c r="AA5" s="25">
        <v>0</v>
      </c>
      <c r="AB5" s="26">
        <v>1</v>
      </c>
      <c r="AC5" s="25"/>
      <c r="AD5" s="25"/>
      <c r="AE5" s="25"/>
      <c r="AF5" s="26"/>
      <c r="AG5" s="25">
        <v>1</v>
      </c>
      <c r="AH5" s="25">
        <v>0</v>
      </c>
      <c r="AI5" s="25">
        <v>0</v>
      </c>
      <c r="AJ5" s="26">
        <v>1</v>
      </c>
      <c r="AK5" s="25"/>
      <c r="AL5" s="25"/>
      <c r="AM5" s="25"/>
      <c r="AN5" s="26"/>
    </row>
    <row r="6" spans="1:40" ht="17" thickBot="1" x14ac:dyDescent="0.35">
      <c r="A6" s="2" t="s">
        <v>117</v>
      </c>
      <c r="B6" s="3" t="s">
        <v>32</v>
      </c>
      <c r="C6" s="4" t="s">
        <v>43</v>
      </c>
      <c r="D6" s="5" t="s">
        <v>34</v>
      </c>
      <c r="E6" s="5" t="s">
        <v>30</v>
      </c>
      <c r="F6" s="5">
        <v>35</v>
      </c>
      <c r="G6" s="6">
        <v>29</v>
      </c>
      <c r="H6" s="6">
        <v>1</v>
      </c>
      <c r="I6" s="8">
        <v>0</v>
      </c>
      <c r="J6" s="5">
        <v>5</v>
      </c>
      <c r="K6" s="5">
        <v>5</v>
      </c>
      <c r="L6" s="8">
        <v>0</v>
      </c>
      <c r="M6" s="8">
        <v>0</v>
      </c>
      <c r="N6" s="8">
        <v>2</v>
      </c>
      <c r="O6" s="8">
        <v>0</v>
      </c>
      <c r="P6" s="8">
        <v>1</v>
      </c>
      <c r="Q6" s="5">
        <v>1</v>
      </c>
      <c r="R6" s="8">
        <v>4</v>
      </c>
      <c r="S6" s="27"/>
      <c r="T6" s="298" t="s">
        <v>290</v>
      </c>
      <c r="U6" s="12" t="s">
        <v>269</v>
      </c>
      <c r="V6" s="12" t="s">
        <v>220</v>
      </c>
      <c r="W6" s="12" t="s">
        <v>223</v>
      </c>
      <c r="X6" s="11" t="s">
        <v>213</v>
      </c>
      <c r="Y6" s="12">
        <v>1</v>
      </c>
      <c r="Z6" s="12">
        <v>1</v>
      </c>
      <c r="AA6" s="12">
        <v>0</v>
      </c>
      <c r="AB6" s="14">
        <v>0</v>
      </c>
      <c r="AC6" s="12">
        <v>1</v>
      </c>
      <c r="AD6" s="12">
        <v>1</v>
      </c>
      <c r="AE6" s="12">
        <v>0</v>
      </c>
      <c r="AF6" s="14">
        <v>0</v>
      </c>
      <c r="AG6" s="12"/>
      <c r="AH6" s="12"/>
      <c r="AI6" s="12"/>
      <c r="AJ6" s="14"/>
      <c r="AK6" s="12"/>
      <c r="AL6" s="12"/>
      <c r="AM6" s="12"/>
      <c r="AN6" s="14"/>
    </row>
    <row r="7" spans="1:40" ht="17" thickBot="1" x14ac:dyDescent="0.35">
      <c r="A7" s="15" t="s">
        <v>101</v>
      </c>
      <c r="B7" s="16" t="s">
        <v>32</v>
      </c>
      <c r="C7" s="17" t="s">
        <v>96</v>
      </c>
      <c r="D7" s="18" t="s">
        <v>21</v>
      </c>
      <c r="E7" s="21" t="s">
        <v>30</v>
      </c>
      <c r="F7" s="18">
        <v>31</v>
      </c>
      <c r="G7" s="19">
        <v>24</v>
      </c>
      <c r="H7" s="20">
        <v>1</v>
      </c>
      <c r="I7" s="18">
        <v>0</v>
      </c>
      <c r="J7" s="21">
        <v>5</v>
      </c>
      <c r="K7" s="21">
        <v>2</v>
      </c>
      <c r="L7" s="21">
        <v>0</v>
      </c>
      <c r="M7" s="21">
        <v>0</v>
      </c>
      <c r="N7" s="21">
        <v>2</v>
      </c>
      <c r="O7" s="21">
        <v>0</v>
      </c>
      <c r="P7" s="21">
        <v>1</v>
      </c>
      <c r="Q7" s="21">
        <v>1</v>
      </c>
      <c r="R7" s="21">
        <v>4</v>
      </c>
      <c r="S7" s="248"/>
      <c r="T7" s="292" t="s">
        <v>295</v>
      </c>
      <c r="U7" s="24" t="str">
        <f>NOLA!U7</f>
        <v>Federico Anselmi</v>
      </c>
      <c r="V7" s="24" t="str">
        <f>NOLA!V7</f>
        <v>Saro Turner</v>
      </c>
      <c r="W7" s="24" t="str">
        <f>NOLA!W7</f>
        <v>Marquise Goodwin</v>
      </c>
      <c r="X7" s="24" t="str">
        <f>NOLA!X7</f>
        <v>Elvy Asonye</v>
      </c>
      <c r="Y7" s="25">
        <v>1</v>
      </c>
      <c r="Z7" s="25">
        <v>1</v>
      </c>
      <c r="AA7" s="25">
        <v>0</v>
      </c>
      <c r="AB7" s="26">
        <v>0</v>
      </c>
      <c r="AC7" s="25"/>
      <c r="AD7" s="25"/>
      <c r="AE7" s="25"/>
      <c r="AF7" s="26"/>
      <c r="AG7" s="25">
        <v>1</v>
      </c>
      <c r="AH7" s="25">
        <v>1</v>
      </c>
      <c r="AI7" s="25">
        <v>0</v>
      </c>
      <c r="AJ7" s="26">
        <v>0</v>
      </c>
      <c r="AK7" s="25"/>
      <c r="AL7" s="25"/>
      <c r="AM7" s="25"/>
      <c r="AN7" s="26"/>
    </row>
    <row r="8" spans="1:40" ht="17" thickBot="1" x14ac:dyDescent="0.35">
      <c r="A8" s="2" t="s">
        <v>102</v>
      </c>
      <c r="B8" s="3" t="s">
        <v>32</v>
      </c>
      <c r="C8" s="4" t="s">
        <v>37</v>
      </c>
      <c r="D8" s="5" t="s">
        <v>34</v>
      </c>
      <c r="E8" s="8" t="s">
        <v>30</v>
      </c>
      <c r="F8" s="5">
        <v>54</v>
      </c>
      <c r="G8" s="6">
        <v>44</v>
      </c>
      <c r="H8" s="7">
        <v>1</v>
      </c>
      <c r="I8" s="5">
        <v>0</v>
      </c>
      <c r="J8" s="8">
        <v>8</v>
      </c>
      <c r="K8" s="8">
        <v>5</v>
      </c>
      <c r="L8" s="8">
        <v>0</v>
      </c>
      <c r="M8" s="8">
        <v>0</v>
      </c>
      <c r="N8" s="8">
        <v>4</v>
      </c>
      <c r="O8" s="8">
        <v>1</v>
      </c>
      <c r="P8" s="5">
        <v>1</v>
      </c>
      <c r="Q8" s="8">
        <v>0</v>
      </c>
      <c r="R8" s="8">
        <v>5</v>
      </c>
      <c r="S8" s="27"/>
      <c r="T8" s="298" t="s">
        <v>308</v>
      </c>
      <c r="U8" s="11" t="s">
        <v>226</v>
      </c>
      <c r="V8" s="12" t="s">
        <v>244</v>
      </c>
      <c r="W8" s="12" t="s">
        <v>212</v>
      </c>
      <c r="X8" s="13" t="s">
        <v>213</v>
      </c>
      <c r="Y8" s="12">
        <v>1</v>
      </c>
      <c r="Z8" s="12">
        <v>1</v>
      </c>
      <c r="AA8" s="12">
        <v>0</v>
      </c>
      <c r="AB8" s="14">
        <v>0</v>
      </c>
      <c r="AC8" s="12">
        <v>1</v>
      </c>
      <c r="AD8" s="12">
        <v>1</v>
      </c>
      <c r="AE8" s="12">
        <v>0</v>
      </c>
      <c r="AF8" s="14">
        <v>0</v>
      </c>
      <c r="AG8" s="12"/>
      <c r="AH8" s="12"/>
      <c r="AI8" s="12"/>
      <c r="AJ8" s="14"/>
      <c r="AK8" s="12"/>
      <c r="AL8" s="12"/>
      <c r="AM8" s="12"/>
      <c r="AN8" s="14"/>
    </row>
    <row r="9" spans="1:40" ht="17" thickBot="1" x14ac:dyDescent="0.35">
      <c r="A9" s="15" t="s">
        <v>103</v>
      </c>
      <c r="B9" s="16" t="s">
        <v>32</v>
      </c>
      <c r="C9" s="17" t="s">
        <v>44</v>
      </c>
      <c r="D9" s="18" t="s">
        <v>21</v>
      </c>
      <c r="E9" s="21" t="s">
        <v>30</v>
      </c>
      <c r="F9" s="18">
        <v>24</v>
      </c>
      <c r="G9" s="19">
        <v>22</v>
      </c>
      <c r="H9" s="20">
        <v>1</v>
      </c>
      <c r="I9" s="21">
        <v>0</v>
      </c>
      <c r="J9" s="21">
        <v>4</v>
      </c>
      <c r="K9" s="21">
        <v>2</v>
      </c>
      <c r="L9" s="21">
        <v>0</v>
      </c>
      <c r="M9" s="21">
        <v>0</v>
      </c>
      <c r="N9" s="21">
        <v>0</v>
      </c>
      <c r="O9" s="21">
        <v>0</v>
      </c>
      <c r="P9" s="21">
        <v>1</v>
      </c>
      <c r="Q9" s="21">
        <v>1</v>
      </c>
      <c r="R9" s="21">
        <v>4</v>
      </c>
      <c r="S9" s="248"/>
      <c r="T9" s="297" t="s">
        <v>320</v>
      </c>
      <c r="U9" s="24" t="str">
        <f>Houston!U9</f>
        <v>George Myers</v>
      </c>
      <c r="V9" s="24" t="str">
        <f>Houston!V9</f>
        <v>Chris O'Malley</v>
      </c>
      <c r="W9" s="24" t="str">
        <f>Houston!W9</f>
        <v>Marquise Goodwin</v>
      </c>
      <c r="X9" s="24" t="str">
        <f>Houston!X9</f>
        <v>Jono Cooper</v>
      </c>
      <c r="Y9" s="25">
        <f>Houston!Y9</f>
        <v>1</v>
      </c>
      <c r="Z9" s="25">
        <f>Houston!AB9</f>
        <v>1</v>
      </c>
      <c r="AA9" s="25">
        <f>Houston!AA9</f>
        <v>0</v>
      </c>
      <c r="AB9" s="26">
        <f>Houston!Z9</f>
        <v>0</v>
      </c>
      <c r="AC9" s="25"/>
      <c r="AD9" s="25"/>
      <c r="AE9" s="25"/>
      <c r="AF9" s="26"/>
      <c r="AG9" s="25">
        <f>Y9</f>
        <v>1</v>
      </c>
      <c r="AH9" s="25">
        <f t="shared" ref="AH9:AJ9" si="0">Z9</f>
        <v>1</v>
      </c>
      <c r="AI9" s="25">
        <f t="shared" si="0"/>
        <v>0</v>
      </c>
      <c r="AJ9" s="25">
        <f t="shared" si="0"/>
        <v>0</v>
      </c>
      <c r="AK9" s="25"/>
      <c r="AL9" s="25"/>
      <c r="AM9" s="25"/>
      <c r="AN9" s="26"/>
    </row>
    <row r="10" spans="1:40" ht="17" thickBot="1" x14ac:dyDescent="0.35">
      <c r="A10" s="2" t="s">
        <v>121</v>
      </c>
      <c r="B10" s="3" t="s">
        <v>32</v>
      </c>
      <c r="C10" s="4" t="s">
        <v>39</v>
      </c>
      <c r="D10" s="5" t="s">
        <v>34</v>
      </c>
      <c r="E10" s="5" t="s">
        <v>31</v>
      </c>
      <c r="F10" s="5">
        <v>28</v>
      </c>
      <c r="G10" s="6">
        <v>45</v>
      </c>
      <c r="H10" s="7">
        <v>1</v>
      </c>
      <c r="I10" s="8">
        <v>0</v>
      </c>
      <c r="J10" s="8">
        <v>4</v>
      </c>
      <c r="K10" s="8">
        <v>4</v>
      </c>
      <c r="L10" s="8">
        <v>0</v>
      </c>
      <c r="M10" s="8">
        <v>0</v>
      </c>
      <c r="N10" s="5">
        <v>2</v>
      </c>
      <c r="O10" s="8">
        <v>0</v>
      </c>
      <c r="P10" s="8">
        <v>1</v>
      </c>
      <c r="Q10" s="5">
        <v>0</v>
      </c>
      <c r="R10" s="8">
        <v>6</v>
      </c>
      <c r="S10" s="27"/>
      <c r="T10" s="36" t="s">
        <v>249</v>
      </c>
      <c r="U10" s="11" t="s">
        <v>214</v>
      </c>
      <c r="V10" s="12" t="s">
        <v>220</v>
      </c>
      <c r="W10" s="12" t="s">
        <v>223</v>
      </c>
      <c r="X10" s="13" t="s">
        <v>213</v>
      </c>
      <c r="Y10" s="12">
        <v>1</v>
      </c>
      <c r="Z10" s="12">
        <v>0</v>
      </c>
      <c r="AA10" s="12">
        <v>0</v>
      </c>
      <c r="AB10" s="14">
        <v>1</v>
      </c>
      <c r="AC10" s="12">
        <f>Y10</f>
        <v>1</v>
      </c>
      <c r="AD10" s="12">
        <f t="shared" ref="AD10:AF10" si="1">Z10</f>
        <v>0</v>
      </c>
      <c r="AE10" s="12">
        <f t="shared" si="1"/>
        <v>0</v>
      </c>
      <c r="AF10" s="12">
        <f t="shared" si="1"/>
        <v>1</v>
      </c>
      <c r="AG10" s="12"/>
      <c r="AH10" s="12"/>
      <c r="AI10" s="12"/>
      <c r="AJ10" s="14"/>
      <c r="AK10" s="12"/>
      <c r="AL10" s="12"/>
      <c r="AM10" s="12"/>
      <c r="AN10" s="14"/>
    </row>
    <row r="11" spans="1:40" ht="17" thickBot="1" x14ac:dyDescent="0.35">
      <c r="A11" s="15" t="s">
        <v>129</v>
      </c>
      <c r="B11" s="16" t="s">
        <v>32</v>
      </c>
      <c r="C11" s="17" t="s">
        <v>33</v>
      </c>
      <c r="D11" s="18" t="s">
        <v>21</v>
      </c>
      <c r="E11" s="18" t="s">
        <v>31</v>
      </c>
      <c r="F11" s="18">
        <v>21</v>
      </c>
      <c r="G11" s="19">
        <v>23</v>
      </c>
      <c r="H11" s="20">
        <v>0</v>
      </c>
      <c r="I11" s="21">
        <v>1</v>
      </c>
      <c r="J11" s="21">
        <v>3</v>
      </c>
      <c r="K11" s="21">
        <v>3</v>
      </c>
      <c r="L11" s="21">
        <v>0</v>
      </c>
      <c r="M11" s="21">
        <v>0</v>
      </c>
      <c r="N11" s="21">
        <v>1</v>
      </c>
      <c r="O11" s="21">
        <v>0</v>
      </c>
      <c r="P11" s="21">
        <v>0</v>
      </c>
      <c r="Q11" s="18">
        <v>0</v>
      </c>
      <c r="R11" s="21">
        <v>2</v>
      </c>
      <c r="S11" s="248"/>
      <c r="T11" s="29" t="s">
        <v>342</v>
      </c>
      <c r="U11" s="24" t="str">
        <f>NewEngland!U12</f>
        <v>Luke Rogan</v>
      </c>
      <c r="V11" s="24" t="str">
        <f>NewEngland!V12</f>
        <v>Cam Russell</v>
      </c>
      <c r="W11" s="24" t="str">
        <f>NewEngland!W12</f>
        <v>Jarrod Ford</v>
      </c>
      <c r="X11" s="24" t="str">
        <f>NewEngland!X12</f>
        <v>Miles McIvor</v>
      </c>
      <c r="Y11" s="25">
        <f>NewEngland!Y12</f>
        <v>1</v>
      </c>
      <c r="Z11" s="25">
        <f>NewEngland!AB12</f>
        <v>0</v>
      </c>
      <c r="AA11" s="25">
        <f>NewEngland!AA12</f>
        <v>0</v>
      </c>
      <c r="AB11" s="26">
        <f>NewEngland!Z12</f>
        <v>1</v>
      </c>
      <c r="AC11" s="25"/>
      <c r="AD11" s="25"/>
      <c r="AE11" s="25"/>
      <c r="AF11" s="26"/>
      <c r="AG11" s="25">
        <f>Y11</f>
        <v>1</v>
      </c>
      <c r="AH11" s="25">
        <f t="shared" ref="AH11:AJ11" si="2">Z11</f>
        <v>0</v>
      </c>
      <c r="AI11" s="25">
        <f t="shared" si="2"/>
        <v>0</v>
      </c>
      <c r="AJ11" s="25">
        <f t="shared" si="2"/>
        <v>1</v>
      </c>
      <c r="AK11" s="25"/>
      <c r="AL11" s="25"/>
      <c r="AM11" s="25"/>
      <c r="AN11" s="26"/>
    </row>
    <row r="12" spans="1:40" ht="17" thickBot="1" x14ac:dyDescent="0.35">
      <c r="A12" s="31" t="s">
        <v>118</v>
      </c>
      <c r="B12" s="3" t="s">
        <v>32</v>
      </c>
      <c r="C12" s="4" t="s">
        <v>47</v>
      </c>
      <c r="D12" s="5" t="s">
        <v>34</v>
      </c>
      <c r="E12" s="5" t="s">
        <v>31</v>
      </c>
      <c r="F12" s="5">
        <v>36</v>
      </c>
      <c r="G12" s="6">
        <v>38</v>
      </c>
      <c r="H12" s="7">
        <v>1</v>
      </c>
      <c r="I12" s="8">
        <v>1</v>
      </c>
      <c r="J12" s="8">
        <v>6</v>
      </c>
      <c r="K12" s="8">
        <v>3</v>
      </c>
      <c r="L12" s="8">
        <v>0</v>
      </c>
      <c r="M12" s="8">
        <v>0</v>
      </c>
      <c r="N12" s="5">
        <v>1</v>
      </c>
      <c r="O12" s="8">
        <v>0</v>
      </c>
      <c r="P12" s="8">
        <v>1</v>
      </c>
      <c r="Q12" s="8">
        <v>0</v>
      </c>
      <c r="R12" s="8">
        <v>6</v>
      </c>
      <c r="S12" s="290"/>
      <c r="T12" s="36" t="s">
        <v>352</v>
      </c>
      <c r="U12" s="11" t="s">
        <v>226</v>
      </c>
      <c r="V12" s="12" t="s">
        <v>305</v>
      </c>
      <c r="W12" s="12" t="s">
        <v>242</v>
      </c>
      <c r="X12" s="13" t="s">
        <v>227</v>
      </c>
      <c r="Y12" s="12">
        <v>1</v>
      </c>
      <c r="Z12" s="12">
        <v>0</v>
      </c>
      <c r="AA12" s="12">
        <v>0</v>
      </c>
      <c r="AB12" s="14">
        <v>1</v>
      </c>
      <c r="AC12" s="12">
        <f>Y12</f>
        <v>1</v>
      </c>
      <c r="AD12" s="12">
        <f t="shared" ref="AD12:AF12" si="3">Z12</f>
        <v>0</v>
      </c>
      <c r="AE12" s="12">
        <f t="shared" si="3"/>
        <v>0</v>
      </c>
      <c r="AF12" s="12">
        <f t="shared" si="3"/>
        <v>1</v>
      </c>
      <c r="AG12" s="12"/>
      <c r="AH12" s="12"/>
      <c r="AI12" s="12"/>
      <c r="AJ12" s="14"/>
      <c r="AK12" s="12"/>
      <c r="AL12" s="12"/>
      <c r="AM12" s="12"/>
      <c r="AN12" s="14"/>
    </row>
    <row r="13" spans="1:40" ht="17" thickBot="1" x14ac:dyDescent="0.35">
      <c r="A13" s="33" t="s">
        <v>134</v>
      </c>
      <c r="B13" s="16" t="s">
        <v>32</v>
      </c>
      <c r="C13" s="17" t="s">
        <v>43</v>
      </c>
      <c r="D13" s="18" t="s">
        <v>21</v>
      </c>
      <c r="E13" s="18" t="s">
        <v>26</v>
      </c>
      <c r="F13" s="18">
        <v>26</v>
      </c>
      <c r="G13" s="19">
        <v>26</v>
      </c>
      <c r="H13" s="20">
        <v>1</v>
      </c>
      <c r="I13" s="21">
        <v>0</v>
      </c>
      <c r="J13" s="21">
        <v>4</v>
      </c>
      <c r="K13" s="21">
        <v>2</v>
      </c>
      <c r="L13" s="21">
        <v>0</v>
      </c>
      <c r="M13" s="21">
        <v>0</v>
      </c>
      <c r="N13" s="21">
        <v>2</v>
      </c>
      <c r="O13" s="21">
        <v>0</v>
      </c>
      <c r="P13" s="21">
        <v>1</v>
      </c>
      <c r="Q13" s="21">
        <v>0</v>
      </c>
      <c r="R13" s="21">
        <v>4</v>
      </c>
      <c r="S13" s="291"/>
      <c r="T13" s="35" t="s">
        <v>353</v>
      </c>
      <c r="U13" s="24" t="str">
        <f>Seattle!U13</f>
        <v>Luke Rogan</v>
      </c>
      <c r="V13" s="24" t="str">
        <f>Seattle!V13</f>
        <v>Derek Summers</v>
      </c>
      <c r="W13" s="24" t="str">
        <f>Seattle!W13</f>
        <v>Robin Kaluzniak</v>
      </c>
      <c r="X13" s="24" t="str">
        <f>Seattle!X13</f>
        <v>Saro Turner</v>
      </c>
      <c r="Y13" s="25">
        <f>Seattle!Y13</f>
        <v>1</v>
      </c>
      <c r="Z13" s="25">
        <f>Seattle!AB13</f>
        <v>0</v>
      </c>
      <c r="AA13" s="25">
        <f>Seattle!AA13</f>
        <v>1</v>
      </c>
      <c r="AB13" s="26">
        <f>Seattle!Z13</f>
        <v>0</v>
      </c>
      <c r="AC13" s="25"/>
      <c r="AD13" s="25"/>
      <c r="AE13" s="25"/>
      <c r="AF13" s="26"/>
      <c r="AG13" s="25">
        <f>Y13</f>
        <v>1</v>
      </c>
      <c r="AH13" s="25">
        <f t="shared" ref="AH13:AJ13" si="4">Z13</f>
        <v>0</v>
      </c>
      <c r="AI13" s="25">
        <f t="shared" si="4"/>
        <v>1</v>
      </c>
      <c r="AJ13" s="25">
        <f t="shared" si="4"/>
        <v>0</v>
      </c>
      <c r="AK13" s="25"/>
      <c r="AL13" s="25"/>
      <c r="AM13" s="25"/>
      <c r="AN13" s="26"/>
    </row>
    <row r="14" spans="1:40" ht="17" thickBot="1" x14ac:dyDescent="0.35">
      <c r="A14" s="31" t="s">
        <v>107</v>
      </c>
      <c r="B14" s="3" t="s">
        <v>32</v>
      </c>
      <c r="C14" s="4" t="s">
        <v>70</v>
      </c>
      <c r="D14" s="5" t="s">
        <v>34</v>
      </c>
      <c r="E14" s="5" t="s">
        <v>30</v>
      </c>
      <c r="F14" s="5">
        <v>45</v>
      </c>
      <c r="G14" s="6">
        <v>17</v>
      </c>
      <c r="H14" s="7">
        <v>1</v>
      </c>
      <c r="I14" s="8">
        <v>0</v>
      </c>
      <c r="J14" s="8">
        <v>7</v>
      </c>
      <c r="K14" s="8">
        <v>3</v>
      </c>
      <c r="L14" s="8">
        <v>0</v>
      </c>
      <c r="M14" s="8">
        <v>0</v>
      </c>
      <c r="N14" s="8">
        <v>0</v>
      </c>
      <c r="O14" s="8">
        <v>1</v>
      </c>
      <c r="P14" s="8">
        <v>0</v>
      </c>
      <c r="Q14" s="8">
        <v>0</v>
      </c>
      <c r="R14" s="8">
        <v>3</v>
      </c>
      <c r="S14" s="290"/>
      <c r="T14" s="282" t="s">
        <v>368</v>
      </c>
      <c r="U14" s="11" t="s">
        <v>210</v>
      </c>
      <c r="V14" s="12" t="s">
        <v>220</v>
      </c>
      <c r="W14" s="12" t="s">
        <v>218</v>
      </c>
      <c r="X14" s="13" t="s">
        <v>246</v>
      </c>
      <c r="Y14" s="12">
        <v>1</v>
      </c>
      <c r="Z14" s="12">
        <v>1</v>
      </c>
      <c r="AA14" s="12">
        <v>0</v>
      </c>
      <c r="AB14" s="14">
        <v>0</v>
      </c>
      <c r="AC14" s="12">
        <f>Y14</f>
        <v>1</v>
      </c>
      <c r="AD14" s="12">
        <f t="shared" ref="AD14:AF14" si="5">Z14</f>
        <v>1</v>
      </c>
      <c r="AE14" s="12">
        <f t="shared" si="5"/>
        <v>0</v>
      </c>
      <c r="AF14" s="12">
        <f t="shared" si="5"/>
        <v>0</v>
      </c>
      <c r="AG14" s="12"/>
      <c r="AH14" s="12"/>
      <c r="AI14" s="12"/>
      <c r="AJ14" s="14"/>
      <c r="AK14" s="12"/>
      <c r="AL14" s="12"/>
      <c r="AM14" s="12"/>
      <c r="AN14" s="14"/>
    </row>
    <row r="15" spans="1:40" ht="17" thickBot="1" x14ac:dyDescent="0.35">
      <c r="A15" s="33" t="s">
        <v>45</v>
      </c>
      <c r="B15" s="16" t="s">
        <v>32</v>
      </c>
      <c r="C15" s="17" t="s">
        <v>40</v>
      </c>
      <c r="D15" s="18" t="s">
        <v>21</v>
      </c>
      <c r="E15" s="18" t="s">
        <v>30</v>
      </c>
      <c r="F15" s="18">
        <v>26</v>
      </c>
      <c r="G15" s="19">
        <v>24</v>
      </c>
      <c r="H15" s="20">
        <v>1</v>
      </c>
      <c r="I15" s="21">
        <v>0</v>
      </c>
      <c r="J15" s="21">
        <v>4</v>
      </c>
      <c r="K15" s="21">
        <v>3</v>
      </c>
      <c r="L15" s="21">
        <v>0</v>
      </c>
      <c r="M15" s="21">
        <v>0</v>
      </c>
      <c r="N15" s="21">
        <v>2</v>
      </c>
      <c r="O15" s="21">
        <v>0</v>
      </c>
      <c r="P15" s="21">
        <v>0</v>
      </c>
      <c r="Q15" s="21">
        <v>1</v>
      </c>
      <c r="R15" s="21">
        <v>3</v>
      </c>
      <c r="S15" s="291"/>
      <c r="T15" s="292" t="s">
        <v>235</v>
      </c>
      <c r="U15" s="24" t="str">
        <f>Chicago!U15</f>
        <v>Robin Kaluzniak</v>
      </c>
      <c r="V15" s="24" t="str">
        <f>Chicago!V15</f>
        <v>Chris O'Malley</v>
      </c>
      <c r="W15" s="24" t="str">
        <f>Chicago!W15</f>
        <v>Miles McIvor</v>
      </c>
      <c r="X15" s="24" t="str">
        <f>Chicago!X15</f>
        <v>Matt Lake</v>
      </c>
      <c r="Y15" s="25">
        <f>Chicago!Y15</f>
        <v>1</v>
      </c>
      <c r="Z15" s="25">
        <f>Chicago!AB15</f>
        <v>1</v>
      </c>
      <c r="AA15" s="25">
        <f>Chicago!AA15</f>
        <v>0</v>
      </c>
      <c r="AB15" s="26">
        <f>Chicago!Z15</f>
        <v>0</v>
      </c>
      <c r="AC15" s="25"/>
      <c r="AD15" s="25"/>
      <c r="AE15" s="25"/>
      <c r="AF15" s="26"/>
      <c r="AG15" s="25">
        <f>Y15</f>
        <v>1</v>
      </c>
      <c r="AH15" s="25">
        <f t="shared" ref="AH15:AJ15" si="6">Z15</f>
        <v>1</v>
      </c>
      <c r="AI15" s="25">
        <f t="shared" si="6"/>
        <v>0</v>
      </c>
      <c r="AJ15" s="25">
        <f t="shared" si="6"/>
        <v>0</v>
      </c>
      <c r="AK15" s="25"/>
      <c r="AL15" s="25"/>
      <c r="AM15" s="25"/>
      <c r="AN15" s="26"/>
    </row>
    <row r="16" spans="1:40" ht="17" thickBot="1" x14ac:dyDescent="0.35">
      <c r="A16" s="31" t="s">
        <v>124</v>
      </c>
      <c r="B16" s="3" t="s">
        <v>32</v>
      </c>
      <c r="C16" s="4" t="s">
        <v>36</v>
      </c>
      <c r="D16" s="5" t="s">
        <v>34</v>
      </c>
      <c r="E16" s="5" t="s">
        <v>30</v>
      </c>
      <c r="F16" s="5">
        <v>26</v>
      </c>
      <c r="G16" s="6">
        <v>20</v>
      </c>
      <c r="H16" s="7">
        <v>1</v>
      </c>
      <c r="I16" s="8">
        <v>0</v>
      </c>
      <c r="J16" s="8">
        <v>4</v>
      </c>
      <c r="K16" s="8">
        <v>3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1</v>
      </c>
      <c r="R16" s="8">
        <v>2</v>
      </c>
      <c r="S16" s="290"/>
      <c r="T16" s="282" t="s">
        <v>388</v>
      </c>
      <c r="U16" s="11" t="s">
        <v>214</v>
      </c>
      <c r="V16" s="12" t="s">
        <v>220</v>
      </c>
      <c r="W16" s="12" t="s">
        <v>245</v>
      </c>
      <c r="X16" s="12" t="s">
        <v>246</v>
      </c>
      <c r="Y16" s="12">
        <v>1</v>
      </c>
      <c r="Z16" s="12">
        <v>1</v>
      </c>
      <c r="AA16" s="12">
        <v>0</v>
      </c>
      <c r="AB16" s="14">
        <v>0</v>
      </c>
      <c r="AC16" s="12">
        <f>Y16</f>
        <v>1</v>
      </c>
      <c r="AD16" s="12">
        <f t="shared" ref="AD16:AF16" si="7">Z16</f>
        <v>1</v>
      </c>
      <c r="AE16" s="12">
        <f t="shared" si="7"/>
        <v>0</v>
      </c>
      <c r="AF16" s="12">
        <f t="shared" si="7"/>
        <v>0</v>
      </c>
      <c r="AG16" s="12"/>
      <c r="AH16" s="12"/>
      <c r="AI16" s="12"/>
      <c r="AJ16" s="14"/>
      <c r="AK16" s="12"/>
      <c r="AL16" s="12"/>
      <c r="AM16" s="12"/>
      <c r="AN16" s="14"/>
    </row>
    <row r="17" spans="1:40" ht="17" thickBot="1" x14ac:dyDescent="0.35">
      <c r="A17" s="33" t="s">
        <v>110</v>
      </c>
      <c r="B17" s="16" t="s">
        <v>32</v>
      </c>
      <c r="C17" s="17" t="s">
        <v>37</v>
      </c>
      <c r="D17" s="18" t="s">
        <v>21</v>
      </c>
      <c r="E17" s="18" t="s">
        <v>30</v>
      </c>
      <c r="F17" s="18">
        <v>43</v>
      </c>
      <c r="G17" s="19">
        <v>32</v>
      </c>
      <c r="H17" s="20">
        <v>1</v>
      </c>
      <c r="I17" s="21">
        <v>0</v>
      </c>
      <c r="J17" s="21">
        <v>7</v>
      </c>
      <c r="K17" s="21">
        <v>4</v>
      </c>
      <c r="L17" s="21">
        <v>0</v>
      </c>
      <c r="M17" s="21">
        <v>0</v>
      </c>
      <c r="N17" s="18">
        <v>0</v>
      </c>
      <c r="O17" s="21">
        <v>0</v>
      </c>
      <c r="P17" s="21">
        <v>1</v>
      </c>
      <c r="Q17" s="21">
        <v>0</v>
      </c>
      <c r="R17" s="21">
        <v>6</v>
      </c>
      <c r="S17" s="248"/>
      <c r="T17" s="281" t="s">
        <v>273</v>
      </c>
      <c r="U17" s="25" t="str">
        <f>OldGlory!U17</f>
        <v>Federico Anselmi</v>
      </c>
      <c r="V17" s="25" t="str">
        <f>OldGlory!V17</f>
        <v>Austin Reed</v>
      </c>
      <c r="W17" s="25" t="str">
        <f>OldGlory!W17</f>
        <v>Robin Kaluzniak</v>
      </c>
      <c r="X17" s="25" t="str">
        <f>OldGlory!X17</f>
        <v>Aaron Davis</v>
      </c>
      <c r="Y17" s="25">
        <f>OldGlory!Y17</f>
        <v>1</v>
      </c>
      <c r="Z17" s="25">
        <f>OldGlory!AB17</f>
        <v>1</v>
      </c>
      <c r="AA17" s="25">
        <f>OldGlory!AA17</f>
        <v>0</v>
      </c>
      <c r="AB17" s="26">
        <f>OldGlory!Z17</f>
        <v>0</v>
      </c>
      <c r="AC17" s="25"/>
      <c r="AD17" s="25"/>
      <c r="AE17" s="25"/>
      <c r="AF17" s="26"/>
      <c r="AG17" s="25">
        <f>Y17</f>
        <v>1</v>
      </c>
      <c r="AH17" s="25">
        <f t="shared" ref="AH17:AJ18" si="8">Z17</f>
        <v>1</v>
      </c>
      <c r="AI17" s="25">
        <f t="shared" si="8"/>
        <v>0</v>
      </c>
      <c r="AJ17" s="25">
        <f t="shared" si="8"/>
        <v>0</v>
      </c>
      <c r="AK17" s="25"/>
      <c r="AL17" s="25"/>
      <c r="AM17" s="25"/>
      <c r="AN17" s="26"/>
    </row>
    <row r="18" spans="1:40" ht="17" thickBot="1" x14ac:dyDescent="0.35">
      <c r="A18" s="33" t="s">
        <v>131</v>
      </c>
      <c r="B18" s="16" t="s">
        <v>32</v>
      </c>
      <c r="C18" s="37" t="s">
        <v>39</v>
      </c>
      <c r="D18" s="38" t="s">
        <v>21</v>
      </c>
      <c r="E18" s="38" t="s">
        <v>31</v>
      </c>
      <c r="F18" s="18">
        <v>33</v>
      </c>
      <c r="G18" s="19">
        <v>48</v>
      </c>
      <c r="H18" s="20">
        <v>1</v>
      </c>
      <c r="I18" s="21">
        <v>0</v>
      </c>
      <c r="J18" s="21">
        <v>5</v>
      </c>
      <c r="K18" s="21">
        <v>4</v>
      </c>
      <c r="L18" s="21">
        <v>0</v>
      </c>
      <c r="M18" s="21">
        <v>0</v>
      </c>
      <c r="N18" s="21">
        <v>1</v>
      </c>
      <c r="O18" s="21">
        <v>0</v>
      </c>
      <c r="P18" s="21">
        <v>1</v>
      </c>
      <c r="Q18" s="21">
        <v>0</v>
      </c>
      <c r="R18" s="21">
        <v>6</v>
      </c>
      <c r="S18" s="291"/>
      <c r="T18" s="23" t="s">
        <v>402</v>
      </c>
      <c r="U18" s="25" t="str">
        <f>Utah!U18</f>
        <v>Mike Lawrenson</v>
      </c>
      <c r="V18" s="25" t="str">
        <f>Utah!V18</f>
        <v>Amanda Cox</v>
      </c>
      <c r="W18" s="25" t="str">
        <f>Utah!W18</f>
        <v>Alex Nunnally</v>
      </c>
      <c r="X18" s="25" t="str">
        <f>Utah!X18</f>
        <v>Kage Green</v>
      </c>
      <c r="Y18" s="25">
        <f>Utah!Y18</f>
        <v>1</v>
      </c>
      <c r="Z18" s="25">
        <f>Utah!AB18</f>
        <v>0</v>
      </c>
      <c r="AA18" s="25">
        <f>Utah!AA18</f>
        <v>0</v>
      </c>
      <c r="AB18" s="26">
        <f>Utah!Z18</f>
        <v>1</v>
      </c>
      <c r="AC18" s="25"/>
      <c r="AD18" s="25"/>
      <c r="AE18" s="25"/>
      <c r="AF18" s="26"/>
      <c r="AG18" s="25">
        <f>Y18</f>
        <v>1</v>
      </c>
      <c r="AH18" s="25">
        <f t="shared" si="8"/>
        <v>0</v>
      </c>
      <c r="AI18" s="25">
        <f t="shared" si="8"/>
        <v>0</v>
      </c>
      <c r="AJ18" s="25">
        <f t="shared" si="8"/>
        <v>1</v>
      </c>
      <c r="AK18" s="25"/>
      <c r="AL18" s="25"/>
      <c r="AM18" s="25"/>
      <c r="AN18" s="26"/>
    </row>
    <row r="19" spans="1:40" ht="17" thickBot="1" x14ac:dyDescent="0.35">
      <c r="A19" s="366" t="s">
        <v>412</v>
      </c>
      <c r="B19" s="366" t="s">
        <v>112</v>
      </c>
      <c r="C19" s="37" t="s">
        <v>44</v>
      </c>
      <c r="D19" s="38" t="s">
        <v>21</v>
      </c>
      <c r="E19" s="38" t="s">
        <v>31</v>
      </c>
      <c r="F19" s="38">
        <v>21</v>
      </c>
      <c r="G19" s="367">
        <v>27</v>
      </c>
      <c r="H19" s="368"/>
      <c r="I19" s="369"/>
      <c r="J19" s="369">
        <v>3</v>
      </c>
      <c r="K19" s="369">
        <v>3</v>
      </c>
      <c r="L19" s="369">
        <v>0</v>
      </c>
      <c r="M19" s="369">
        <v>0</v>
      </c>
      <c r="N19" s="369">
        <v>0</v>
      </c>
      <c r="O19" s="369">
        <v>0</v>
      </c>
      <c r="P19" s="369"/>
      <c r="Q19" s="369"/>
      <c r="R19" s="369">
        <v>4</v>
      </c>
      <c r="S19" s="291"/>
      <c r="T19" s="29" t="s">
        <v>426</v>
      </c>
      <c r="U19" s="25" t="str">
        <f>Houston!U19</f>
        <v>Lex Weiner</v>
      </c>
      <c r="V19" s="25" t="str">
        <f>Houston!V19</f>
        <v>Derek Summers</v>
      </c>
      <c r="W19" s="25" t="str">
        <f>Houston!W19</f>
        <v>Chris Assmus</v>
      </c>
      <c r="X19" s="25" t="str">
        <f>Houston!X19</f>
        <v>Cam Russell</v>
      </c>
      <c r="Y19" s="25">
        <v>1</v>
      </c>
      <c r="Z19" s="25">
        <v>0</v>
      </c>
      <c r="AA19" s="25">
        <v>0</v>
      </c>
      <c r="AB19" s="25">
        <v>1</v>
      </c>
      <c r="AC19" s="25"/>
      <c r="AD19" s="25"/>
      <c r="AE19" s="25"/>
      <c r="AF19" s="25"/>
      <c r="AG19" s="25">
        <v>1</v>
      </c>
      <c r="AH19" s="25">
        <v>0</v>
      </c>
      <c r="AI19" s="25">
        <v>0</v>
      </c>
      <c r="AJ19" s="25">
        <v>1</v>
      </c>
      <c r="AK19" s="25"/>
      <c r="AL19" s="25"/>
      <c r="AM19" s="25"/>
      <c r="AN19" s="25"/>
    </row>
    <row r="20" spans="1:40" ht="17" thickBot="1" x14ac:dyDescent="0.35">
      <c r="A20" s="39"/>
      <c r="B20" s="40"/>
      <c r="C20" s="389" t="s">
        <v>48</v>
      </c>
      <c r="D20" s="416"/>
      <c r="E20" s="417"/>
      <c r="F20" s="41">
        <f t="shared" ref="F20:R20" si="9">SUM(F3+F4+F5+F6+F7+F8+F9+F10+F11+F12+F13+F14+F15+F16+F17+F18)</f>
        <v>501</v>
      </c>
      <c r="G20" s="41">
        <f t="shared" si="9"/>
        <v>497</v>
      </c>
      <c r="H20" s="41">
        <f t="shared" si="9"/>
        <v>14</v>
      </c>
      <c r="I20" s="41">
        <f t="shared" si="9"/>
        <v>3</v>
      </c>
      <c r="J20" s="41">
        <f t="shared" si="9"/>
        <v>76</v>
      </c>
      <c r="K20" s="41">
        <f t="shared" si="9"/>
        <v>53</v>
      </c>
      <c r="L20" s="41">
        <f t="shared" si="9"/>
        <v>0</v>
      </c>
      <c r="M20" s="41">
        <f t="shared" si="9"/>
        <v>1</v>
      </c>
      <c r="N20" s="41">
        <f t="shared" si="9"/>
        <v>24</v>
      </c>
      <c r="O20" s="41">
        <f t="shared" si="9"/>
        <v>4</v>
      </c>
      <c r="P20" s="41">
        <f t="shared" si="9"/>
        <v>12</v>
      </c>
      <c r="Q20" s="41">
        <f t="shared" si="9"/>
        <v>5</v>
      </c>
      <c r="R20" s="41">
        <f t="shared" si="9"/>
        <v>71</v>
      </c>
      <c r="S20" s="42"/>
      <c r="T20" s="42"/>
      <c r="U20" s="42"/>
      <c r="V20" s="42"/>
      <c r="W20" s="43"/>
      <c r="X20" s="44" t="s">
        <v>48</v>
      </c>
      <c r="Y20" s="41">
        <f t="shared" ref="Y20:AN20" si="10">Y3+Y4+Y5+Y6+Y7+Y8+Y9+Y10+Y11+Y12+Y13+Y14+Y15+Y16+Y17+Y18</f>
        <v>16</v>
      </c>
      <c r="Z20" s="41">
        <f t="shared" si="10"/>
        <v>8</v>
      </c>
      <c r="AA20" s="41">
        <f t="shared" si="10"/>
        <v>1</v>
      </c>
      <c r="AB20" s="41">
        <f t="shared" si="10"/>
        <v>7</v>
      </c>
      <c r="AC20" s="45">
        <f t="shared" si="10"/>
        <v>8</v>
      </c>
      <c r="AD20" s="45">
        <f t="shared" si="10"/>
        <v>4</v>
      </c>
      <c r="AE20" s="45">
        <f t="shared" si="10"/>
        <v>0</v>
      </c>
      <c r="AF20" s="45">
        <f t="shared" si="10"/>
        <v>4</v>
      </c>
      <c r="AG20" s="38">
        <f t="shared" si="10"/>
        <v>8</v>
      </c>
      <c r="AH20" s="38">
        <f t="shared" si="10"/>
        <v>4</v>
      </c>
      <c r="AI20" s="38">
        <f t="shared" si="10"/>
        <v>1</v>
      </c>
      <c r="AJ20" s="38">
        <f t="shared" si="10"/>
        <v>3</v>
      </c>
      <c r="AK20" s="41">
        <f t="shared" si="10"/>
        <v>0</v>
      </c>
      <c r="AL20" s="41">
        <f t="shared" si="10"/>
        <v>0</v>
      </c>
      <c r="AM20" s="41">
        <f t="shared" si="10"/>
        <v>0</v>
      </c>
      <c r="AN20" s="41">
        <f t="shared" si="10"/>
        <v>0</v>
      </c>
    </row>
    <row r="21" spans="1:40" ht="17" thickBot="1" x14ac:dyDescent="0.35">
      <c r="A21" s="39"/>
      <c r="B21" s="40"/>
      <c r="C21" s="389" t="s">
        <v>413</v>
      </c>
      <c r="D21" s="416"/>
      <c r="E21" s="417"/>
      <c r="F21" s="46">
        <f>F19</f>
        <v>21</v>
      </c>
      <c r="G21" s="46">
        <f t="shared" ref="G21:R21" si="11">G19</f>
        <v>27</v>
      </c>
      <c r="H21" s="46">
        <f t="shared" si="11"/>
        <v>0</v>
      </c>
      <c r="I21" s="46">
        <f t="shared" si="11"/>
        <v>0</v>
      </c>
      <c r="J21" s="46">
        <f t="shared" si="11"/>
        <v>3</v>
      </c>
      <c r="K21" s="46">
        <f t="shared" si="11"/>
        <v>3</v>
      </c>
      <c r="L21" s="46">
        <f t="shared" si="11"/>
        <v>0</v>
      </c>
      <c r="M21" s="46">
        <f t="shared" si="11"/>
        <v>0</v>
      </c>
      <c r="N21" s="46">
        <f t="shared" si="11"/>
        <v>0</v>
      </c>
      <c r="O21" s="46">
        <f t="shared" si="11"/>
        <v>0</v>
      </c>
      <c r="P21" s="46">
        <f t="shared" si="11"/>
        <v>0</v>
      </c>
      <c r="Q21" s="46">
        <f t="shared" si="11"/>
        <v>0</v>
      </c>
      <c r="R21" s="46">
        <f t="shared" si="11"/>
        <v>4</v>
      </c>
      <c r="S21" s="42"/>
      <c r="T21" s="42"/>
      <c r="U21" s="42"/>
      <c r="V21" s="42"/>
      <c r="W21" s="43"/>
      <c r="X21" s="44" t="s">
        <v>413</v>
      </c>
      <c r="Y21" s="41">
        <f>Y19</f>
        <v>1</v>
      </c>
      <c r="Z21" s="41">
        <f t="shared" ref="Z21:AN21" si="12">Z19</f>
        <v>0</v>
      </c>
      <c r="AA21" s="41">
        <f t="shared" si="12"/>
        <v>0</v>
      </c>
      <c r="AB21" s="41">
        <f t="shared" si="12"/>
        <v>1</v>
      </c>
      <c r="AC21" s="45">
        <f t="shared" si="12"/>
        <v>0</v>
      </c>
      <c r="AD21" s="45">
        <f t="shared" si="12"/>
        <v>0</v>
      </c>
      <c r="AE21" s="45">
        <f t="shared" si="12"/>
        <v>0</v>
      </c>
      <c r="AF21" s="45">
        <f t="shared" si="12"/>
        <v>0</v>
      </c>
      <c r="AG21" s="38">
        <f t="shared" si="12"/>
        <v>1</v>
      </c>
      <c r="AH21" s="38">
        <f t="shared" si="12"/>
        <v>0</v>
      </c>
      <c r="AI21" s="38">
        <f t="shared" si="12"/>
        <v>0</v>
      </c>
      <c r="AJ21" s="38">
        <f t="shared" si="12"/>
        <v>1</v>
      </c>
      <c r="AK21" s="41">
        <f t="shared" si="12"/>
        <v>0</v>
      </c>
      <c r="AL21" s="41">
        <f t="shared" si="12"/>
        <v>0</v>
      </c>
      <c r="AM21" s="41">
        <f t="shared" si="12"/>
        <v>0</v>
      </c>
      <c r="AN21" s="41">
        <f t="shared" si="12"/>
        <v>0</v>
      </c>
    </row>
    <row r="22" spans="1:40" ht="17" thickBot="1" x14ac:dyDescent="0.35">
      <c r="A22" s="39"/>
      <c r="B22" s="40"/>
      <c r="C22" s="389" t="s">
        <v>49</v>
      </c>
      <c r="D22" s="390"/>
      <c r="E22" s="391"/>
      <c r="F22" s="46">
        <f>F20+F21</f>
        <v>522</v>
      </c>
      <c r="G22" s="46">
        <f t="shared" ref="G22:R22" si="13">G20+G21</f>
        <v>524</v>
      </c>
      <c r="H22" s="46">
        <f t="shared" si="13"/>
        <v>14</v>
      </c>
      <c r="I22" s="46">
        <f t="shared" si="13"/>
        <v>3</v>
      </c>
      <c r="J22" s="46">
        <f t="shared" si="13"/>
        <v>79</v>
      </c>
      <c r="K22" s="46">
        <f t="shared" si="13"/>
        <v>56</v>
      </c>
      <c r="L22" s="46">
        <f t="shared" si="13"/>
        <v>0</v>
      </c>
      <c r="M22" s="46">
        <f t="shared" si="13"/>
        <v>1</v>
      </c>
      <c r="N22" s="46">
        <f t="shared" si="13"/>
        <v>24</v>
      </c>
      <c r="O22" s="46">
        <f t="shared" si="13"/>
        <v>4</v>
      </c>
      <c r="P22" s="46">
        <f t="shared" si="13"/>
        <v>12</v>
      </c>
      <c r="Q22" s="46">
        <f t="shared" si="13"/>
        <v>5</v>
      </c>
      <c r="R22" s="46">
        <f t="shared" si="13"/>
        <v>75</v>
      </c>
      <c r="S22" s="42"/>
      <c r="T22" s="42"/>
      <c r="U22" s="42"/>
      <c r="V22" s="42"/>
      <c r="W22" s="43"/>
      <c r="X22" s="44" t="s">
        <v>49</v>
      </c>
      <c r="Y22" s="41">
        <f>Y20+Y21</f>
        <v>17</v>
      </c>
      <c r="Z22" s="41">
        <f t="shared" ref="Z22:AN22" si="14">Z20+Z21</f>
        <v>8</v>
      </c>
      <c r="AA22" s="41">
        <f t="shared" si="14"/>
        <v>1</v>
      </c>
      <c r="AB22" s="41">
        <f t="shared" si="14"/>
        <v>8</v>
      </c>
      <c r="AC22" s="45">
        <f t="shared" si="14"/>
        <v>8</v>
      </c>
      <c r="AD22" s="45">
        <f t="shared" si="14"/>
        <v>4</v>
      </c>
      <c r="AE22" s="45">
        <f t="shared" si="14"/>
        <v>0</v>
      </c>
      <c r="AF22" s="45">
        <f t="shared" si="14"/>
        <v>4</v>
      </c>
      <c r="AG22" s="38">
        <f t="shared" si="14"/>
        <v>9</v>
      </c>
      <c r="AH22" s="38">
        <f t="shared" si="14"/>
        <v>4</v>
      </c>
      <c r="AI22" s="38">
        <f t="shared" si="14"/>
        <v>1</v>
      </c>
      <c r="AJ22" s="38">
        <f t="shared" si="14"/>
        <v>4</v>
      </c>
      <c r="AK22" s="41">
        <f t="shared" si="14"/>
        <v>0</v>
      </c>
      <c r="AL22" s="41">
        <f t="shared" si="14"/>
        <v>0</v>
      </c>
      <c r="AM22" s="41">
        <f t="shared" si="14"/>
        <v>0</v>
      </c>
      <c r="AN22" s="41">
        <f t="shared" si="14"/>
        <v>0</v>
      </c>
    </row>
    <row r="24" spans="1:40" x14ac:dyDescent="0.3">
      <c r="A24" s="1" t="s">
        <v>52</v>
      </c>
    </row>
  </sheetData>
  <mergeCells count="13">
    <mergeCell ref="Y1:AB1"/>
    <mergeCell ref="AC1:AF1"/>
    <mergeCell ref="AG1:AJ1"/>
    <mergeCell ref="AK1:AN1"/>
    <mergeCell ref="C20:E20"/>
    <mergeCell ref="N1:O1"/>
    <mergeCell ref="P1:R1"/>
    <mergeCell ref="C22:E22"/>
    <mergeCell ref="A1:D1"/>
    <mergeCell ref="E1:G1"/>
    <mergeCell ref="H1:I1"/>
    <mergeCell ref="J1:M1"/>
    <mergeCell ref="C21:E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C9BD-9EFB-8646-9045-6EEDA815DB35}">
  <dimension ref="A1:AN24"/>
  <sheetViews>
    <sheetView workbookViewId="0">
      <selection sqref="A1:D1"/>
    </sheetView>
  </sheetViews>
  <sheetFormatPr defaultColWidth="11.44140625" defaultRowHeight="16.3" x14ac:dyDescent="0.3"/>
  <cols>
    <col min="1" max="1" width="6.44140625" style="47" bestFit="1" customWidth="1"/>
    <col min="2" max="2" width="6" style="47" bestFit="1" customWidth="1"/>
    <col min="3" max="3" width="12" style="47" customWidth="1"/>
    <col min="4" max="4" width="4.77734375" style="47" customWidth="1"/>
    <col min="5" max="7" width="4.6640625" style="47" customWidth="1"/>
    <col min="8" max="18" width="4.77734375" style="47" customWidth="1"/>
    <col min="19" max="19" width="7" style="47" customWidth="1"/>
    <col min="20" max="20" width="6.77734375" style="47" customWidth="1"/>
    <col min="21" max="21" width="24" style="47" bestFit="1" customWidth="1"/>
    <col min="22" max="23" width="29" style="47" bestFit="1" customWidth="1"/>
    <col min="24" max="24" width="24" style="47" bestFit="1" customWidth="1"/>
    <col min="25" max="40" width="4.77734375" style="47" customWidth="1"/>
  </cols>
  <sheetData>
    <row r="1" spans="1:40" ht="17" thickBot="1" x14ac:dyDescent="0.35">
      <c r="A1" s="445" t="s">
        <v>55</v>
      </c>
      <c r="B1" s="446"/>
      <c r="C1" s="446"/>
      <c r="D1" s="447"/>
      <c r="E1" s="448" t="s">
        <v>0</v>
      </c>
      <c r="F1" s="449"/>
      <c r="G1" s="450"/>
      <c r="H1" s="448" t="s">
        <v>1</v>
      </c>
      <c r="I1" s="450"/>
      <c r="J1" s="451" t="s">
        <v>2</v>
      </c>
      <c r="K1" s="452"/>
      <c r="L1" s="452"/>
      <c r="M1" s="453"/>
      <c r="N1" s="451" t="s">
        <v>3</v>
      </c>
      <c r="O1" s="453"/>
      <c r="P1" s="451" t="s">
        <v>4</v>
      </c>
      <c r="Q1" s="452"/>
      <c r="R1" s="453"/>
      <c r="S1" s="97" t="s">
        <v>5</v>
      </c>
      <c r="T1" s="97" t="s">
        <v>6</v>
      </c>
      <c r="U1" s="98" t="s">
        <v>7</v>
      </c>
      <c r="V1" s="99" t="s">
        <v>8</v>
      </c>
      <c r="W1" s="99" t="s">
        <v>9</v>
      </c>
      <c r="X1" s="100" t="s">
        <v>10</v>
      </c>
      <c r="Y1" s="454" t="s">
        <v>11</v>
      </c>
      <c r="Z1" s="455"/>
      <c r="AA1" s="455"/>
      <c r="AB1" s="456"/>
      <c r="AC1" s="454" t="s">
        <v>12</v>
      </c>
      <c r="AD1" s="455"/>
      <c r="AE1" s="455"/>
      <c r="AF1" s="456"/>
      <c r="AG1" s="454" t="s">
        <v>13</v>
      </c>
      <c r="AH1" s="455"/>
      <c r="AI1" s="455"/>
      <c r="AJ1" s="456"/>
      <c r="AK1" s="454" t="s">
        <v>14</v>
      </c>
      <c r="AL1" s="455"/>
      <c r="AM1" s="455"/>
      <c r="AN1" s="456"/>
    </row>
    <row r="2" spans="1:40" ht="17" thickBot="1" x14ac:dyDescent="0.35">
      <c r="A2" s="101" t="s">
        <v>15</v>
      </c>
      <c r="B2" s="102" t="s">
        <v>16</v>
      </c>
      <c r="C2" s="103" t="s">
        <v>17</v>
      </c>
      <c r="D2" s="103" t="s">
        <v>18</v>
      </c>
      <c r="E2" s="104" t="s">
        <v>19</v>
      </c>
      <c r="F2" s="104" t="s">
        <v>20</v>
      </c>
      <c r="G2" s="104" t="s">
        <v>21</v>
      </c>
      <c r="H2" s="105" t="s">
        <v>22</v>
      </c>
      <c r="I2" s="105" t="s">
        <v>23</v>
      </c>
      <c r="J2" s="105" t="s">
        <v>24</v>
      </c>
      <c r="K2" s="105" t="s">
        <v>25</v>
      </c>
      <c r="L2" s="105" t="s">
        <v>26</v>
      </c>
      <c r="M2" s="105" t="s">
        <v>27</v>
      </c>
      <c r="N2" s="105" t="s">
        <v>28</v>
      </c>
      <c r="O2" s="105" t="s">
        <v>19</v>
      </c>
      <c r="P2" s="105" t="s">
        <v>22</v>
      </c>
      <c r="Q2" s="105" t="s">
        <v>23</v>
      </c>
      <c r="R2" s="105" t="s">
        <v>24</v>
      </c>
      <c r="S2" s="106"/>
      <c r="T2" s="107"/>
      <c r="U2" s="108"/>
      <c r="V2" s="106"/>
      <c r="W2" s="109"/>
      <c r="X2" s="110"/>
      <c r="Y2" s="111" t="s">
        <v>29</v>
      </c>
      <c r="Z2" s="111" t="s">
        <v>30</v>
      </c>
      <c r="AA2" s="111" t="s">
        <v>26</v>
      </c>
      <c r="AB2" s="111" t="s">
        <v>31</v>
      </c>
      <c r="AC2" s="111" t="s">
        <v>29</v>
      </c>
      <c r="AD2" s="111" t="s">
        <v>30</v>
      </c>
      <c r="AE2" s="111" t="s">
        <v>26</v>
      </c>
      <c r="AF2" s="111" t="s">
        <v>31</v>
      </c>
      <c r="AG2" s="111" t="s">
        <v>29</v>
      </c>
      <c r="AH2" s="111" t="s">
        <v>30</v>
      </c>
      <c r="AI2" s="111" t="s">
        <v>26</v>
      </c>
      <c r="AJ2" s="111" t="s">
        <v>31</v>
      </c>
      <c r="AK2" s="111" t="s">
        <v>29</v>
      </c>
      <c r="AL2" s="111" t="s">
        <v>30</v>
      </c>
      <c r="AM2" s="111" t="s">
        <v>26</v>
      </c>
      <c r="AN2" s="112" t="s">
        <v>31</v>
      </c>
    </row>
    <row r="3" spans="1:40" ht="17" thickBot="1" x14ac:dyDescent="0.35">
      <c r="A3" s="2" t="s">
        <v>97</v>
      </c>
      <c r="B3" s="3" t="s">
        <v>32</v>
      </c>
      <c r="C3" s="4" t="s">
        <v>37</v>
      </c>
      <c r="D3" s="5" t="s">
        <v>34</v>
      </c>
      <c r="E3" s="5" t="s">
        <v>31</v>
      </c>
      <c r="F3" s="5">
        <v>29</v>
      </c>
      <c r="G3" s="6">
        <v>31</v>
      </c>
      <c r="H3" s="7">
        <v>1</v>
      </c>
      <c r="I3" s="8">
        <v>1</v>
      </c>
      <c r="J3" s="8">
        <v>4</v>
      </c>
      <c r="K3" s="8">
        <v>2</v>
      </c>
      <c r="L3" s="8">
        <v>0</v>
      </c>
      <c r="M3" s="8">
        <v>1</v>
      </c>
      <c r="N3" s="8">
        <v>2</v>
      </c>
      <c r="O3" s="8">
        <v>1</v>
      </c>
      <c r="P3" s="8">
        <v>1</v>
      </c>
      <c r="Q3" s="8">
        <v>0</v>
      </c>
      <c r="R3" s="8">
        <v>5</v>
      </c>
      <c r="S3" s="9"/>
      <c r="T3" s="28" t="s">
        <v>228</v>
      </c>
      <c r="U3" s="11" t="s">
        <v>214</v>
      </c>
      <c r="V3" s="12" t="s">
        <v>215</v>
      </c>
      <c r="W3" s="13" t="s">
        <v>216</v>
      </c>
      <c r="X3" s="12" t="s">
        <v>217</v>
      </c>
      <c r="Y3" s="12">
        <v>1</v>
      </c>
      <c r="Z3" s="12">
        <v>0</v>
      </c>
      <c r="AA3" s="12">
        <v>0</v>
      </c>
      <c r="AB3" s="14">
        <v>1</v>
      </c>
      <c r="AC3" s="12">
        <v>1</v>
      </c>
      <c r="AD3" s="12">
        <v>0</v>
      </c>
      <c r="AE3" s="12">
        <v>0</v>
      </c>
      <c r="AF3" s="14">
        <v>1</v>
      </c>
      <c r="AG3" s="12"/>
      <c r="AH3" s="12"/>
      <c r="AI3" s="12"/>
      <c r="AJ3" s="14"/>
      <c r="AK3" s="12"/>
      <c r="AL3" s="12"/>
      <c r="AM3" s="12"/>
      <c r="AN3" s="14"/>
    </row>
    <row r="4" spans="1:40" ht="17" thickBot="1" x14ac:dyDescent="0.35">
      <c r="A4" s="2" t="s">
        <v>125</v>
      </c>
      <c r="B4" s="3" t="s">
        <v>32</v>
      </c>
      <c r="C4" s="4" t="s">
        <v>96</v>
      </c>
      <c r="D4" s="5" t="s">
        <v>34</v>
      </c>
      <c r="E4" s="5" t="s">
        <v>30</v>
      </c>
      <c r="F4" s="5">
        <v>30</v>
      </c>
      <c r="G4" s="6">
        <v>25</v>
      </c>
      <c r="H4" s="7">
        <v>0</v>
      </c>
      <c r="I4" s="8">
        <v>0</v>
      </c>
      <c r="J4" s="8">
        <v>3</v>
      </c>
      <c r="K4" s="5">
        <v>2</v>
      </c>
      <c r="L4" s="8">
        <v>0</v>
      </c>
      <c r="M4" s="5">
        <v>3</v>
      </c>
      <c r="N4" s="8">
        <v>1</v>
      </c>
      <c r="O4" s="8">
        <v>0</v>
      </c>
      <c r="P4" s="8">
        <v>0</v>
      </c>
      <c r="Q4" s="5">
        <v>1</v>
      </c>
      <c r="R4" s="8">
        <v>3</v>
      </c>
      <c r="S4" s="9"/>
      <c r="T4" s="298" t="s">
        <v>250</v>
      </c>
      <c r="U4" s="11" t="s">
        <v>222</v>
      </c>
      <c r="V4" s="12" t="s">
        <v>237</v>
      </c>
      <c r="W4" s="12" t="s">
        <v>238</v>
      </c>
      <c r="X4" s="13" t="s">
        <v>217</v>
      </c>
      <c r="Y4" s="12">
        <v>1</v>
      </c>
      <c r="Z4" s="12">
        <v>1</v>
      </c>
      <c r="AA4" s="12">
        <v>0</v>
      </c>
      <c r="AB4" s="14">
        <v>0</v>
      </c>
      <c r="AC4" s="12">
        <v>1</v>
      </c>
      <c r="AD4" s="12">
        <v>1</v>
      </c>
      <c r="AE4" s="12">
        <v>0</v>
      </c>
      <c r="AF4" s="14">
        <v>0</v>
      </c>
      <c r="AG4" s="12"/>
      <c r="AH4" s="12"/>
      <c r="AI4" s="12"/>
      <c r="AJ4" s="14"/>
      <c r="AK4" s="12"/>
      <c r="AL4" s="12"/>
      <c r="AM4" s="12"/>
      <c r="AN4" s="14"/>
    </row>
    <row r="5" spans="1:40" ht="17" thickBot="1" x14ac:dyDescent="0.35">
      <c r="A5" s="15" t="s">
        <v>120</v>
      </c>
      <c r="B5" s="16" t="s">
        <v>32</v>
      </c>
      <c r="C5" s="17" t="s">
        <v>70</v>
      </c>
      <c r="D5" s="18" t="s">
        <v>21</v>
      </c>
      <c r="E5" s="18" t="s">
        <v>30</v>
      </c>
      <c r="F5" s="18">
        <v>32</v>
      </c>
      <c r="G5" s="19">
        <v>31</v>
      </c>
      <c r="H5" s="248">
        <v>1</v>
      </c>
      <c r="I5" s="19">
        <v>0</v>
      </c>
      <c r="J5" s="21">
        <v>4</v>
      </c>
      <c r="K5" s="21">
        <v>3</v>
      </c>
      <c r="L5" s="21">
        <v>0</v>
      </c>
      <c r="M5" s="21">
        <v>2</v>
      </c>
      <c r="N5" s="21">
        <v>1</v>
      </c>
      <c r="O5" s="21">
        <v>0</v>
      </c>
      <c r="P5" s="18">
        <v>1</v>
      </c>
      <c r="Q5" s="21">
        <v>1</v>
      </c>
      <c r="R5" s="18">
        <v>5</v>
      </c>
      <c r="S5" s="22"/>
      <c r="T5" s="281" t="s">
        <v>260</v>
      </c>
      <c r="U5" s="24" t="str">
        <f>Anthem!U5</f>
        <v>Lex Weiner</v>
      </c>
      <c r="V5" s="24" t="str">
        <f>Anthem!V5</f>
        <v>Derek Summers</v>
      </c>
      <c r="W5" s="24" t="str">
        <f>Anthem!W5</f>
        <v>Mike Lawrenson</v>
      </c>
      <c r="X5" s="24" t="str">
        <f>Anthem!X5</f>
        <v>Dave Edwards</v>
      </c>
      <c r="Y5" s="25">
        <v>1</v>
      </c>
      <c r="Z5" s="25">
        <v>1</v>
      </c>
      <c r="AA5" s="25">
        <v>0</v>
      </c>
      <c r="AB5" s="26">
        <v>0</v>
      </c>
      <c r="AC5" s="25"/>
      <c r="AD5" s="25"/>
      <c r="AE5" s="25"/>
      <c r="AF5" s="26"/>
      <c r="AG5" s="25">
        <v>1</v>
      </c>
      <c r="AH5" s="25">
        <v>1</v>
      </c>
      <c r="AI5" s="25">
        <v>0</v>
      </c>
      <c r="AJ5" s="26">
        <v>0</v>
      </c>
      <c r="AK5" s="25"/>
      <c r="AL5" s="25"/>
      <c r="AM5" s="25"/>
      <c r="AN5" s="26"/>
    </row>
    <row r="6" spans="1:40" ht="17" thickBot="1" x14ac:dyDescent="0.35">
      <c r="A6" s="2" t="s">
        <v>100</v>
      </c>
      <c r="B6" s="3" t="s">
        <v>32</v>
      </c>
      <c r="C6" s="4" t="s">
        <v>40</v>
      </c>
      <c r="D6" s="5" t="s">
        <v>34</v>
      </c>
      <c r="E6" s="5" t="s">
        <v>31</v>
      </c>
      <c r="F6" s="5">
        <v>18</v>
      </c>
      <c r="G6" s="6">
        <v>31</v>
      </c>
      <c r="H6" s="6">
        <v>0</v>
      </c>
      <c r="I6" s="8">
        <v>0</v>
      </c>
      <c r="J6" s="5">
        <v>2</v>
      </c>
      <c r="K6" s="5">
        <v>1</v>
      </c>
      <c r="L6" s="8">
        <v>0</v>
      </c>
      <c r="M6" s="8">
        <v>2</v>
      </c>
      <c r="N6" s="8">
        <v>1</v>
      </c>
      <c r="O6" s="8">
        <v>0</v>
      </c>
      <c r="P6" s="8">
        <v>1</v>
      </c>
      <c r="Q6" s="5">
        <v>0</v>
      </c>
      <c r="R6" s="8">
        <v>4</v>
      </c>
      <c r="S6" s="9"/>
      <c r="T6" s="10" t="s">
        <v>271</v>
      </c>
      <c r="U6" s="12" t="s">
        <v>269</v>
      </c>
      <c r="V6" s="12" t="s">
        <v>244</v>
      </c>
      <c r="W6" s="12" t="s">
        <v>214</v>
      </c>
      <c r="X6" s="11" t="s">
        <v>217</v>
      </c>
      <c r="Y6" s="12">
        <v>1</v>
      </c>
      <c r="Z6" s="12">
        <v>0</v>
      </c>
      <c r="AA6" s="12">
        <v>0</v>
      </c>
      <c r="AB6" s="14">
        <v>1</v>
      </c>
      <c r="AC6" s="12">
        <v>1</v>
      </c>
      <c r="AD6" s="12">
        <v>0</v>
      </c>
      <c r="AE6" s="12">
        <v>0</v>
      </c>
      <c r="AF6" s="14">
        <v>1</v>
      </c>
      <c r="AG6" s="12"/>
      <c r="AH6" s="12"/>
      <c r="AI6" s="12"/>
      <c r="AJ6" s="14"/>
      <c r="AK6" s="12"/>
      <c r="AL6" s="12"/>
      <c r="AM6" s="12"/>
      <c r="AN6" s="14"/>
    </row>
    <row r="7" spans="1:40" ht="17" thickBot="1" x14ac:dyDescent="0.35">
      <c r="A7" s="2" t="s">
        <v>117</v>
      </c>
      <c r="B7" s="3" t="s">
        <v>32</v>
      </c>
      <c r="C7" s="4" t="s">
        <v>39</v>
      </c>
      <c r="D7" s="5" t="s">
        <v>34</v>
      </c>
      <c r="E7" s="8" t="s">
        <v>31</v>
      </c>
      <c r="F7" s="5">
        <v>19</v>
      </c>
      <c r="G7" s="6">
        <v>36</v>
      </c>
      <c r="H7" s="7">
        <v>0</v>
      </c>
      <c r="I7" s="5">
        <v>0</v>
      </c>
      <c r="J7" s="8">
        <v>3</v>
      </c>
      <c r="K7" s="8">
        <v>2</v>
      </c>
      <c r="L7" s="8">
        <v>0</v>
      </c>
      <c r="M7" s="8">
        <v>0</v>
      </c>
      <c r="N7" s="8">
        <v>0</v>
      </c>
      <c r="O7" s="8">
        <v>1</v>
      </c>
      <c r="P7" s="8">
        <v>1</v>
      </c>
      <c r="Q7" s="8">
        <v>0</v>
      </c>
      <c r="R7" s="8">
        <v>5</v>
      </c>
      <c r="S7" s="9"/>
      <c r="T7" s="10" t="s">
        <v>287</v>
      </c>
      <c r="U7" s="11" t="s">
        <v>218</v>
      </c>
      <c r="V7" s="12" t="s">
        <v>215</v>
      </c>
      <c r="W7" s="12" t="s">
        <v>216</v>
      </c>
      <c r="X7" s="13" t="s">
        <v>254</v>
      </c>
      <c r="Y7" s="12">
        <v>1</v>
      </c>
      <c r="Z7" s="12">
        <v>0</v>
      </c>
      <c r="AA7" s="12">
        <v>0</v>
      </c>
      <c r="AB7" s="14">
        <v>1</v>
      </c>
      <c r="AC7" s="12">
        <v>1</v>
      </c>
      <c r="AD7" s="12">
        <v>0</v>
      </c>
      <c r="AE7" s="12">
        <v>0</v>
      </c>
      <c r="AF7" s="14">
        <v>1</v>
      </c>
      <c r="AG7" s="12"/>
      <c r="AH7" s="12"/>
      <c r="AI7" s="12"/>
      <c r="AJ7" s="14"/>
      <c r="AK7" s="12"/>
      <c r="AL7" s="12"/>
      <c r="AM7" s="12"/>
      <c r="AN7" s="14"/>
    </row>
    <row r="8" spans="1:40" ht="17" thickBot="1" x14ac:dyDescent="0.35">
      <c r="A8" s="15" t="s">
        <v>101</v>
      </c>
      <c r="B8" s="16" t="s">
        <v>32</v>
      </c>
      <c r="C8" s="17" t="s">
        <v>47</v>
      </c>
      <c r="D8" s="18" t="s">
        <v>21</v>
      </c>
      <c r="E8" s="21" t="s">
        <v>31</v>
      </c>
      <c r="F8" s="18">
        <v>12</v>
      </c>
      <c r="G8" s="19">
        <v>31</v>
      </c>
      <c r="H8" s="20">
        <v>0</v>
      </c>
      <c r="I8" s="18">
        <v>0</v>
      </c>
      <c r="J8" s="21">
        <v>2</v>
      </c>
      <c r="K8" s="21">
        <v>1</v>
      </c>
      <c r="L8" s="21">
        <v>0</v>
      </c>
      <c r="M8" s="21">
        <v>0</v>
      </c>
      <c r="N8" s="21">
        <v>1</v>
      </c>
      <c r="O8" s="21">
        <v>0</v>
      </c>
      <c r="P8" s="18">
        <v>1</v>
      </c>
      <c r="Q8" s="21">
        <v>0</v>
      </c>
      <c r="R8" s="21">
        <v>5</v>
      </c>
      <c r="S8" s="22"/>
      <c r="T8" s="23" t="s">
        <v>301</v>
      </c>
      <c r="U8" s="24" t="str">
        <f>SanDiego!U7</f>
        <v>Derek Summers</v>
      </c>
      <c r="V8" s="24" t="str">
        <f>SanDiego!V7</f>
        <v>Austin Reed</v>
      </c>
      <c r="W8" s="24" t="str">
        <f>SanDiego!W7</f>
        <v>Will Nelson</v>
      </c>
      <c r="X8" s="24" t="str">
        <f>SanDiego!X7</f>
        <v>Fernando Garcia</v>
      </c>
      <c r="Y8" s="25">
        <v>1</v>
      </c>
      <c r="Z8" s="25">
        <v>0</v>
      </c>
      <c r="AA8" s="25">
        <v>0</v>
      </c>
      <c r="AB8" s="26">
        <v>1</v>
      </c>
      <c r="AC8" s="25"/>
      <c r="AD8" s="25"/>
      <c r="AE8" s="25"/>
      <c r="AF8" s="26"/>
      <c r="AG8" s="25">
        <v>1</v>
      </c>
      <c r="AH8" s="25">
        <v>0</v>
      </c>
      <c r="AI8" s="25">
        <v>0</v>
      </c>
      <c r="AJ8" s="26">
        <v>1</v>
      </c>
      <c r="AK8" s="25"/>
      <c r="AL8" s="25"/>
      <c r="AM8" s="25"/>
      <c r="AN8" s="26"/>
    </row>
    <row r="9" spans="1:40" ht="17" thickBot="1" x14ac:dyDescent="0.35">
      <c r="A9" s="15" t="s">
        <v>38</v>
      </c>
      <c r="B9" s="16" t="s">
        <v>32</v>
      </c>
      <c r="C9" s="17" t="s">
        <v>33</v>
      </c>
      <c r="D9" s="18" t="s">
        <v>21</v>
      </c>
      <c r="E9" s="21" t="s">
        <v>31</v>
      </c>
      <c r="F9" s="18">
        <v>6</v>
      </c>
      <c r="G9" s="19">
        <v>43</v>
      </c>
      <c r="H9" s="20">
        <v>0</v>
      </c>
      <c r="I9" s="21">
        <v>0</v>
      </c>
      <c r="J9" s="21">
        <v>0</v>
      </c>
      <c r="K9" s="21">
        <v>0</v>
      </c>
      <c r="L9" s="21">
        <v>0</v>
      </c>
      <c r="M9" s="21">
        <v>2</v>
      </c>
      <c r="N9" s="21">
        <v>1</v>
      </c>
      <c r="O9" s="21">
        <v>0</v>
      </c>
      <c r="P9" s="21">
        <v>1</v>
      </c>
      <c r="Q9" s="21">
        <v>0</v>
      </c>
      <c r="R9" s="21">
        <v>6</v>
      </c>
      <c r="S9" s="22"/>
      <c r="T9" s="23" t="s">
        <v>324</v>
      </c>
      <c r="U9" s="24" t="str">
        <f>NewEngland!U9</f>
        <v>Derek Summers</v>
      </c>
      <c r="V9" s="24" t="str">
        <f>NewEngland!V9</f>
        <v>Greg Gilliam</v>
      </c>
      <c r="W9" s="24" t="str">
        <f>NewEngland!W9</f>
        <v>Lex Weiner</v>
      </c>
      <c r="X9" s="24" t="str">
        <f>NewEngland!X9</f>
        <v>Amelia Luciano</v>
      </c>
      <c r="Y9" s="25">
        <f>NewEngland!Y9</f>
        <v>1</v>
      </c>
      <c r="Z9" s="25">
        <f>NewEngland!AB9</f>
        <v>0</v>
      </c>
      <c r="AA9" s="25">
        <f>NewEngland!AA9</f>
        <v>0</v>
      </c>
      <c r="AB9" s="26">
        <f>NewEngland!Z9</f>
        <v>1</v>
      </c>
      <c r="AC9" s="25"/>
      <c r="AD9" s="25"/>
      <c r="AE9" s="25"/>
      <c r="AF9" s="26"/>
      <c r="AG9" s="25">
        <f>Y9</f>
        <v>1</v>
      </c>
      <c r="AH9" s="25">
        <f t="shared" ref="AH9:AJ9" si="0">Z9</f>
        <v>0</v>
      </c>
      <c r="AI9" s="25">
        <f t="shared" si="0"/>
        <v>0</v>
      </c>
      <c r="AJ9" s="25">
        <f t="shared" si="0"/>
        <v>1</v>
      </c>
      <c r="AK9" s="25"/>
      <c r="AL9" s="25"/>
      <c r="AM9" s="25"/>
      <c r="AN9" s="26"/>
    </row>
    <row r="10" spans="1:40" ht="17" thickBot="1" x14ac:dyDescent="0.35">
      <c r="A10" s="2" t="s">
        <v>121</v>
      </c>
      <c r="B10" s="3" t="s">
        <v>32</v>
      </c>
      <c r="C10" s="4" t="s">
        <v>44</v>
      </c>
      <c r="D10" s="5" t="s">
        <v>34</v>
      </c>
      <c r="E10" s="5" t="s">
        <v>30</v>
      </c>
      <c r="F10" s="5">
        <v>31</v>
      </c>
      <c r="G10" s="6">
        <v>22</v>
      </c>
      <c r="H10" s="7">
        <v>1</v>
      </c>
      <c r="I10" s="8">
        <v>0</v>
      </c>
      <c r="J10" s="8">
        <v>4</v>
      </c>
      <c r="K10" s="8">
        <v>4</v>
      </c>
      <c r="L10" s="8">
        <v>0</v>
      </c>
      <c r="M10" s="8">
        <v>1</v>
      </c>
      <c r="N10" s="5">
        <v>1</v>
      </c>
      <c r="O10" s="8">
        <v>0</v>
      </c>
      <c r="P10" s="8">
        <v>1</v>
      </c>
      <c r="Q10" s="5">
        <v>0</v>
      </c>
      <c r="R10" s="8">
        <v>4</v>
      </c>
      <c r="S10" s="9"/>
      <c r="T10" s="282" t="s">
        <v>328</v>
      </c>
      <c r="U10" s="11" t="s">
        <v>218</v>
      </c>
      <c r="V10" s="12" t="s">
        <v>210</v>
      </c>
      <c r="W10" s="12" t="s">
        <v>243</v>
      </c>
      <c r="X10" s="13" t="s">
        <v>217</v>
      </c>
      <c r="Y10" s="12">
        <v>1</v>
      </c>
      <c r="Z10" s="12">
        <v>1</v>
      </c>
      <c r="AA10" s="12">
        <v>0</v>
      </c>
      <c r="AB10" s="14">
        <v>0</v>
      </c>
      <c r="AC10" s="12">
        <f>Y10</f>
        <v>1</v>
      </c>
      <c r="AD10" s="12">
        <f t="shared" ref="AD10:AF10" si="1">Z10</f>
        <v>1</v>
      </c>
      <c r="AE10" s="12">
        <f t="shared" si="1"/>
        <v>0</v>
      </c>
      <c r="AF10" s="12">
        <f t="shared" si="1"/>
        <v>0</v>
      </c>
      <c r="AG10" s="12"/>
      <c r="AH10" s="12"/>
      <c r="AI10" s="12"/>
      <c r="AJ10" s="14"/>
      <c r="AK10" s="12"/>
      <c r="AL10" s="12"/>
      <c r="AM10" s="12"/>
      <c r="AN10" s="14"/>
    </row>
    <row r="11" spans="1:40" ht="17" thickBot="1" x14ac:dyDescent="0.35">
      <c r="A11" s="15" t="s">
        <v>122</v>
      </c>
      <c r="B11" s="16" t="s">
        <v>32</v>
      </c>
      <c r="C11" s="17" t="s">
        <v>37</v>
      </c>
      <c r="D11" s="18" t="s">
        <v>21</v>
      </c>
      <c r="E11" s="18" t="s">
        <v>30</v>
      </c>
      <c r="F11" s="18">
        <v>37</v>
      </c>
      <c r="G11" s="19">
        <v>35</v>
      </c>
      <c r="H11" s="20">
        <v>1</v>
      </c>
      <c r="I11" s="21">
        <v>0</v>
      </c>
      <c r="J11" s="21">
        <v>4</v>
      </c>
      <c r="K11" s="21">
        <v>3</v>
      </c>
      <c r="L11" s="21">
        <v>0</v>
      </c>
      <c r="M11" s="21">
        <v>3</v>
      </c>
      <c r="N11" s="21">
        <v>3</v>
      </c>
      <c r="O11" s="21">
        <v>0</v>
      </c>
      <c r="P11" s="21">
        <v>1</v>
      </c>
      <c r="Q11" s="18">
        <v>1</v>
      </c>
      <c r="R11" s="21">
        <v>5</v>
      </c>
      <c r="S11" s="22"/>
      <c r="T11" s="292" t="s">
        <v>338</v>
      </c>
      <c r="U11" s="24" t="str">
        <f>OldGlory!U11</f>
        <v>Lex Weiner</v>
      </c>
      <c r="V11" s="24" t="str">
        <f>OldGlory!V11</f>
        <v>Amanda Cox</v>
      </c>
      <c r="W11" s="24" t="str">
        <f>OldGlory!W11</f>
        <v>Federico Anselmi</v>
      </c>
      <c r="X11" s="24" t="str">
        <f>OldGlory!X11</f>
        <v>Matt Lake</v>
      </c>
      <c r="Y11" s="25">
        <f>OldGlory!Y11</f>
        <v>1</v>
      </c>
      <c r="Z11" s="25">
        <f>OldGlory!AB11</f>
        <v>1</v>
      </c>
      <c r="AA11" s="25">
        <f>OldGlory!AA11</f>
        <v>0</v>
      </c>
      <c r="AB11" s="26">
        <f>OldGlory!Z11</f>
        <v>0</v>
      </c>
      <c r="AC11" s="25"/>
      <c r="AD11" s="25"/>
      <c r="AE11" s="25"/>
      <c r="AF11" s="26"/>
      <c r="AG11" s="25">
        <f>Y11</f>
        <v>1</v>
      </c>
      <c r="AH11" s="25">
        <f t="shared" ref="AH11:AJ11" si="2">Z11</f>
        <v>1</v>
      </c>
      <c r="AI11" s="25">
        <f t="shared" si="2"/>
        <v>0</v>
      </c>
      <c r="AJ11" s="25">
        <f t="shared" si="2"/>
        <v>0</v>
      </c>
      <c r="AK11" s="25"/>
      <c r="AL11" s="25"/>
      <c r="AM11" s="25"/>
      <c r="AN11" s="26"/>
    </row>
    <row r="12" spans="1:40" ht="17" thickBot="1" x14ac:dyDescent="0.35">
      <c r="A12" s="31" t="s">
        <v>41</v>
      </c>
      <c r="B12" s="3" t="s">
        <v>32</v>
      </c>
      <c r="C12" s="4" t="s">
        <v>70</v>
      </c>
      <c r="D12" s="5" t="s">
        <v>34</v>
      </c>
      <c r="E12" s="5" t="s">
        <v>30</v>
      </c>
      <c r="F12" s="5">
        <v>31</v>
      </c>
      <c r="G12" s="6">
        <v>5</v>
      </c>
      <c r="H12" s="7">
        <v>1</v>
      </c>
      <c r="I12" s="8">
        <v>0</v>
      </c>
      <c r="J12" s="8">
        <v>4</v>
      </c>
      <c r="K12" s="8">
        <v>2</v>
      </c>
      <c r="L12" s="8">
        <v>0</v>
      </c>
      <c r="M12" s="8">
        <v>1</v>
      </c>
      <c r="N12" s="5">
        <v>0</v>
      </c>
      <c r="O12" s="8">
        <v>0</v>
      </c>
      <c r="P12" s="8">
        <v>0</v>
      </c>
      <c r="Q12" s="8">
        <v>0</v>
      </c>
      <c r="R12" s="8">
        <v>1</v>
      </c>
      <c r="S12" s="32"/>
      <c r="T12" s="282" t="s">
        <v>350</v>
      </c>
      <c r="U12" s="11" t="s">
        <v>222</v>
      </c>
      <c r="V12" s="12" t="s">
        <v>210</v>
      </c>
      <c r="W12" s="12" t="s">
        <v>218</v>
      </c>
      <c r="X12" s="13" t="s">
        <v>334</v>
      </c>
      <c r="Y12" s="12">
        <v>1</v>
      </c>
      <c r="Z12" s="12">
        <v>1</v>
      </c>
      <c r="AA12" s="12">
        <v>0</v>
      </c>
      <c r="AB12" s="14">
        <v>0</v>
      </c>
      <c r="AC12" s="12">
        <f>Y12</f>
        <v>1</v>
      </c>
      <c r="AD12" s="12">
        <f t="shared" ref="AD12:AF12" si="3">Z12</f>
        <v>1</v>
      </c>
      <c r="AE12" s="12">
        <f t="shared" si="3"/>
        <v>0</v>
      </c>
      <c r="AF12" s="12">
        <f t="shared" si="3"/>
        <v>0</v>
      </c>
      <c r="AG12" s="12"/>
      <c r="AH12" s="12"/>
      <c r="AI12" s="12"/>
      <c r="AJ12" s="14"/>
      <c r="AK12" s="12"/>
      <c r="AL12" s="12"/>
      <c r="AM12" s="12"/>
      <c r="AN12" s="14"/>
    </row>
    <row r="13" spans="1:40" ht="17" thickBot="1" x14ac:dyDescent="0.35">
      <c r="A13" s="33" t="s">
        <v>42</v>
      </c>
      <c r="B13" s="16" t="s">
        <v>32</v>
      </c>
      <c r="C13" s="17" t="s">
        <v>40</v>
      </c>
      <c r="D13" s="18" t="s">
        <v>21</v>
      </c>
      <c r="E13" s="18" t="s">
        <v>31</v>
      </c>
      <c r="F13" s="18">
        <v>7</v>
      </c>
      <c r="G13" s="19">
        <v>14</v>
      </c>
      <c r="H13" s="20">
        <v>0</v>
      </c>
      <c r="I13" s="21">
        <v>1</v>
      </c>
      <c r="J13" s="21">
        <v>1</v>
      </c>
      <c r="K13" s="21">
        <v>1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2</v>
      </c>
      <c r="S13" s="34"/>
      <c r="T13" s="29" t="s">
        <v>359</v>
      </c>
      <c r="U13" s="24" t="str">
        <f>Chicago!U13</f>
        <v>Marquise Goodwin</v>
      </c>
      <c r="V13" s="24" t="str">
        <f>Chicago!V13</f>
        <v>Cam Russell</v>
      </c>
      <c r="W13" s="24" t="str">
        <f>Chicago!W13</f>
        <v>Mike Lawrenson</v>
      </c>
      <c r="X13" s="24" t="str">
        <f>Chicago!X13</f>
        <v>Matt Lake</v>
      </c>
      <c r="Y13" s="25">
        <f>Chicago!Y13</f>
        <v>1</v>
      </c>
      <c r="Z13" s="25">
        <f>Chicago!AB13</f>
        <v>0</v>
      </c>
      <c r="AA13" s="25">
        <f>Chicago!AA13</f>
        <v>0</v>
      </c>
      <c r="AB13" s="26">
        <f>Chicago!Z13</f>
        <v>1</v>
      </c>
      <c r="AC13" s="25"/>
      <c r="AD13" s="25"/>
      <c r="AE13" s="25"/>
      <c r="AF13" s="26"/>
      <c r="AG13" s="25">
        <f>Y13</f>
        <v>1</v>
      </c>
      <c r="AH13" s="25">
        <f t="shared" ref="AH13:AJ14" si="4">Z13</f>
        <v>0</v>
      </c>
      <c r="AI13" s="25">
        <f t="shared" si="4"/>
        <v>0</v>
      </c>
      <c r="AJ13" s="25">
        <f t="shared" si="4"/>
        <v>1</v>
      </c>
      <c r="AK13" s="25"/>
      <c r="AL13" s="25"/>
      <c r="AM13" s="25"/>
      <c r="AN13" s="26"/>
    </row>
    <row r="14" spans="1:40" ht="17" thickBot="1" x14ac:dyDescent="0.35">
      <c r="A14" s="33" t="s">
        <v>126</v>
      </c>
      <c r="B14" s="16" t="s">
        <v>32</v>
      </c>
      <c r="C14" s="17" t="s">
        <v>96</v>
      </c>
      <c r="D14" s="18" t="s">
        <v>21</v>
      </c>
      <c r="E14" s="18" t="s">
        <v>30</v>
      </c>
      <c r="F14" s="18">
        <v>25</v>
      </c>
      <c r="G14" s="19">
        <v>19</v>
      </c>
      <c r="H14" s="20">
        <v>0</v>
      </c>
      <c r="I14" s="21">
        <v>0</v>
      </c>
      <c r="J14" s="21">
        <v>3</v>
      </c>
      <c r="K14" s="21">
        <v>1</v>
      </c>
      <c r="L14" s="21">
        <v>0</v>
      </c>
      <c r="M14" s="21">
        <v>2</v>
      </c>
      <c r="N14" s="21">
        <v>0</v>
      </c>
      <c r="O14" s="21">
        <v>0</v>
      </c>
      <c r="P14" s="21">
        <v>0</v>
      </c>
      <c r="Q14" s="21">
        <v>1</v>
      </c>
      <c r="R14" s="21">
        <v>3</v>
      </c>
      <c r="S14" s="34"/>
      <c r="T14" s="281" t="s">
        <v>364</v>
      </c>
      <c r="U14" s="24" t="str">
        <f>NOLA!U14</f>
        <v>Peter Martin</v>
      </c>
      <c r="V14" s="24" t="str">
        <f>NOLA!V14</f>
        <v>Mike Kelly</v>
      </c>
      <c r="W14" s="24" t="str">
        <f>NOLA!W14</f>
        <v>Kat Roche</v>
      </c>
      <c r="X14" s="24" t="str">
        <f>NOLA!X14</f>
        <v>Mike Lawrenson</v>
      </c>
      <c r="Y14" s="25">
        <f>NOLA!Y14</f>
        <v>1</v>
      </c>
      <c r="Z14" s="25">
        <f>NOLA!AB14</f>
        <v>1</v>
      </c>
      <c r="AA14" s="25">
        <f>NOLA!AA14</f>
        <v>0</v>
      </c>
      <c r="AB14" s="26">
        <f>NOLA!Z14</f>
        <v>0</v>
      </c>
      <c r="AC14" s="25"/>
      <c r="AD14" s="25"/>
      <c r="AE14" s="25"/>
      <c r="AF14" s="26"/>
      <c r="AG14" s="25">
        <f>Y14</f>
        <v>1</v>
      </c>
      <c r="AH14" s="25">
        <f t="shared" si="4"/>
        <v>1</v>
      </c>
      <c r="AI14" s="25">
        <f t="shared" si="4"/>
        <v>0</v>
      </c>
      <c r="AJ14" s="25">
        <f t="shared" si="4"/>
        <v>0</v>
      </c>
      <c r="AK14" s="25"/>
      <c r="AL14" s="25"/>
      <c r="AM14" s="25"/>
      <c r="AN14" s="26"/>
    </row>
    <row r="15" spans="1:40" ht="17" thickBot="1" x14ac:dyDescent="0.35">
      <c r="A15" s="31" t="s">
        <v>123</v>
      </c>
      <c r="B15" s="3" t="s">
        <v>32</v>
      </c>
      <c r="C15" s="4" t="s">
        <v>33</v>
      </c>
      <c r="D15" s="5" t="s">
        <v>34</v>
      </c>
      <c r="E15" s="5" t="s">
        <v>30</v>
      </c>
      <c r="F15" s="5">
        <v>30</v>
      </c>
      <c r="G15" s="6">
        <v>19</v>
      </c>
      <c r="H15" s="7">
        <v>1</v>
      </c>
      <c r="I15" s="8">
        <v>0</v>
      </c>
      <c r="J15" s="8">
        <v>4</v>
      </c>
      <c r="K15" s="8">
        <v>2</v>
      </c>
      <c r="L15" s="8">
        <v>0</v>
      </c>
      <c r="M15" s="8">
        <v>2</v>
      </c>
      <c r="N15" s="8">
        <v>0</v>
      </c>
      <c r="O15" s="8">
        <v>0</v>
      </c>
      <c r="P15" s="8">
        <v>0</v>
      </c>
      <c r="Q15" s="8">
        <v>0</v>
      </c>
      <c r="R15" s="8">
        <v>3</v>
      </c>
      <c r="S15" s="32"/>
      <c r="T15" s="282" t="s">
        <v>376</v>
      </c>
      <c r="U15" s="11" t="s">
        <v>212</v>
      </c>
      <c r="V15" s="12" t="s">
        <v>210</v>
      </c>
      <c r="W15" s="12" t="s">
        <v>362</v>
      </c>
      <c r="X15" s="13" t="s">
        <v>334</v>
      </c>
      <c r="Y15" s="12">
        <v>1</v>
      </c>
      <c r="Z15" s="12">
        <v>1</v>
      </c>
      <c r="AA15" s="12">
        <v>0</v>
      </c>
      <c r="AB15" s="14">
        <v>0</v>
      </c>
      <c r="AC15" s="12">
        <f>Y15</f>
        <v>1</v>
      </c>
      <c r="AD15" s="12">
        <f t="shared" ref="AD15:AF15" si="5">Z15</f>
        <v>1</v>
      </c>
      <c r="AE15" s="12">
        <f t="shared" si="5"/>
        <v>0</v>
      </c>
      <c r="AF15" s="12">
        <f t="shared" si="5"/>
        <v>0</v>
      </c>
      <c r="AG15" s="12"/>
      <c r="AH15" s="12"/>
      <c r="AI15" s="12"/>
      <c r="AJ15" s="14"/>
      <c r="AK15" s="12"/>
      <c r="AL15" s="12"/>
      <c r="AM15" s="12"/>
      <c r="AN15" s="14"/>
    </row>
    <row r="16" spans="1:40" ht="17" thickBot="1" x14ac:dyDescent="0.35">
      <c r="A16" s="33" t="s">
        <v>124</v>
      </c>
      <c r="B16" s="16" t="s">
        <v>32</v>
      </c>
      <c r="C16" s="17" t="s">
        <v>46</v>
      </c>
      <c r="D16" s="18" t="s">
        <v>21</v>
      </c>
      <c r="E16" s="18" t="s">
        <v>31</v>
      </c>
      <c r="F16" s="18">
        <v>20</v>
      </c>
      <c r="G16" s="19">
        <v>26</v>
      </c>
      <c r="H16" s="20">
        <v>0</v>
      </c>
      <c r="I16" s="21">
        <v>1</v>
      </c>
      <c r="J16" s="21">
        <v>2</v>
      </c>
      <c r="K16" s="21">
        <v>2</v>
      </c>
      <c r="L16" s="21">
        <v>0</v>
      </c>
      <c r="M16" s="21">
        <v>2</v>
      </c>
      <c r="N16" s="21">
        <v>1</v>
      </c>
      <c r="O16" s="21">
        <v>0</v>
      </c>
      <c r="P16" s="21">
        <v>1</v>
      </c>
      <c r="Q16" s="21">
        <v>0</v>
      </c>
      <c r="R16" s="21">
        <v>4</v>
      </c>
      <c r="S16" s="34"/>
      <c r="T16" s="23" t="s">
        <v>389</v>
      </c>
      <c r="U16" s="24" t="str">
        <f>LosAngeles!U16</f>
        <v>Luke Rogan</v>
      </c>
      <c r="V16" s="24" t="str">
        <f>LosAngeles!V16</f>
        <v>Cam Russell</v>
      </c>
      <c r="W16" s="24" t="str">
        <f>LosAngeles!W16</f>
        <v>Kahlil Harrison</v>
      </c>
      <c r="X16" s="24" t="str">
        <f>LosAngeles!X16</f>
        <v>Kirk Swanner</v>
      </c>
      <c r="Y16" s="25">
        <f>LosAngeles!Y16</f>
        <v>1</v>
      </c>
      <c r="Z16" s="25">
        <f>LosAngeles!AB16</f>
        <v>0</v>
      </c>
      <c r="AA16" s="25">
        <f>LosAngeles!AA16</f>
        <v>0</v>
      </c>
      <c r="AB16" s="26">
        <f>LosAngeles!Z16</f>
        <v>1</v>
      </c>
      <c r="AC16" s="25"/>
      <c r="AD16" s="25"/>
      <c r="AE16" s="25"/>
      <c r="AF16" s="26"/>
      <c r="AG16" s="25">
        <f>Y16</f>
        <v>1</v>
      </c>
      <c r="AH16" s="25">
        <f t="shared" ref="AH16:AJ16" si="6">Z16</f>
        <v>0</v>
      </c>
      <c r="AI16" s="25">
        <f t="shared" si="6"/>
        <v>0</v>
      </c>
      <c r="AJ16" s="25">
        <f t="shared" si="6"/>
        <v>1</v>
      </c>
      <c r="AK16" s="25"/>
      <c r="AL16" s="25"/>
      <c r="AM16" s="25"/>
      <c r="AN16" s="26"/>
    </row>
    <row r="17" spans="1:40" ht="17" thickBot="1" x14ac:dyDescent="0.35">
      <c r="A17" s="31" t="s">
        <v>110</v>
      </c>
      <c r="B17" s="3" t="s">
        <v>32</v>
      </c>
      <c r="C17" s="4" t="s">
        <v>47</v>
      </c>
      <c r="D17" s="5" t="s">
        <v>34</v>
      </c>
      <c r="E17" s="5" t="s">
        <v>30</v>
      </c>
      <c r="F17" s="5">
        <v>36</v>
      </c>
      <c r="G17" s="6">
        <v>32</v>
      </c>
      <c r="H17" s="7">
        <v>0</v>
      </c>
      <c r="I17" s="8">
        <v>0</v>
      </c>
      <c r="J17" s="8">
        <v>3</v>
      </c>
      <c r="K17" s="8">
        <v>3</v>
      </c>
      <c r="L17" s="8">
        <v>0</v>
      </c>
      <c r="M17" s="8">
        <v>5</v>
      </c>
      <c r="N17" s="5">
        <v>1</v>
      </c>
      <c r="O17" s="8">
        <v>0</v>
      </c>
      <c r="P17" s="8">
        <v>1</v>
      </c>
      <c r="Q17" s="8">
        <v>1</v>
      </c>
      <c r="R17" s="8">
        <v>5</v>
      </c>
      <c r="S17" s="9"/>
      <c r="T17" s="282" t="s">
        <v>232</v>
      </c>
      <c r="U17" s="12" t="s">
        <v>212</v>
      </c>
      <c r="V17" s="12" t="s">
        <v>215</v>
      </c>
      <c r="W17" s="12" t="s">
        <v>220</v>
      </c>
      <c r="X17" s="12" t="s">
        <v>334</v>
      </c>
      <c r="Y17" s="12">
        <v>1</v>
      </c>
      <c r="Z17" s="12">
        <v>1</v>
      </c>
      <c r="AA17" s="12">
        <v>0</v>
      </c>
      <c r="AB17" s="14">
        <v>0</v>
      </c>
      <c r="AC17" s="12">
        <f>Y17</f>
        <v>1</v>
      </c>
      <c r="AD17" s="12">
        <f t="shared" ref="AD17:AF17" si="7">Z17</f>
        <v>1</v>
      </c>
      <c r="AE17" s="12">
        <f t="shared" si="7"/>
        <v>0</v>
      </c>
      <c r="AF17" s="12">
        <f t="shared" si="7"/>
        <v>0</v>
      </c>
      <c r="AG17" s="12"/>
      <c r="AH17" s="12"/>
      <c r="AI17" s="12"/>
      <c r="AJ17" s="14"/>
      <c r="AK17" s="12"/>
      <c r="AL17" s="12"/>
      <c r="AM17" s="12"/>
      <c r="AN17" s="14"/>
    </row>
    <row r="18" spans="1:40" ht="17" thickBot="1" x14ac:dyDescent="0.35">
      <c r="A18" s="33" t="s">
        <v>111</v>
      </c>
      <c r="B18" s="16" t="s">
        <v>32</v>
      </c>
      <c r="C18" s="37" t="s">
        <v>43</v>
      </c>
      <c r="D18" s="38" t="s">
        <v>21</v>
      </c>
      <c r="E18" s="38" t="s">
        <v>31</v>
      </c>
      <c r="F18" s="18">
        <v>17</v>
      </c>
      <c r="G18" s="19">
        <v>42</v>
      </c>
      <c r="H18" s="20">
        <v>0</v>
      </c>
      <c r="I18" s="21">
        <v>0</v>
      </c>
      <c r="J18" s="21">
        <v>2</v>
      </c>
      <c r="K18" s="21">
        <v>2</v>
      </c>
      <c r="L18" s="21">
        <v>0</v>
      </c>
      <c r="M18" s="21">
        <v>1</v>
      </c>
      <c r="N18" s="21">
        <v>1</v>
      </c>
      <c r="O18" s="21">
        <v>0</v>
      </c>
      <c r="P18" s="21">
        <v>1</v>
      </c>
      <c r="Q18" s="21">
        <v>0</v>
      </c>
      <c r="R18" s="21">
        <v>6</v>
      </c>
      <c r="S18" s="34"/>
      <c r="T18" s="23" t="s">
        <v>234</v>
      </c>
      <c r="U18" s="25" t="str">
        <f>Seattle!U18</f>
        <v>Saba Abulashvili</v>
      </c>
      <c r="V18" s="25" t="str">
        <f>Seattle!V18</f>
        <v>Mike Kelly</v>
      </c>
      <c r="W18" s="25" t="str">
        <f>Seattle!W18</f>
        <v>Jacob Gonzales</v>
      </c>
      <c r="X18" s="25" t="str">
        <f>Seattle!X18</f>
        <v>Juan Parra</v>
      </c>
      <c r="Y18" s="25">
        <f>Seattle!Y18</f>
        <v>1</v>
      </c>
      <c r="Z18" s="25">
        <f>Seattle!AB18</f>
        <v>0</v>
      </c>
      <c r="AA18" s="25">
        <f>Seattle!AA18</f>
        <v>0</v>
      </c>
      <c r="AB18" s="26">
        <f>Seattle!Z18</f>
        <v>1</v>
      </c>
      <c r="AC18" s="25"/>
      <c r="AD18" s="25"/>
      <c r="AE18" s="25"/>
      <c r="AF18" s="26"/>
      <c r="AG18" s="25">
        <f>Y18</f>
        <v>1</v>
      </c>
      <c r="AH18" s="25">
        <f t="shared" ref="AH18:AJ18" si="8">Z18</f>
        <v>0</v>
      </c>
      <c r="AI18" s="25">
        <f t="shared" si="8"/>
        <v>0</v>
      </c>
      <c r="AJ18" s="25">
        <f t="shared" si="8"/>
        <v>1</v>
      </c>
      <c r="AK18" s="25"/>
      <c r="AL18" s="25"/>
      <c r="AM18" s="25"/>
      <c r="AN18" s="26"/>
    </row>
    <row r="19" spans="1:40" ht="17" thickBot="1" x14ac:dyDescent="0.35">
      <c r="A19" s="366" t="s">
        <v>412</v>
      </c>
      <c r="B19" s="366" t="s">
        <v>112</v>
      </c>
      <c r="C19" s="37" t="s">
        <v>33</v>
      </c>
      <c r="D19" s="38" t="s">
        <v>21</v>
      </c>
      <c r="E19" s="38" t="s">
        <v>31</v>
      </c>
      <c r="F19" s="38">
        <v>10</v>
      </c>
      <c r="G19" s="367">
        <v>32</v>
      </c>
      <c r="H19" s="368"/>
      <c r="I19" s="369"/>
      <c r="J19" s="369">
        <v>1</v>
      </c>
      <c r="K19" s="369">
        <v>1</v>
      </c>
      <c r="L19" s="369">
        <v>0</v>
      </c>
      <c r="M19" s="369">
        <v>1</v>
      </c>
      <c r="N19" s="369">
        <v>0</v>
      </c>
      <c r="O19" s="369">
        <v>0</v>
      </c>
      <c r="P19" s="369"/>
      <c r="Q19" s="369"/>
      <c r="R19" s="369">
        <v>4</v>
      </c>
      <c r="S19" s="34"/>
      <c r="T19" s="23" t="s">
        <v>263</v>
      </c>
      <c r="U19" s="25" t="str">
        <f>NewEngland!U19</f>
        <v>Robin Kaluzniak</v>
      </c>
      <c r="V19" s="25" t="str">
        <f>NewEngland!V19</f>
        <v>Derek Summers</v>
      </c>
      <c r="W19" s="25" t="str">
        <f>NewEngland!W19</f>
        <v>Kahlil Harrison</v>
      </c>
      <c r="X19" s="25" t="str">
        <f>NewEngland!X19</f>
        <v>Eanna O'Dowd</v>
      </c>
      <c r="Y19" s="25">
        <v>1</v>
      </c>
      <c r="Z19" s="25">
        <v>0</v>
      </c>
      <c r="AA19" s="25">
        <v>0</v>
      </c>
      <c r="AB19" s="25">
        <v>1</v>
      </c>
      <c r="AC19" s="25"/>
      <c r="AD19" s="25"/>
      <c r="AE19" s="25"/>
      <c r="AF19" s="25"/>
      <c r="AG19" s="25">
        <v>1</v>
      </c>
      <c r="AH19" s="25">
        <v>0</v>
      </c>
      <c r="AI19" s="25">
        <v>0</v>
      </c>
      <c r="AJ19" s="25">
        <v>1</v>
      </c>
      <c r="AK19" s="25"/>
      <c r="AL19" s="25"/>
      <c r="AM19" s="25"/>
      <c r="AN19" s="25"/>
    </row>
    <row r="20" spans="1:40" ht="17" thickBot="1" x14ac:dyDescent="0.35">
      <c r="A20" s="39"/>
      <c r="B20" s="40"/>
      <c r="C20" s="389" t="s">
        <v>48</v>
      </c>
      <c r="D20" s="416"/>
      <c r="E20" s="417"/>
      <c r="F20" s="41">
        <f t="shared" ref="F20:R20" si="9">SUM(F3+F4+F5+F6+F7+F8+F9+F10+F11+F12+F13+F14+F15+F16+F17+F18)</f>
        <v>380</v>
      </c>
      <c r="G20" s="41">
        <f t="shared" si="9"/>
        <v>442</v>
      </c>
      <c r="H20" s="41">
        <f t="shared" si="9"/>
        <v>6</v>
      </c>
      <c r="I20" s="41">
        <f t="shared" si="9"/>
        <v>3</v>
      </c>
      <c r="J20" s="41">
        <f t="shared" si="9"/>
        <v>45</v>
      </c>
      <c r="K20" s="41">
        <f t="shared" si="9"/>
        <v>31</v>
      </c>
      <c r="L20" s="41">
        <f t="shared" si="9"/>
        <v>0</v>
      </c>
      <c r="M20" s="41">
        <f t="shared" si="9"/>
        <v>27</v>
      </c>
      <c r="N20" s="41">
        <f t="shared" si="9"/>
        <v>14</v>
      </c>
      <c r="O20" s="41">
        <f t="shared" si="9"/>
        <v>2</v>
      </c>
      <c r="P20" s="41">
        <f t="shared" si="9"/>
        <v>11</v>
      </c>
      <c r="Q20" s="41">
        <f t="shared" si="9"/>
        <v>5</v>
      </c>
      <c r="R20" s="41">
        <f t="shared" si="9"/>
        <v>66</v>
      </c>
      <c r="S20" s="42"/>
      <c r="T20" s="42"/>
      <c r="U20" s="42"/>
      <c r="V20" s="42"/>
      <c r="W20" s="43"/>
      <c r="X20" s="44" t="s">
        <v>48</v>
      </c>
      <c r="Y20" s="41">
        <f t="shared" ref="Y20:AN20" si="10">Y3+Y4+Y5+Y6+Y7+Y8+Y9+Y10+Y11+Y12+Y13+Y14+Y15+Y16+Y17+Y18</f>
        <v>16</v>
      </c>
      <c r="Z20" s="41">
        <f t="shared" si="10"/>
        <v>8</v>
      </c>
      <c r="AA20" s="41">
        <f t="shared" si="10"/>
        <v>0</v>
      </c>
      <c r="AB20" s="41">
        <f t="shared" si="10"/>
        <v>8</v>
      </c>
      <c r="AC20" s="45">
        <f t="shared" si="10"/>
        <v>8</v>
      </c>
      <c r="AD20" s="45">
        <f t="shared" si="10"/>
        <v>5</v>
      </c>
      <c r="AE20" s="45">
        <f t="shared" si="10"/>
        <v>0</v>
      </c>
      <c r="AF20" s="45">
        <f t="shared" si="10"/>
        <v>3</v>
      </c>
      <c r="AG20" s="38">
        <f t="shared" si="10"/>
        <v>8</v>
      </c>
      <c r="AH20" s="38">
        <f t="shared" si="10"/>
        <v>3</v>
      </c>
      <c r="AI20" s="38">
        <f t="shared" si="10"/>
        <v>0</v>
      </c>
      <c r="AJ20" s="38">
        <f t="shared" si="10"/>
        <v>5</v>
      </c>
      <c r="AK20" s="41">
        <f t="shared" si="10"/>
        <v>0</v>
      </c>
      <c r="AL20" s="41">
        <f t="shared" si="10"/>
        <v>0</v>
      </c>
      <c r="AM20" s="41">
        <f t="shared" si="10"/>
        <v>0</v>
      </c>
      <c r="AN20" s="41">
        <f t="shared" si="10"/>
        <v>0</v>
      </c>
    </row>
    <row r="21" spans="1:40" ht="17" thickBot="1" x14ac:dyDescent="0.35">
      <c r="A21" s="39"/>
      <c r="B21" s="40"/>
      <c r="C21" s="389" t="s">
        <v>413</v>
      </c>
      <c r="D21" s="416"/>
      <c r="E21" s="417"/>
      <c r="F21" s="46">
        <f>F19</f>
        <v>10</v>
      </c>
      <c r="G21" s="46">
        <f t="shared" ref="G21:R21" si="11">G19</f>
        <v>32</v>
      </c>
      <c r="H21" s="46">
        <f t="shared" si="11"/>
        <v>0</v>
      </c>
      <c r="I21" s="46">
        <f t="shared" si="11"/>
        <v>0</v>
      </c>
      <c r="J21" s="46">
        <f t="shared" si="11"/>
        <v>1</v>
      </c>
      <c r="K21" s="46">
        <f t="shared" si="11"/>
        <v>1</v>
      </c>
      <c r="L21" s="46">
        <f t="shared" si="11"/>
        <v>0</v>
      </c>
      <c r="M21" s="46">
        <f t="shared" si="11"/>
        <v>1</v>
      </c>
      <c r="N21" s="46">
        <f t="shared" si="11"/>
        <v>0</v>
      </c>
      <c r="O21" s="46">
        <f t="shared" si="11"/>
        <v>0</v>
      </c>
      <c r="P21" s="46">
        <f t="shared" si="11"/>
        <v>0</v>
      </c>
      <c r="Q21" s="46">
        <f t="shared" si="11"/>
        <v>0</v>
      </c>
      <c r="R21" s="46">
        <f t="shared" si="11"/>
        <v>4</v>
      </c>
      <c r="S21" s="42"/>
      <c r="T21" s="42"/>
      <c r="U21" s="42"/>
      <c r="V21" s="42"/>
      <c r="W21" s="43"/>
      <c r="X21" s="44" t="s">
        <v>413</v>
      </c>
      <c r="Y21" s="41">
        <f>Y19</f>
        <v>1</v>
      </c>
      <c r="Z21" s="41">
        <f t="shared" ref="Z21:AN21" si="12">Z19</f>
        <v>0</v>
      </c>
      <c r="AA21" s="41">
        <f t="shared" si="12"/>
        <v>0</v>
      </c>
      <c r="AB21" s="41">
        <f t="shared" si="12"/>
        <v>1</v>
      </c>
      <c r="AC21" s="45">
        <f t="shared" si="12"/>
        <v>0</v>
      </c>
      <c r="AD21" s="45">
        <f t="shared" si="12"/>
        <v>0</v>
      </c>
      <c r="AE21" s="45">
        <f t="shared" si="12"/>
        <v>0</v>
      </c>
      <c r="AF21" s="45">
        <f t="shared" si="12"/>
        <v>0</v>
      </c>
      <c r="AG21" s="38">
        <f t="shared" si="12"/>
        <v>1</v>
      </c>
      <c r="AH21" s="38">
        <f t="shared" si="12"/>
        <v>0</v>
      </c>
      <c r="AI21" s="38">
        <f t="shared" si="12"/>
        <v>0</v>
      </c>
      <c r="AJ21" s="38">
        <f t="shared" si="12"/>
        <v>1</v>
      </c>
      <c r="AK21" s="41">
        <f t="shared" si="12"/>
        <v>0</v>
      </c>
      <c r="AL21" s="41">
        <f t="shared" si="12"/>
        <v>0</v>
      </c>
      <c r="AM21" s="41">
        <f t="shared" si="12"/>
        <v>0</v>
      </c>
      <c r="AN21" s="41">
        <f t="shared" si="12"/>
        <v>0</v>
      </c>
    </row>
    <row r="22" spans="1:40" ht="17" thickBot="1" x14ac:dyDescent="0.35">
      <c r="A22" s="39"/>
      <c r="B22" s="40"/>
      <c r="C22" s="389" t="s">
        <v>49</v>
      </c>
      <c r="D22" s="390"/>
      <c r="E22" s="391"/>
      <c r="F22" s="46">
        <f>F20+F21</f>
        <v>390</v>
      </c>
      <c r="G22" s="46">
        <f t="shared" ref="G22:R22" si="13">G20+G21</f>
        <v>474</v>
      </c>
      <c r="H22" s="46">
        <f t="shared" si="13"/>
        <v>6</v>
      </c>
      <c r="I22" s="46">
        <f t="shared" si="13"/>
        <v>3</v>
      </c>
      <c r="J22" s="46">
        <f t="shared" si="13"/>
        <v>46</v>
      </c>
      <c r="K22" s="46">
        <f t="shared" si="13"/>
        <v>32</v>
      </c>
      <c r="L22" s="46">
        <f t="shared" si="13"/>
        <v>0</v>
      </c>
      <c r="M22" s="46">
        <f t="shared" si="13"/>
        <v>28</v>
      </c>
      <c r="N22" s="46">
        <f t="shared" si="13"/>
        <v>14</v>
      </c>
      <c r="O22" s="46">
        <f t="shared" si="13"/>
        <v>2</v>
      </c>
      <c r="P22" s="46">
        <f t="shared" si="13"/>
        <v>11</v>
      </c>
      <c r="Q22" s="46">
        <f t="shared" si="13"/>
        <v>5</v>
      </c>
      <c r="R22" s="46">
        <f t="shared" si="13"/>
        <v>70</v>
      </c>
      <c r="S22" s="42"/>
      <c r="T22" s="42"/>
      <c r="U22" s="42"/>
      <c r="V22" s="42"/>
      <c r="W22" s="43"/>
      <c r="X22" s="44" t="s">
        <v>49</v>
      </c>
      <c r="Y22" s="41">
        <f>Y20+Y21</f>
        <v>17</v>
      </c>
      <c r="Z22" s="41">
        <f t="shared" ref="Z22:AN22" si="14">Z20+Z21</f>
        <v>8</v>
      </c>
      <c r="AA22" s="41">
        <f t="shared" si="14"/>
        <v>0</v>
      </c>
      <c r="AB22" s="41">
        <f t="shared" si="14"/>
        <v>9</v>
      </c>
      <c r="AC22" s="45">
        <f t="shared" si="14"/>
        <v>8</v>
      </c>
      <c r="AD22" s="45">
        <f t="shared" si="14"/>
        <v>5</v>
      </c>
      <c r="AE22" s="45">
        <f t="shared" si="14"/>
        <v>0</v>
      </c>
      <c r="AF22" s="45">
        <f t="shared" si="14"/>
        <v>3</v>
      </c>
      <c r="AG22" s="38">
        <f t="shared" si="14"/>
        <v>9</v>
      </c>
      <c r="AH22" s="38">
        <f t="shared" si="14"/>
        <v>3</v>
      </c>
      <c r="AI22" s="38">
        <f t="shared" si="14"/>
        <v>0</v>
      </c>
      <c r="AJ22" s="38">
        <f t="shared" si="14"/>
        <v>6</v>
      </c>
      <c r="AK22" s="41">
        <f t="shared" si="14"/>
        <v>0</v>
      </c>
      <c r="AL22" s="41">
        <f t="shared" si="14"/>
        <v>0</v>
      </c>
      <c r="AM22" s="41">
        <f t="shared" si="14"/>
        <v>0</v>
      </c>
      <c r="AN22" s="41">
        <f t="shared" si="14"/>
        <v>0</v>
      </c>
    </row>
    <row r="24" spans="1:40" x14ac:dyDescent="0.3">
      <c r="A24" s="1" t="s">
        <v>52</v>
      </c>
    </row>
  </sheetData>
  <mergeCells count="13">
    <mergeCell ref="Y1:AB1"/>
    <mergeCell ref="AC1:AF1"/>
    <mergeCell ref="AG1:AJ1"/>
    <mergeCell ref="AK1:AN1"/>
    <mergeCell ref="C20:E20"/>
    <mergeCell ref="N1:O1"/>
    <mergeCell ref="P1:R1"/>
    <mergeCell ref="C22:E22"/>
    <mergeCell ref="A1:D1"/>
    <mergeCell ref="E1:G1"/>
    <mergeCell ref="H1:I1"/>
    <mergeCell ref="J1:M1"/>
    <mergeCell ref="C21:E21"/>
  </mergeCells>
  <pageMargins left="0.7" right="0.7" top="0.75" bottom="0.75" header="0.3" footer="0.3"/>
  <ignoredErrors>
    <ignoredError sqref="T6:T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D343-7B82-3442-AB6C-13041461C9CE}">
  <dimension ref="A1:AN26"/>
  <sheetViews>
    <sheetView zoomScale="80" zoomScaleNormal="80" workbookViewId="0">
      <selection sqref="A1:D1"/>
    </sheetView>
  </sheetViews>
  <sheetFormatPr defaultColWidth="11.44140625" defaultRowHeight="16.3" x14ac:dyDescent="0.3"/>
  <cols>
    <col min="1" max="1" width="6.44140625" style="47" bestFit="1" customWidth="1"/>
    <col min="2" max="2" width="6" style="47" bestFit="1" customWidth="1"/>
    <col min="3" max="3" width="12" style="47" customWidth="1"/>
    <col min="4" max="4" width="4.77734375" style="47" customWidth="1"/>
    <col min="5" max="7" width="4.6640625" style="47" customWidth="1"/>
    <col min="8" max="18" width="4.77734375" style="47" customWidth="1"/>
    <col min="19" max="19" width="7" style="47" customWidth="1"/>
    <col min="20" max="20" width="6.77734375" style="47" customWidth="1"/>
    <col min="21" max="21" width="24" style="47" bestFit="1" customWidth="1"/>
    <col min="22" max="23" width="29" style="47" bestFit="1" customWidth="1"/>
    <col min="24" max="24" width="24" style="47" bestFit="1" customWidth="1"/>
    <col min="25" max="40" width="4.77734375" style="47" customWidth="1"/>
  </cols>
  <sheetData>
    <row r="1" spans="1:40" ht="17" thickBot="1" x14ac:dyDescent="0.35">
      <c r="A1" s="457" t="s">
        <v>56</v>
      </c>
      <c r="B1" s="458"/>
      <c r="C1" s="458"/>
      <c r="D1" s="459"/>
      <c r="E1" s="460" t="s">
        <v>0</v>
      </c>
      <c r="F1" s="461"/>
      <c r="G1" s="462"/>
      <c r="H1" s="460" t="s">
        <v>1</v>
      </c>
      <c r="I1" s="462"/>
      <c r="J1" s="463" t="s">
        <v>2</v>
      </c>
      <c r="K1" s="464"/>
      <c r="L1" s="464"/>
      <c r="M1" s="465"/>
      <c r="N1" s="463" t="s">
        <v>3</v>
      </c>
      <c r="O1" s="465"/>
      <c r="P1" s="463" t="s">
        <v>4</v>
      </c>
      <c r="Q1" s="464"/>
      <c r="R1" s="465"/>
      <c r="S1" s="113" t="s">
        <v>5</v>
      </c>
      <c r="T1" s="113" t="s">
        <v>6</v>
      </c>
      <c r="U1" s="114" t="s">
        <v>7</v>
      </c>
      <c r="V1" s="115" t="s">
        <v>8</v>
      </c>
      <c r="W1" s="115" t="s">
        <v>9</v>
      </c>
      <c r="X1" s="116" t="s">
        <v>10</v>
      </c>
      <c r="Y1" s="466" t="s">
        <v>11</v>
      </c>
      <c r="Z1" s="467"/>
      <c r="AA1" s="467"/>
      <c r="AB1" s="468"/>
      <c r="AC1" s="466" t="s">
        <v>12</v>
      </c>
      <c r="AD1" s="467"/>
      <c r="AE1" s="467"/>
      <c r="AF1" s="468"/>
      <c r="AG1" s="466" t="s">
        <v>13</v>
      </c>
      <c r="AH1" s="467"/>
      <c r="AI1" s="467"/>
      <c r="AJ1" s="468"/>
      <c r="AK1" s="466" t="s">
        <v>14</v>
      </c>
      <c r="AL1" s="467"/>
      <c r="AM1" s="467"/>
      <c r="AN1" s="468"/>
    </row>
    <row r="2" spans="1:40" ht="17" thickBot="1" x14ac:dyDescent="0.35">
      <c r="A2" s="117" t="s">
        <v>15</v>
      </c>
      <c r="B2" s="118" t="s">
        <v>16</v>
      </c>
      <c r="C2" s="119" t="s">
        <v>17</v>
      </c>
      <c r="D2" s="119" t="s">
        <v>18</v>
      </c>
      <c r="E2" s="120" t="s">
        <v>19</v>
      </c>
      <c r="F2" s="120" t="s">
        <v>20</v>
      </c>
      <c r="G2" s="120" t="s">
        <v>21</v>
      </c>
      <c r="H2" s="121" t="s">
        <v>22</v>
      </c>
      <c r="I2" s="121" t="s">
        <v>23</v>
      </c>
      <c r="J2" s="121" t="s">
        <v>24</v>
      </c>
      <c r="K2" s="121" t="s">
        <v>25</v>
      </c>
      <c r="L2" s="121" t="s">
        <v>26</v>
      </c>
      <c r="M2" s="121" t="s">
        <v>27</v>
      </c>
      <c r="N2" s="121" t="s">
        <v>28</v>
      </c>
      <c r="O2" s="121" t="s">
        <v>19</v>
      </c>
      <c r="P2" s="121" t="s">
        <v>22</v>
      </c>
      <c r="Q2" s="121" t="s">
        <v>23</v>
      </c>
      <c r="R2" s="121" t="s">
        <v>24</v>
      </c>
      <c r="S2" s="122"/>
      <c r="T2" s="123"/>
      <c r="U2" s="124"/>
      <c r="V2" s="122"/>
      <c r="W2" s="125"/>
      <c r="X2" s="126"/>
      <c r="Y2" s="127" t="s">
        <v>29</v>
      </c>
      <c r="Z2" s="127" t="s">
        <v>30</v>
      </c>
      <c r="AA2" s="127" t="s">
        <v>26</v>
      </c>
      <c r="AB2" s="127" t="s">
        <v>31</v>
      </c>
      <c r="AC2" s="127" t="s">
        <v>29</v>
      </c>
      <c r="AD2" s="127" t="s">
        <v>30</v>
      </c>
      <c r="AE2" s="127" t="s">
        <v>26</v>
      </c>
      <c r="AF2" s="127" t="s">
        <v>31</v>
      </c>
      <c r="AG2" s="127" t="s">
        <v>29</v>
      </c>
      <c r="AH2" s="127" t="s">
        <v>30</v>
      </c>
      <c r="AI2" s="127" t="s">
        <v>26</v>
      </c>
      <c r="AJ2" s="127" t="s">
        <v>31</v>
      </c>
      <c r="AK2" s="127" t="s">
        <v>29</v>
      </c>
      <c r="AL2" s="127" t="s">
        <v>30</v>
      </c>
      <c r="AM2" s="127" t="s">
        <v>26</v>
      </c>
      <c r="AN2" s="128" t="s">
        <v>31</v>
      </c>
    </row>
    <row r="3" spans="1:40" ht="17" thickBot="1" x14ac:dyDescent="0.35">
      <c r="A3" s="15" t="s">
        <v>127</v>
      </c>
      <c r="B3" s="16" t="s">
        <v>32</v>
      </c>
      <c r="C3" s="17" t="s">
        <v>46</v>
      </c>
      <c r="D3" s="18" t="s">
        <v>21</v>
      </c>
      <c r="E3" s="18" t="s">
        <v>30</v>
      </c>
      <c r="F3" s="18">
        <v>24</v>
      </c>
      <c r="G3" s="19">
        <v>17</v>
      </c>
      <c r="H3" s="20">
        <v>1</v>
      </c>
      <c r="I3" s="21">
        <v>0</v>
      </c>
      <c r="J3" s="21">
        <v>4</v>
      </c>
      <c r="K3" s="21">
        <v>1</v>
      </c>
      <c r="L3" s="21">
        <v>0</v>
      </c>
      <c r="M3" s="21">
        <v>0</v>
      </c>
      <c r="N3" s="21">
        <v>1</v>
      </c>
      <c r="O3" s="21">
        <v>1</v>
      </c>
      <c r="P3" s="21">
        <v>0</v>
      </c>
      <c r="Q3" s="21">
        <v>1</v>
      </c>
      <c r="R3" s="21">
        <v>2</v>
      </c>
      <c r="S3" s="22"/>
      <c r="T3" s="292" t="s">
        <v>235</v>
      </c>
      <c r="U3" s="24" t="str">
        <f>LosAngeles!U3</f>
        <v>Derek Summers</v>
      </c>
      <c r="V3" s="24" t="str">
        <f>LosAngeles!V3</f>
        <v>Saro Turner</v>
      </c>
      <c r="W3" s="24" t="str">
        <f>LosAngeles!W3</f>
        <v>Mike Lawrenson</v>
      </c>
      <c r="X3" s="24" t="str">
        <f>LosAngeles!X3</f>
        <v>Austin Reed</v>
      </c>
      <c r="Y3" s="25">
        <v>1</v>
      </c>
      <c r="Z3" s="25">
        <v>1</v>
      </c>
      <c r="AA3" s="25">
        <v>0</v>
      </c>
      <c r="AB3" s="26">
        <v>0</v>
      </c>
      <c r="AC3" s="25"/>
      <c r="AD3" s="25"/>
      <c r="AE3" s="25"/>
      <c r="AF3" s="26"/>
      <c r="AG3" s="25">
        <v>1</v>
      </c>
      <c r="AH3" s="25">
        <v>1</v>
      </c>
      <c r="AI3" s="25">
        <v>0</v>
      </c>
      <c r="AJ3" s="26">
        <v>0</v>
      </c>
      <c r="AK3" s="25"/>
      <c r="AL3" s="25"/>
      <c r="AM3" s="25"/>
      <c r="AN3" s="26"/>
    </row>
    <row r="4" spans="1:40" ht="17" thickBot="1" x14ac:dyDescent="0.35">
      <c r="A4" s="15" t="s">
        <v>116</v>
      </c>
      <c r="B4" s="16" t="s">
        <v>32</v>
      </c>
      <c r="C4" s="17" t="s">
        <v>40</v>
      </c>
      <c r="D4" s="18" t="s">
        <v>21</v>
      </c>
      <c r="E4" s="18" t="s">
        <v>31</v>
      </c>
      <c r="F4" s="18">
        <v>7</v>
      </c>
      <c r="G4" s="19">
        <v>36</v>
      </c>
      <c r="H4" s="20">
        <v>0</v>
      </c>
      <c r="I4" s="21">
        <v>0</v>
      </c>
      <c r="J4" s="21">
        <v>1</v>
      </c>
      <c r="K4" s="18">
        <v>0</v>
      </c>
      <c r="L4" s="21">
        <v>0</v>
      </c>
      <c r="M4" s="18">
        <v>0</v>
      </c>
      <c r="N4" s="21">
        <v>2</v>
      </c>
      <c r="O4" s="21">
        <v>0</v>
      </c>
      <c r="P4" s="21">
        <v>1</v>
      </c>
      <c r="Q4" s="18">
        <v>0</v>
      </c>
      <c r="R4" s="21">
        <v>5</v>
      </c>
      <c r="S4" s="22"/>
      <c r="T4" s="23" t="s">
        <v>268</v>
      </c>
      <c r="U4" s="24" t="str">
        <f>Chicago!U5</f>
        <v>Federico Anselmi</v>
      </c>
      <c r="V4" s="24" t="str">
        <f>Chicago!V5</f>
        <v>Mike Kelly</v>
      </c>
      <c r="W4" s="24" t="str">
        <f>Chicago!W5</f>
        <v>Shanda Assmus</v>
      </c>
      <c r="X4" s="24" t="str">
        <f>Chicago!X5</f>
        <v>Miles McIvor</v>
      </c>
      <c r="Y4" s="25">
        <v>1</v>
      </c>
      <c r="Z4" s="25">
        <v>0</v>
      </c>
      <c r="AA4" s="25">
        <v>0</v>
      </c>
      <c r="AB4" s="26">
        <v>1</v>
      </c>
      <c r="AC4" s="25"/>
      <c r="AD4" s="25"/>
      <c r="AE4" s="25"/>
      <c r="AF4" s="26"/>
      <c r="AG4" s="25">
        <v>1</v>
      </c>
      <c r="AH4" s="25">
        <v>0</v>
      </c>
      <c r="AI4" s="25">
        <v>0</v>
      </c>
      <c r="AJ4" s="26">
        <v>1</v>
      </c>
      <c r="AK4" s="25"/>
      <c r="AL4" s="25"/>
      <c r="AM4" s="25"/>
      <c r="AN4" s="26"/>
    </row>
    <row r="5" spans="1:40" ht="17" thickBot="1" x14ac:dyDescent="0.35">
      <c r="A5" s="15" t="s">
        <v>100</v>
      </c>
      <c r="B5" s="16" t="s">
        <v>32</v>
      </c>
      <c r="C5" s="17" t="s">
        <v>43</v>
      </c>
      <c r="D5" s="18" t="s">
        <v>21</v>
      </c>
      <c r="E5" s="18" t="s">
        <v>31</v>
      </c>
      <c r="F5" s="18">
        <v>24</v>
      </c>
      <c r="G5" s="19">
        <v>27</v>
      </c>
      <c r="H5" s="248">
        <v>0</v>
      </c>
      <c r="I5" s="19">
        <v>1</v>
      </c>
      <c r="J5" s="21">
        <v>3</v>
      </c>
      <c r="K5" s="21">
        <v>3</v>
      </c>
      <c r="L5" s="21">
        <v>0</v>
      </c>
      <c r="M5" s="21">
        <v>1</v>
      </c>
      <c r="N5" s="21">
        <v>2</v>
      </c>
      <c r="O5" s="21">
        <v>0</v>
      </c>
      <c r="P5" s="18">
        <v>1</v>
      </c>
      <c r="Q5" s="21">
        <v>0</v>
      </c>
      <c r="R5" s="18">
        <v>5</v>
      </c>
      <c r="S5" s="22"/>
      <c r="T5" s="29" t="s">
        <v>278</v>
      </c>
      <c r="U5" s="24" t="str">
        <f>Seattle!U5</f>
        <v>Robin Kaluzniak</v>
      </c>
      <c r="V5" s="24" t="str">
        <f>Seattle!V5</f>
        <v>Saro Turner</v>
      </c>
      <c r="W5" s="24" t="str">
        <f>Seattle!W5</f>
        <v>Shanda Assmus</v>
      </c>
      <c r="X5" s="24" t="str">
        <f>Seattle!X5</f>
        <v>Will Nelson</v>
      </c>
      <c r="Y5" s="25">
        <v>1</v>
      </c>
      <c r="Z5" s="25">
        <v>0</v>
      </c>
      <c r="AA5" s="25">
        <v>0</v>
      </c>
      <c r="AB5" s="26">
        <v>1</v>
      </c>
      <c r="AC5" s="25"/>
      <c r="AD5" s="25"/>
      <c r="AE5" s="25"/>
      <c r="AF5" s="26"/>
      <c r="AG5" s="25">
        <v>1</v>
      </c>
      <c r="AH5" s="25">
        <v>0</v>
      </c>
      <c r="AI5" s="25">
        <v>0</v>
      </c>
      <c r="AJ5" s="26">
        <v>1</v>
      </c>
      <c r="AK5" s="25"/>
      <c r="AL5" s="25"/>
      <c r="AM5" s="25"/>
      <c r="AN5" s="26"/>
    </row>
    <row r="6" spans="1:40" ht="17" thickBot="1" x14ac:dyDescent="0.35">
      <c r="A6" s="2" t="s">
        <v>117</v>
      </c>
      <c r="B6" s="3" t="s">
        <v>32</v>
      </c>
      <c r="C6" s="4" t="s">
        <v>96</v>
      </c>
      <c r="D6" s="5" t="s">
        <v>34</v>
      </c>
      <c r="E6" s="5" t="s">
        <v>30</v>
      </c>
      <c r="F6" s="5">
        <v>35</v>
      </c>
      <c r="G6" s="6">
        <v>31</v>
      </c>
      <c r="H6" s="6">
        <v>1</v>
      </c>
      <c r="I6" s="8">
        <v>0</v>
      </c>
      <c r="J6" s="5">
        <v>5</v>
      </c>
      <c r="K6" s="5">
        <v>5</v>
      </c>
      <c r="L6" s="8">
        <v>0</v>
      </c>
      <c r="M6" s="8">
        <v>0</v>
      </c>
      <c r="N6" s="8">
        <v>0</v>
      </c>
      <c r="O6" s="8">
        <v>0</v>
      </c>
      <c r="P6" s="8">
        <v>1</v>
      </c>
      <c r="Q6" s="5">
        <v>0</v>
      </c>
      <c r="R6" s="8">
        <v>4</v>
      </c>
      <c r="S6" s="9"/>
      <c r="T6" s="282" t="s">
        <v>285</v>
      </c>
      <c r="U6" s="12" t="s">
        <v>214</v>
      </c>
      <c r="V6" s="12" t="s">
        <v>210</v>
      </c>
      <c r="W6" s="12" t="s">
        <v>238</v>
      </c>
      <c r="X6" s="11" t="s">
        <v>239</v>
      </c>
      <c r="Y6" s="12">
        <v>1</v>
      </c>
      <c r="Z6" s="12">
        <v>1</v>
      </c>
      <c r="AA6" s="12">
        <v>0</v>
      </c>
      <c r="AB6" s="14">
        <v>0</v>
      </c>
      <c r="AC6" s="12">
        <v>1</v>
      </c>
      <c r="AD6" s="12">
        <v>1</v>
      </c>
      <c r="AE6" s="12">
        <v>0</v>
      </c>
      <c r="AF6" s="14">
        <v>0</v>
      </c>
      <c r="AG6" s="12"/>
      <c r="AH6" s="12"/>
      <c r="AI6" s="12"/>
      <c r="AJ6" s="14"/>
      <c r="AK6" s="12"/>
      <c r="AL6" s="12"/>
      <c r="AM6" s="12"/>
      <c r="AN6" s="14"/>
    </row>
    <row r="7" spans="1:40" ht="17" thickBot="1" x14ac:dyDescent="0.35">
      <c r="A7" s="15" t="s">
        <v>101</v>
      </c>
      <c r="B7" s="16" t="s">
        <v>32</v>
      </c>
      <c r="C7" s="17" t="s">
        <v>37</v>
      </c>
      <c r="D7" s="18" t="s">
        <v>21</v>
      </c>
      <c r="E7" s="21" t="s">
        <v>31</v>
      </c>
      <c r="F7" s="18">
        <v>14</v>
      </c>
      <c r="G7" s="19">
        <v>28</v>
      </c>
      <c r="H7" s="20">
        <v>0</v>
      </c>
      <c r="I7" s="18">
        <v>0</v>
      </c>
      <c r="J7" s="21">
        <v>2</v>
      </c>
      <c r="K7" s="21">
        <v>2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3</v>
      </c>
      <c r="S7" s="22"/>
      <c r="T7" s="23" t="s">
        <v>293</v>
      </c>
      <c r="U7" s="24" t="str">
        <f>OldGlory!U7</f>
        <v>Chris Assmus</v>
      </c>
      <c r="V7" s="24" t="str">
        <f>OldGlory!V7</f>
        <v>Greg Gilliam</v>
      </c>
      <c r="W7" s="24" t="str">
        <f>OldGlory!W7</f>
        <v>Eanna O'Dowd</v>
      </c>
      <c r="X7" s="24" t="str">
        <f>OldGlory!X7</f>
        <v>Matt Lake</v>
      </c>
      <c r="Y7" s="25">
        <v>1</v>
      </c>
      <c r="Z7" s="25">
        <v>0</v>
      </c>
      <c r="AA7" s="25">
        <v>0</v>
      </c>
      <c r="AB7" s="26">
        <v>1</v>
      </c>
      <c r="AC7" s="25"/>
      <c r="AD7" s="25"/>
      <c r="AE7" s="25"/>
      <c r="AF7" s="26"/>
      <c r="AG7" s="25">
        <v>1</v>
      </c>
      <c r="AH7" s="25">
        <v>0</v>
      </c>
      <c r="AI7" s="25">
        <v>0</v>
      </c>
      <c r="AJ7" s="26">
        <v>1</v>
      </c>
      <c r="AK7" s="25"/>
      <c r="AL7" s="25"/>
      <c r="AM7" s="25"/>
      <c r="AN7" s="26"/>
    </row>
    <row r="8" spans="1:40" ht="17" thickBot="1" x14ac:dyDescent="0.35">
      <c r="A8" s="15" t="s">
        <v>102</v>
      </c>
      <c r="B8" s="16" t="s">
        <v>32</v>
      </c>
      <c r="C8" s="17" t="s">
        <v>128</v>
      </c>
      <c r="D8" s="18" t="s">
        <v>21</v>
      </c>
      <c r="E8" s="21" t="s">
        <v>30</v>
      </c>
      <c r="F8" s="18">
        <v>33</v>
      </c>
      <c r="G8" s="19">
        <v>26</v>
      </c>
      <c r="H8" s="20">
        <v>1</v>
      </c>
      <c r="I8" s="18">
        <v>0</v>
      </c>
      <c r="J8" s="21">
        <v>5</v>
      </c>
      <c r="K8" s="21">
        <v>4</v>
      </c>
      <c r="L8" s="21">
        <v>0</v>
      </c>
      <c r="M8" s="21">
        <v>0</v>
      </c>
      <c r="N8" s="21">
        <v>0</v>
      </c>
      <c r="O8" s="21">
        <v>0</v>
      </c>
      <c r="P8" s="18">
        <v>1</v>
      </c>
      <c r="Q8" s="21">
        <v>1</v>
      </c>
      <c r="R8" s="21">
        <v>4</v>
      </c>
      <c r="S8" s="22"/>
      <c r="T8" s="281" t="s">
        <v>314</v>
      </c>
      <c r="U8" s="24" t="str">
        <f>Utah!U8</f>
        <v>George Myers</v>
      </c>
      <c r="V8" s="24" t="str">
        <f>Utah!V8</f>
        <v>Mike Kelly</v>
      </c>
      <c r="W8" s="24" t="str">
        <f>Utah!W8</f>
        <v>Kahlil Harrison</v>
      </c>
      <c r="X8" s="24" t="str">
        <f>Utah!X8</f>
        <v>Kevin Duran</v>
      </c>
      <c r="Y8" s="25">
        <v>1</v>
      </c>
      <c r="Z8" s="25">
        <v>1</v>
      </c>
      <c r="AA8" s="25">
        <v>0</v>
      </c>
      <c r="AB8" s="26">
        <v>0</v>
      </c>
      <c r="AC8" s="25"/>
      <c r="AD8" s="25"/>
      <c r="AE8" s="25"/>
      <c r="AF8" s="26"/>
      <c r="AG8" s="25">
        <v>1</v>
      </c>
      <c r="AH8" s="25">
        <v>1</v>
      </c>
      <c r="AI8" s="25">
        <v>0</v>
      </c>
      <c r="AJ8" s="26">
        <v>0</v>
      </c>
      <c r="AK8" s="25"/>
      <c r="AL8" s="25"/>
      <c r="AM8" s="25"/>
      <c r="AN8" s="26"/>
    </row>
    <row r="9" spans="1:40" ht="17" thickBot="1" x14ac:dyDescent="0.35">
      <c r="A9" s="2" t="s">
        <v>103</v>
      </c>
      <c r="B9" s="3" t="s">
        <v>32</v>
      </c>
      <c r="C9" s="4" t="s">
        <v>36</v>
      </c>
      <c r="D9" s="5" t="s">
        <v>34</v>
      </c>
      <c r="E9" s="8" t="s">
        <v>30</v>
      </c>
      <c r="F9" s="5">
        <v>43</v>
      </c>
      <c r="G9" s="6">
        <v>6</v>
      </c>
      <c r="H9" s="7">
        <v>1</v>
      </c>
      <c r="I9" s="8">
        <v>0</v>
      </c>
      <c r="J9" s="8">
        <v>6</v>
      </c>
      <c r="K9" s="8">
        <v>5</v>
      </c>
      <c r="L9" s="8">
        <v>0</v>
      </c>
      <c r="M9" s="8">
        <v>1</v>
      </c>
      <c r="N9" s="8">
        <v>1</v>
      </c>
      <c r="O9" s="8">
        <v>0</v>
      </c>
      <c r="P9" s="8">
        <v>0</v>
      </c>
      <c r="Q9" s="8">
        <v>0</v>
      </c>
      <c r="R9" s="8">
        <v>0</v>
      </c>
      <c r="S9" s="9"/>
      <c r="T9" s="282" t="s">
        <v>323</v>
      </c>
      <c r="U9" s="11" t="s">
        <v>210</v>
      </c>
      <c r="V9" s="12" t="s">
        <v>244</v>
      </c>
      <c r="W9" s="12" t="s">
        <v>226</v>
      </c>
      <c r="X9" s="13" t="s">
        <v>238</v>
      </c>
      <c r="Y9" s="12">
        <v>1</v>
      </c>
      <c r="Z9" s="12">
        <v>1</v>
      </c>
      <c r="AA9" s="12">
        <v>0</v>
      </c>
      <c r="AB9" s="14">
        <v>0</v>
      </c>
      <c r="AC9" s="12">
        <f>Y9</f>
        <v>1</v>
      </c>
      <c r="AD9" s="12">
        <f t="shared" ref="AD9:AF10" si="0">Z9</f>
        <v>1</v>
      </c>
      <c r="AE9" s="12">
        <f t="shared" si="0"/>
        <v>0</v>
      </c>
      <c r="AF9" s="12">
        <f t="shared" si="0"/>
        <v>0</v>
      </c>
      <c r="AG9" s="12"/>
      <c r="AH9" s="12"/>
      <c r="AI9" s="12"/>
      <c r="AJ9" s="14"/>
      <c r="AK9" s="12"/>
      <c r="AL9" s="12"/>
      <c r="AM9" s="12"/>
      <c r="AN9" s="14"/>
    </row>
    <row r="10" spans="1:40" ht="17" thickBot="1" x14ac:dyDescent="0.35">
      <c r="A10" s="2" t="s">
        <v>121</v>
      </c>
      <c r="B10" s="3" t="s">
        <v>32</v>
      </c>
      <c r="C10" s="4" t="s">
        <v>47</v>
      </c>
      <c r="D10" s="5" t="s">
        <v>34</v>
      </c>
      <c r="E10" s="5" t="s">
        <v>30</v>
      </c>
      <c r="F10" s="5">
        <v>39</v>
      </c>
      <c r="G10" s="6">
        <v>12</v>
      </c>
      <c r="H10" s="7">
        <v>1</v>
      </c>
      <c r="I10" s="8">
        <v>0</v>
      </c>
      <c r="J10" s="8">
        <v>6</v>
      </c>
      <c r="K10" s="8">
        <v>3</v>
      </c>
      <c r="L10" s="8">
        <v>0</v>
      </c>
      <c r="M10" s="8">
        <v>1</v>
      </c>
      <c r="N10" s="5">
        <v>0</v>
      </c>
      <c r="O10" s="8">
        <v>0</v>
      </c>
      <c r="P10" s="8">
        <v>0</v>
      </c>
      <c r="Q10" s="5">
        <v>0</v>
      </c>
      <c r="R10" s="8">
        <v>2</v>
      </c>
      <c r="S10" s="9"/>
      <c r="T10" s="282" t="s">
        <v>326</v>
      </c>
      <c r="U10" s="11" t="s">
        <v>216</v>
      </c>
      <c r="V10" s="12" t="s">
        <v>210</v>
      </c>
      <c r="W10" s="12" t="s">
        <v>239</v>
      </c>
      <c r="X10" s="13" t="s">
        <v>256</v>
      </c>
      <c r="Y10" s="12">
        <v>1</v>
      </c>
      <c r="Z10" s="12">
        <v>1</v>
      </c>
      <c r="AA10" s="12">
        <v>0</v>
      </c>
      <c r="AB10" s="14">
        <v>0</v>
      </c>
      <c r="AC10" s="12">
        <f>Y10</f>
        <v>1</v>
      </c>
      <c r="AD10" s="12">
        <f t="shared" si="0"/>
        <v>1</v>
      </c>
      <c r="AE10" s="12">
        <f t="shared" si="0"/>
        <v>0</v>
      </c>
      <c r="AF10" s="12">
        <f t="shared" si="0"/>
        <v>0</v>
      </c>
      <c r="AG10" s="12"/>
      <c r="AH10" s="12"/>
      <c r="AI10" s="12"/>
      <c r="AJ10" s="14"/>
      <c r="AK10" s="12"/>
      <c r="AL10" s="12"/>
      <c r="AM10" s="12"/>
      <c r="AN10" s="14"/>
    </row>
    <row r="11" spans="1:40" ht="17" thickBot="1" x14ac:dyDescent="0.35">
      <c r="A11" s="15" t="s">
        <v>105</v>
      </c>
      <c r="B11" s="16" t="s">
        <v>32</v>
      </c>
      <c r="C11" s="17" t="s">
        <v>70</v>
      </c>
      <c r="D11" s="18" t="s">
        <v>21</v>
      </c>
      <c r="E11" s="18" t="s">
        <v>30</v>
      </c>
      <c r="F11" s="18">
        <v>26</v>
      </c>
      <c r="G11" s="19">
        <v>6</v>
      </c>
      <c r="H11" s="20">
        <v>1</v>
      </c>
      <c r="I11" s="21">
        <v>0</v>
      </c>
      <c r="J11" s="21">
        <v>4</v>
      </c>
      <c r="K11" s="21">
        <v>3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18">
        <v>0</v>
      </c>
      <c r="R11" s="21">
        <v>0</v>
      </c>
      <c r="S11" s="22"/>
      <c r="T11" s="292" t="s">
        <v>299</v>
      </c>
      <c r="U11" s="24" t="str">
        <f>Anthem!U11</f>
        <v>Mike Lawrenson</v>
      </c>
      <c r="V11" s="24" t="str">
        <f>Anthem!V11</f>
        <v>Derek Summers</v>
      </c>
      <c r="W11" s="24" t="str">
        <f>Anthem!W11</f>
        <v>Peter Pender</v>
      </c>
      <c r="X11" s="24" t="str">
        <f>Anthem!X11</f>
        <v>Lindsey Oliver</v>
      </c>
      <c r="Y11" s="25">
        <f>Anthem!Y11</f>
        <v>1</v>
      </c>
      <c r="Z11" s="25">
        <f>Anthem!AB11</f>
        <v>1</v>
      </c>
      <c r="AA11" s="25">
        <f>Anthem!AA11</f>
        <v>0</v>
      </c>
      <c r="AB11" s="26">
        <f>Anthem!Z11</f>
        <v>0</v>
      </c>
      <c r="AC11" s="25"/>
      <c r="AD11" s="25"/>
      <c r="AE11" s="25"/>
      <c r="AF11" s="26"/>
      <c r="AG11" s="25">
        <f>Y11</f>
        <v>1</v>
      </c>
      <c r="AH11" s="25">
        <f t="shared" ref="AH11:AJ11" si="1">Z11</f>
        <v>1</v>
      </c>
      <c r="AI11" s="25">
        <f t="shared" si="1"/>
        <v>0</v>
      </c>
      <c r="AJ11" s="25">
        <f t="shared" si="1"/>
        <v>0</v>
      </c>
      <c r="AK11" s="25"/>
      <c r="AL11" s="25"/>
      <c r="AM11" s="25"/>
      <c r="AN11" s="26"/>
    </row>
    <row r="12" spans="1:40" ht="17" thickBot="1" x14ac:dyDescent="0.35">
      <c r="A12" s="31" t="s">
        <v>129</v>
      </c>
      <c r="B12" s="3" t="s">
        <v>32</v>
      </c>
      <c r="C12" s="4" t="s">
        <v>46</v>
      </c>
      <c r="D12" s="5" t="s">
        <v>34</v>
      </c>
      <c r="E12" s="5" t="s">
        <v>30</v>
      </c>
      <c r="F12" s="5">
        <v>23</v>
      </c>
      <c r="G12" s="6">
        <v>21</v>
      </c>
      <c r="H12" s="7">
        <v>0</v>
      </c>
      <c r="I12" s="8">
        <v>0</v>
      </c>
      <c r="J12" s="8">
        <v>2</v>
      </c>
      <c r="K12" s="8">
        <v>2</v>
      </c>
      <c r="L12" s="8">
        <v>0</v>
      </c>
      <c r="M12" s="8">
        <v>3</v>
      </c>
      <c r="N12" s="5">
        <v>0</v>
      </c>
      <c r="O12" s="8">
        <v>1</v>
      </c>
      <c r="P12" s="8">
        <v>0</v>
      </c>
      <c r="Q12" s="8">
        <v>1</v>
      </c>
      <c r="R12" s="8">
        <v>3</v>
      </c>
      <c r="S12" s="32"/>
      <c r="T12" s="298" t="s">
        <v>341</v>
      </c>
      <c r="U12" s="11" t="s">
        <v>214</v>
      </c>
      <c r="V12" s="12" t="s">
        <v>220</v>
      </c>
      <c r="W12" s="12" t="s">
        <v>239</v>
      </c>
      <c r="X12" s="13" t="s">
        <v>258</v>
      </c>
      <c r="Y12" s="12">
        <v>1</v>
      </c>
      <c r="Z12" s="12">
        <v>1</v>
      </c>
      <c r="AA12" s="12">
        <v>0</v>
      </c>
      <c r="AB12" s="14">
        <v>0</v>
      </c>
      <c r="AC12" s="12">
        <f>Y12</f>
        <v>1</v>
      </c>
      <c r="AD12" s="12">
        <f t="shared" ref="AD12:AF14" si="2">Z12</f>
        <v>1</v>
      </c>
      <c r="AE12" s="12">
        <f t="shared" si="2"/>
        <v>0</v>
      </c>
      <c r="AF12" s="12">
        <f t="shared" si="2"/>
        <v>0</v>
      </c>
      <c r="AG12" s="12"/>
      <c r="AH12" s="12"/>
      <c r="AI12" s="12"/>
      <c r="AJ12" s="14"/>
      <c r="AK12" s="12"/>
      <c r="AL12" s="12"/>
      <c r="AM12" s="12"/>
      <c r="AN12" s="14"/>
    </row>
    <row r="13" spans="1:40" ht="17" thickBot="1" x14ac:dyDescent="0.35">
      <c r="A13" s="31" t="s">
        <v>42</v>
      </c>
      <c r="B13" s="3" t="s">
        <v>32</v>
      </c>
      <c r="C13" s="4" t="s">
        <v>44</v>
      </c>
      <c r="D13" s="5" t="s">
        <v>34</v>
      </c>
      <c r="E13" s="5" t="s">
        <v>30</v>
      </c>
      <c r="F13" s="5">
        <v>36</v>
      </c>
      <c r="G13" s="6">
        <v>17</v>
      </c>
      <c r="H13" s="7">
        <v>1</v>
      </c>
      <c r="I13" s="8">
        <v>0</v>
      </c>
      <c r="J13" s="8">
        <v>5</v>
      </c>
      <c r="K13" s="8">
        <v>4</v>
      </c>
      <c r="L13" s="8">
        <v>0</v>
      </c>
      <c r="M13" s="8">
        <v>1</v>
      </c>
      <c r="N13" s="8">
        <v>0</v>
      </c>
      <c r="O13" s="8">
        <v>0</v>
      </c>
      <c r="P13" s="8">
        <v>0</v>
      </c>
      <c r="Q13" s="8">
        <v>0</v>
      </c>
      <c r="R13" s="8">
        <v>3</v>
      </c>
      <c r="S13" s="32"/>
      <c r="T13" s="282" t="s">
        <v>356</v>
      </c>
      <c r="U13" s="11" t="s">
        <v>226</v>
      </c>
      <c r="V13" s="12" t="s">
        <v>210</v>
      </c>
      <c r="W13" s="12" t="s">
        <v>238</v>
      </c>
      <c r="X13" s="13" t="s">
        <v>258</v>
      </c>
      <c r="Y13" s="12">
        <v>1</v>
      </c>
      <c r="Z13" s="12">
        <v>1</v>
      </c>
      <c r="AA13" s="12">
        <v>0</v>
      </c>
      <c r="AB13" s="14">
        <v>0</v>
      </c>
      <c r="AC13" s="12">
        <f>Y13</f>
        <v>1</v>
      </c>
      <c r="AD13" s="12">
        <f t="shared" si="2"/>
        <v>1</v>
      </c>
      <c r="AE13" s="12">
        <f t="shared" si="2"/>
        <v>0</v>
      </c>
      <c r="AF13" s="12">
        <f t="shared" si="2"/>
        <v>0</v>
      </c>
      <c r="AG13" s="12"/>
      <c r="AH13" s="12"/>
      <c r="AI13" s="12"/>
      <c r="AJ13" s="14"/>
      <c r="AK13" s="12"/>
      <c r="AL13" s="12"/>
      <c r="AM13" s="12"/>
      <c r="AN13" s="14"/>
    </row>
    <row r="14" spans="1:40" ht="17" thickBot="1" x14ac:dyDescent="0.35">
      <c r="A14" s="31" t="s">
        <v>107</v>
      </c>
      <c r="B14" s="3" t="s">
        <v>32</v>
      </c>
      <c r="C14" s="4" t="s">
        <v>40</v>
      </c>
      <c r="D14" s="5" t="s">
        <v>34</v>
      </c>
      <c r="E14" s="5" t="s">
        <v>30</v>
      </c>
      <c r="F14" s="5">
        <v>27</v>
      </c>
      <c r="G14" s="6">
        <v>17</v>
      </c>
      <c r="H14" s="7">
        <v>1</v>
      </c>
      <c r="I14" s="8">
        <v>0</v>
      </c>
      <c r="J14" s="8">
        <v>4</v>
      </c>
      <c r="K14" s="8">
        <v>2</v>
      </c>
      <c r="L14" s="8">
        <v>0</v>
      </c>
      <c r="M14" s="8">
        <v>1</v>
      </c>
      <c r="N14" s="8">
        <v>1</v>
      </c>
      <c r="O14" s="8">
        <v>1</v>
      </c>
      <c r="P14" s="8">
        <v>0</v>
      </c>
      <c r="Q14" s="8">
        <v>0</v>
      </c>
      <c r="R14" s="8">
        <v>3</v>
      </c>
      <c r="S14" s="32"/>
      <c r="T14" s="298" t="s">
        <v>233</v>
      </c>
      <c r="U14" s="11" t="s">
        <v>216</v>
      </c>
      <c r="V14" s="12" t="s">
        <v>215</v>
      </c>
      <c r="W14" s="12" t="s">
        <v>238</v>
      </c>
      <c r="X14" s="13" t="s">
        <v>239</v>
      </c>
      <c r="Y14" s="12">
        <v>1</v>
      </c>
      <c r="Z14" s="12">
        <v>1</v>
      </c>
      <c r="AA14" s="12">
        <v>0</v>
      </c>
      <c r="AB14" s="14">
        <v>0</v>
      </c>
      <c r="AC14" s="12">
        <f>Y14</f>
        <v>1</v>
      </c>
      <c r="AD14" s="12">
        <f t="shared" si="2"/>
        <v>1</v>
      </c>
      <c r="AE14" s="12">
        <f t="shared" si="2"/>
        <v>0</v>
      </c>
      <c r="AF14" s="12">
        <f t="shared" si="2"/>
        <v>0</v>
      </c>
      <c r="AG14" s="12"/>
      <c r="AH14" s="12"/>
      <c r="AI14" s="12"/>
      <c r="AJ14" s="14"/>
      <c r="AK14" s="12"/>
      <c r="AL14" s="12"/>
      <c r="AM14" s="12"/>
      <c r="AN14" s="14"/>
    </row>
    <row r="15" spans="1:40" ht="17" thickBot="1" x14ac:dyDescent="0.35">
      <c r="A15" s="33" t="s">
        <v>123</v>
      </c>
      <c r="B15" s="16" t="s">
        <v>32</v>
      </c>
      <c r="C15" s="17" t="s">
        <v>36</v>
      </c>
      <c r="D15" s="18" t="s">
        <v>21</v>
      </c>
      <c r="E15" s="18" t="s">
        <v>31</v>
      </c>
      <c r="F15" s="18">
        <v>19</v>
      </c>
      <c r="G15" s="19">
        <v>30</v>
      </c>
      <c r="H15" s="20">
        <v>0</v>
      </c>
      <c r="I15" s="21">
        <v>0</v>
      </c>
      <c r="J15" s="21">
        <v>3</v>
      </c>
      <c r="K15" s="21">
        <v>2</v>
      </c>
      <c r="L15" s="21">
        <v>0</v>
      </c>
      <c r="M15" s="21">
        <v>0</v>
      </c>
      <c r="N15" s="21">
        <v>0</v>
      </c>
      <c r="O15" s="21">
        <v>0</v>
      </c>
      <c r="P15" s="21">
        <v>1</v>
      </c>
      <c r="Q15" s="21">
        <v>0</v>
      </c>
      <c r="R15" s="21">
        <v>4</v>
      </c>
      <c r="S15" s="34"/>
      <c r="T15" s="23" t="s">
        <v>377</v>
      </c>
      <c r="U15" s="24" t="s">
        <v>212</v>
      </c>
      <c r="V15" s="24" t="s">
        <v>210</v>
      </c>
      <c r="W15" s="24" t="s">
        <v>362</v>
      </c>
      <c r="X15" s="24" t="s">
        <v>334</v>
      </c>
      <c r="Y15" s="25">
        <f>Miami!Y15</f>
        <v>1</v>
      </c>
      <c r="Z15" s="25">
        <f>Miami!AB15</f>
        <v>0</v>
      </c>
      <c r="AA15" s="25">
        <f>Miami!AA15</f>
        <v>0</v>
      </c>
      <c r="AB15" s="26">
        <f>Miami!Z15</f>
        <v>1</v>
      </c>
      <c r="AC15" s="25"/>
      <c r="AD15" s="25"/>
      <c r="AE15" s="25"/>
      <c r="AF15" s="26"/>
      <c r="AG15" s="25">
        <f>Y15</f>
        <v>1</v>
      </c>
      <c r="AH15" s="25">
        <f t="shared" ref="AH15:AJ15" si="3">Z15</f>
        <v>0</v>
      </c>
      <c r="AI15" s="25">
        <f t="shared" si="3"/>
        <v>0</v>
      </c>
      <c r="AJ15" s="25">
        <f t="shared" si="3"/>
        <v>1</v>
      </c>
      <c r="AK15" s="25"/>
      <c r="AL15" s="25"/>
      <c r="AM15" s="25"/>
      <c r="AN15" s="26"/>
    </row>
    <row r="16" spans="1:40" ht="17" thickBot="1" x14ac:dyDescent="0.35">
      <c r="A16" s="31" t="s">
        <v>109</v>
      </c>
      <c r="B16" s="3" t="s">
        <v>32</v>
      </c>
      <c r="C16" s="4" t="s">
        <v>37</v>
      </c>
      <c r="D16" s="5" t="s">
        <v>34</v>
      </c>
      <c r="E16" s="5" t="s">
        <v>31</v>
      </c>
      <c r="F16" s="5">
        <v>17</v>
      </c>
      <c r="G16" s="6">
        <v>20</v>
      </c>
      <c r="H16" s="7">
        <v>0</v>
      </c>
      <c r="I16" s="8">
        <v>1</v>
      </c>
      <c r="J16" s="8">
        <v>3</v>
      </c>
      <c r="K16" s="8">
        <v>1</v>
      </c>
      <c r="L16" s="8">
        <v>0</v>
      </c>
      <c r="M16" s="8">
        <v>0</v>
      </c>
      <c r="N16" s="8">
        <v>1</v>
      </c>
      <c r="O16" s="8">
        <v>0</v>
      </c>
      <c r="P16" s="8">
        <v>0</v>
      </c>
      <c r="Q16" s="8">
        <v>0</v>
      </c>
      <c r="R16" s="8">
        <v>2</v>
      </c>
      <c r="S16" s="32"/>
      <c r="T16" s="36" t="s">
        <v>385</v>
      </c>
      <c r="U16" s="11" t="s">
        <v>386</v>
      </c>
      <c r="V16" s="12" t="s">
        <v>210</v>
      </c>
      <c r="W16" s="12" t="s">
        <v>238</v>
      </c>
      <c r="X16" s="12" t="s">
        <v>239</v>
      </c>
      <c r="Y16" s="12">
        <v>1</v>
      </c>
      <c r="Z16" s="12">
        <v>0</v>
      </c>
      <c r="AA16" s="12">
        <v>0</v>
      </c>
      <c r="AB16" s="14">
        <v>1</v>
      </c>
      <c r="AC16" s="12">
        <f>Y16</f>
        <v>1</v>
      </c>
      <c r="AD16" s="12">
        <f t="shared" ref="AD16:AF17" si="4">Z16</f>
        <v>0</v>
      </c>
      <c r="AE16" s="12">
        <f t="shared" si="4"/>
        <v>0</v>
      </c>
      <c r="AF16" s="12">
        <f t="shared" si="4"/>
        <v>1</v>
      </c>
      <c r="AG16" s="12"/>
      <c r="AH16" s="12"/>
      <c r="AI16" s="12"/>
      <c r="AJ16" s="14"/>
      <c r="AK16" s="12"/>
      <c r="AL16" s="12"/>
      <c r="AM16" s="12"/>
      <c r="AN16" s="14"/>
    </row>
    <row r="17" spans="1:40" ht="17" thickBot="1" x14ac:dyDescent="0.35">
      <c r="A17" s="31" t="s">
        <v>130</v>
      </c>
      <c r="B17" s="3" t="s">
        <v>32</v>
      </c>
      <c r="C17" s="4" t="s">
        <v>43</v>
      </c>
      <c r="D17" s="5" t="s">
        <v>34</v>
      </c>
      <c r="E17" s="5" t="s">
        <v>30</v>
      </c>
      <c r="F17" s="5">
        <v>37</v>
      </c>
      <c r="G17" s="6">
        <v>30</v>
      </c>
      <c r="H17" s="7">
        <v>1</v>
      </c>
      <c r="I17" s="8">
        <v>0</v>
      </c>
      <c r="J17" s="8">
        <v>5</v>
      </c>
      <c r="K17" s="8">
        <v>3</v>
      </c>
      <c r="L17" s="8">
        <v>0</v>
      </c>
      <c r="M17" s="8">
        <v>2</v>
      </c>
      <c r="N17" s="5">
        <v>1</v>
      </c>
      <c r="O17" s="8">
        <v>0</v>
      </c>
      <c r="P17" s="8">
        <v>1</v>
      </c>
      <c r="Q17" s="8">
        <v>1</v>
      </c>
      <c r="R17" s="8">
        <v>4</v>
      </c>
      <c r="S17" s="9"/>
      <c r="T17" s="298" t="s">
        <v>394</v>
      </c>
      <c r="U17" s="12" t="s">
        <v>226</v>
      </c>
      <c r="V17" s="12" t="s">
        <v>210</v>
      </c>
      <c r="W17" s="12" t="s">
        <v>238</v>
      </c>
      <c r="X17" s="12" t="s">
        <v>239</v>
      </c>
      <c r="Y17" s="12">
        <v>1</v>
      </c>
      <c r="Z17" s="12">
        <v>1</v>
      </c>
      <c r="AA17" s="12">
        <v>0</v>
      </c>
      <c r="AB17" s="14">
        <v>0</v>
      </c>
      <c r="AC17" s="12">
        <f>Y17</f>
        <v>1</v>
      </c>
      <c r="AD17" s="12">
        <f t="shared" si="4"/>
        <v>1</v>
      </c>
      <c r="AE17" s="12">
        <f t="shared" si="4"/>
        <v>0</v>
      </c>
      <c r="AF17" s="12">
        <f t="shared" si="4"/>
        <v>0</v>
      </c>
      <c r="AG17" s="12">
        <f>Y17</f>
        <v>1</v>
      </c>
      <c r="AH17" s="12">
        <f t="shared" ref="AH17:AJ17" si="5">Z17</f>
        <v>1</v>
      </c>
      <c r="AI17" s="12">
        <f t="shared" si="5"/>
        <v>0</v>
      </c>
      <c r="AJ17" s="12">
        <f t="shared" si="5"/>
        <v>0</v>
      </c>
      <c r="AK17" s="12"/>
      <c r="AL17" s="12"/>
      <c r="AM17" s="12"/>
      <c r="AN17" s="14"/>
    </row>
    <row r="18" spans="1:40" ht="17" thickBot="1" x14ac:dyDescent="0.35">
      <c r="A18" s="33" t="s">
        <v>131</v>
      </c>
      <c r="B18" s="16" t="s">
        <v>32</v>
      </c>
      <c r="C18" s="37" t="s">
        <v>96</v>
      </c>
      <c r="D18" s="38" t="s">
        <v>21</v>
      </c>
      <c r="E18" s="38" t="s">
        <v>30</v>
      </c>
      <c r="F18" s="18">
        <v>21</v>
      </c>
      <c r="G18" s="19">
        <v>17</v>
      </c>
      <c r="H18" s="20">
        <v>0</v>
      </c>
      <c r="I18" s="21">
        <v>0</v>
      </c>
      <c r="J18" s="21">
        <v>3</v>
      </c>
      <c r="K18" s="21">
        <v>3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1</v>
      </c>
      <c r="R18" s="21">
        <v>3</v>
      </c>
      <c r="S18" s="34"/>
      <c r="T18" s="292" t="s">
        <v>399</v>
      </c>
      <c r="U18" s="25" t="str">
        <f>NOLA!U18</f>
        <v>Marquise Goodwin</v>
      </c>
      <c r="V18" s="25" t="str">
        <f>NOLA!V18</f>
        <v>Cam Russell</v>
      </c>
      <c r="W18" s="25" t="str">
        <f>NOLA!W18</f>
        <v>Kahlil Harrison</v>
      </c>
      <c r="X18" s="25" t="str">
        <f>NOLA!X18</f>
        <v>Morris Fuller</v>
      </c>
      <c r="Y18" s="25">
        <f>NOLA!Y18</f>
        <v>1</v>
      </c>
      <c r="Z18" s="25">
        <f>NOLA!AB18</f>
        <v>1</v>
      </c>
      <c r="AA18" s="25">
        <f>NOLA!AA18</f>
        <v>0</v>
      </c>
      <c r="AB18" s="26">
        <f>NOLA!Z18</f>
        <v>0</v>
      </c>
      <c r="AC18" s="25"/>
      <c r="AD18" s="25"/>
      <c r="AE18" s="25"/>
      <c r="AF18" s="26"/>
      <c r="AG18" s="25">
        <f>Y18</f>
        <v>1</v>
      </c>
      <c r="AH18" s="25">
        <f t="shared" ref="AH18:AJ18" si="6">Z18</f>
        <v>1</v>
      </c>
      <c r="AI18" s="25">
        <f t="shared" si="6"/>
        <v>0</v>
      </c>
      <c r="AJ18" s="25">
        <f t="shared" si="6"/>
        <v>0</v>
      </c>
      <c r="AK18" s="25"/>
      <c r="AL18" s="25"/>
      <c r="AM18" s="25"/>
      <c r="AN18" s="26"/>
    </row>
    <row r="19" spans="1:40" ht="17" thickBot="1" x14ac:dyDescent="0.35">
      <c r="A19" s="362" t="s">
        <v>412</v>
      </c>
      <c r="B19" s="362" t="s">
        <v>112</v>
      </c>
      <c r="C19" s="167" t="s">
        <v>36</v>
      </c>
      <c r="D19" s="45" t="s">
        <v>34</v>
      </c>
      <c r="E19" s="45" t="s">
        <v>30</v>
      </c>
      <c r="F19" s="45">
        <v>32</v>
      </c>
      <c r="G19" s="363">
        <v>10</v>
      </c>
      <c r="H19" s="364"/>
      <c r="I19" s="365"/>
      <c r="J19" s="365">
        <v>4</v>
      </c>
      <c r="K19" s="365">
        <v>3</v>
      </c>
      <c r="L19" s="365">
        <v>1</v>
      </c>
      <c r="M19" s="365">
        <v>1</v>
      </c>
      <c r="N19" s="365">
        <v>1</v>
      </c>
      <c r="O19" s="365">
        <v>0</v>
      </c>
      <c r="P19" s="365"/>
      <c r="Q19" s="365"/>
      <c r="R19" s="365">
        <v>1</v>
      </c>
      <c r="S19" s="32"/>
      <c r="T19" s="282" t="s">
        <v>264</v>
      </c>
      <c r="U19" s="12" t="s">
        <v>222</v>
      </c>
      <c r="V19" s="12" t="s">
        <v>210</v>
      </c>
      <c r="W19" s="12" t="s">
        <v>245</v>
      </c>
      <c r="X19" s="12" t="s">
        <v>279</v>
      </c>
      <c r="Y19" s="12">
        <v>1</v>
      </c>
      <c r="Z19" s="12">
        <v>1</v>
      </c>
      <c r="AA19" s="12">
        <v>0</v>
      </c>
      <c r="AB19" s="12">
        <v>0</v>
      </c>
      <c r="AC19" s="12">
        <v>1</v>
      </c>
      <c r="AD19" s="12">
        <v>1</v>
      </c>
      <c r="AE19" s="12">
        <v>0</v>
      </c>
      <c r="AF19" s="12">
        <v>0</v>
      </c>
      <c r="AG19" s="12"/>
      <c r="AH19" s="12"/>
      <c r="AI19" s="12"/>
      <c r="AJ19" s="12"/>
      <c r="AK19" s="12"/>
      <c r="AL19" s="12"/>
      <c r="AM19" s="12"/>
      <c r="AN19" s="12"/>
    </row>
    <row r="20" spans="1:40" ht="17" thickBot="1" x14ac:dyDescent="0.35">
      <c r="A20" s="362" t="s">
        <v>427</v>
      </c>
      <c r="B20" s="362" t="s">
        <v>113</v>
      </c>
      <c r="C20" s="167" t="s">
        <v>40</v>
      </c>
      <c r="D20" s="45" t="s">
        <v>34</v>
      </c>
      <c r="E20" s="45" t="s">
        <v>30</v>
      </c>
      <c r="F20" s="45">
        <v>21</v>
      </c>
      <c r="G20" s="363">
        <v>10</v>
      </c>
      <c r="H20" s="364"/>
      <c r="I20" s="365"/>
      <c r="J20" s="365">
        <v>3</v>
      </c>
      <c r="K20" s="365">
        <v>2</v>
      </c>
      <c r="L20" s="365">
        <v>0</v>
      </c>
      <c r="M20" s="365">
        <v>0</v>
      </c>
      <c r="N20" s="365">
        <v>0</v>
      </c>
      <c r="O20" s="365">
        <v>0</v>
      </c>
      <c r="P20" s="365"/>
      <c r="Q20" s="365"/>
      <c r="R20" s="365">
        <v>2</v>
      </c>
      <c r="S20" s="32"/>
      <c r="T20" s="298" t="s">
        <v>429</v>
      </c>
      <c r="U20" s="12" t="s">
        <v>216</v>
      </c>
      <c r="V20" s="12" t="s">
        <v>210</v>
      </c>
      <c r="W20" s="12" t="s">
        <v>226</v>
      </c>
      <c r="X20" s="12" t="s">
        <v>220</v>
      </c>
      <c r="Y20" s="12">
        <v>1</v>
      </c>
      <c r="Z20" s="12">
        <v>1</v>
      </c>
      <c r="AA20" s="12">
        <v>0</v>
      </c>
      <c r="AB20" s="12">
        <v>0</v>
      </c>
      <c r="AC20" s="12">
        <v>1</v>
      </c>
      <c r="AD20" s="12">
        <v>1</v>
      </c>
      <c r="AE20" s="12">
        <v>0</v>
      </c>
      <c r="AF20" s="12">
        <v>0</v>
      </c>
      <c r="AG20" s="12"/>
      <c r="AH20" s="12"/>
      <c r="AI20" s="12"/>
      <c r="AJ20" s="12"/>
      <c r="AK20" s="12"/>
      <c r="AL20" s="12"/>
      <c r="AM20" s="12"/>
      <c r="AN20" s="12"/>
    </row>
    <row r="21" spans="1:40" ht="17" thickBot="1" x14ac:dyDescent="0.35">
      <c r="A21" s="374" t="s">
        <v>425</v>
      </c>
      <c r="B21" s="374" t="s">
        <v>114</v>
      </c>
      <c r="C21" s="375" t="s">
        <v>44</v>
      </c>
      <c r="D21" s="376" t="s">
        <v>424</v>
      </c>
      <c r="E21" s="376" t="s">
        <v>30</v>
      </c>
      <c r="F21" s="376">
        <v>28</v>
      </c>
      <c r="G21" s="377">
        <v>22</v>
      </c>
      <c r="H21" s="378"/>
      <c r="I21" s="379"/>
      <c r="J21" s="379">
        <v>3</v>
      </c>
      <c r="K21" s="379">
        <v>2</v>
      </c>
      <c r="L21" s="379">
        <v>0</v>
      </c>
      <c r="M21" s="379">
        <v>3</v>
      </c>
      <c r="N21" s="379">
        <v>1</v>
      </c>
      <c r="O21" s="379">
        <v>0</v>
      </c>
      <c r="P21" s="379"/>
      <c r="Q21" s="379"/>
      <c r="R21" s="379">
        <v>3</v>
      </c>
      <c r="S21" s="380"/>
      <c r="T21" s="383" t="s">
        <v>433</v>
      </c>
      <c r="U21" s="382" t="s">
        <v>214</v>
      </c>
      <c r="V21" s="382" t="s">
        <v>210</v>
      </c>
      <c r="W21" s="382" t="s">
        <v>222</v>
      </c>
      <c r="X21" s="382" t="s">
        <v>216</v>
      </c>
      <c r="Y21" s="382">
        <v>1</v>
      </c>
      <c r="Z21" s="382">
        <v>1</v>
      </c>
      <c r="AA21" s="382">
        <v>0</v>
      </c>
      <c r="AB21" s="382">
        <v>0</v>
      </c>
      <c r="AC21" s="382"/>
      <c r="AD21" s="382"/>
      <c r="AE21" s="382"/>
      <c r="AF21" s="382"/>
      <c r="AG21" s="382"/>
      <c r="AH21" s="382"/>
      <c r="AI21" s="382"/>
      <c r="AJ21" s="382"/>
      <c r="AK21" s="382">
        <v>1</v>
      </c>
      <c r="AL21" s="382">
        <v>1</v>
      </c>
      <c r="AM21" s="382">
        <v>0</v>
      </c>
      <c r="AN21" s="382">
        <v>0</v>
      </c>
    </row>
    <row r="22" spans="1:40" ht="17" thickBot="1" x14ac:dyDescent="0.35">
      <c r="A22" s="39"/>
      <c r="B22" s="40"/>
      <c r="C22" s="389" t="s">
        <v>48</v>
      </c>
      <c r="D22" s="416"/>
      <c r="E22" s="417"/>
      <c r="F22" s="41">
        <f t="shared" ref="F22:R22" si="7">SUM(F3+F4+F5+F6+F7+F8+F9+F10+F11+F12+F13+F14+F15+F16+F17+F18)</f>
        <v>425</v>
      </c>
      <c r="G22" s="41">
        <f t="shared" si="7"/>
        <v>341</v>
      </c>
      <c r="H22" s="41">
        <f t="shared" si="7"/>
        <v>9</v>
      </c>
      <c r="I22" s="41">
        <f t="shared" si="7"/>
        <v>2</v>
      </c>
      <c r="J22" s="41">
        <f t="shared" si="7"/>
        <v>61</v>
      </c>
      <c r="K22" s="41">
        <f t="shared" si="7"/>
        <v>43</v>
      </c>
      <c r="L22" s="41">
        <f t="shared" si="7"/>
        <v>0</v>
      </c>
      <c r="M22" s="41">
        <f t="shared" si="7"/>
        <v>10</v>
      </c>
      <c r="N22" s="41">
        <f t="shared" si="7"/>
        <v>9</v>
      </c>
      <c r="O22" s="41">
        <f t="shared" si="7"/>
        <v>3</v>
      </c>
      <c r="P22" s="41">
        <f t="shared" si="7"/>
        <v>6</v>
      </c>
      <c r="Q22" s="41">
        <f t="shared" si="7"/>
        <v>5</v>
      </c>
      <c r="R22" s="41">
        <f t="shared" si="7"/>
        <v>47</v>
      </c>
      <c r="S22" s="42"/>
      <c r="T22" s="42"/>
      <c r="U22" s="42"/>
      <c r="V22" s="42"/>
      <c r="W22" s="43"/>
      <c r="X22" s="44" t="s">
        <v>48</v>
      </c>
      <c r="Y22" s="41">
        <f t="shared" ref="Y22:AN22" si="8">Y3+Y4+Y5+Y6+Y7+Y8+Y9+Y10+Y11+Y12+Y13+Y14+Y15+Y16+Y17+Y18</f>
        <v>16</v>
      </c>
      <c r="Z22" s="41">
        <f t="shared" si="8"/>
        <v>11</v>
      </c>
      <c r="AA22" s="41">
        <f t="shared" si="8"/>
        <v>0</v>
      </c>
      <c r="AB22" s="41">
        <f t="shared" si="8"/>
        <v>5</v>
      </c>
      <c r="AC22" s="45">
        <f t="shared" si="8"/>
        <v>8</v>
      </c>
      <c r="AD22" s="45">
        <f t="shared" si="8"/>
        <v>7</v>
      </c>
      <c r="AE22" s="45">
        <f t="shared" si="8"/>
        <v>0</v>
      </c>
      <c r="AF22" s="45">
        <f t="shared" si="8"/>
        <v>1</v>
      </c>
      <c r="AG22" s="38">
        <f t="shared" si="8"/>
        <v>9</v>
      </c>
      <c r="AH22" s="38">
        <f t="shared" si="8"/>
        <v>5</v>
      </c>
      <c r="AI22" s="38">
        <f t="shared" si="8"/>
        <v>0</v>
      </c>
      <c r="AJ22" s="38">
        <f t="shared" si="8"/>
        <v>4</v>
      </c>
      <c r="AK22" s="41">
        <f t="shared" si="8"/>
        <v>0</v>
      </c>
      <c r="AL22" s="41">
        <f t="shared" si="8"/>
        <v>0</v>
      </c>
      <c r="AM22" s="41">
        <f t="shared" si="8"/>
        <v>0</v>
      </c>
      <c r="AN22" s="41">
        <f t="shared" si="8"/>
        <v>0</v>
      </c>
    </row>
    <row r="23" spans="1:40" ht="17" customHeight="1" thickBot="1" x14ac:dyDescent="0.35">
      <c r="A23" s="39"/>
      <c r="B23" s="40"/>
      <c r="C23" s="389" t="s">
        <v>413</v>
      </c>
      <c r="D23" s="416"/>
      <c r="E23" s="417"/>
      <c r="F23" s="46">
        <f>F19+F20+F21</f>
        <v>81</v>
      </c>
      <c r="G23" s="46">
        <f t="shared" ref="G23:R23" si="9">G19+G20+G21</f>
        <v>42</v>
      </c>
      <c r="H23" s="46">
        <f t="shared" si="9"/>
        <v>0</v>
      </c>
      <c r="I23" s="46">
        <f t="shared" si="9"/>
        <v>0</v>
      </c>
      <c r="J23" s="46">
        <f t="shared" si="9"/>
        <v>10</v>
      </c>
      <c r="K23" s="46">
        <f t="shared" si="9"/>
        <v>7</v>
      </c>
      <c r="L23" s="46">
        <f t="shared" si="9"/>
        <v>1</v>
      </c>
      <c r="M23" s="46">
        <f t="shared" si="9"/>
        <v>4</v>
      </c>
      <c r="N23" s="46">
        <f t="shared" si="9"/>
        <v>2</v>
      </c>
      <c r="O23" s="46">
        <f t="shared" si="9"/>
        <v>0</v>
      </c>
      <c r="P23" s="46">
        <f t="shared" si="9"/>
        <v>0</v>
      </c>
      <c r="Q23" s="46">
        <f t="shared" si="9"/>
        <v>0</v>
      </c>
      <c r="R23" s="46">
        <f t="shared" si="9"/>
        <v>6</v>
      </c>
      <c r="S23" s="42"/>
      <c r="T23" s="42"/>
      <c r="U23" s="42"/>
      <c r="V23" s="42"/>
      <c r="W23" s="43"/>
      <c r="X23" s="359" t="s">
        <v>413</v>
      </c>
      <c r="Y23" s="41">
        <f>Y19+Y20+Y21</f>
        <v>3</v>
      </c>
      <c r="Z23" s="41">
        <f t="shared" ref="Z23:AN23" si="10">Z19+Z20+Z21</f>
        <v>3</v>
      </c>
      <c r="AA23" s="41">
        <f t="shared" si="10"/>
        <v>0</v>
      </c>
      <c r="AB23" s="41">
        <f t="shared" si="10"/>
        <v>0</v>
      </c>
      <c r="AC23" s="45">
        <f t="shared" si="10"/>
        <v>2</v>
      </c>
      <c r="AD23" s="45">
        <f t="shared" si="10"/>
        <v>2</v>
      </c>
      <c r="AE23" s="45">
        <f t="shared" si="10"/>
        <v>0</v>
      </c>
      <c r="AF23" s="45">
        <f t="shared" si="10"/>
        <v>0</v>
      </c>
      <c r="AG23" s="38">
        <f t="shared" si="10"/>
        <v>0</v>
      </c>
      <c r="AH23" s="38">
        <f t="shared" si="10"/>
        <v>0</v>
      </c>
      <c r="AI23" s="38">
        <f t="shared" si="10"/>
        <v>0</v>
      </c>
      <c r="AJ23" s="38">
        <f t="shared" si="10"/>
        <v>0</v>
      </c>
      <c r="AK23" s="41">
        <f t="shared" si="10"/>
        <v>1</v>
      </c>
      <c r="AL23" s="41">
        <f t="shared" si="10"/>
        <v>1</v>
      </c>
      <c r="AM23" s="41">
        <f t="shared" si="10"/>
        <v>0</v>
      </c>
      <c r="AN23" s="41">
        <f t="shared" si="10"/>
        <v>0</v>
      </c>
    </row>
    <row r="24" spans="1:40" ht="17" thickBot="1" x14ac:dyDescent="0.35">
      <c r="A24" s="39"/>
      <c r="B24" s="40"/>
      <c r="C24" s="389" t="s">
        <v>49</v>
      </c>
      <c r="D24" s="390"/>
      <c r="E24" s="391"/>
      <c r="F24" s="46">
        <f>F22+F23</f>
        <v>506</v>
      </c>
      <c r="G24" s="46">
        <f t="shared" ref="G24:R24" si="11">G22+G23</f>
        <v>383</v>
      </c>
      <c r="H24" s="46">
        <f t="shared" si="11"/>
        <v>9</v>
      </c>
      <c r="I24" s="46">
        <f t="shared" si="11"/>
        <v>2</v>
      </c>
      <c r="J24" s="46">
        <f t="shared" si="11"/>
        <v>71</v>
      </c>
      <c r="K24" s="46">
        <f t="shared" si="11"/>
        <v>50</v>
      </c>
      <c r="L24" s="46">
        <f t="shared" si="11"/>
        <v>1</v>
      </c>
      <c r="M24" s="46">
        <f t="shared" si="11"/>
        <v>14</v>
      </c>
      <c r="N24" s="46">
        <f t="shared" si="11"/>
        <v>11</v>
      </c>
      <c r="O24" s="46">
        <f t="shared" si="11"/>
        <v>3</v>
      </c>
      <c r="P24" s="46">
        <f t="shared" si="11"/>
        <v>6</v>
      </c>
      <c r="Q24" s="46">
        <f t="shared" si="11"/>
        <v>5</v>
      </c>
      <c r="R24" s="46">
        <f t="shared" si="11"/>
        <v>53</v>
      </c>
      <c r="S24" s="42"/>
      <c r="T24" s="42"/>
      <c r="U24" s="42"/>
      <c r="V24" s="42"/>
      <c r="W24" s="43"/>
      <c r="X24" s="44" t="s">
        <v>49</v>
      </c>
      <c r="Y24" s="41">
        <f>Y22+Y23</f>
        <v>19</v>
      </c>
      <c r="Z24" s="41">
        <f t="shared" ref="Z24:AN24" si="12">Z22+Z23</f>
        <v>14</v>
      </c>
      <c r="AA24" s="41">
        <f t="shared" si="12"/>
        <v>0</v>
      </c>
      <c r="AB24" s="41">
        <f t="shared" si="12"/>
        <v>5</v>
      </c>
      <c r="AC24" s="45">
        <f t="shared" si="12"/>
        <v>10</v>
      </c>
      <c r="AD24" s="45">
        <f t="shared" si="12"/>
        <v>9</v>
      </c>
      <c r="AE24" s="45">
        <f t="shared" si="12"/>
        <v>0</v>
      </c>
      <c r="AF24" s="45">
        <f t="shared" si="12"/>
        <v>1</v>
      </c>
      <c r="AG24" s="38">
        <f t="shared" si="12"/>
        <v>9</v>
      </c>
      <c r="AH24" s="38">
        <f t="shared" si="12"/>
        <v>5</v>
      </c>
      <c r="AI24" s="38">
        <f t="shared" si="12"/>
        <v>0</v>
      </c>
      <c r="AJ24" s="38">
        <f t="shared" si="12"/>
        <v>4</v>
      </c>
      <c r="AK24" s="41">
        <f t="shared" si="12"/>
        <v>1</v>
      </c>
      <c r="AL24" s="41">
        <f t="shared" si="12"/>
        <v>1</v>
      </c>
      <c r="AM24" s="41">
        <f t="shared" si="12"/>
        <v>0</v>
      </c>
      <c r="AN24" s="41">
        <f t="shared" si="12"/>
        <v>0</v>
      </c>
    </row>
    <row r="26" spans="1:40" x14ac:dyDescent="0.3">
      <c r="A26" s="1" t="s">
        <v>52</v>
      </c>
    </row>
  </sheetData>
  <mergeCells count="13">
    <mergeCell ref="Y1:AB1"/>
    <mergeCell ref="AC1:AF1"/>
    <mergeCell ref="AG1:AJ1"/>
    <mergeCell ref="AK1:AN1"/>
    <mergeCell ref="C22:E22"/>
    <mergeCell ref="N1:O1"/>
    <mergeCell ref="P1:R1"/>
    <mergeCell ref="C24:E24"/>
    <mergeCell ref="A1:D1"/>
    <mergeCell ref="E1:G1"/>
    <mergeCell ref="H1:I1"/>
    <mergeCell ref="J1:M1"/>
    <mergeCell ref="C23:E23"/>
  </mergeCells>
  <pageMargins left="0.7" right="0.7" top="0.75" bottom="0.75" header="0.3" footer="0.3"/>
  <ignoredErrors>
    <ignoredError sqref="T8:T15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1A7-9395-A647-BCD7-67C0865E8CF2}">
  <dimension ref="A1:AN22"/>
  <sheetViews>
    <sheetView workbookViewId="0">
      <selection sqref="A1:D1"/>
    </sheetView>
  </sheetViews>
  <sheetFormatPr defaultColWidth="11.44140625" defaultRowHeight="16.3" x14ac:dyDescent="0.3"/>
  <cols>
    <col min="1" max="1" width="6.44140625" style="47" bestFit="1" customWidth="1"/>
    <col min="2" max="2" width="6" style="47" bestFit="1" customWidth="1"/>
    <col min="3" max="3" width="12" style="47" customWidth="1"/>
    <col min="4" max="4" width="4.77734375" style="47" customWidth="1"/>
    <col min="5" max="7" width="4.6640625" style="47" customWidth="1"/>
    <col min="8" max="18" width="4.77734375" style="47" customWidth="1"/>
    <col min="19" max="19" width="7" style="47" customWidth="1"/>
    <col min="20" max="20" width="6.77734375" style="47" customWidth="1"/>
    <col min="21" max="21" width="24" style="47" bestFit="1" customWidth="1"/>
    <col min="22" max="23" width="29" style="47" bestFit="1" customWidth="1"/>
    <col min="24" max="24" width="24" style="47" bestFit="1" customWidth="1"/>
    <col min="25" max="40" width="4.77734375" style="47" customWidth="1"/>
  </cols>
  <sheetData>
    <row r="1" spans="1:40" ht="17" thickBot="1" x14ac:dyDescent="0.35">
      <c r="A1" s="469" t="s">
        <v>57</v>
      </c>
      <c r="B1" s="470"/>
      <c r="C1" s="470"/>
      <c r="D1" s="471"/>
      <c r="E1" s="472" t="s">
        <v>0</v>
      </c>
      <c r="F1" s="473"/>
      <c r="G1" s="474"/>
      <c r="H1" s="472" t="s">
        <v>1</v>
      </c>
      <c r="I1" s="474"/>
      <c r="J1" s="475" t="s">
        <v>2</v>
      </c>
      <c r="K1" s="476"/>
      <c r="L1" s="476"/>
      <c r="M1" s="477"/>
      <c r="N1" s="475" t="s">
        <v>3</v>
      </c>
      <c r="O1" s="477"/>
      <c r="P1" s="475" t="s">
        <v>4</v>
      </c>
      <c r="Q1" s="476"/>
      <c r="R1" s="477"/>
      <c r="S1" s="129" t="s">
        <v>5</v>
      </c>
      <c r="T1" s="129" t="s">
        <v>6</v>
      </c>
      <c r="U1" s="130" t="s">
        <v>7</v>
      </c>
      <c r="V1" s="131" t="s">
        <v>8</v>
      </c>
      <c r="W1" s="131" t="s">
        <v>9</v>
      </c>
      <c r="X1" s="132" t="s">
        <v>10</v>
      </c>
      <c r="Y1" s="478" t="s">
        <v>11</v>
      </c>
      <c r="Z1" s="479"/>
      <c r="AA1" s="479"/>
      <c r="AB1" s="480"/>
      <c r="AC1" s="478" t="s">
        <v>12</v>
      </c>
      <c r="AD1" s="479"/>
      <c r="AE1" s="479"/>
      <c r="AF1" s="480"/>
      <c r="AG1" s="478" t="s">
        <v>13</v>
      </c>
      <c r="AH1" s="479"/>
      <c r="AI1" s="479"/>
      <c r="AJ1" s="480"/>
      <c r="AK1" s="478" t="s">
        <v>14</v>
      </c>
      <c r="AL1" s="479"/>
      <c r="AM1" s="479"/>
      <c r="AN1" s="480"/>
    </row>
    <row r="2" spans="1:40" ht="17" thickBot="1" x14ac:dyDescent="0.35">
      <c r="A2" s="133" t="s">
        <v>15</v>
      </c>
      <c r="B2" s="134" t="s">
        <v>16</v>
      </c>
      <c r="C2" s="135" t="s">
        <v>17</v>
      </c>
      <c r="D2" s="135" t="s">
        <v>18</v>
      </c>
      <c r="E2" s="136" t="s">
        <v>19</v>
      </c>
      <c r="F2" s="136" t="s">
        <v>20</v>
      </c>
      <c r="G2" s="136" t="s">
        <v>21</v>
      </c>
      <c r="H2" s="137" t="s">
        <v>22</v>
      </c>
      <c r="I2" s="137" t="s">
        <v>23</v>
      </c>
      <c r="J2" s="137" t="s">
        <v>24</v>
      </c>
      <c r="K2" s="137" t="s">
        <v>25</v>
      </c>
      <c r="L2" s="137" t="s">
        <v>26</v>
      </c>
      <c r="M2" s="137" t="s">
        <v>27</v>
      </c>
      <c r="N2" s="137" t="s">
        <v>28</v>
      </c>
      <c r="O2" s="137" t="s">
        <v>19</v>
      </c>
      <c r="P2" s="137" t="s">
        <v>22</v>
      </c>
      <c r="Q2" s="137" t="s">
        <v>23</v>
      </c>
      <c r="R2" s="137" t="s">
        <v>24</v>
      </c>
      <c r="S2" s="138"/>
      <c r="T2" s="139"/>
      <c r="U2" s="140"/>
      <c r="V2" s="138"/>
      <c r="W2" s="141"/>
      <c r="X2" s="142"/>
      <c r="Y2" s="143" t="s">
        <v>29</v>
      </c>
      <c r="Z2" s="143" t="s">
        <v>30</v>
      </c>
      <c r="AA2" s="143" t="s">
        <v>26</v>
      </c>
      <c r="AB2" s="143" t="s">
        <v>31</v>
      </c>
      <c r="AC2" s="143" t="s">
        <v>29</v>
      </c>
      <c r="AD2" s="143" t="s">
        <v>30</v>
      </c>
      <c r="AE2" s="143" t="s">
        <v>26</v>
      </c>
      <c r="AF2" s="143" t="s">
        <v>31</v>
      </c>
      <c r="AG2" s="143" t="s">
        <v>29</v>
      </c>
      <c r="AH2" s="143" t="s">
        <v>30</v>
      </c>
      <c r="AI2" s="143" t="s">
        <v>26</v>
      </c>
      <c r="AJ2" s="143" t="s">
        <v>31</v>
      </c>
      <c r="AK2" s="143" t="s">
        <v>29</v>
      </c>
      <c r="AL2" s="143" t="s">
        <v>30</v>
      </c>
      <c r="AM2" s="143" t="s">
        <v>26</v>
      </c>
      <c r="AN2" s="144" t="s">
        <v>31</v>
      </c>
    </row>
    <row r="3" spans="1:40" ht="17" thickBot="1" x14ac:dyDescent="0.35">
      <c r="A3" s="2" t="s">
        <v>97</v>
      </c>
      <c r="B3" s="3" t="s">
        <v>32</v>
      </c>
      <c r="C3" s="4" t="s">
        <v>70</v>
      </c>
      <c r="D3" s="5" t="s">
        <v>34</v>
      </c>
      <c r="E3" s="5" t="s">
        <v>30</v>
      </c>
      <c r="F3" s="5">
        <v>35</v>
      </c>
      <c r="G3" s="6">
        <v>14</v>
      </c>
      <c r="H3" s="7">
        <v>1</v>
      </c>
      <c r="I3" s="8">
        <v>0</v>
      </c>
      <c r="J3" s="8">
        <v>5</v>
      </c>
      <c r="K3" s="8">
        <v>5</v>
      </c>
      <c r="L3" s="8">
        <v>0</v>
      </c>
      <c r="M3" s="8">
        <v>0</v>
      </c>
      <c r="N3" s="8">
        <v>3</v>
      </c>
      <c r="O3" s="8">
        <v>0</v>
      </c>
      <c r="P3" s="8">
        <v>0</v>
      </c>
      <c r="Q3" s="8">
        <v>0</v>
      </c>
      <c r="R3" s="8">
        <v>2</v>
      </c>
      <c r="S3" s="9"/>
      <c r="T3" s="282" t="s">
        <v>231</v>
      </c>
      <c r="U3" s="11" t="s">
        <v>218</v>
      </c>
      <c r="V3" s="12" t="s">
        <v>220</v>
      </c>
      <c r="W3" s="13" t="s">
        <v>219</v>
      </c>
      <c r="X3" s="12" t="s">
        <v>221</v>
      </c>
      <c r="Y3" s="12">
        <v>1</v>
      </c>
      <c r="Z3" s="12">
        <v>1</v>
      </c>
      <c r="AA3" s="12">
        <v>0</v>
      </c>
      <c r="AB3" s="14">
        <v>0</v>
      </c>
      <c r="AC3" s="12">
        <v>1</v>
      </c>
      <c r="AD3" s="12">
        <v>1</v>
      </c>
      <c r="AE3" s="12">
        <v>0</v>
      </c>
      <c r="AF3" s="14">
        <v>0</v>
      </c>
      <c r="AG3" s="12"/>
      <c r="AH3" s="12"/>
      <c r="AI3" s="12"/>
      <c r="AJ3" s="14"/>
      <c r="AK3" s="12"/>
      <c r="AL3" s="12"/>
      <c r="AM3" s="12"/>
      <c r="AN3" s="14"/>
    </row>
    <row r="4" spans="1:40" ht="17" thickBot="1" x14ac:dyDescent="0.35">
      <c r="A4" s="15" t="s">
        <v>125</v>
      </c>
      <c r="B4" s="16" t="s">
        <v>32</v>
      </c>
      <c r="C4" s="17" t="s">
        <v>36</v>
      </c>
      <c r="D4" s="18" t="s">
        <v>21</v>
      </c>
      <c r="E4" s="18" t="s">
        <v>31</v>
      </c>
      <c r="F4" s="18">
        <v>25</v>
      </c>
      <c r="G4" s="19">
        <v>30</v>
      </c>
      <c r="H4" s="20">
        <v>0</v>
      </c>
      <c r="I4" s="21">
        <v>1</v>
      </c>
      <c r="J4" s="21">
        <v>3</v>
      </c>
      <c r="K4" s="18">
        <v>2</v>
      </c>
      <c r="L4" s="21">
        <v>0</v>
      </c>
      <c r="M4" s="18">
        <v>2</v>
      </c>
      <c r="N4" s="21">
        <v>0</v>
      </c>
      <c r="O4" s="21">
        <v>0</v>
      </c>
      <c r="P4" s="21">
        <v>0</v>
      </c>
      <c r="Q4" s="18">
        <v>0</v>
      </c>
      <c r="R4" s="21">
        <v>3</v>
      </c>
      <c r="S4" s="22"/>
      <c r="T4" s="29" t="s">
        <v>251</v>
      </c>
      <c r="U4" s="24" t="str">
        <f>Miami!U4</f>
        <v>Robin Kaluzniak</v>
      </c>
      <c r="V4" s="24" t="str">
        <f>Miami!V4</f>
        <v>Amanda Cox</v>
      </c>
      <c r="W4" s="24" t="str">
        <f>Miami!W4</f>
        <v>Amelia Luciano</v>
      </c>
      <c r="X4" s="24" t="str">
        <f>Miami!X4</f>
        <v>Tom Ciampa</v>
      </c>
      <c r="Y4" s="25">
        <v>1</v>
      </c>
      <c r="Z4" s="25">
        <v>0</v>
      </c>
      <c r="AA4" s="25">
        <v>0</v>
      </c>
      <c r="AB4" s="26">
        <v>1</v>
      </c>
      <c r="AC4" s="25"/>
      <c r="AD4" s="25"/>
      <c r="AE4" s="25"/>
      <c r="AF4" s="26"/>
      <c r="AG4" s="25">
        <v>1</v>
      </c>
      <c r="AH4" s="25">
        <v>0</v>
      </c>
      <c r="AI4" s="25">
        <v>0</v>
      </c>
      <c r="AJ4" s="26">
        <v>1</v>
      </c>
      <c r="AK4" s="25"/>
      <c r="AL4" s="25"/>
      <c r="AM4" s="25"/>
      <c r="AN4" s="26"/>
    </row>
    <row r="5" spans="1:40" ht="17" thickBot="1" x14ac:dyDescent="0.35">
      <c r="A5" s="15" t="s">
        <v>120</v>
      </c>
      <c r="B5" s="16" t="s">
        <v>32</v>
      </c>
      <c r="C5" s="17" t="s">
        <v>39</v>
      </c>
      <c r="D5" s="18" t="s">
        <v>21</v>
      </c>
      <c r="E5" s="18" t="s">
        <v>31</v>
      </c>
      <c r="F5" s="18">
        <v>21</v>
      </c>
      <c r="G5" s="19">
        <v>55</v>
      </c>
      <c r="H5" s="248">
        <v>0</v>
      </c>
      <c r="I5" s="19">
        <v>0</v>
      </c>
      <c r="J5" s="21">
        <v>2</v>
      </c>
      <c r="K5" s="21">
        <v>1</v>
      </c>
      <c r="L5" s="21">
        <v>0</v>
      </c>
      <c r="M5" s="21">
        <v>3</v>
      </c>
      <c r="N5" s="21">
        <v>2</v>
      </c>
      <c r="O5" s="21">
        <v>0</v>
      </c>
      <c r="P5" s="18">
        <v>1</v>
      </c>
      <c r="Q5" s="21">
        <v>0</v>
      </c>
      <c r="R5" s="18">
        <v>8</v>
      </c>
      <c r="S5" s="22"/>
      <c r="T5" s="23" t="s">
        <v>262</v>
      </c>
      <c r="U5" s="24" t="str">
        <f>Utah!U4</f>
        <v>Ben Connor</v>
      </c>
      <c r="V5" s="24" t="str">
        <f>Utah!V4</f>
        <v>Mike Kelly</v>
      </c>
      <c r="W5" s="24" t="str">
        <f>Utah!W4</f>
        <v>Marquise Goodwin</v>
      </c>
      <c r="X5" s="24" t="str">
        <f>Utah!X4</f>
        <v>Kahlil Harrison</v>
      </c>
      <c r="Y5" s="25">
        <v>1</v>
      </c>
      <c r="Z5" s="25">
        <v>0</v>
      </c>
      <c r="AA5" s="25">
        <v>0</v>
      </c>
      <c r="AB5" s="26">
        <v>1</v>
      </c>
      <c r="AC5" s="25"/>
      <c r="AD5" s="25"/>
      <c r="AE5" s="25"/>
      <c r="AF5" s="26"/>
      <c r="AG5" s="25">
        <v>1</v>
      </c>
      <c r="AH5" s="25">
        <v>0</v>
      </c>
      <c r="AI5" s="25">
        <v>0</v>
      </c>
      <c r="AJ5" s="26">
        <v>1</v>
      </c>
      <c r="AK5" s="25"/>
      <c r="AL5" s="25"/>
      <c r="AM5" s="25"/>
      <c r="AN5" s="26"/>
    </row>
    <row r="6" spans="1:40" ht="17" thickBot="1" x14ac:dyDescent="0.35">
      <c r="A6" s="15" t="s">
        <v>117</v>
      </c>
      <c r="B6" s="16" t="s">
        <v>32</v>
      </c>
      <c r="C6" s="17" t="s">
        <v>33</v>
      </c>
      <c r="D6" s="18" t="s">
        <v>21</v>
      </c>
      <c r="E6" s="18" t="s">
        <v>31</v>
      </c>
      <c r="F6" s="18">
        <v>31</v>
      </c>
      <c r="G6" s="19">
        <v>35</v>
      </c>
      <c r="H6" s="19">
        <v>1</v>
      </c>
      <c r="I6" s="21">
        <v>1</v>
      </c>
      <c r="J6" s="18">
        <v>4</v>
      </c>
      <c r="K6" s="18">
        <v>4</v>
      </c>
      <c r="L6" s="21">
        <v>0</v>
      </c>
      <c r="M6" s="21">
        <v>1</v>
      </c>
      <c r="N6" s="21">
        <v>3</v>
      </c>
      <c r="O6" s="21">
        <v>0</v>
      </c>
      <c r="P6" s="21">
        <v>1</v>
      </c>
      <c r="Q6" s="18">
        <v>0</v>
      </c>
      <c r="R6" s="21">
        <v>5</v>
      </c>
      <c r="S6" s="22"/>
      <c r="T6" s="23" t="s">
        <v>286</v>
      </c>
      <c r="U6" s="25" t="str">
        <f>NewEngland!U6</f>
        <v>Luke Rogan</v>
      </c>
      <c r="V6" s="25" t="str">
        <f>NewEngland!V6</f>
        <v>Derek Summers</v>
      </c>
      <c r="W6" s="25" t="str">
        <f>NewEngland!W6</f>
        <v>Amelia Luciano</v>
      </c>
      <c r="X6" s="25" t="str">
        <f>NewEngland!X6</f>
        <v>Jarrod Ford</v>
      </c>
      <c r="Y6" s="25">
        <v>1</v>
      </c>
      <c r="Z6" s="25">
        <v>0</v>
      </c>
      <c r="AA6" s="25">
        <v>0</v>
      </c>
      <c r="AB6" s="26">
        <v>1</v>
      </c>
      <c r="AC6" s="25"/>
      <c r="AD6" s="25"/>
      <c r="AE6" s="25"/>
      <c r="AF6" s="26"/>
      <c r="AG6" s="25">
        <v>1</v>
      </c>
      <c r="AH6" s="25">
        <v>0</v>
      </c>
      <c r="AI6" s="25">
        <v>0</v>
      </c>
      <c r="AJ6" s="26">
        <v>1</v>
      </c>
      <c r="AK6" s="25"/>
      <c r="AL6" s="25"/>
      <c r="AM6" s="25"/>
      <c r="AN6" s="26"/>
    </row>
    <row r="7" spans="1:40" ht="17" thickBot="1" x14ac:dyDescent="0.35">
      <c r="A7" s="2" t="s">
        <v>101</v>
      </c>
      <c r="B7" s="3" t="s">
        <v>32</v>
      </c>
      <c r="C7" s="4" t="s">
        <v>46</v>
      </c>
      <c r="D7" s="5" t="s">
        <v>34</v>
      </c>
      <c r="E7" s="8" t="s">
        <v>31</v>
      </c>
      <c r="F7" s="5">
        <v>24</v>
      </c>
      <c r="G7" s="6">
        <v>31</v>
      </c>
      <c r="H7" s="7">
        <v>1</v>
      </c>
      <c r="I7" s="5">
        <v>1</v>
      </c>
      <c r="J7" s="8">
        <v>4</v>
      </c>
      <c r="K7" s="8">
        <v>2</v>
      </c>
      <c r="L7" s="8">
        <v>0</v>
      </c>
      <c r="M7" s="8">
        <v>0</v>
      </c>
      <c r="N7" s="8">
        <v>0</v>
      </c>
      <c r="O7" s="8">
        <v>0</v>
      </c>
      <c r="P7" s="8">
        <v>1</v>
      </c>
      <c r="Q7" s="8">
        <v>0</v>
      </c>
      <c r="R7" s="8">
        <v>5</v>
      </c>
      <c r="S7" s="9"/>
      <c r="T7" s="10" t="s">
        <v>294</v>
      </c>
      <c r="U7" s="11" t="s">
        <v>216</v>
      </c>
      <c r="V7" s="12" t="s">
        <v>211</v>
      </c>
      <c r="W7" s="12" t="s">
        <v>218</v>
      </c>
      <c r="X7" s="13" t="s">
        <v>282</v>
      </c>
      <c r="Y7" s="12">
        <v>1</v>
      </c>
      <c r="Z7" s="12">
        <v>0</v>
      </c>
      <c r="AA7" s="12">
        <v>0</v>
      </c>
      <c r="AB7" s="14">
        <v>1</v>
      </c>
      <c r="AC7" s="12">
        <v>1</v>
      </c>
      <c r="AD7" s="12">
        <v>0</v>
      </c>
      <c r="AE7" s="12">
        <v>0</v>
      </c>
      <c r="AF7" s="14">
        <v>1</v>
      </c>
      <c r="AG7" s="12"/>
      <c r="AH7" s="12"/>
      <c r="AI7" s="12"/>
      <c r="AJ7" s="14"/>
      <c r="AK7" s="12"/>
      <c r="AL7" s="12"/>
      <c r="AM7" s="12"/>
      <c r="AN7" s="14"/>
    </row>
    <row r="8" spans="1:40" ht="17" thickBot="1" x14ac:dyDescent="0.35">
      <c r="A8" s="2" t="s">
        <v>102</v>
      </c>
      <c r="B8" s="3" t="s">
        <v>32</v>
      </c>
      <c r="C8" s="4" t="s">
        <v>40</v>
      </c>
      <c r="D8" s="5" t="s">
        <v>34</v>
      </c>
      <c r="E8" s="8" t="s">
        <v>31</v>
      </c>
      <c r="F8" s="5">
        <v>18</v>
      </c>
      <c r="G8" s="6">
        <v>20</v>
      </c>
      <c r="H8" s="7">
        <v>0</v>
      </c>
      <c r="I8" s="5">
        <v>1</v>
      </c>
      <c r="J8" s="8">
        <v>2</v>
      </c>
      <c r="K8" s="8">
        <v>2</v>
      </c>
      <c r="L8" s="8">
        <v>0</v>
      </c>
      <c r="M8" s="8">
        <v>1</v>
      </c>
      <c r="N8" s="8">
        <v>1</v>
      </c>
      <c r="O8" s="8">
        <v>0</v>
      </c>
      <c r="P8" s="5">
        <v>0</v>
      </c>
      <c r="Q8" s="8">
        <v>0</v>
      </c>
      <c r="R8" s="8">
        <v>3</v>
      </c>
      <c r="S8" s="9"/>
      <c r="T8" s="28" t="s">
        <v>310</v>
      </c>
      <c r="U8" s="11" t="s">
        <v>214</v>
      </c>
      <c r="V8" s="12" t="s">
        <v>220</v>
      </c>
      <c r="W8" s="12" t="s">
        <v>239</v>
      </c>
      <c r="X8" s="13" t="s">
        <v>217</v>
      </c>
      <c r="Y8" s="12">
        <v>1</v>
      </c>
      <c r="Z8" s="12">
        <v>0</v>
      </c>
      <c r="AA8" s="12">
        <v>0</v>
      </c>
      <c r="AB8" s="14">
        <v>1</v>
      </c>
      <c r="AC8" s="12">
        <v>1</v>
      </c>
      <c r="AD8" s="12">
        <v>0</v>
      </c>
      <c r="AE8" s="12">
        <v>0</v>
      </c>
      <c r="AF8" s="14">
        <v>1</v>
      </c>
      <c r="AG8" s="12"/>
      <c r="AH8" s="12"/>
      <c r="AI8" s="12"/>
      <c r="AJ8" s="14"/>
      <c r="AK8" s="12"/>
      <c r="AL8" s="12"/>
      <c r="AM8" s="12"/>
      <c r="AN8" s="14"/>
    </row>
    <row r="9" spans="1:40" ht="17" thickBot="1" x14ac:dyDescent="0.35">
      <c r="A9" s="15" t="s">
        <v>103</v>
      </c>
      <c r="B9" s="16" t="s">
        <v>32</v>
      </c>
      <c r="C9" s="17" t="s">
        <v>70</v>
      </c>
      <c r="D9" s="18" t="s">
        <v>21</v>
      </c>
      <c r="E9" s="21" t="s">
        <v>30</v>
      </c>
      <c r="F9" s="18">
        <v>33</v>
      </c>
      <c r="G9" s="19">
        <v>19</v>
      </c>
      <c r="H9" s="20">
        <v>1</v>
      </c>
      <c r="I9" s="21">
        <v>0</v>
      </c>
      <c r="J9" s="21">
        <v>5</v>
      </c>
      <c r="K9" s="21">
        <v>2</v>
      </c>
      <c r="L9" s="21">
        <v>0</v>
      </c>
      <c r="M9" s="21">
        <v>0</v>
      </c>
      <c r="N9" s="21">
        <v>1</v>
      </c>
      <c r="O9" s="21">
        <v>0</v>
      </c>
      <c r="P9" s="21">
        <v>0</v>
      </c>
      <c r="Q9" s="21">
        <v>0</v>
      </c>
      <c r="R9" s="21">
        <v>3</v>
      </c>
      <c r="S9" s="22"/>
      <c r="T9" s="292" t="s">
        <v>319</v>
      </c>
      <c r="U9" s="24" t="str">
        <f>Anthem!U9</f>
        <v>Federico Anselmi</v>
      </c>
      <c r="V9" s="24" t="str">
        <f>Anthem!V9</f>
        <v>Mike Kelly</v>
      </c>
      <c r="W9" s="24" t="str">
        <f>Anthem!W9</f>
        <v>Kat Roche</v>
      </c>
      <c r="X9" s="24" t="str">
        <f>Anthem!X9</f>
        <v>Lindsey Oliver</v>
      </c>
      <c r="Y9" s="25">
        <f>Anthem!Y9</f>
        <v>1</v>
      </c>
      <c r="Z9" s="25">
        <f>Anthem!AB9</f>
        <v>1</v>
      </c>
      <c r="AA9" s="25">
        <f>Anthem!AA9</f>
        <v>0</v>
      </c>
      <c r="AB9" s="26">
        <f>Anthem!Z9</f>
        <v>0</v>
      </c>
      <c r="AC9" s="25"/>
      <c r="AD9" s="25"/>
      <c r="AE9" s="25"/>
      <c r="AF9" s="26"/>
      <c r="AG9" s="25">
        <f>Y9</f>
        <v>1</v>
      </c>
      <c r="AH9" s="25">
        <f t="shared" ref="AH9:AJ9" si="0">Z9</f>
        <v>1</v>
      </c>
      <c r="AI9" s="25">
        <f t="shared" si="0"/>
        <v>0</v>
      </c>
      <c r="AJ9" s="25">
        <f t="shared" si="0"/>
        <v>0</v>
      </c>
      <c r="AK9" s="25"/>
      <c r="AL9" s="25"/>
      <c r="AM9" s="25"/>
      <c r="AN9" s="26"/>
    </row>
    <row r="10" spans="1:40" ht="17" thickBot="1" x14ac:dyDescent="0.35">
      <c r="A10" s="2" t="s">
        <v>121</v>
      </c>
      <c r="B10" s="3" t="s">
        <v>32</v>
      </c>
      <c r="C10" s="4" t="s">
        <v>37</v>
      </c>
      <c r="D10" s="5" t="s">
        <v>34</v>
      </c>
      <c r="E10" s="5" t="s">
        <v>30</v>
      </c>
      <c r="F10" s="5">
        <v>51</v>
      </c>
      <c r="G10" s="6">
        <v>29</v>
      </c>
      <c r="H10" s="7">
        <v>1</v>
      </c>
      <c r="I10" s="8">
        <v>0</v>
      </c>
      <c r="J10" s="8">
        <v>7</v>
      </c>
      <c r="K10" s="8">
        <v>5</v>
      </c>
      <c r="L10" s="8">
        <v>0</v>
      </c>
      <c r="M10" s="8">
        <v>2</v>
      </c>
      <c r="N10" s="5">
        <v>0</v>
      </c>
      <c r="O10" s="8">
        <v>0</v>
      </c>
      <c r="P10" s="8">
        <v>1</v>
      </c>
      <c r="Q10" s="5">
        <v>0</v>
      </c>
      <c r="R10" s="8">
        <v>5</v>
      </c>
      <c r="S10" s="9"/>
      <c r="T10" s="282" t="s">
        <v>295</v>
      </c>
      <c r="U10" s="11" t="s">
        <v>303</v>
      </c>
      <c r="V10" s="163" t="s">
        <v>220</v>
      </c>
      <c r="W10" s="12" t="s">
        <v>224</v>
      </c>
      <c r="X10" s="13" t="s">
        <v>325</v>
      </c>
      <c r="Y10" s="12">
        <v>1</v>
      </c>
      <c r="Z10" s="12">
        <v>1</v>
      </c>
      <c r="AA10" s="12">
        <v>0</v>
      </c>
      <c r="AB10" s="14">
        <v>0</v>
      </c>
      <c r="AC10" s="12">
        <f>Y10</f>
        <v>1</v>
      </c>
      <c r="AD10" s="12">
        <f t="shared" ref="AD10:AF10" si="1">Z10</f>
        <v>1</v>
      </c>
      <c r="AE10" s="12">
        <f t="shared" si="1"/>
        <v>0</v>
      </c>
      <c r="AF10" s="12">
        <f t="shared" si="1"/>
        <v>0</v>
      </c>
      <c r="AG10" s="12"/>
      <c r="AH10" s="12"/>
      <c r="AI10" s="12"/>
      <c r="AJ10" s="14"/>
      <c r="AK10" s="12"/>
      <c r="AL10" s="12"/>
      <c r="AM10" s="12"/>
      <c r="AN10" s="14"/>
    </row>
    <row r="11" spans="1:40" ht="17" thickBot="1" x14ac:dyDescent="0.35">
      <c r="A11" s="15" t="s">
        <v>122</v>
      </c>
      <c r="B11" s="16" t="s">
        <v>32</v>
      </c>
      <c r="C11" s="17" t="s">
        <v>44</v>
      </c>
      <c r="D11" s="18" t="s">
        <v>21</v>
      </c>
      <c r="E11" s="18" t="s">
        <v>31</v>
      </c>
      <c r="F11" s="18">
        <v>15</v>
      </c>
      <c r="G11" s="19">
        <v>17</v>
      </c>
      <c r="H11" s="20">
        <v>0</v>
      </c>
      <c r="I11" s="21">
        <v>1</v>
      </c>
      <c r="J11" s="21">
        <v>2</v>
      </c>
      <c r="K11" s="21">
        <v>1</v>
      </c>
      <c r="L11" s="21">
        <v>0</v>
      </c>
      <c r="M11" s="21">
        <v>1</v>
      </c>
      <c r="N11" s="21">
        <v>1</v>
      </c>
      <c r="O11" s="21">
        <v>0</v>
      </c>
      <c r="P11" s="21">
        <v>0</v>
      </c>
      <c r="Q11" s="18">
        <v>0</v>
      </c>
      <c r="R11" s="21">
        <v>3</v>
      </c>
      <c r="S11" s="22"/>
      <c r="T11" s="29" t="s">
        <v>340</v>
      </c>
      <c r="U11" s="24" t="str">
        <f>Houston!U11</f>
        <v>Luke Rogan</v>
      </c>
      <c r="V11" s="24" t="str">
        <f>Houston!V11</f>
        <v>Derek Summers</v>
      </c>
      <c r="W11" s="24" t="str">
        <f>Houston!W11</f>
        <v>Marquise Goodwin</v>
      </c>
      <c r="X11" s="24" t="str">
        <f>Houston!X11</f>
        <v>Fernando Garcia</v>
      </c>
      <c r="Y11" s="25">
        <f>Houston!Y11</f>
        <v>1</v>
      </c>
      <c r="Z11" s="25">
        <f>Houston!AB11</f>
        <v>0</v>
      </c>
      <c r="AA11" s="25">
        <f>Houston!AA11</f>
        <v>0</v>
      </c>
      <c r="AB11" s="26">
        <f>Houston!Z11</f>
        <v>1</v>
      </c>
      <c r="AC11" s="25"/>
      <c r="AD11" s="25"/>
      <c r="AE11" s="25"/>
      <c r="AF11" s="26"/>
      <c r="AG11" s="25">
        <f>Y11</f>
        <v>1</v>
      </c>
      <c r="AH11" s="25">
        <f t="shared" ref="AH11:AJ11" si="2">Z11</f>
        <v>0</v>
      </c>
      <c r="AI11" s="25">
        <f t="shared" si="2"/>
        <v>0</v>
      </c>
      <c r="AJ11" s="25">
        <f t="shared" si="2"/>
        <v>1</v>
      </c>
      <c r="AK11" s="25"/>
      <c r="AL11" s="25"/>
      <c r="AM11" s="25"/>
      <c r="AN11" s="26"/>
    </row>
    <row r="12" spans="1:40" ht="17" thickBot="1" x14ac:dyDescent="0.35">
      <c r="A12" s="31" t="s">
        <v>41</v>
      </c>
      <c r="B12" s="3" t="s">
        <v>32</v>
      </c>
      <c r="C12" s="4" t="s">
        <v>43</v>
      </c>
      <c r="D12" s="5" t="s">
        <v>34</v>
      </c>
      <c r="E12" s="5" t="s">
        <v>30</v>
      </c>
      <c r="F12" s="5">
        <v>44</v>
      </c>
      <c r="G12" s="6">
        <v>36</v>
      </c>
      <c r="H12" s="7">
        <v>1</v>
      </c>
      <c r="I12" s="8">
        <v>0</v>
      </c>
      <c r="J12" s="8">
        <v>5</v>
      </c>
      <c r="K12" s="8">
        <v>4</v>
      </c>
      <c r="L12" s="8">
        <v>0</v>
      </c>
      <c r="M12" s="8">
        <v>3</v>
      </c>
      <c r="N12" s="5">
        <v>2</v>
      </c>
      <c r="O12" s="8">
        <v>0</v>
      </c>
      <c r="P12" s="8">
        <v>1</v>
      </c>
      <c r="Q12" s="8">
        <v>0</v>
      </c>
      <c r="R12" s="8">
        <v>6</v>
      </c>
      <c r="S12" s="32"/>
      <c r="T12" s="282" t="s">
        <v>348</v>
      </c>
      <c r="U12" s="11" t="s">
        <v>269</v>
      </c>
      <c r="V12" s="12" t="s">
        <v>215</v>
      </c>
      <c r="W12" s="12" t="s">
        <v>214</v>
      </c>
      <c r="X12" s="13" t="s">
        <v>257</v>
      </c>
      <c r="Y12" s="12">
        <v>1</v>
      </c>
      <c r="Z12" s="12">
        <v>1</v>
      </c>
      <c r="AA12" s="12">
        <v>0</v>
      </c>
      <c r="AB12" s="14">
        <v>0</v>
      </c>
      <c r="AC12" s="12">
        <f>Y12</f>
        <v>1</v>
      </c>
      <c r="AD12" s="12">
        <f t="shared" ref="AD12:AF12" si="3">Z12</f>
        <v>1</v>
      </c>
      <c r="AE12" s="12">
        <f t="shared" si="3"/>
        <v>0</v>
      </c>
      <c r="AF12" s="12">
        <f t="shared" si="3"/>
        <v>0</v>
      </c>
      <c r="AG12" s="12"/>
      <c r="AH12" s="12"/>
      <c r="AI12" s="12"/>
      <c r="AJ12" s="14"/>
      <c r="AK12" s="12"/>
      <c r="AL12" s="12"/>
      <c r="AM12" s="12"/>
      <c r="AN12" s="14"/>
    </row>
    <row r="13" spans="1:40" ht="17" thickBot="1" x14ac:dyDescent="0.35">
      <c r="A13" s="33" t="s">
        <v>132</v>
      </c>
      <c r="B13" s="16" t="s">
        <v>32</v>
      </c>
      <c r="C13" s="17" t="s">
        <v>47</v>
      </c>
      <c r="D13" s="18" t="s">
        <v>21</v>
      </c>
      <c r="E13" s="18" t="s">
        <v>31</v>
      </c>
      <c r="F13" s="18">
        <v>36</v>
      </c>
      <c r="G13" s="19">
        <v>45</v>
      </c>
      <c r="H13" s="20">
        <v>1</v>
      </c>
      <c r="I13" s="21">
        <v>0</v>
      </c>
      <c r="J13" s="21">
        <v>6</v>
      </c>
      <c r="K13" s="21">
        <v>3</v>
      </c>
      <c r="L13" s="21">
        <v>0</v>
      </c>
      <c r="M13" s="21">
        <v>0</v>
      </c>
      <c r="N13" s="21">
        <v>0</v>
      </c>
      <c r="O13" s="21">
        <v>0</v>
      </c>
      <c r="P13" s="21">
        <v>1</v>
      </c>
      <c r="Q13" s="21">
        <v>0</v>
      </c>
      <c r="R13" s="21">
        <v>7</v>
      </c>
      <c r="S13" s="34"/>
      <c r="T13" s="29" t="s">
        <v>361</v>
      </c>
      <c r="U13" s="24" t="str">
        <f>SanDiego!U14</f>
        <v>David Vosalevu</v>
      </c>
      <c r="V13" s="24" t="str">
        <f>SanDiego!V14</f>
        <v>Austin Reed</v>
      </c>
      <c r="W13" s="24" t="str">
        <f>SanDiego!W14</f>
        <v>Jacob Gonzales</v>
      </c>
      <c r="X13" s="24" t="str">
        <f>SanDiego!X14</f>
        <v>Kirk Swanner</v>
      </c>
      <c r="Y13" s="25">
        <f>SanDiego!Y14</f>
        <v>1</v>
      </c>
      <c r="Z13" s="25">
        <f>SanDiego!AB14</f>
        <v>0</v>
      </c>
      <c r="AA13" s="25">
        <f>SanDiego!AA14</f>
        <v>0</v>
      </c>
      <c r="AB13" s="26">
        <f>SanDiego!Z14</f>
        <v>1</v>
      </c>
      <c r="AC13" s="25"/>
      <c r="AD13" s="25"/>
      <c r="AE13" s="25"/>
      <c r="AF13" s="26"/>
      <c r="AG13" s="25">
        <f>Y13</f>
        <v>1</v>
      </c>
      <c r="AH13" s="25">
        <f t="shared" ref="AH13:AJ13" si="4">Z13</f>
        <v>0</v>
      </c>
      <c r="AI13" s="25">
        <f t="shared" si="4"/>
        <v>0</v>
      </c>
      <c r="AJ13" s="25">
        <f t="shared" si="4"/>
        <v>1</v>
      </c>
      <c r="AK13" s="25"/>
      <c r="AL13" s="25"/>
      <c r="AM13" s="25"/>
      <c r="AN13" s="26"/>
    </row>
    <row r="14" spans="1:40" ht="17" thickBot="1" x14ac:dyDescent="0.35">
      <c r="A14" s="31" t="s">
        <v>126</v>
      </c>
      <c r="B14" s="3" t="s">
        <v>32</v>
      </c>
      <c r="C14" s="4" t="s">
        <v>36</v>
      </c>
      <c r="D14" s="5" t="s">
        <v>34</v>
      </c>
      <c r="E14" s="5" t="s">
        <v>31</v>
      </c>
      <c r="F14" s="5">
        <v>19</v>
      </c>
      <c r="G14" s="6">
        <v>25</v>
      </c>
      <c r="H14" s="7">
        <v>0</v>
      </c>
      <c r="I14" s="8">
        <v>1</v>
      </c>
      <c r="J14" s="8">
        <v>3</v>
      </c>
      <c r="K14" s="8">
        <v>2</v>
      </c>
      <c r="L14" s="8">
        <v>0</v>
      </c>
      <c r="M14" s="8">
        <v>0</v>
      </c>
      <c r="N14" s="8">
        <v>1</v>
      </c>
      <c r="O14" s="8">
        <v>0</v>
      </c>
      <c r="P14" s="8">
        <v>0</v>
      </c>
      <c r="Q14" s="8">
        <v>0</v>
      </c>
      <c r="R14" s="8">
        <v>3</v>
      </c>
      <c r="S14" s="32"/>
      <c r="T14" s="28" t="s">
        <v>363</v>
      </c>
      <c r="U14" s="11" t="s">
        <v>362</v>
      </c>
      <c r="V14" s="12" t="s">
        <v>215</v>
      </c>
      <c r="W14" s="12" t="s">
        <v>224</v>
      </c>
      <c r="X14" s="13" t="s">
        <v>212</v>
      </c>
      <c r="Y14" s="12">
        <v>1</v>
      </c>
      <c r="Z14" s="12">
        <v>0</v>
      </c>
      <c r="AA14" s="12">
        <v>0</v>
      </c>
      <c r="AB14" s="14">
        <v>1</v>
      </c>
      <c r="AC14" s="12">
        <f>Y14</f>
        <v>1</v>
      </c>
      <c r="AD14" s="12">
        <f t="shared" ref="AD14:AF14" si="5">Z14</f>
        <v>0</v>
      </c>
      <c r="AE14" s="12">
        <f t="shared" si="5"/>
        <v>0</v>
      </c>
      <c r="AF14" s="12">
        <f t="shared" si="5"/>
        <v>1</v>
      </c>
      <c r="AG14" s="12"/>
      <c r="AH14" s="12"/>
      <c r="AI14" s="12"/>
      <c r="AJ14" s="14"/>
      <c r="AK14" s="12"/>
      <c r="AL14" s="12"/>
      <c r="AM14" s="12"/>
      <c r="AN14" s="14"/>
    </row>
    <row r="15" spans="1:40" ht="17" thickBot="1" x14ac:dyDescent="0.35">
      <c r="A15" s="33" t="s">
        <v>133</v>
      </c>
      <c r="B15" s="16" t="s">
        <v>32</v>
      </c>
      <c r="C15" s="17" t="s">
        <v>37</v>
      </c>
      <c r="D15" s="18" t="s">
        <v>21</v>
      </c>
      <c r="E15" s="18" t="s">
        <v>31</v>
      </c>
      <c r="F15" s="18">
        <v>14</v>
      </c>
      <c r="G15" s="19">
        <v>27</v>
      </c>
      <c r="H15" s="20">
        <v>0</v>
      </c>
      <c r="I15" s="21">
        <v>0</v>
      </c>
      <c r="J15" s="21">
        <v>2</v>
      </c>
      <c r="K15" s="21">
        <v>1</v>
      </c>
      <c r="L15" s="21">
        <v>0</v>
      </c>
      <c r="M15" s="21">
        <v>0</v>
      </c>
      <c r="N15" s="21">
        <v>2</v>
      </c>
      <c r="O15" s="21">
        <v>0</v>
      </c>
      <c r="P15" s="21">
        <v>1</v>
      </c>
      <c r="Q15" s="21">
        <v>0</v>
      </c>
      <c r="R15" s="21">
        <v>4</v>
      </c>
      <c r="S15" s="34"/>
      <c r="T15" s="23" t="s">
        <v>372</v>
      </c>
      <c r="U15" s="24" t="str">
        <f>OldGlory!U14</f>
        <v>Luke Rogan</v>
      </c>
      <c r="V15" s="24" t="str">
        <f>OldGlory!V14</f>
        <v>Cam Russell</v>
      </c>
      <c r="W15" s="24" t="str">
        <f>OldGlory!W14</f>
        <v>Peter Pender</v>
      </c>
      <c r="X15" s="24" t="str">
        <f>OldGlory!X14</f>
        <v>Aaron Davis</v>
      </c>
      <c r="Y15" s="25">
        <f>OldGlory!Y14</f>
        <v>1</v>
      </c>
      <c r="Z15" s="25">
        <f>OldGlory!AB14</f>
        <v>0</v>
      </c>
      <c r="AA15" s="25">
        <f>OldGlory!AA14</f>
        <v>0</v>
      </c>
      <c r="AB15" s="26">
        <f>OldGlory!Z14</f>
        <v>1</v>
      </c>
      <c r="AC15" s="25"/>
      <c r="AD15" s="25"/>
      <c r="AE15" s="25"/>
      <c r="AF15" s="26"/>
      <c r="AG15" s="25">
        <f>Y15</f>
        <v>1</v>
      </c>
      <c r="AH15" s="25">
        <f t="shared" ref="AH15:AJ15" si="6">Z15</f>
        <v>0</v>
      </c>
      <c r="AI15" s="25">
        <f t="shared" si="6"/>
        <v>0</v>
      </c>
      <c r="AJ15" s="25">
        <f t="shared" si="6"/>
        <v>1</v>
      </c>
      <c r="AK15" s="25"/>
      <c r="AL15" s="25"/>
      <c r="AM15" s="25"/>
      <c r="AN15" s="26"/>
    </row>
    <row r="16" spans="1:40" ht="17" thickBot="1" x14ac:dyDescent="0.35">
      <c r="A16" s="31" t="s">
        <v>109</v>
      </c>
      <c r="B16" s="3" t="s">
        <v>32</v>
      </c>
      <c r="C16" s="4" t="s">
        <v>39</v>
      </c>
      <c r="D16" s="5" t="s">
        <v>34</v>
      </c>
      <c r="E16" s="5" t="s">
        <v>31</v>
      </c>
      <c r="F16" s="5">
        <v>28</v>
      </c>
      <c r="G16" s="6">
        <v>31</v>
      </c>
      <c r="H16" s="7">
        <v>1</v>
      </c>
      <c r="I16" s="8">
        <v>1</v>
      </c>
      <c r="J16" s="8">
        <v>4</v>
      </c>
      <c r="K16" s="8">
        <v>3</v>
      </c>
      <c r="L16" s="8">
        <v>0</v>
      </c>
      <c r="M16" s="8">
        <v>0</v>
      </c>
      <c r="N16" s="8">
        <v>1</v>
      </c>
      <c r="O16" s="8">
        <v>0</v>
      </c>
      <c r="P16" s="8">
        <v>1</v>
      </c>
      <c r="Q16" s="8">
        <v>0</v>
      </c>
      <c r="R16" s="8">
        <v>5</v>
      </c>
      <c r="S16" s="32"/>
      <c r="T16" s="10" t="s">
        <v>337</v>
      </c>
      <c r="U16" s="11" t="s">
        <v>269</v>
      </c>
      <c r="V16" s="12" t="s">
        <v>220</v>
      </c>
      <c r="W16" s="12" t="s">
        <v>212</v>
      </c>
      <c r="X16" s="12" t="s">
        <v>375</v>
      </c>
      <c r="Y16" s="12">
        <v>1</v>
      </c>
      <c r="Z16" s="12">
        <v>0</v>
      </c>
      <c r="AA16" s="12">
        <v>0</v>
      </c>
      <c r="AB16" s="14">
        <v>1</v>
      </c>
      <c r="AC16" s="12">
        <f>Y16</f>
        <v>1</v>
      </c>
      <c r="AD16" s="12">
        <f t="shared" ref="AD16:AF16" si="7">Z16</f>
        <v>0</v>
      </c>
      <c r="AE16" s="12">
        <f t="shared" si="7"/>
        <v>0</v>
      </c>
      <c r="AF16" s="12">
        <f t="shared" si="7"/>
        <v>1</v>
      </c>
      <c r="AG16" s="12"/>
      <c r="AH16" s="12"/>
      <c r="AI16" s="12"/>
      <c r="AJ16" s="14"/>
      <c r="AK16" s="12"/>
      <c r="AL16" s="12"/>
      <c r="AM16" s="12"/>
      <c r="AN16" s="14"/>
    </row>
    <row r="17" spans="1:40" ht="17" thickBot="1" x14ac:dyDescent="0.35">
      <c r="A17" s="33" t="s">
        <v>110</v>
      </c>
      <c r="B17" s="16" t="s">
        <v>32</v>
      </c>
      <c r="C17" s="17" t="s">
        <v>40</v>
      </c>
      <c r="D17" s="18" t="s">
        <v>21</v>
      </c>
      <c r="E17" s="18" t="s">
        <v>31</v>
      </c>
      <c r="F17" s="18">
        <v>17</v>
      </c>
      <c r="G17" s="19">
        <v>38</v>
      </c>
      <c r="H17" s="20">
        <v>0</v>
      </c>
      <c r="I17" s="21">
        <v>0</v>
      </c>
      <c r="J17" s="21">
        <v>3</v>
      </c>
      <c r="K17" s="21">
        <v>1</v>
      </c>
      <c r="L17" s="21">
        <v>0</v>
      </c>
      <c r="M17" s="21">
        <v>0</v>
      </c>
      <c r="N17" s="18">
        <v>0</v>
      </c>
      <c r="O17" s="21">
        <v>0</v>
      </c>
      <c r="P17" s="21">
        <v>1</v>
      </c>
      <c r="Q17" s="21">
        <v>0</v>
      </c>
      <c r="R17" s="21">
        <v>6</v>
      </c>
      <c r="S17" s="22"/>
      <c r="T17" s="23" t="s">
        <v>266</v>
      </c>
      <c r="U17" s="25" t="str">
        <f>Chicago!U17</f>
        <v>Saba Abulashvili</v>
      </c>
      <c r="V17" s="25" t="str">
        <f>Chicago!V17</f>
        <v>Amanda Cox</v>
      </c>
      <c r="W17" s="25" t="str">
        <f>Chicago!W17</f>
        <v>Marquise Goodwin</v>
      </c>
      <c r="X17" s="25" t="str">
        <f>Chicago!X17</f>
        <v>Shawn Bastic</v>
      </c>
      <c r="Y17" s="25">
        <f>Chicago!Y17</f>
        <v>1</v>
      </c>
      <c r="Z17" s="25">
        <f>Chicago!AB17</f>
        <v>0</v>
      </c>
      <c r="AA17" s="25">
        <f>Chicago!AA17</f>
        <v>0</v>
      </c>
      <c r="AB17" s="26">
        <f>Chicago!Z17</f>
        <v>1</v>
      </c>
      <c r="AC17" s="25"/>
      <c r="AD17" s="25"/>
      <c r="AE17" s="25"/>
      <c r="AF17" s="26"/>
      <c r="AG17" s="25">
        <f>Y17</f>
        <v>1</v>
      </c>
      <c r="AH17" s="25">
        <f t="shared" ref="AH17:AJ17" si="8">Z17</f>
        <v>0</v>
      </c>
      <c r="AI17" s="25">
        <f t="shared" si="8"/>
        <v>0</v>
      </c>
      <c r="AJ17" s="25">
        <f t="shared" si="8"/>
        <v>1</v>
      </c>
      <c r="AK17" s="25"/>
      <c r="AL17" s="25"/>
      <c r="AM17" s="25"/>
      <c r="AN17" s="26"/>
    </row>
    <row r="18" spans="1:40" ht="17" thickBot="1" x14ac:dyDescent="0.35">
      <c r="A18" s="31" t="s">
        <v>131</v>
      </c>
      <c r="B18" s="3" t="s">
        <v>32</v>
      </c>
      <c r="C18" s="167" t="s">
        <v>33</v>
      </c>
      <c r="D18" s="45" t="s">
        <v>34</v>
      </c>
      <c r="E18" s="45" t="s">
        <v>31</v>
      </c>
      <c r="F18" s="5">
        <v>17</v>
      </c>
      <c r="G18" s="6">
        <v>21</v>
      </c>
      <c r="H18" s="7">
        <v>0</v>
      </c>
      <c r="I18" s="8">
        <v>1</v>
      </c>
      <c r="J18" s="8">
        <v>3</v>
      </c>
      <c r="K18" s="8">
        <v>1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3</v>
      </c>
      <c r="S18" s="32"/>
      <c r="T18" s="10" t="s">
        <v>400</v>
      </c>
      <c r="U18" s="12" t="s">
        <v>218</v>
      </c>
      <c r="V18" s="12" t="s">
        <v>220</v>
      </c>
      <c r="W18" s="12" t="s">
        <v>245</v>
      </c>
      <c r="X18" s="247" t="s">
        <v>284</v>
      </c>
      <c r="Y18" s="12">
        <v>1</v>
      </c>
      <c r="Z18" s="12">
        <v>0</v>
      </c>
      <c r="AA18" s="12">
        <v>0</v>
      </c>
      <c r="AB18" s="14">
        <v>1</v>
      </c>
      <c r="AC18" s="12">
        <f>Y18</f>
        <v>1</v>
      </c>
      <c r="AD18" s="12">
        <f t="shared" ref="AD18:AF18" si="9">Z18</f>
        <v>0</v>
      </c>
      <c r="AE18" s="12">
        <f t="shared" si="9"/>
        <v>0</v>
      </c>
      <c r="AF18" s="12">
        <f t="shared" si="9"/>
        <v>1</v>
      </c>
      <c r="AG18" s="12"/>
      <c r="AH18" s="12"/>
      <c r="AI18" s="12"/>
      <c r="AJ18" s="14"/>
      <c r="AK18" s="12"/>
      <c r="AL18" s="12"/>
      <c r="AM18" s="12"/>
      <c r="AN18" s="14"/>
    </row>
    <row r="19" spans="1:40" ht="17" thickBot="1" x14ac:dyDescent="0.35">
      <c r="A19" s="39"/>
      <c r="B19" s="40"/>
      <c r="C19" s="389" t="s">
        <v>48</v>
      </c>
      <c r="D19" s="416"/>
      <c r="E19" s="417"/>
      <c r="F19" s="41">
        <f t="shared" ref="F19:R19" si="10">SUM(F3+F4+F5+F6+F7+F8+F9+F10+F11+F12+F13+F14+F15+F16+F17+F18)</f>
        <v>428</v>
      </c>
      <c r="G19" s="41">
        <f t="shared" si="10"/>
        <v>473</v>
      </c>
      <c r="H19" s="41">
        <f t="shared" si="10"/>
        <v>8</v>
      </c>
      <c r="I19" s="41">
        <f t="shared" si="10"/>
        <v>8</v>
      </c>
      <c r="J19" s="41">
        <f t="shared" si="10"/>
        <v>60</v>
      </c>
      <c r="K19" s="41">
        <f t="shared" si="10"/>
        <v>39</v>
      </c>
      <c r="L19" s="41">
        <f t="shared" si="10"/>
        <v>0</v>
      </c>
      <c r="M19" s="41">
        <f t="shared" si="10"/>
        <v>13</v>
      </c>
      <c r="N19" s="41">
        <f t="shared" si="10"/>
        <v>17</v>
      </c>
      <c r="O19" s="41">
        <f t="shared" si="10"/>
        <v>0</v>
      </c>
      <c r="P19" s="41">
        <f t="shared" si="10"/>
        <v>9</v>
      </c>
      <c r="Q19" s="41">
        <f t="shared" si="10"/>
        <v>0</v>
      </c>
      <c r="R19" s="41">
        <f t="shared" si="10"/>
        <v>71</v>
      </c>
      <c r="S19" s="42"/>
      <c r="T19" s="42"/>
      <c r="U19" s="42"/>
      <c r="V19" s="42"/>
      <c r="W19" s="43"/>
      <c r="X19" s="44" t="s">
        <v>48</v>
      </c>
      <c r="Y19" s="41">
        <f t="shared" ref="Y19:AN19" si="11">Y3+Y4+Y5+Y6+Y7+Y8+Y9+Y10+Y11+Y12+Y13+Y14+Y15+Y16+Y17+Y18</f>
        <v>16</v>
      </c>
      <c r="Z19" s="41">
        <f t="shared" si="11"/>
        <v>4</v>
      </c>
      <c r="AA19" s="41">
        <f t="shared" si="11"/>
        <v>0</v>
      </c>
      <c r="AB19" s="41">
        <f t="shared" si="11"/>
        <v>12</v>
      </c>
      <c r="AC19" s="45">
        <f t="shared" si="11"/>
        <v>8</v>
      </c>
      <c r="AD19" s="45">
        <f t="shared" si="11"/>
        <v>3</v>
      </c>
      <c r="AE19" s="45">
        <f t="shared" si="11"/>
        <v>0</v>
      </c>
      <c r="AF19" s="45">
        <f t="shared" si="11"/>
        <v>5</v>
      </c>
      <c r="AG19" s="38">
        <f t="shared" si="11"/>
        <v>8</v>
      </c>
      <c r="AH19" s="38">
        <f t="shared" si="11"/>
        <v>1</v>
      </c>
      <c r="AI19" s="38">
        <f t="shared" si="11"/>
        <v>0</v>
      </c>
      <c r="AJ19" s="38">
        <f t="shared" si="11"/>
        <v>7</v>
      </c>
      <c r="AK19" s="41">
        <f t="shared" si="11"/>
        <v>0</v>
      </c>
      <c r="AL19" s="41">
        <f t="shared" si="11"/>
        <v>0</v>
      </c>
      <c r="AM19" s="41">
        <f t="shared" si="11"/>
        <v>0</v>
      </c>
      <c r="AN19" s="41">
        <f t="shared" si="11"/>
        <v>0</v>
      </c>
    </row>
    <row r="20" spans="1:40" ht="17" thickBot="1" x14ac:dyDescent="0.35">
      <c r="A20" s="39"/>
      <c r="B20" s="40"/>
      <c r="C20" s="389" t="s">
        <v>49</v>
      </c>
      <c r="D20" s="390"/>
      <c r="E20" s="391"/>
      <c r="F20" s="46">
        <f>F19</f>
        <v>428</v>
      </c>
      <c r="G20" s="46">
        <f t="shared" ref="G20:R20" si="12">G19</f>
        <v>473</v>
      </c>
      <c r="H20" s="46">
        <f t="shared" si="12"/>
        <v>8</v>
      </c>
      <c r="I20" s="46">
        <f t="shared" si="12"/>
        <v>8</v>
      </c>
      <c r="J20" s="46">
        <f t="shared" si="12"/>
        <v>60</v>
      </c>
      <c r="K20" s="46">
        <f t="shared" si="12"/>
        <v>39</v>
      </c>
      <c r="L20" s="46">
        <f t="shared" si="12"/>
        <v>0</v>
      </c>
      <c r="M20" s="46">
        <f t="shared" si="12"/>
        <v>13</v>
      </c>
      <c r="N20" s="46">
        <f t="shared" si="12"/>
        <v>17</v>
      </c>
      <c r="O20" s="46">
        <f t="shared" si="12"/>
        <v>0</v>
      </c>
      <c r="P20" s="46">
        <f t="shared" si="12"/>
        <v>9</v>
      </c>
      <c r="Q20" s="46">
        <f t="shared" si="12"/>
        <v>0</v>
      </c>
      <c r="R20" s="46">
        <f t="shared" si="12"/>
        <v>71</v>
      </c>
      <c r="S20" s="42"/>
      <c r="T20" s="42"/>
      <c r="U20" s="42"/>
      <c r="V20" s="42"/>
      <c r="W20" s="43"/>
      <c r="X20" s="44" t="s">
        <v>49</v>
      </c>
      <c r="Y20" s="41">
        <f>Y19</f>
        <v>16</v>
      </c>
      <c r="Z20" s="41">
        <f t="shared" ref="Z20:AN20" si="13">Z19</f>
        <v>4</v>
      </c>
      <c r="AA20" s="41">
        <f t="shared" si="13"/>
        <v>0</v>
      </c>
      <c r="AB20" s="41">
        <f t="shared" si="13"/>
        <v>12</v>
      </c>
      <c r="AC20" s="45">
        <f t="shared" si="13"/>
        <v>8</v>
      </c>
      <c r="AD20" s="45">
        <f t="shared" si="13"/>
        <v>3</v>
      </c>
      <c r="AE20" s="45">
        <f t="shared" si="13"/>
        <v>0</v>
      </c>
      <c r="AF20" s="45">
        <f t="shared" si="13"/>
        <v>5</v>
      </c>
      <c r="AG20" s="38">
        <f t="shared" si="13"/>
        <v>8</v>
      </c>
      <c r="AH20" s="38">
        <f t="shared" si="13"/>
        <v>1</v>
      </c>
      <c r="AI20" s="38">
        <f t="shared" si="13"/>
        <v>0</v>
      </c>
      <c r="AJ20" s="38">
        <f t="shared" si="13"/>
        <v>7</v>
      </c>
      <c r="AK20" s="41">
        <f t="shared" si="13"/>
        <v>0</v>
      </c>
      <c r="AL20" s="41">
        <f t="shared" si="13"/>
        <v>0</v>
      </c>
      <c r="AM20" s="41">
        <f t="shared" si="13"/>
        <v>0</v>
      </c>
      <c r="AN20" s="41">
        <f t="shared" si="13"/>
        <v>0</v>
      </c>
    </row>
    <row r="22" spans="1:40" x14ac:dyDescent="0.3">
      <c r="A22" s="1" t="s">
        <v>52</v>
      </c>
    </row>
  </sheetData>
  <mergeCells count="12">
    <mergeCell ref="Y1:AB1"/>
    <mergeCell ref="AC1:AF1"/>
    <mergeCell ref="AG1:AJ1"/>
    <mergeCell ref="AK1:AN1"/>
    <mergeCell ref="C19:E19"/>
    <mergeCell ref="N1:O1"/>
    <mergeCell ref="P1:R1"/>
    <mergeCell ref="C20:E20"/>
    <mergeCell ref="A1:D1"/>
    <mergeCell ref="E1:G1"/>
    <mergeCell ref="H1:I1"/>
    <mergeCell ref="J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0E4D4-27FD-AA44-AE41-A4E277A30FD8}">
  <dimension ref="A1:AN24"/>
  <sheetViews>
    <sheetView zoomScale="80" zoomScaleNormal="80" workbookViewId="0">
      <selection sqref="A1:D1"/>
    </sheetView>
  </sheetViews>
  <sheetFormatPr defaultColWidth="11.44140625" defaultRowHeight="16.3" x14ac:dyDescent="0.3"/>
  <cols>
    <col min="1" max="1" width="6.44140625" style="47" bestFit="1" customWidth="1"/>
    <col min="2" max="2" width="6" style="47" bestFit="1" customWidth="1"/>
    <col min="3" max="3" width="12" style="47" customWidth="1"/>
    <col min="4" max="4" width="4.77734375" style="47" customWidth="1"/>
    <col min="5" max="7" width="4.6640625" style="47" customWidth="1"/>
    <col min="8" max="18" width="4.77734375" style="47" customWidth="1"/>
    <col min="19" max="19" width="7" style="47" customWidth="1"/>
    <col min="20" max="20" width="6.77734375" style="47" customWidth="1"/>
    <col min="21" max="21" width="24" style="47" bestFit="1" customWidth="1"/>
    <col min="22" max="23" width="29" style="47" bestFit="1" customWidth="1"/>
    <col min="24" max="24" width="24" style="47" bestFit="1" customWidth="1"/>
    <col min="25" max="40" width="4.77734375" style="47" customWidth="1"/>
  </cols>
  <sheetData>
    <row r="1" spans="1:40" ht="17" thickBot="1" x14ac:dyDescent="0.35">
      <c r="A1" s="481" t="s">
        <v>58</v>
      </c>
      <c r="B1" s="482"/>
      <c r="C1" s="482"/>
      <c r="D1" s="483"/>
      <c r="E1" s="484" t="s">
        <v>0</v>
      </c>
      <c r="F1" s="485"/>
      <c r="G1" s="486"/>
      <c r="H1" s="484" t="s">
        <v>1</v>
      </c>
      <c r="I1" s="486"/>
      <c r="J1" s="487" t="s">
        <v>2</v>
      </c>
      <c r="K1" s="488"/>
      <c r="L1" s="488"/>
      <c r="M1" s="489"/>
      <c r="N1" s="487" t="s">
        <v>3</v>
      </c>
      <c r="O1" s="489"/>
      <c r="P1" s="487" t="s">
        <v>4</v>
      </c>
      <c r="Q1" s="488"/>
      <c r="R1" s="489"/>
      <c r="S1" s="145" t="s">
        <v>5</v>
      </c>
      <c r="T1" s="145" t="s">
        <v>6</v>
      </c>
      <c r="U1" s="146" t="s">
        <v>7</v>
      </c>
      <c r="V1" s="147" t="s">
        <v>8</v>
      </c>
      <c r="W1" s="147" t="s">
        <v>9</v>
      </c>
      <c r="X1" s="148" t="s">
        <v>10</v>
      </c>
      <c r="Y1" s="490" t="s">
        <v>11</v>
      </c>
      <c r="Z1" s="491"/>
      <c r="AA1" s="491"/>
      <c r="AB1" s="492"/>
      <c r="AC1" s="490" t="s">
        <v>12</v>
      </c>
      <c r="AD1" s="491"/>
      <c r="AE1" s="491"/>
      <c r="AF1" s="492"/>
      <c r="AG1" s="490" t="s">
        <v>13</v>
      </c>
      <c r="AH1" s="491"/>
      <c r="AI1" s="491"/>
      <c r="AJ1" s="492"/>
      <c r="AK1" s="490" t="s">
        <v>14</v>
      </c>
      <c r="AL1" s="491"/>
      <c r="AM1" s="491"/>
      <c r="AN1" s="492"/>
    </row>
    <row r="2" spans="1:40" ht="17" thickBot="1" x14ac:dyDescent="0.35">
      <c r="A2" s="149" t="s">
        <v>15</v>
      </c>
      <c r="B2" s="150" t="s">
        <v>16</v>
      </c>
      <c r="C2" s="151" t="s">
        <v>17</v>
      </c>
      <c r="D2" s="151" t="s">
        <v>18</v>
      </c>
      <c r="E2" s="152" t="s">
        <v>19</v>
      </c>
      <c r="F2" s="152" t="s">
        <v>20</v>
      </c>
      <c r="G2" s="152" t="s">
        <v>21</v>
      </c>
      <c r="H2" s="153" t="s">
        <v>22</v>
      </c>
      <c r="I2" s="153" t="s">
        <v>23</v>
      </c>
      <c r="J2" s="153" t="s">
        <v>24</v>
      </c>
      <c r="K2" s="153" t="s">
        <v>25</v>
      </c>
      <c r="L2" s="153" t="s">
        <v>26</v>
      </c>
      <c r="M2" s="153" t="s">
        <v>27</v>
      </c>
      <c r="N2" s="153" t="s">
        <v>28</v>
      </c>
      <c r="O2" s="153" t="s">
        <v>19</v>
      </c>
      <c r="P2" s="153" t="s">
        <v>22</v>
      </c>
      <c r="Q2" s="153" t="s">
        <v>23</v>
      </c>
      <c r="R2" s="153" t="s">
        <v>24</v>
      </c>
      <c r="S2" s="154"/>
      <c r="T2" s="155"/>
      <c r="U2" s="156"/>
      <c r="V2" s="154"/>
      <c r="W2" s="157"/>
      <c r="X2" s="158"/>
      <c r="Y2" s="159" t="s">
        <v>29</v>
      </c>
      <c r="Z2" s="159" t="s">
        <v>30</v>
      </c>
      <c r="AA2" s="159" t="s">
        <v>26</v>
      </c>
      <c r="AB2" s="159" t="s">
        <v>31</v>
      </c>
      <c r="AC2" s="159" t="s">
        <v>29</v>
      </c>
      <c r="AD2" s="159" t="s">
        <v>30</v>
      </c>
      <c r="AE2" s="159" t="s">
        <v>26</v>
      </c>
      <c r="AF2" s="159" t="s">
        <v>31</v>
      </c>
      <c r="AG2" s="159" t="s">
        <v>29</v>
      </c>
      <c r="AH2" s="159" t="s">
        <v>30</v>
      </c>
      <c r="AI2" s="159" t="s">
        <v>26</v>
      </c>
      <c r="AJ2" s="159" t="s">
        <v>31</v>
      </c>
      <c r="AK2" s="159" t="s">
        <v>29</v>
      </c>
      <c r="AL2" s="159" t="s">
        <v>30</v>
      </c>
      <c r="AM2" s="159" t="s">
        <v>26</v>
      </c>
      <c r="AN2" s="160" t="s">
        <v>31</v>
      </c>
    </row>
    <row r="3" spans="1:40" ht="17" thickBot="1" x14ac:dyDescent="0.35">
      <c r="A3" s="15" t="s">
        <v>97</v>
      </c>
      <c r="B3" s="16" t="s">
        <v>32</v>
      </c>
      <c r="C3" s="17" t="s">
        <v>36</v>
      </c>
      <c r="D3" s="18" t="s">
        <v>21</v>
      </c>
      <c r="E3" s="18" t="s">
        <v>30</v>
      </c>
      <c r="F3" s="18">
        <v>31</v>
      </c>
      <c r="G3" s="19">
        <v>29</v>
      </c>
      <c r="H3" s="20">
        <v>1</v>
      </c>
      <c r="I3" s="21">
        <v>0</v>
      </c>
      <c r="J3" s="21">
        <v>5</v>
      </c>
      <c r="K3" s="21">
        <v>3</v>
      </c>
      <c r="L3" s="21">
        <v>0</v>
      </c>
      <c r="M3" s="21">
        <v>0</v>
      </c>
      <c r="N3" s="21">
        <v>0</v>
      </c>
      <c r="O3" s="21">
        <v>0</v>
      </c>
      <c r="P3" s="21">
        <v>1</v>
      </c>
      <c r="Q3" s="21">
        <v>1</v>
      </c>
      <c r="R3" s="21">
        <v>4</v>
      </c>
      <c r="S3" s="22"/>
      <c r="T3" s="281" t="s">
        <v>229</v>
      </c>
      <c r="U3" s="24" t="str">
        <f>Miami!U3</f>
        <v>Luke Rogan</v>
      </c>
      <c r="V3" s="24" t="str">
        <f>Miami!V3</f>
        <v>Mike Kelly</v>
      </c>
      <c r="W3" s="24" t="str">
        <f>Miami!W3</f>
        <v>Federico Anselmi</v>
      </c>
      <c r="X3" s="24" t="str">
        <f>Miami!X3</f>
        <v>Tom Ciampa</v>
      </c>
      <c r="Y3" s="25">
        <v>1</v>
      </c>
      <c r="Z3" s="25">
        <v>1</v>
      </c>
      <c r="AA3" s="25">
        <v>0</v>
      </c>
      <c r="AB3" s="26">
        <v>0</v>
      </c>
      <c r="AC3" s="25"/>
      <c r="AD3" s="25"/>
      <c r="AE3" s="25"/>
      <c r="AF3" s="26"/>
      <c r="AG3" s="25">
        <v>1</v>
      </c>
      <c r="AH3" s="25">
        <v>1</v>
      </c>
      <c r="AI3" s="25">
        <v>0</v>
      </c>
      <c r="AJ3" s="26">
        <v>0</v>
      </c>
      <c r="AK3" s="25"/>
      <c r="AL3" s="25"/>
      <c r="AM3" s="25"/>
      <c r="AN3" s="26"/>
    </row>
    <row r="4" spans="1:40" ht="17" thickBot="1" x14ac:dyDescent="0.35">
      <c r="A4" s="2" t="s">
        <v>120</v>
      </c>
      <c r="B4" s="3" t="s">
        <v>32</v>
      </c>
      <c r="C4" s="4" t="s">
        <v>47</v>
      </c>
      <c r="D4" s="5" t="s">
        <v>34</v>
      </c>
      <c r="E4" s="5" t="s">
        <v>31</v>
      </c>
      <c r="F4" s="5">
        <v>10</v>
      </c>
      <c r="G4" s="6">
        <v>26</v>
      </c>
      <c r="H4" s="7">
        <v>0</v>
      </c>
      <c r="I4" s="8">
        <v>0</v>
      </c>
      <c r="J4" s="8">
        <v>1</v>
      </c>
      <c r="K4" s="5">
        <v>0</v>
      </c>
      <c r="L4" s="8">
        <v>0</v>
      </c>
      <c r="M4" s="5">
        <v>1</v>
      </c>
      <c r="N4" s="8">
        <v>0</v>
      </c>
      <c r="O4" s="8">
        <v>0</v>
      </c>
      <c r="P4" s="8">
        <v>1</v>
      </c>
      <c r="Q4" s="5">
        <v>0</v>
      </c>
      <c r="R4" s="8">
        <v>4</v>
      </c>
      <c r="S4" s="9"/>
      <c r="T4" s="10" t="s">
        <v>263</v>
      </c>
      <c r="U4" s="11" t="s">
        <v>238</v>
      </c>
      <c r="V4" s="12" t="s">
        <v>220</v>
      </c>
      <c r="W4" s="12" t="s">
        <v>223</v>
      </c>
      <c r="X4" s="13" t="s">
        <v>256</v>
      </c>
      <c r="Y4" s="12">
        <v>1</v>
      </c>
      <c r="Z4" s="12">
        <v>0</v>
      </c>
      <c r="AA4" s="12">
        <v>0</v>
      </c>
      <c r="AB4" s="14">
        <v>1</v>
      </c>
      <c r="AC4" s="12">
        <v>1</v>
      </c>
      <c r="AD4" s="12">
        <v>0</v>
      </c>
      <c r="AE4" s="12">
        <v>0</v>
      </c>
      <c r="AF4" s="14">
        <v>1</v>
      </c>
      <c r="AG4" s="12"/>
      <c r="AH4" s="12"/>
      <c r="AI4" s="12"/>
      <c r="AJ4" s="14"/>
      <c r="AK4" s="12"/>
      <c r="AL4" s="12"/>
      <c r="AM4" s="12"/>
      <c r="AN4" s="14"/>
    </row>
    <row r="5" spans="1:40" ht="17" thickBot="1" x14ac:dyDescent="0.35">
      <c r="A5" s="2" t="s">
        <v>100</v>
      </c>
      <c r="B5" s="3" t="s">
        <v>32</v>
      </c>
      <c r="C5" s="4" t="s">
        <v>70</v>
      </c>
      <c r="D5" s="5" t="s">
        <v>34</v>
      </c>
      <c r="E5" s="5" t="s">
        <v>30</v>
      </c>
      <c r="F5" s="5">
        <v>26</v>
      </c>
      <c r="G5" s="6">
        <v>22</v>
      </c>
      <c r="H5" s="27">
        <v>1</v>
      </c>
      <c r="I5" s="6">
        <v>0</v>
      </c>
      <c r="J5" s="8">
        <v>4</v>
      </c>
      <c r="K5" s="8">
        <v>2</v>
      </c>
      <c r="L5" s="8">
        <v>0</v>
      </c>
      <c r="M5" s="8">
        <v>0</v>
      </c>
      <c r="N5" s="8">
        <v>2</v>
      </c>
      <c r="O5" s="8">
        <v>0</v>
      </c>
      <c r="P5" s="5">
        <v>0</v>
      </c>
      <c r="Q5" s="8">
        <v>1</v>
      </c>
      <c r="R5" s="5">
        <v>3</v>
      </c>
      <c r="S5" s="9"/>
      <c r="T5" s="298" t="s">
        <v>273</v>
      </c>
      <c r="U5" s="11" t="s">
        <v>255</v>
      </c>
      <c r="V5" s="12" t="s">
        <v>237</v>
      </c>
      <c r="W5" s="12" t="s">
        <v>216</v>
      </c>
      <c r="X5" s="13" t="s">
        <v>221</v>
      </c>
      <c r="Y5" s="12">
        <v>1</v>
      </c>
      <c r="Z5" s="12">
        <v>1</v>
      </c>
      <c r="AA5" s="12">
        <v>0</v>
      </c>
      <c r="AB5" s="14">
        <v>0</v>
      </c>
      <c r="AC5" s="12">
        <v>1</v>
      </c>
      <c r="AD5" s="12">
        <v>1</v>
      </c>
      <c r="AE5" s="12">
        <v>0</v>
      </c>
      <c r="AF5" s="14">
        <v>0</v>
      </c>
      <c r="AG5" s="12"/>
      <c r="AH5" s="12"/>
      <c r="AI5" s="12"/>
      <c r="AJ5" s="14"/>
      <c r="AK5" s="12"/>
      <c r="AL5" s="12"/>
      <c r="AM5" s="12"/>
      <c r="AN5" s="14"/>
    </row>
    <row r="6" spans="1:40" ht="17" thickBot="1" x14ac:dyDescent="0.35">
      <c r="A6" s="15" t="s">
        <v>117</v>
      </c>
      <c r="B6" s="16" t="s">
        <v>32</v>
      </c>
      <c r="C6" s="17" t="s">
        <v>40</v>
      </c>
      <c r="D6" s="18" t="s">
        <v>21</v>
      </c>
      <c r="E6" s="18" t="s">
        <v>31</v>
      </c>
      <c r="F6" s="18">
        <v>26</v>
      </c>
      <c r="G6" s="19">
        <v>30</v>
      </c>
      <c r="H6" s="19">
        <v>1</v>
      </c>
      <c r="I6" s="21">
        <v>1</v>
      </c>
      <c r="J6" s="18">
        <v>4</v>
      </c>
      <c r="K6" s="18">
        <v>3</v>
      </c>
      <c r="L6" s="21">
        <v>0</v>
      </c>
      <c r="M6" s="21">
        <v>0</v>
      </c>
      <c r="N6" s="21">
        <v>2</v>
      </c>
      <c r="O6" s="21">
        <v>0</v>
      </c>
      <c r="P6" s="21">
        <v>0</v>
      </c>
      <c r="Q6" s="18">
        <v>0</v>
      </c>
      <c r="R6" s="21">
        <v>3</v>
      </c>
      <c r="S6" s="22"/>
      <c r="T6" s="23" t="s">
        <v>275</v>
      </c>
      <c r="U6" s="25" t="str">
        <f>Chicago!U7</f>
        <v>Robin Kaluzniak</v>
      </c>
      <c r="V6" s="25" t="str">
        <f>Chicago!V7</f>
        <v>Cam Russell</v>
      </c>
      <c r="W6" s="25" t="str">
        <f>Chicago!W7</f>
        <v>Moe Chaudry</v>
      </c>
      <c r="X6" s="25" t="str">
        <f>Chicago!X7</f>
        <v>Miles McIvor</v>
      </c>
      <c r="Y6" s="25">
        <v>1</v>
      </c>
      <c r="Z6" s="25">
        <v>0</v>
      </c>
      <c r="AA6" s="25">
        <v>0</v>
      </c>
      <c r="AB6" s="26">
        <v>1</v>
      </c>
      <c r="AC6" s="25"/>
      <c r="AD6" s="25"/>
      <c r="AE6" s="25"/>
      <c r="AF6" s="26"/>
      <c r="AG6" s="25">
        <v>1</v>
      </c>
      <c r="AH6" s="25">
        <v>0</v>
      </c>
      <c r="AI6" s="25">
        <v>0</v>
      </c>
      <c r="AJ6" s="26">
        <v>1</v>
      </c>
      <c r="AK6" s="25"/>
      <c r="AL6" s="25"/>
      <c r="AM6" s="25"/>
      <c r="AN6" s="26"/>
    </row>
    <row r="7" spans="1:40" ht="17" thickBot="1" x14ac:dyDescent="0.35">
      <c r="A7" s="2" t="s">
        <v>101</v>
      </c>
      <c r="B7" s="3" t="s">
        <v>32</v>
      </c>
      <c r="C7" s="4" t="s">
        <v>33</v>
      </c>
      <c r="D7" s="5" t="s">
        <v>34</v>
      </c>
      <c r="E7" s="8" t="s">
        <v>30</v>
      </c>
      <c r="F7" s="5">
        <v>28</v>
      </c>
      <c r="G7" s="6">
        <v>14</v>
      </c>
      <c r="H7" s="7">
        <v>0</v>
      </c>
      <c r="I7" s="5">
        <v>0</v>
      </c>
      <c r="J7" s="8">
        <v>3</v>
      </c>
      <c r="K7" s="8">
        <v>2</v>
      </c>
      <c r="L7" s="8">
        <v>1</v>
      </c>
      <c r="M7" s="8">
        <v>2</v>
      </c>
      <c r="N7" s="8">
        <v>0</v>
      </c>
      <c r="O7" s="8">
        <v>0</v>
      </c>
      <c r="P7" s="8">
        <v>0</v>
      </c>
      <c r="Q7" s="8">
        <v>0</v>
      </c>
      <c r="R7" s="8">
        <v>2</v>
      </c>
      <c r="S7" s="9"/>
      <c r="T7" s="282" t="s">
        <v>292</v>
      </c>
      <c r="U7" s="11" t="s">
        <v>223</v>
      </c>
      <c r="V7" s="12" t="s">
        <v>244</v>
      </c>
      <c r="W7" s="12" t="s">
        <v>279</v>
      </c>
      <c r="X7" s="13" t="s">
        <v>280</v>
      </c>
      <c r="Y7" s="12">
        <v>1</v>
      </c>
      <c r="Z7" s="12">
        <v>1</v>
      </c>
      <c r="AA7" s="12">
        <v>0</v>
      </c>
      <c r="AB7" s="14">
        <v>0</v>
      </c>
      <c r="AC7" s="12">
        <v>1</v>
      </c>
      <c r="AD7" s="12">
        <v>1</v>
      </c>
      <c r="AE7" s="12">
        <v>0</v>
      </c>
      <c r="AF7" s="14">
        <v>0</v>
      </c>
      <c r="AG7" s="12"/>
      <c r="AH7" s="12"/>
      <c r="AI7" s="12"/>
      <c r="AJ7" s="14"/>
      <c r="AK7" s="12"/>
      <c r="AL7" s="12"/>
      <c r="AM7" s="12"/>
      <c r="AN7" s="14"/>
    </row>
    <row r="8" spans="1:40" ht="17" thickBot="1" x14ac:dyDescent="0.35">
      <c r="A8" s="15" t="s">
        <v>102</v>
      </c>
      <c r="B8" s="16" t="s">
        <v>32</v>
      </c>
      <c r="C8" s="17" t="s">
        <v>46</v>
      </c>
      <c r="D8" s="18" t="s">
        <v>21</v>
      </c>
      <c r="E8" s="21" t="s">
        <v>31</v>
      </c>
      <c r="F8" s="18">
        <v>44</v>
      </c>
      <c r="G8" s="19">
        <v>54</v>
      </c>
      <c r="H8" s="20">
        <v>1</v>
      </c>
      <c r="I8" s="18">
        <v>0</v>
      </c>
      <c r="J8" s="21">
        <v>5</v>
      </c>
      <c r="K8" s="21">
        <v>2</v>
      </c>
      <c r="L8" s="21">
        <v>0</v>
      </c>
      <c r="M8" s="21">
        <v>3</v>
      </c>
      <c r="N8" s="21">
        <v>3</v>
      </c>
      <c r="O8" s="21">
        <v>0</v>
      </c>
      <c r="P8" s="18">
        <v>1</v>
      </c>
      <c r="Q8" s="21">
        <v>0</v>
      </c>
      <c r="R8" s="21">
        <v>8</v>
      </c>
      <c r="S8" s="22"/>
      <c r="T8" s="29" t="s">
        <v>309</v>
      </c>
      <c r="U8" s="24" t="str">
        <f>LosAngeles!U8</f>
        <v>Lex Weiner</v>
      </c>
      <c r="V8" s="24" t="str">
        <f>LosAngeles!V8</f>
        <v>Greg Gilliam</v>
      </c>
      <c r="W8" s="24" t="str">
        <f>LosAngeles!W8</f>
        <v>Mike Lawrenson</v>
      </c>
      <c r="X8" s="24" t="str">
        <f>LosAngeles!X8</f>
        <v>Austin Reed</v>
      </c>
      <c r="Y8" s="25">
        <v>1</v>
      </c>
      <c r="Z8" s="25">
        <v>0</v>
      </c>
      <c r="AA8" s="25">
        <v>0</v>
      </c>
      <c r="AB8" s="26">
        <v>1</v>
      </c>
      <c r="AC8" s="25"/>
      <c r="AD8" s="25"/>
      <c r="AE8" s="25"/>
      <c r="AF8" s="26"/>
      <c r="AG8" s="25">
        <v>1</v>
      </c>
      <c r="AH8" s="25">
        <v>0</v>
      </c>
      <c r="AI8" s="25">
        <v>0</v>
      </c>
      <c r="AJ8" s="26">
        <v>1</v>
      </c>
      <c r="AK8" s="25"/>
      <c r="AL8" s="25"/>
      <c r="AM8" s="25"/>
      <c r="AN8" s="26"/>
    </row>
    <row r="9" spans="1:40" ht="17" thickBot="1" x14ac:dyDescent="0.35">
      <c r="A9" s="2" t="s">
        <v>103</v>
      </c>
      <c r="B9" s="3" t="s">
        <v>32</v>
      </c>
      <c r="C9" s="4" t="s">
        <v>43</v>
      </c>
      <c r="D9" s="5" t="s">
        <v>34</v>
      </c>
      <c r="E9" s="8" t="s">
        <v>30</v>
      </c>
      <c r="F9" s="5">
        <v>29</v>
      </c>
      <c r="G9" s="6">
        <v>12</v>
      </c>
      <c r="H9" s="7">
        <v>1</v>
      </c>
      <c r="I9" s="8">
        <v>0</v>
      </c>
      <c r="J9" s="8">
        <v>4</v>
      </c>
      <c r="K9" s="8">
        <v>3</v>
      </c>
      <c r="L9" s="8">
        <v>0</v>
      </c>
      <c r="M9" s="8">
        <v>1</v>
      </c>
      <c r="N9" s="8">
        <v>1</v>
      </c>
      <c r="O9" s="8">
        <v>0</v>
      </c>
      <c r="P9" s="8">
        <v>0</v>
      </c>
      <c r="Q9" s="8">
        <v>0</v>
      </c>
      <c r="R9" s="8">
        <v>2</v>
      </c>
      <c r="S9" s="9"/>
      <c r="T9" s="282" t="s">
        <v>316</v>
      </c>
      <c r="U9" s="11" t="s">
        <v>222</v>
      </c>
      <c r="V9" s="12" t="s">
        <v>237</v>
      </c>
      <c r="W9" s="12" t="s">
        <v>256</v>
      </c>
      <c r="X9" s="13" t="s">
        <v>280</v>
      </c>
      <c r="Y9" s="12">
        <v>1</v>
      </c>
      <c r="Z9" s="12">
        <v>1</v>
      </c>
      <c r="AA9" s="12">
        <v>0</v>
      </c>
      <c r="AB9" s="14">
        <v>0</v>
      </c>
      <c r="AC9" s="12">
        <f>Y9</f>
        <v>1</v>
      </c>
      <c r="AD9" s="12">
        <f t="shared" ref="AD9:AF11" si="0">Z9</f>
        <v>1</v>
      </c>
      <c r="AE9" s="12">
        <f t="shared" si="0"/>
        <v>0</v>
      </c>
      <c r="AF9" s="12">
        <f t="shared" si="0"/>
        <v>0</v>
      </c>
      <c r="AG9" s="12"/>
      <c r="AH9" s="12"/>
      <c r="AI9" s="12"/>
      <c r="AJ9" s="14"/>
      <c r="AK9" s="12"/>
      <c r="AL9" s="12"/>
      <c r="AM9" s="12"/>
      <c r="AN9" s="14"/>
    </row>
    <row r="10" spans="1:40" ht="17" thickBot="1" x14ac:dyDescent="0.35">
      <c r="A10" s="15" t="s">
        <v>121</v>
      </c>
      <c r="B10" s="16" t="s">
        <v>32</v>
      </c>
      <c r="C10" s="17" t="s">
        <v>96</v>
      </c>
      <c r="D10" s="18" t="s">
        <v>21</v>
      </c>
      <c r="E10" s="18" t="s">
        <v>31</v>
      </c>
      <c r="F10" s="18">
        <v>29</v>
      </c>
      <c r="G10" s="19">
        <v>51</v>
      </c>
      <c r="H10" s="20">
        <v>1</v>
      </c>
      <c r="I10" s="21">
        <v>0</v>
      </c>
      <c r="J10" s="21">
        <v>5</v>
      </c>
      <c r="K10" s="21">
        <v>2</v>
      </c>
      <c r="L10" s="21">
        <v>0</v>
      </c>
      <c r="M10" s="21">
        <v>0</v>
      </c>
      <c r="N10" s="18">
        <v>1</v>
      </c>
      <c r="O10" s="21">
        <v>0</v>
      </c>
      <c r="P10" s="21">
        <v>1</v>
      </c>
      <c r="Q10" s="18">
        <v>0</v>
      </c>
      <c r="R10" s="21">
        <v>7</v>
      </c>
      <c r="S10" s="22"/>
      <c r="T10" s="23" t="s">
        <v>294</v>
      </c>
      <c r="U10" s="24" t="str">
        <f>NOLA!U10</f>
        <v>George Myers</v>
      </c>
      <c r="V10" s="24" t="str">
        <f>NOLA!V10</f>
        <v>Cam Russell</v>
      </c>
      <c r="W10" s="24" t="str">
        <f>NOLA!W10</f>
        <v>Kat Roche</v>
      </c>
      <c r="X10" s="24" t="str">
        <f>NOLA!X10</f>
        <v>Ben Dickenson</v>
      </c>
      <c r="Y10" s="25">
        <f>NOLA!Y10</f>
        <v>1</v>
      </c>
      <c r="Z10" s="25">
        <f>NOLA!AB10</f>
        <v>0</v>
      </c>
      <c r="AA10" s="25">
        <f>NOLA!AA10</f>
        <v>0</v>
      </c>
      <c r="AB10" s="26">
        <f>NOLA!Z10</f>
        <v>1</v>
      </c>
      <c r="AC10" s="25"/>
      <c r="AD10" s="25"/>
      <c r="AE10" s="25"/>
      <c r="AF10" s="25"/>
      <c r="AG10" s="25">
        <f>Y10</f>
        <v>1</v>
      </c>
      <c r="AH10" s="25">
        <f t="shared" ref="AH10:AJ10" si="1">Z10</f>
        <v>0</v>
      </c>
      <c r="AI10" s="25">
        <f t="shared" si="1"/>
        <v>0</v>
      </c>
      <c r="AJ10" s="25">
        <f t="shared" si="1"/>
        <v>1</v>
      </c>
      <c r="AK10" s="25"/>
      <c r="AL10" s="25"/>
      <c r="AM10" s="25"/>
      <c r="AN10" s="26"/>
    </row>
    <row r="11" spans="1:40" ht="17" thickBot="1" x14ac:dyDescent="0.35">
      <c r="A11" s="2" t="s">
        <v>122</v>
      </c>
      <c r="B11" s="3" t="s">
        <v>32</v>
      </c>
      <c r="C11" s="4" t="s">
        <v>36</v>
      </c>
      <c r="D11" s="5" t="s">
        <v>34</v>
      </c>
      <c r="E11" s="5" t="s">
        <v>31</v>
      </c>
      <c r="F11" s="5">
        <v>35</v>
      </c>
      <c r="G11" s="6">
        <v>37</v>
      </c>
      <c r="H11" s="7">
        <v>1</v>
      </c>
      <c r="I11" s="8">
        <v>1</v>
      </c>
      <c r="J11" s="8">
        <v>5</v>
      </c>
      <c r="K11" s="8">
        <v>5</v>
      </c>
      <c r="L11" s="8">
        <v>0</v>
      </c>
      <c r="M11" s="8">
        <v>0</v>
      </c>
      <c r="N11" s="8">
        <v>1</v>
      </c>
      <c r="O11" s="8">
        <v>0</v>
      </c>
      <c r="P11" s="8">
        <v>1</v>
      </c>
      <c r="Q11" s="5">
        <v>0</v>
      </c>
      <c r="R11" s="8">
        <v>4</v>
      </c>
      <c r="S11" s="9"/>
      <c r="T11" s="10" t="s">
        <v>337</v>
      </c>
      <c r="U11" s="162" t="s">
        <v>226</v>
      </c>
      <c r="V11" s="163" t="s">
        <v>237</v>
      </c>
      <c r="W11" s="163" t="s">
        <v>216</v>
      </c>
      <c r="X11" s="164" t="s">
        <v>280</v>
      </c>
      <c r="Y11" s="12">
        <v>1</v>
      </c>
      <c r="Z11" s="12">
        <v>0</v>
      </c>
      <c r="AA11" s="12">
        <v>0</v>
      </c>
      <c r="AB11" s="14">
        <v>1</v>
      </c>
      <c r="AC11" s="12">
        <f>Y11</f>
        <v>1</v>
      </c>
      <c r="AD11" s="12">
        <f t="shared" si="0"/>
        <v>0</v>
      </c>
      <c r="AE11" s="12">
        <f t="shared" si="0"/>
        <v>0</v>
      </c>
      <c r="AF11" s="12">
        <f t="shared" si="0"/>
        <v>1</v>
      </c>
      <c r="AG11" s="12"/>
      <c r="AH11" s="12"/>
      <c r="AI11" s="12"/>
      <c r="AJ11" s="14"/>
      <c r="AK11" s="12"/>
      <c r="AL11" s="12"/>
      <c r="AM11" s="12"/>
      <c r="AN11" s="14"/>
    </row>
    <row r="12" spans="1:40" ht="17" thickBot="1" x14ac:dyDescent="0.35">
      <c r="A12" s="33" t="s">
        <v>118</v>
      </c>
      <c r="B12" s="16" t="s">
        <v>32</v>
      </c>
      <c r="C12" s="17" t="s">
        <v>44</v>
      </c>
      <c r="D12" s="18" t="s">
        <v>21</v>
      </c>
      <c r="E12" s="18" t="s">
        <v>31</v>
      </c>
      <c r="F12" s="18">
        <v>27</v>
      </c>
      <c r="G12" s="19">
        <v>48</v>
      </c>
      <c r="H12" s="20">
        <v>0</v>
      </c>
      <c r="I12" s="21">
        <v>0</v>
      </c>
      <c r="J12" s="21">
        <v>3</v>
      </c>
      <c r="K12" s="21">
        <v>3</v>
      </c>
      <c r="L12" s="21">
        <v>0</v>
      </c>
      <c r="M12" s="21">
        <v>2</v>
      </c>
      <c r="N12" s="18">
        <v>0</v>
      </c>
      <c r="O12" s="21">
        <v>0</v>
      </c>
      <c r="P12" s="21">
        <v>1</v>
      </c>
      <c r="Q12" s="21">
        <v>0</v>
      </c>
      <c r="R12" s="21">
        <v>6</v>
      </c>
      <c r="S12" s="34"/>
      <c r="T12" s="23" t="s">
        <v>344</v>
      </c>
      <c r="U12" s="24" t="str">
        <f>Houston!U12</f>
        <v>David Vosalevu</v>
      </c>
      <c r="V12" s="24" t="str">
        <f>Houston!V12</f>
        <v>Derek Summers</v>
      </c>
      <c r="W12" s="24" t="str">
        <f>Houston!W12</f>
        <v>Kat Roche</v>
      </c>
      <c r="X12" s="24" t="str">
        <f>Houston!X12</f>
        <v>Ben Dickenson</v>
      </c>
      <c r="Y12" s="25">
        <f>Houston!Y12</f>
        <v>1</v>
      </c>
      <c r="Z12" s="25">
        <f>Houston!AB12</f>
        <v>0</v>
      </c>
      <c r="AA12" s="25">
        <f>Houston!AA12</f>
        <v>0</v>
      </c>
      <c r="AB12" s="26">
        <f>Houston!Z12</f>
        <v>1</v>
      </c>
      <c r="AC12" s="25"/>
      <c r="AD12" s="25"/>
      <c r="AE12" s="25"/>
      <c r="AF12" s="26"/>
      <c r="AG12" s="25">
        <f>Y12</f>
        <v>1</v>
      </c>
      <c r="AH12" s="25">
        <f t="shared" ref="AH12:AJ12" si="2">Z12</f>
        <v>0</v>
      </c>
      <c r="AI12" s="25">
        <f t="shared" si="2"/>
        <v>0</v>
      </c>
      <c r="AJ12" s="25">
        <f t="shared" si="2"/>
        <v>1</v>
      </c>
      <c r="AK12" s="25"/>
      <c r="AL12" s="25"/>
      <c r="AM12" s="25"/>
      <c r="AN12" s="26"/>
    </row>
    <row r="13" spans="1:40" ht="17" thickBot="1" x14ac:dyDescent="0.35">
      <c r="A13" s="31" t="s">
        <v>42</v>
      </c>
      <c r="B13" s="3" t="s">
        <v>32</v>
      </c>
      <c r="C13" s="4" t="s">
        <v>39</v>
      </c>
      <c r="D13" s="5" t="s">
        <v>34</v>
      </c>
      <c r="E13" s="5" t="s">
        <v>30</v>
      </c>
      <c r="F13" s="5">
        <v>28</v>
      </c>
      <c r="G13" s="6">
        <v>12</v>
      </c>
      <c r="H13" s="7">
        <v>1</v>
      </c>
      <c r="I13" s="8">
        <v>0</v>
      </c>
      <c r="J13" s="8">
        <v>4</v>
      </c>
      <c r="K13" s="8">
        <v>1</v>
      </c>
      <c r="L13" s="8">
        <v>0</v>
      </c>
      <c r="M13" s="8">
        <v>2</v>
      </c>
      <c r="N13" s="8">
        <v>0</v>
      </c>
      <c r="O13" s="8">
        <v>0</v>
      </c>
      <c r="P13" s="8">
        <v>0</v>
      </c>
      <c r="Q13" s="8">
        <v>0</v>
      </c>
      <c r="R13" s="8">
        <v>2</v>
      </c>
      <c r="S13" s="32"/>
      <c r="T13" s="282" t="s">
        <v>354</v>
      </c>
      <c r="U13" s="11" t="s">
        <v>269</v>
      </c>
      <c r="V13" s="12" t="s">
        <v>237</v>
      </c>
      <c r="W13" s="12" t="s">
        <v>279</v>
      </c>
      <c r="X13" s="13" t="s">
        <v>254</v>
      </c>
      <c r="Y13" s="12">
        <v>1</v>
      </c>
      <c r="Z13" s="12">
        <v>1</v>
      </c>
      <c r="AA13" s="12">
        <v>0</v>
      </c>
      <c r="AB13" s="14">
        <v>0</v>
      </c>
      <c r="AC13" s="12">
        <f>Y13</f>
        <v>1</v>
      </c>
      <c r="AD13" s="12">
        <f t="shared" ref="AD13:AF14" si="3">Z13</f>
        <v>1</v>
      </c>
      <c r="AE13" s="12">
        <f t="shared" si="3"/>
        <v>0</v>
      </c>
      <c r="AF13" s="12">
        <f t="shared" si="3"/>
        <v>0</v>
      </c>
      <c r="AG13" s="12"/>
      <c r="AH13" s="12"/>
      <c r="AI13" s="12"/>
      <c r="AJ13" s="14"/>
      <c r="AK13" s="12"/>
      <c r="AL13" s="12"/>
      <c r="AM13" s="12"/>
      <c r="AN13" s="14"/>
    </row>
    <row r="14" spans="1:40" ht="17" thickBot="1" x14ac:dyDescent="0.35">
      <c r="A14" s="31" t="s">
        <v>133</v>
      </c>
      <c r="B14" s="3" t="s">
        <v>32</v>
      </c>
      <c r="C14" s="4" t="s">
        <v>96</v>
      </c>
      <c r="D14" s="5" t="s">
        <v>34</v>
      </c>
      <c r="E14" s="5" t="s">
        <v>30</v>
      </c>
      <c r="F14" s="5">
        <v>27</v>
      </c>
      <c r="G14" s="6">
        <v>14</v>
      </c>
      <c r="H14" s="7">
        <v>1</v>
      </c>
      <c r="I14" s="8">
        <v>0</v>
      </c>
      <c r="J14" s="8">
        <v>4</v>
      </c>
      <c r="K14" s="8">
        <v>2</v>
      </c>
      <c r="L14" s="8">
        <v>0</v>
      </c>
      <c r="M14" s="8">
        <v>1</v>
      </c>
      <c r="N14" s="8">
        <v>1</v>
      </c>
      <c r="O14" s="8">
        <v>0</v>
      </c>
      <c r="P14" s="8">
        <v>0</v>
      </c>
      <c r="Q14" s="8">
        <v>0</v>
      </c>
      <c r="R14" s="8">
        <v>2</v>
      </c>
      <c r="S14" s="32"/>
      <c r="T14" s="36" t="s">
        <v>371</v>
      </c>
      <c r="U14" s="11" t="s">
        <v>214</v>
      </c>
      <c r="V14" s="12" t="s">
        <v>220</v>
      </c>
      <c r="W14" s="12" t="s">
        <v>269</v>
      </c>
      <c r="X14" s="13" t="s">
        <v>256</v>
      </c>
      <c r="Y14" s="12">
        <v>1</v>
      </c>
      <c r="Z14" s="12">
        <v>1</v>
      </c>
      <c r="AA14" s="12">
        <v>0</v>
      </c>
      <c r="AB14" s="14">
        <v>0</v>
      </c>
      <c r="AC14" s="12">
        <f>Y14</f>
        <v>1</v>
      </c>
      <c r="AD14" s="12">
        <f t="shared" si="3"/>
        <v>1</v>
      </c>
      <c r="AE14" s="12">
        <f t="shared" si="3"/>
        <v>0</v>
      </c>
      <c r="AF14" s="12">
        <f t="shared" si="3"/>
        <v>0</v>
      </c>
      <c r="AG14" s="12"/>
      <c r="AH14" s="12"/>
      <c r="AI14" s="12"/>
      <c r="AJ14" s="14"/>
      <c r="AK14" s="12"/>
      <c r="AL14" s="12"/>
      <c r="AM14" s="12"/>
      <c r="AN14" s="14"/>
    </row>
    <row r="15" spans="1:40" ht="17" thickBot="1" x14ac:dyDescent="0.35">
      <c r="A15" s="33" t="s">
        <v>108</v>
      </c>
      <c r="B15" s="16" t="s">
        <v>32</v>
      </c>
      <c r="C15" s="17" t="s">
        <v>70</v>
      </c>
      <c r="D15" s="18" t="s">
        <v>21</v>
      </c>
      <c r="E15" s="18" t="s">
        <v>30</v>
      </c>
      <c r="F15" s="18">
        <v>41</v>
      </c>
      <c r="G15" s="19">
        <v>19</v>
      </c>
      <c r="H15" s="20">
        <v>1</v>
      </c>
      <c r="I15" s="21">
        <v>0</v>
      </c>
      <c r="J15" s="21">
        <v>7</v>
      </c>
      <c r="K15" s="21">
        <v>3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3</v>
      </c>
      <c r="S15" s="34"/>
      <c r="T15" s="292" t="s">
        <v>328</v>
      </c>
      <c r="U15" s="24" t="str">
        <f>Anthem!U15</f>
        <v>Peter Martin</v>
      </c>
      <c r="V15" s="24" t="str">
        <f>Anthem!V15</f>
        <v>Austin Reed</v>
      </c>
      <c r="W15" s="24" t="str">
        <f>Anthem!W15</f>
        <v>Mike Lawrenson</v>
      </c>
      <c r="X15" s="24" t="str">
        <f>Anthem!X15</f>
        <v>Dave Edwards</v>
      </c>
      <c r="Y15" s="25">
        <f>Anthem!Y15</f>
        <v>1</v>
      </c>
      <c r="Z15" s="25">
        <f>Anthem!AB15</f>
        <v>1</v>
      </c>
      <c r="AA15" s="25">
        <f>Anthem!AA15</f>
        <v>0</v>
      </c>
      <c r="AB15" s="26">
        <f>Anthem!Z15</f>
        <v>0</v>
      </c>
      <c r="AC15" s="25"/>
      <c r="AD15" s="25"/>
      <c r="AE15" s="25"/>
      <c r="AF15" s="26"/>
      <c r="AG15" s="25">
        <f>Y15</f>
        <v>1</v>
      </c>
      <c r="AH15" s="25">
        <f t="shared" ref="AH15:AJ16" si="4">Z15</f>
        <v>1</v>
      </c>
      <c r="AI15" s="25">
        <f t="shared" si="4"/>
        <v>0</v>
      </c>
      <c r="AJ15" s="25">
        <f t="shared" si="4"/>
        <v>0</v>
      </c>
      <c r="AK15" s="25"/>
      <c r="AL15" s="25"/>
      <c r="AM15" s="25"/>
      <c r="AN15" s="26"/>
    </row>
    <row r="16" spans="1:40" ht="17" thickBot="1" x14ac:dyDescent="0.35">
      <c r="A16" s="33" t="s">
        <v>109</v>
      </c>
      <c r="B16" s="16" t="s">
        <v>32</v>
      </c>
      <c r="C16" s="17" t="s">
        <v>33</v>
      </c>
      <c r="D16" s="18" t="s">
        <v>21</v>
      </c>
      <c r="E16" s="18" t="s">
        <v>30</v>
      </c>
      <c r="F16" s="18">
        <v>20</v>
      </c>
      <c r="G16" s="19">
        <v>17</v>
      </c>
      <c r="H16" s="20">
        <v>0</v>
      </c>
      <c r="I16" s="21">
        <v>0</v>
      </c>
      <c r="J16" s="21">
        <v>2</v>
      </c>
      <c r="K16" s="21">
        <v>2</v>
      </c>
      <c r="L16" s="21">
        <v>0</v>
      </c>
      <c r="M16" s="21">
        <v>2</v>
      </c>
      <c r="N16" s="21">
        <v>1</v>
      </c>
      <c r="O16" s="21">
        <v>0</v>
      </c>
      <c r="P16" s="21">
        <v>0</v>
      </c>
      <c r="Q16" s="21">
        <v>1</v>
      </c>
      <c r="R16" s="21">
        <v>3</v>
      </c>
      <c r="S16" s="34"/>
      <c r="T16" s="297" t="s">
        <v>385</v>
      </c>
      <c r="U16" s="24" t="str">
        <f>NewEngland!U16</f>
        <v>Saba Abulashvili</v>
      </c>
      <c r="V16" s="24" t="str">
        <f>NewEngland!V16</f>
        <v>Derek Summers</v>
      </c>
      <c r="W16" s="24" t="str">
        <f>NewEngland!W16</f>
        <v>Amelia Luciano</v>
      </c>
      <c r="X16" s="24" t="str">
        <f>NewEngland!X16</f>
        <v>Jarrod Ford</v>
      </c>
      <c r="Y16" s="25">
        <f>NewEngland!Y16</f>
        <v>1</v>
      </c>
      <c r="Z16" s="25">
        <f>NewEngland!AB16</f>
        <v>1</v>
      </c>
      <c r="AA16" s="25">
        <f>NewEngland!AA16</f>
        <v>0</v>
      </c>
      <c r="AB16" s="26">
        <f>NewEngland!Z16</f>
        <v>0</v>
      </c>
      <c r="AC16" s="25"/>
      <c r="AD16" s="25"/>
      <c r="AE16" s="25"/>
      <c r="AF16" s="26"/>
      <c r="AG16" s="25">
        <f>Y16</f>
        <v>1</v>
      </c>
      <c r="AH16" s="25">
        <f t="shared" si="4"/>
        <v>1</v>
      </c>
      <c r="AI16" s="25">
        <f t="shared" si="4"/>
        <v>0</v>
      </c>
      <c r="AJ16" s="25">
        <f t="shared" si="4"/>
        <v>0</v>
      </c>
      <c r="AK16" s="25"/>
      <c r="AL16" s="25"/>
      <c r="AM16" s="25"/>
      <c r="AN16" s="26"/>
    </row>
    <row r="17" spans="1:40" ht="17" thickBot="1" x14ac:dyDescent="0.35">
      <c r="A17" s="31" t="s">
        <v>110</v>
      </c>
      <c r="B17" s="3" t="s">
        <v>32</v>
      </c>
      <c r="C17" s="4" t="s">
        <v>46</v>
      </c>
      <c r="D17" s="5" t="s">
        <v>34</v>
      </c>
      <c r="E17" s="5" t="s">
        <v>31</v>
      </c>
      <c r="F17" s="5">
        <v>32</v>
      </c>
      <c r="G17" s="6">
        <v>43</v>
      </c>
      <c r="H17" s="7">
        <v>1</v>
      </c>
      <c r="I17" s="8">
        <v>0</v>
      </c>
      <c r="J17" s="8">
        <v>6</v>
      </c>
      <c r="K17" s="8">
        <v>1</v>
      </c>
      <c r="L17" s="8">
        <v>0</v>
      </c>
      <c r="M17" s="8">
        <v>0</v>
      </c>
      <c r="N17" s="5">
        <v>0</v>
      </c>
      <c r="O17" s="8">
        <v>0</v>
      </c>
      <c r="P17" s="8">
        <v>1</v>
      </c>
      <c r="Q17" s="8">
        <v>0</v>
      </c>
      <c r="R17" s="8">
        <v>7</v>
      </c>
      <c r="S17" s="9"/>
      <c r="T17" s="28" t="s">
        <v>274</v>
      </c>
      <c r="U17" s="12" t="s">
        <v>216</v>
      </c>
      <c r="V17" s="12" t="s">
        <v>213</v>
      </c>
      <c r="W17" s="12" t="s">
        <v>222</v>
      </c>
      <c r="X17" s="12" t="s">
        <v>256</v>
      </c>
      <c r="Y17" s="12">
        <v>1</v>
      </c>
      <c r="Z17" s="12">
        <v>0</v>
      </c>
      <c r="AA17" s="12">
        <v>0</v>
      </c>
      <c r="AB17" s="14">
        <v>1</v>
      </c>
      <c r="AC17" s="12">
        <f>Y17</f>
        <v>1</v>
      </c>
      <c r="AD17" s="12">
        <f t="shared" ref="AD17:AF17" si="5">Z17</f>
        <v>0</v>
      </c>
      <c r="AE17" s="12">
        <f t="shared" si="5"/>
        <v>0</v>
      </c>
      <c r="AF17" s="12">
        <f t="shared" si="5"/>
        <v>1</v>
      </c>
      <c r="AG17" s="12"/>
      <c r="AH17" s="12"/>
      <c r="AI17" s="12"/>
      <c r="AJ17" s="14"/>
      <c r="AK17" s="12"/>
      <c r="AL17" s="12"/>
      <c r="AM17" s="12"/>
      <c r="AN17" s="14"/>
    </row>
    <row r="18" spans="1:40" ht="17" thickBot="1" x14ac:dyDescent="0.35">
      <c r="A18" s="33" t="s">
        <v>131</v>
      </c>
      <c r="B18" s="16" t="s">
        <v>32</v>
      </c>
      <c r="C18" s="37" t="s">
        <v>47</v>
      </c>
      <c r="D18" s="38" t="s">
        <v>21</v>
      </c>
      <c r="E18" s="38" t="s">
        <v>31</v>
      </c>
      <c r="F18" s="18">
        <v>5</v>
      </c>
      <c r="G18" s="19">
        <v>50</v>
      </c>
      <c r="H18" s="20">
        <v>0</v>
      </c>
      <c r="I18" s="21">
        <v>0</v>
      </c>
      <c r="J18" s="21">
        <v>1</v>
      </c>
      <c r="K18" s="21">
        <v>0</v>
      </c>
      <c r="L18" s="21">
        <v>0</v>
      </c>
      <c r="M18" s="21">
        <v>0</v>
      </c>
      <c r="N18" s="21">
        <v>2</v>
      </c>
      <c r="O18" s="21">
        <v>0</v>
      </c>
      <c r="P18" s="21">
        <v>1</v>
      </c>
      <c r="Q18" s="21">
        <v>0</v>
      </c>
      <c r="R18" s="21">
        <v>7</v>
      </c>
      <c r="S18" s="34"/>
      <c r="T18" s="23" t="s">
        <v>405</v>
      </c>
      <c r="U18" s="25" t="str">
        <f>SanDiego!U18</f>
        <v>Derek Summers</v>
      </c>
      <c r="V18" s="25" t="str">
        <f>SanDiego!V18</f>
        <v>Mike Kelly</v>
      </c>
      <c r="W18" s="25" t="str">
        <f>SanDiego!W18</f>
        <v>Will Nelson</v>
      </c>
      <c r="X18" s="25" t="str">
        <f>SanDiego!X18</f>
        <v>Fernando Garcia</v>
      </c>
      <c r="Y18" s="25">
        <f>SanDiego!Y18</f>
        <v>1</v>
      </c>
      <c r="Z18" s="25">
        <f>SanDiego!AB18</f>
        <v>0</v>
      </c>
      <c r="AA18" s="25">
        <f>SanDiego!AA18</f>
        <v>0</v>
      </c>
      <c r="AB18" s="26">
        <f>SanDiego!Z18</f>
        <v>1</v>
      </c>
      <c r="AC18" s="25"/>
      <c r="AD18" s="25"/>
      <c r="AE18" s="25"/>
      <c r="AF18" s="26"/>
      <c r="AG18" s="25">
        <f>Y18</f>
        <v>1</v>
      </c>
      <c r="AH18" s="25">
        <f t="shared" ref="AH18:AJ18" si="6">Z18</f>
        <v>0</v>
      </c>
      <c r="AI18" s="25">
        <f t="shared" si="6"/>
        <v>0</v>
      </c>
      <c r="AJ18" s="25">
        <f t="shared" si="6"/>
        <v>1</v>
      </c>
      <c r="AK18" s="25"/>
      <c r="AL18" s="25"/>
      <c r="AM18" s="25"/>
      <c r="AN18" s="26"/>
    </row>
    <row r="19" spans="1:40" ht="17" thickBot="1" x14ac:dyDescent="0.35">
      <c r="A19" s="366" t="s">
        <v>411</v>
      </c>
      <c r="B19" s="366" t="s">
        <v>112</v>
      </c>
      <c r="C19" s="37" t="s">
        <v>40</v>
      </c>
      <c r="D19" s="38" t="s">
        <v>21</v>
      </c>
      <c r="E19" s="38" t="s">
        <v>31</v>
      </c>
      <c r="F19" s="38">
        <v>16</v>
      </c>
      <c r="G19" s="367">
        <v>27</v>
      </c>
      <c r="H19" s="368"/>
      <c r="I19" s="369"/>
      <c r="J19" s="369">
        <v>1</v>
      </c>
      <c r="K19" s="369">
        <v>1</v>
      </c>
      <c r="L19" s="369">
        <v>0</v>
      </c>
      <c r="M19" s="369">
        <v>3</v>
      </c>
      <c r="N19" s="369">
        <v>1</v>
      </c>
      <c r="O19" s="369">
        <v>0</v>
      </c>
      <c r="P19" s="369"/>
      <c r="Q19" s="369"/>
      <c r="R19" s="369">
        <v>3</v>
      </c>
      <c r="S19" s="34"/>
      <c r="T19" s="29" t="s">
        <v>417</v>
      </c>
      <c r="U19" s="25" t="str">
        <f>Chicago!U19</f>
        <v>Luke Rogan</v>
      </c>
      <c r="V19" s="25" t="str">
        <f>Chicago!V19</f>
        <v>Austin Reed</v>
      </c>
      <c r="W19" s="25" t="str">
        <f>Chicago!W19</f>
        <v>Federico Anselmi</v>
      </c>
      <c r="X19" s="25" t="str">
        <f>Chicago!X19</f>
        <v>Morris Fuller</v>
      </c>
      <c r="Y19" s="25">
        <v>1</v>
      </c>
      <c r="Z19" s="25">
        <v>0</v>
      </c>
      <c r="AA19" s="25">
        <v>0</v>
      </c>
      <c r="AB19" s="25">
        <v>1</v>
      </c>
      <c r="AC19" s="25"/>
      <c r="AD19" s="25"/>
      <c r="AE19" s="25"/>
      <c r="AF19" s="25"/>
      <c r="AG19" s="25">
        <v>1</v>
      </c>
      <c r="AH19" s="25">
        <v>0</v>
      </c>
      <c r="AI19" s="25">
        <v>0</v>
      </c>
      <c r="AJ19" s="25">
        <v>1</v>
      </c>
      <c r="AK19" s="25"/>
      <c r="AL19" s="25"/>
      <c r="AM19" s="25"/>
      <c r="AN19" s="25"/>
    </row>
    <row r="20" spans="1:40" ht="17" thickBot="1" x14ac:dyDescent="0.35">
      <c r="A20" s="39"/>
      <c r="B20" s="40"/>
      <c r="C20" s="389" t="s">
        <v>48</v>
      </c>
      <c r="D20" s="416"/>
      <c r="E20" s="417"/>
      <c r="F20" s="41">
        <f t="shared" ref="F20:R20" si="7">SUM(F3+F4+F5+F6+F7+F8+F9+F10+F11+F12+F13+F14+F15+F16+F17+F18)</f>
        <v>438</v>
      </c>
      <c r="G20" s="41">
        <f t="shared" si="7"/>
        <v>478</v>
      </c>
      <c r="H20" s="41">
        <f t="shared" si="7"/>
        <v>11</v>
      </c>
      <c r="I20" s="41">
        <f t="shared" si="7"/>
        <v>2</v>
      </c>
      <c r="J20" s="41">
        <f t="shared" si="7"/>
        <v>63</v>
      </c>
      <c r="K20" s="41">
        <f t="shared" si="7"/>
        <v>34</v>
      </c>
      <c r="L20" s="41">
        <f t="shared" si="7"/>
        <v>1</v>
      </c>
      <c r="M20" s="41">
        <f t="shared" si="7"/>
        <v>14</v>
      </c>
      <c r="N20" s="41">
        <f t="shared" si="7"/>
        <v>14</v>
      </c>
      <c r="O20" s="41">
        <f t="shared" si="7"/>
        <v>0</v>
      </c>
      <c r="P20" s="41">
        <f t="shared" si="7"/>
        <v>8</v>
      </c>
      <c r="Q20" s="41">
        <f t="shared" si="7"/>
        <v>3</v>
      </c>
      <c r="R20" s="41">
        <f t="shared" si="7"/>
        <v>67</v>
      </c>
      <c r="S20" s="42"/>
      <c r="T20" s="42"/>
      <c r="U20" s="42"/>
      <c r="V20" s="42"/>
      <c r="W20" s="43"/>
      <c r="X20" s="44" t="s">
        <v>48</v>
      </c>
      <c r="Y20" s="41">
        <f t="shared" ref="Y20:AN20" si="8">Y3+Y4+Y5+Y6+Y7+Y8+Y9+Y10+Y11+Y12+Y13+Y14+Y15+Y16+Y17+Y18</f>
        <v>16</v>
      </c>
      <c r="Z20" s="41">
        <f t="shared" si="8"/>
        <v>8</v>
      </c>
      <c r="AA20" s="41">
        <f t="shared" si="8"/>
        <v>0</v>
      </c>
      <c r="AB20" s="41">
        <f t="shared" si="8"/>
        <v>8</v>
      </c>
      <c r="AC20" s="45">
        <f t="shared" si="8"/>
        <v>8</v>
      </c>
      <c r="AD20" s="45">
        <f t="shared" si="8"/>
        <v>5</v>
      </c>
      <c r="AE20" s="45">
        <f t="shared" si="8"/>
        <v>0</v>
      </c>
      <c r="AF20" s="45">
        <f t="shared" si="8"/>
        <v>3</v>
      </c>
      <c r="AG20" s="38">
        <f t="shared" si="8"/>
        <v>8</v>
      </c>
      <c r="AH20" s="38">
        <f t="shared" si="8"/>
        <v>3</v>
      </c>
      <c r="AI20" s="38">
        <f t="shared" si="8"/>
        <v>0</v>
      </c>
      <c r="AJ20" s="38">
        <f t="shared" si="8"/>
        <v>5</v>
      </c>
      <c r="AK20" s="41">
        <f t="shared" si="8"/>
        <v>0</v>
      </c>
      <c r="AL20" s="41">
        <f t="shared" si="8"/>
        <v>0</v>
      </c>
      <c r="AM20" s="41">
        <f t="shared" si="8"/>
        <v>0</v>
      </c>
      <c r="AN20" s="41">
        <f t="shared" si="8"/>
        <v>0</v>
      </c>
    </row>
    <row r="21" spans="1:40" ht="17" customHeight="1" thickBot="1" x14ac:dyDescent="0.35">
      <c r="A21" s="39"/>
      <c r="B21" s="40"/>
      <c r="C21" s="389" t="s">
        <v>413</v>
      </c>
      <c r="D21" s="416"/>
      <c r="E21" s="417"/>
      <c r="F21" s="46">
        <f>F19</f>
        <v>16</v>
      </c>
      <c r="G21" s="46">
        <f t="shared" ref="G21:R21" si="9">G19</f>
        <v>27</v>
      </c>
      <c r="H21" s="46">
        <f t="shared" si="9"/>
        <v>0</v>
      </c>
      <c r="I21" s="46">
        <f t="shared" si="9"/>
        <v>0</v>
      </c>
      <c r="J21" s="46">
        <f t="shared" si="9"/>
        <v>1</v>
      </c>
      <c r="K21" s="46">
        <f t="shared" si="9"/>
        <v>1</v>
      </c>
      <c r="L21" s="46">
        <f t="shared" si="9"/>
        <v>0</v>
      </c>
      <c r="M21" s="46">
        <f t="shared" si="9"/>
        <v>3</v>
      </c>
      <c r="N21" s="46">
        <f t="shared" si="9"/>
        <v>1</v>
      </c>
      <c r="O21" s="46">
        <f t="shared" si="9"/>
        <v>0</v>
      </c>
      <c r="P21" s="46">
        <f t="shared" si="9"/>
        <v>0</v>
      </c>
      <c r="Q21" s="46">
        <f t="shared" si="9"/>
        <v>0</v>
      </c>
      <c r="R21" s="46">
        <f t="shared" si="9"/>
        <v>3</v>
      </c>
      <c r="S21" s="42"/>
      <c r="T21" s="42"/>
      <c r="U21" s="42"/>
      <c r="V21" s="42"/>
      <c r="W21" s="43"/>
      <c r="X21" s="359" t="s">
        <v>413</v>
      </c>
      <c r="Y21" s="41">
        <f>Y19</f>
        <v>1</v>
      </c>
      <c r="Z21" s="41">
        <f t="shared" ref="Z21:AN21" si="10">Z19</f>
        <v>0</v>
      </c>
      <c r="AA21" s="41">
        <f t="shared" si="10"/>
        <v>0</v>
      </c>
      <c r="AB21" s="41">
        <f t="shared" si="10"/>
        <v>1</v>
      </c>
      <c r="AC21" s="45">
        <f t="shared" si="10"/>
        <v>0</v>
      </c>
      <c r="AD21" s="45">
        <f t="shared" si="10"/>
        <v>0</v>
      </c>
      <c r="AE21" s="45">
        <f t="shared" si="10"/>
        <v>0</v>
      </c>
      <c r="AF21" s="45">
        <f t="shared" si="10"/>
        <v>0</v>
      </c>
      <c r="AG21" s="38">
        <f t="shared" si="10"/>
        <v>1</v>
      </c>
      <c r="AH21" s="38">
        <f t="shared" si="10"/>
        <v>0</v>
      </c>
      <c r="AI21" s="38">
        <f t="shared" si="10"/>
        <v>0</v>
      </c>
      <c r="AJ21" s="38">
        <f t="shared" si="10"/>
        <v>1</v>
      </c>
      <c r="AK21" s="41">
        <f t="shared" si="10"/>
        <v>0</v>
      </c>
      <c r="AL21" s="41">
        <f t="shared" si="10"/>
        <v>0</v>
      </c>
      <c r="AM21" s="41">
        <f t="shared" si="10"/>
        <v>0</v>
      </c>
      <c r="AN21" s="41">
        <f t="shared" si="10"/>
        <v>0</v>
      </c>
    </row>
    <row r="22" spans="1:40" ht="17" thickBot="1" x14ac:dyDescent="0.35">
      <c r="A22" s="39"/>
      <c r="B22" s="40"/>
      <c r="C22" s="389" t="s">
        <v>49</v>
      </c>
      <c r="D22" s="390"/>
      <c r="E22" s="391"/>
      <c r="F22" s="46">
        <f>F20+F21</f>
        <v>454</v>
      </c>
      <c r="G22" s="46">
        <f t="shared" ref="G22:R22" si="11">G20+G21</f>
        <v>505</v>
      </c>
      <c r="H22" s="46">
        <f t="shared" si="11"/>
        <v>11</v>
      </c>
      <c r="I22" s="46">
        <f t="shared" si="11"/>
        <v>2</v>
      </c>
      <c r="J22" s="46">
        <f t="shared" si="11"/>
        <v>64</v>
      </c>
      <c r="K22" s="46">
        <f t="shared" si="11"/>
        <v>35</v>
      </c>
      <c r="L22" s="46">
        <f t="shared" si="11"/>
        <v>1</v>
      </c>
      <c r="M22" s="46">
        <f t="shared" si="11"/>
        <v>17</v>
      </c>
      <c r="N22" s="46">
        <f t="shared" si="11"/>
        <v>15</v>
      </c>
      <c r="O22" s="46">
        <f t="shared" si="11"/>
        <v>0</v>
      </c>
      <c r="P22" s="46">
        <f t="shared" si="11"/>
        <v>8</v>
      </c>
      <c r="Q22" s="46">
        <f t="shared" si="11"/>
        <v>3</v>
      </c>
      <c r="R22" s="46">
        <f t="shared" si="11"/>
        <v>70</v>
      </c>
      <c r="S22" s="42"/>
      <c r="T22" s="42"/>
      <c r="U22" s="42"/>
      <c r="V22" s="42"/>
      <c r="W22" s="43"/>
      <c r="X22" s="44" t="s">
        <v>49</v>
      </c>
      <c r="Y22" s="41">
        <f>Y20+Y21</f>
        <v>17</v>
      </c>
      <c r="Z22" s="41">
        <f t="shared" ref="Z22:AN22" si="12">Z20+Z21</f>
        <v>8</v>
      </c>
      <c r="AA22" s="41">
        <f t="shared" si="12"/>
        <v>0</v>
      </c>
      <c r="AB22" s="41">
        <f t="shared" si="12"/>
        <v>9</v>
      </c>
      <c r="AC22" s="45">
        <f t="shared" si="12"/>
        <v>8</v>
      </c>
      <c r="AD22" s="45">
        <f t="shared" si="12"/>
        <v>5</v>
      </c>
      <c r="AE22" s="45">
        <f t="shared" si="12"/>
        <v>0</v>
      </c>
      <c r="AF22" s="45">
        <f t="shared" si="12"/>
        <v>3</v>
      </c>
      <c r="AG22" s="38">
        <f t="shared" si="12"/>
        <v>9</v>
      </c>
      <c r="AH22" s="38">
        <f t="shared" si="12"/>
        <v>3</v>
      </c>
      <c r="AI22" s="38">
        <f t="shared" si="12"/>
        <v>0</v>
      </c>
      <c r="AJ22" s="38">
        <f t="shared" si="12"/>
        <v>6</v>
      </c>
      <c r="AK22" s="41">
        <f t="shared" si="12"/>
        <v>0</v>
      </c>
      <c r="AL22" s="41">
        <f t="shared" si="12"/>
        <v>0</v>
      </c>
      <c r="AM22" s="41">
        <f t="shared" si="12"/>
        <v>0</v>
      </c>
      <c r="AN22" s="41">
        <f t="shared" si="12"/>
        <v>0</v>
      </c>
    </row>
    <row r="24" spans="1:40" x14ac:dyDescent="0.3">
      <c r="A24" s="1" t="s">
        <v>52</v>
      </c>
    </row>
  </sheetData>
  <mergeCells count="13">
    <mergeCell ref="Y1:AB1"/>
    <mergeCell ref="AC1:AF1"/>
    <mergeCell ref="AG1:AJ1"/>
    <mergeCell ref="AK1:AN1"/>
    <mergeCell ref="C20:E20"/>
    <mergeCell ref="N1:O1"/>
    <mergeCell ref="P1:R1"/>
    <mergeCell ref="C22:E22"/>
    <mergeCell ref="A1:D1"/>
    <mergeCell ref="E1:G1"/>
    <mergeCell ref="H1:I1"/>
    <mergeCell ref="J1:M1"/>
    <mergeCell ref="C21:E21"/>
  </mergeCells>
  <pageMargins left="0.7" right="0.7" top="0.75" bottom="0.75" header="0.3" footer="0.3"/>
  <ignoredErrors>
    <ignoredError sqref="T14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685C8-2BE2-D84B-846E-F443CBCAB71A}">
  <dimension ref="A1:AN22"/>
  <sheetViews>
    <sheetView workbookViewId="0">
      <selection sqref="A1:D1"/>
    </sheetView>
  </sheetViews>
  <sheetFormatPr defaultColWidth="11.44140625" defaultRowHeight="16.3" x14ac:dyDescent="0.3"/>
  <cols>
    <col min="1" max="1" width="6.44140625" style="47" bestFit="1" customWidth="1"/>
    <col min="2" max="2" width="6" style="47" bestFit="1" customWidth="1"/>
    <col min="3" max="3" width="12" style="47" customWidth="1"/>
    <col min="4" max="4" width="4.77734375" style="47" customWidth="1"/>
    <col min="5" max="7" width="4.6640625" style="47" customWidth="1"/>
    <col min="8" max="18" width="4.77734375" style="47" customWidth="1"/>
    <col min="19" max="19" width="7" style="47" customWidth="1"/>
    <col min="20" max="20" width="6.77734375" style="47" customWidth="1"/>
    <col min="21" max="21" width="24" style="47" bestFit="1" customWidth="1"/>
    <col min="22" max="23" width="29" style="47" bestFit="1" customWidth="1"/>
    <col min="24" max="24" width="24" style="47" bestFit="1" customWidth="1"/>
    <col min="25" max="40" width="4.77734375" style="47" customWidth="1"/>
  </cols>
  <sheetData>
    <row r="1" spans="1:40" ht="17" thickBot="1" x14ac:dyDescent="0.35">
      <c r="A1" s="493" t="s">
        <v>60</v>
      </c>
      <c r="B1" s="494"/>
      <c r="C1" s="494"/>
      <c r="D1" s="495"/>
      <c r="E1" s="496" t="s">
        <v>0</v>
      </c>
      <c r="F1" s="497"/>
      <c r="G1" s="498"/>
      <c r="H1" s="496" t="s">
        <v>1</v>
      </c>
      <c r="I1" s="498"/>
      <c r="J1" s="499" t="s">
        <v>2</v>
      </c>
      <c r="K1" s="500"/>
      <c r="L1" s="500"/>
      <c r="M1" s="501"/>
      <c r="N1" s="499" t="s">
        <v>3</v>
      </c>
      <c r="O1" s="501"/>
      <c r="P1" s="499" t="s">
        <v>4</v>
      </c>
      <c r="Q1" s="500"/>
      <c r="R1" s="501"/>
      <c r="S1" s="161" t="s">
        <v>5</v>
      </c>
      <c r="T1" s="161" t="s">
        <v>6</v>
      </c>
      <c r="U1" s="162" t="s">
        <v>7</v>
      </c>
      <c r="V1" s="163" t="s">
        <v>8</v>
      </c>
      <c r="W1" s="163" t="s">
        <v>9</v>
      </c>
      <c r="X1" s="164" t="s">
        <v>10</v>
      </c>
      <c r="Y1" s="502" t="s">
        <v>11</v>
      </c>
      <c r="Z1" s="503"/>
      <c r="AA1" s="503"/>
      <c r="AB1" s="504"/>
      <c r="AC1" s="502" t="s">
        <v>12</v>
      </c>
      <c r="AD1" s="503"/>
      <c r="AE1" s="503"/>
      <c r="AF1" s="504"/>
      <c r="AG1" s="502" t="s">
        <v>13</v>
      </c>
      <c r="AH1" s="503"/>
      <c r="AI1" s="503"/>
      <c r="AJ1" s="504"/>
      <c r="AK1" s="502" t="s">
        <v>14</v>
      </c>
      <c r="AL1" s="503"/>
      <c r="AM1" s="503"/>
      <c r="AN1" s="504"/>
    </row>
    <row r="2" spans="1:40" ht="17" thickBot="1" x14ac:dyDescent="0.35">
      <c r="A2" s="165" t="s">
        <v>15</v>
      </c>
      <c r="B2" s="166" t="s">
        <v>16</v>
      </c>
      <c r="C2" s="167" t="s">
        <v>17</v>
      </c>
      <c r="D2" s="167" t="s">
        <v>18</v>
      </c>
      <c r="E2" s="45" t="s">
        <v>19</v>
      </c>
      <c r="F2" s="45" t="s">
        <v>20</v>
      </c>
      <c r="G2" s="4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19</v>
      </c>
      <c r="P2" s="5" t="s">
        <v>22</v>
      </c>
      <c r="Q2" s="5" t="s">
        <v>23</v>
      </c>
      <c r="R2" s="5" t="s">
        <v>24</v>
      </c>
      <c r="S2" s="168"/>
      <c r="T2" s="169"/>
      <c r="U2" s="170"/>
      <c r="V2" s="168"/>
      <c r="W2" s="171"/>
      <c r="X2" s="12"/>
      <c r="Y2" s="172" t="s">
        <v>29</v>
      </c>
      <c r="Z2" s="172" t="s">
        <v>30</v>
      </c>
      <c r="AA2" s="172" t="s">
        <v>26</v>
      </c>
      <c r="AB2" s="172" t="s">
        <v>31</v>
      </c>
      <c r="AC2" s="172" t="s">
        <v>29</v>
      </c>
      <c r="AD2" s="172" t="s">
        <v>30</v>
      </c>
      <c r="AE2" s="172" t="s">
        <v>26</v>
      </c>
      <c r="AF2" s="172" t="s">
        <v>31</v>
      </c>
      <c r="AG2" s="172" t="s">
        <v>29</v>
      </c>
      <c r="AH2" s="172" t="s">
        <v>30</v>
      </c>
      <c r="AI2" s="172" t="s">
        <v>26</v>
      </c>
      <c r="AJ2" s="172" t="s">
        <v>31</v>
      </c>
      <c r="AK2" s="172" t="s">
        <v>29</v>
      </c>
      <c r="AL2" s="172" t="s">
        <v>30</v>
      </c>
      <c r="AM2" s="172" t="s">
        <v>26</v>
      </c>
      <c r="AN2" s="173" t="s">
        <v>31</v>
      </c>
    </row>
    <row r="3" spans="1:40" ht="17" thickBot="1" x14ac:dyDescent="0.35">
      <c r="A3" s="2" t="s">
        <v>127</v>
      </c>
      <c r="B3" s="3" t="s">
        <v>32</v>
      </c>
      <c r="C3" s="4" t="s">
        <v>43</v>
      </c>
      <c r="D3" s="5" t="s">
        <v>34</v>
      </c>
      <c r="E3" s="5" t="s">
        <v>30</v>
      </c>
      <c r="F3" s="5">
        <v>40</v>
      </c>
      <c r="G3" s="6">
        <v>26</v>
      </c>
      <c r="H3" s="7">
        <v>1</v>
      </c>
      <c r="I3" s="8">
        <v>0</v>
      </c>
      <c r="J3" s="8">
        <v>6</v>
      </c>
      <c r="K3" s="8">
        <v>4</v>
      </c>
      <c r="L3" s="8">
        <v>0</v>
      </c>
      <c r="M3" s="8">
        <v>0</v>
      </c>
      <c r="N3" s="8">
        <v>3</v>
      </c>
      <c r="O3" s="8">
        <v>0</v>
      </c>
      <c r="P3" s="8">
        <v>1</v>
      </c>
      <c r="Q3" s="8">
        <v>0</v>
      </c>
      <c r="R3" s="8">
        <v>4</v>
      </c>
      <c r="S3" s="9"/>
      <c r="T3" s="282" t="s">
        <v>231</v>
      </c>
      <c r="U3" s="11" t="s">
        <v>226</v>
      </c>
      <c r="V3" s="12" t="s">
        <v>223</v>
      </c>
      <c r="W3" s="13" t="s">
        <v>212</v>
      </c>
      <c r="X3" s="12" t="s">
        <v>227</v>
      </c>
      <c r="Y3" s="12">
        <v>1</v>
      </c>
      <c r="Z3" s="12">
        <v>1</v>
      </c>
      <c r="AA3" s="12">
        <v>0</v>
      </c>
      <c r="AB3" s="14">
        <v>0</v>
      </c>
      <c r="AC3" s="12">
        <v>1</v>
      </c>
      <c r="AD3" s="12">
        <v>1</v>
      </c>
      <c r="AE3" s="12">
        <v>0</v>
      </c>
      <c r="AF3" s="14">
        <v>0</v>
      </c>
      <c r="AG3" s="12"/>
      <c r="AH3" s="12"/>
      <c r="AI3" s="12"/>
      <c r="AJ3" s="14"/>
      <c r="AK3" s="12"/>
      <c r="AL3" s="12"/>
      <c r="AM3" s="12"/>
      <c r="AN3" s="14"/>
    </row>
    <row r="4" spans="1:40" ht="17" thickBot="1" x14ac:dyDescent="0.35">
      <c r="A4" s="15" t="s">
        <v>98</v>
      </c>
      <c r="B4" s="16" t="s">
        <v>32</v>
      </c>
      <c r="C4" s="17" t="s">
        <v>70</v>
      </c>
      <c r="D4" s="18" t="s">
        <v>21</v>
      </c>
      <c r="E4" s="18" t="s">
        <v>30</v>
      </c>
      <c r="F4" s="18">
        <v>52</v>
      </c>
      <c r="G4" s="19">
        <v>5</v>
      </c>
      <c r="H4" s="20">
        <v>1</v>
      </c>
      <c r="I4" s="21">
        <v>0</v>
      </c>
      <c r="J4" s="21">
        <v>8</v>
      </c>
      <c r="K4" s="18">
        <v>6</v>
      </c>
      <c r="L4" s="21">
        <v>0</v>
      </c>
      <c r="M4" s="18">
        <v>0</v>
      </c>
      <c r="N4" s="21">
        <v>0</v>
      </c>
      <c r="O4" s="21">
        <v>0</v>
      </c>
      <c r="P4" s="21">
        <v>0</v>
      </c>
      <c r="Q4" s="18">
        <v>0</v>
      </c>
      <c r="R4" s="21">
        <v>1</v>
      </c>
      <c r="S4" s="22"/>
      <c r="T4" s="292" t="s">
        <v>248</v>
      </c>
      <c r="U4" s="24" t="str">
        <f>Anthem!U4</f>
        <v>Kat Roche</v>
      </c>
      <c r="V4" s="24" t="str">
        <f>Anthem!V4</f>
        <v>Derek Summers</v>
      </c>
      <c r="W4" s="24" t="str">
        <f>Anthem!W4</f>
        <v>Jarrod Ford</v>
      </c>
      <c r="X4" s="24" t="str">
        <f>Anthem!X4</f>
        <v>Alex Hedquist</v>
      </c>
      <c r="Y4" s="25">
        <v>1</v>
      </c>
      <c r="Z4" s="25">
        <v>1</v>
      </c>
      <c r="AA4" s="25">
        <v>0</v>
      </c>
      <c r="AB4" s="26">
        <v>0</v>
      </c>
      <c r="AC4" s="25"/>
      <c r="AD4" s="25"/>
      <c r="AE4" s="25"/>
      <c r="AF4" s="26"/>
      <c r="AG4" s="25">
        <v>1</v>
      </c>
      <c r="AH4" s="25">
        <v>1</v>
      </c>
      <c r="AI4" s="25">
        <v>0</v>
      </c>
      <c r="AJ4" s="26">
        <v>0</v>
      </c>
      <c r="AK4" s="25"/>
      <c r="AL4" s="25"/>
      <c r="AM4" s="25"/>
      <c r="AN4" s="26"/>
    </row>
    <row r="5" spans="1:40" ht="17" thickBot="1" x14ac:dyDescent="0.35">
      <c r="A5" s="15" t="s">
        <v>120</v>
      </c>
      <c r="B5" s="16" t="s">
        <v>32</v>
      </c>
      <c r="C5" s="17" t="s">
        <v>37</v>
      </c>
      <c r="D5" s="18" t="s">
        <v>21</v>
      </c>
      <c r="E5" s="18" t="s">
        <v>30</v>
      </c>
      <c r="F5" s="18">
        <v>26</v>
      </c>
      <c r="G5" s="19">
        <v>10</v>
      </c>
      <c r="H5" s="248">
        <v>1</v>
      </c>
      <c r="I5" s="19">
        <v>0</v>
      </c>
      <c r="J5" s="21">
        <v>4</v>
      </c>
      <c r="K5" s="21">
        <v>3</v>
      </c>
      <c r="L5" s="21">
        <v>0</v>
      </c>
      <c r="M5" s="21">
        <v>0</v>
      </c>
      <c r="N5" s="21">
        <v>2</v>
      </c>
      <c r="O5" s="21">
        <v>0</v>
      </c>
      <c r="P5" s="18">
        <v>0</v>
      </c>
      <c r="Q5" s="21">
        <v>0</v>
      </c>
      <c r="R5" s="18">
        <v>1</v>
      </c>
      <c r="S5" s="22"/>
      <c r="T5" s="292" t="s">
        <v>264</v>
      </c>
      <c r="U5" s="24" t="str">
        <f>OldGlory!U4</f>
        <v>Amelia Luciano</v>
      </c>
      <c r="V5" s="24" t="str">
        <f>OldGlory!V4</f>
        <v>Cam Russell</v>
      </c>
      <c r="W5" s="24" t="str">
        <f>OldGlory!W4</f>
        <v>Chris Assmus</v>
      </c>
      <c r="X5" s="24" t="str">
        <f>OldGlory!X4</f>
        <v>Aaron Davis</v>
      </c>
      <c r="Y5" s="25">
        <v>1</v>
      </c>
      <c r="Z5" s="25">
        <v>1</v>
      </c>
      <c r="AA5" s="25">
        <v>0</v>
      </c>
      <c r="AB5" s="26">
        <v>0</v>
      </c>
      <c r="AC5" s="25"/>
      <c r="AD5" s="25"/>
      <c r="AE5" s="25"/>
      <c r="AF5" s="26"/>
      <c r="AG5" s="25">
        <v>1</v>
      </c>
      <c r="AH5" s="25">
        <v>1</v>
      </c>
      <c r="AI5" s="25">
        <v>0</v>
      </c>
      <c r="AJ5" s="26">
        <v>0</v>
      </c>
      <c r="AK5" s="25"/>
      <c r="AL5" s="25"/>
      <c r="AM5" s="25"/>
      <c r="AN5" s="26"/>
    </row>
    <row r="6" spans="1:40" ht="17" thickBot="1" x14ac:dyDescent="0.35">
      <c r="A6" s="2" t="s">
        <v>100</v>
      </c>
      <c r="B6" s="3" t="s">
        <v>32</v>
      </c>
      <c r="C6" s="4" t="s">
        <v>46</v>
      </c>
      <c r="D6" s="5" t="s">
        <v>34</v>
      </c>
      <c r="E6" s="5" t="s">
        <v>30</v>
      </c>
      <c r="F6" s="5">
        <v>36</v>
      </c>
      <c r="G6" s="6">
        <v>28</v>
      </c>
      <c r="H6" s="6">
        <v>1</v>
      </c>
      <c r="I6" s="8">
        <v>0</v>
      </c>
      <c r="J6" s="5">
        <v>5</v>
      </c>
      <c r="K6" s="5">
        <v>3</v>
      </c>
      <c r="L6" s="8">
        <v>0</v>
      </c>
      <c r="M6" s="8">
        <v>1</v>
      </c>
      <c r="N6" s="8">
        <v>0</v>
      </c>
      <c r="O6" s="8">
        <v>0</v>
      </c>
      <c r="P6" s="8">
        <v>1</v>
      </c>
      <c r="Q6" s="5">
        <v>0</v>
      </c>
      <c r="R6" s="8">
        <v>4</v>
      </c>
      <c r="S6" s="9"/>
      <c r="T6" s="298" t="s">
        <v>234</v>
      </c>
      <c r="U6" s="12" t="s">
        <v>223</v>
      </c>
      <c r="V6" s="12" t="s">
        <v>213</v>
      </c>
      <c r="W6" s="12" t="s">
        <v>218</v>
      </c>
      <c r="X6" s="11" t="s">
        <v>246</v>
      </c>
      <c r="Y6" s="12">
        <v>1</v>
      </c>
      <c r="Z6" s="12">
        <v>1</v>
      </c>
      <c r="AA6" s="12">
        <v>0</v>
      </c>
      <c r="AB6" s="14">
        <v>0</v>
      </c>
      <c r="AC6" s="12">
        <v>1</v>
      </c>
      <c r="AD6" s="12">
        <v>1</v>
      </c>
      <c r="AE6" s="12">
        <v>0</v>
      </c>
      <c r="AF6" s="14">
        <v>0</v>
      </c>
      <c r="AG6" s="12"/>
      <c r="AH6" s="12"/>
      <c r="AI6" s="12"/>
      <c r="AJ6" s="14"/>
      <c r="AK6" s="12"/>
      <c r="AL6" s="12"/>
      <c r="AM6" s="12"/>
      <c r="AN6" s="14"/>
    </row>
    <row r="7" spans="1:40" ht="17" thickBot="1" x14ac:dyDescent="0.35">
      <c r="A7" s="2" t="s">
        <v>101</v>
      </c>
      <c r="B7" s="3" t="s">
        <v>32</v>
      </c>
      <c r="C7" s="4" t="s">
        <v>36</v>
      </c>
      <c r="D7" s="5" t="s">
        <v>34</v>
      </c>
      <c r="E7" s="8" t="s">
        <v>30</v>
      </c>
      <c r="F7" s="5">
        <v>31</v>
      </c>
      <c r="G7" s="6">
        <v>12</v>
      </c>
      <c r="H7" s="7">
        <v>1</v>
      </c>
      <c r="I7" s="5">
        <v>0</v>
      </c>
      <c r="J7" s="8">
        <v>5</v>
      </c>
      <c r="K7" s="8">
        <v>3</v>
      </c>
      <c r="L7" s="8">
        <v>0</v>
      </c>
      <c r="M7" s="8">
        <v>0</v>
      </c>
      <c r="N7" s="8">
        <v>2</v>
      </c>
      <c r="O7" s="8">
        <v>0</v>
      </c>
      <c r="P7" s="8">
        <v>0</v>
      </c>
      <c r="Q7" s="8">
        <v>0</v>
      </c>
      <c r="R7" s="8">
        <v>2</v>
      </c>
      <c r="S7" s="9"/>
      <c r="T7" s="282" t="s">
        <v>300</v>
      </c>
      <c r="U7" s="11" t="s">
        <v>210</v>
      </c>
      <c r="V7" s="12" t="s">
        <v>213</v>
      </c>
      <c r="W7" s="12" t="s">
        <v>227</v>
      </c>
      <c r="X7" s="13" t="s">
        <v>283</v>
      </c>
      <c r="Y7" s="12">
        <v>1</v>
      </c>
      <c r="Z7" s="12">
        <v>1</v>
      </c>
      <c r="AA7" s="12">
        <v>0</v>
      </c>
      <c r="AB7" s="14">
        <v>0</v>
      </c>
      <c r="AC7" s="12">
        <v>1</v>
      </c>
      <c r="AD7" s="12">
        <v>1</v>
      </c>
      <c r="AE7" s="12">
        <v>0</v>
      </c>
      <c r="AF7" s="14">
        <v>0</v>
      </c>
      <c r="AG7" s="12"/>
      <c r="AH7" s="12"/>
      <c r="AI7" s="12"/>
      <c r="AJ7" s="14"/>
      <c r="AK7" s="12"/>
      <c r="AL7" s="12"/>
      <c r="AM7" s="12"/>
      <c r="AN7" s="14"/>
    </row>
    <row r="8" spans="1:40" ht="17" thickBot="1" x14ac:dyDescent="0.35">
      <c r="A8" s="15" t="s">
        <v>102</v>
      </c>
      <c r="B8" s="16" t="s">
        <v>32</v>
      </c>
      <c r="C8" s="17" t="s">
        <v>44</v>
      </c>
      <c r="D8" s="18" t="s">
        <v>21</v>
      </c>
      <c r="E8" s="21" t="s">
        <v>31</v>
      </c>
      <c r="F8" s="18">
        <v>14</v>
      </c>
      <c r="G8" s="19">
        <v>34</v>
      </c>
      <c r="H8" s="20">
        <v>0</v>
      </c>
      <c r="I8" s="18">
        <v>0</v>
      </c>
      <c r="J8" s="21">
        <v>2</v>
      </c>
      <c r="K8" s="21">
        <v>2</v>
      </c>
      <c r="L8" s="21">
        <v>0</v>
      </c>
      <c r="M8" s="21">
        <v>0</v>
      </c>
      <c r="N8" s="21">
        <v>2</v>
      </c>
      <c r="O8" s="21">
        <v>0</v>
      </c>
      <c r="P8" s="18">
        <v>1</v>
      </c>
      <c r="Q8" s="21">
        <v>0</v>
      </c>
      <c r="R8" s="21">
        <v>4</v>
      </c>
      <c r="S8" s="22"/>
      <c r="T8" s="23" t="s">
        <v>313</v>
      </c>
      <c r="U8" s="24" t="str">
        <f>Houston!U8</f>
        <v>Federico Anselmi</v>
      </c>
      <c r="V8" s="24" t="str">
        <f>Houston!V8</f>
        <v>Derek Summers</v>
      </c>
      <c r="W8" s="24" t="str">
        <f>Houston!W8</f>
        <v>Chris Assmus</v>
      </c>
      <c r="X8" s="24" t="str">
        <f>Houston!X8</f>
        <v>Blair McClure</v>
      </c>
      <c r="Y8" s="25">
        <v>1</v>
      </c>
      <c r="Z8" s="25">
        <v>0</v>
      </c>
      <c r="AA8" s="25">
        <v>0</v>
      </c>
      <c r="AB8" s="26">
        <v>1</v>
      </c>
      <c r="AC8" s="25"/>
      <c r="AD8" s="25"/>
      <c r="AE8" s="25"/>
      <c r="AF8" s="26"/>
      <c r="AG8" s="25">
        <v>1</v>
      </c>
      <c r="AH8" s="25">
        <v>0</v>
      </c>
      <c r="AI8" s="25">
        <v>0</v>
      </c>
      <c r="AJ8" s="26">
        <v>1</v>
      </c>
      <c r="AK8" s="25"/>
      <c r="AL8" s="25"/>
      <c r="AM8" s="25"/>
      <c r="AN8" s="26"/>
    </row>
    <row r="9" spans="1:40" ht="17" thickBot="1" x14ac:dyDescent="0.35">
      <c r="A9" s="2" t="s">
        <v>103</v>
      </c>
      <c r="B9" s="3" t="s">
        <v>32</v>
      </c>
      <c r="C9" s="4" t="s">
        <v>40</v>
      </c>
      <c r="D9" s="5" t="s">
        <v>34</v>
      </c>
      <c r="E9" s="8" t="s">
        <v>31</v>
      </c>
      <c r="F9" s="5">
        <v>20</v>
      </c>
      <c r="G9" s="6">
        <v>27</v>
      </c>
      <c r="H9" s="7">
        <v>0</v>
      </c>
      <c r="I9" s="8">
        <v>1</v>
      </c>
      <c r="J9" s="8">
        <v>2</v>
      </c>
      <c r="K9" s="8">
        <v>2</v>
      </c>
      <c r="L9" s="8">
        <v>0</v>
      </c>
      <c r="M9" s="8">
        <v>2</v>
      </c>
      <c r="N9" s="8">
        <v>0</v>
      </c>
      <c r="O9" s="8">
        <v>0</v>
      </c>
      <c r="P9" s="8">
        <v>0</v>
      </c>
      <c r="Q9" s="8">
        <v>0</v>
      </c>
      <c r="R9" s="8">
        <v>3</v>
      </c>
      <c r="S9" s="9"/>
      <c r="T9" s="10" t="s">
        <v>321</v>
      </c>
      <c r="U9" s="11" t="s">
        <v>241</v>
      </c>
      <c r="V9" s="12" t="s">
        <v>215</v>
      </c>
      <c r="W9" s="12" t="s">
        <v>219</v>
      </c>
      <c r="X9" s="13" t="s">
        <v>246</v>
      </c>
      <c r="Y9" s="12">
        <v>1</v>
      </c>
      <c r="Z9" s="12">
        <v>0</v>
      </c>
      <c r="AA9" s="12">
        <v>0</v>
      </c>
      <c r="AB9" s="14">
        <v>1</v>
      </c>
      <c r="AC9" s="12">
        <f>Y9</f>
        <v>1</v>
      </c>
      <c r="AD9" s="12">
        <f t="shared" ref="AD9:AF9" si="0">Z9</f>
        <v>0</v>
      </c>
      <c r="AE9" s="12">
        <f t="shared" si="0"/>
        <v>0</v>
      </c>
      <c r="AF9" s="12">
        <f t="shared" si="0"/>
        <v>1</v>
      </c>
      <c r="AG9" s="12"/>
      <c r="AH9" s="12"/>
      <c r="AI9" s="12"/>
      <c r="AJ9" s="14"/>
      <c r="AK9" s="12"/>
      <c r="AL9" s="12"/>
      <c r="AM9" s="12"/>
      <c r="AN9" s="14"/>
    </row>
    <row r="10" spans="1:40" ht="17" thickBot="1" x14ac:dyDescent="0.35">
      <c r="A10" s="15" t="s">
        <v>121</v>
      </c>
      <c r="B10" s="16" t="s">
        <v>32</v>
      </c>
      <c r="C10" s="17" t="s">
        <v>33</v>
      </c>
      <c r="D10" s="18" t="s">
        <v>21</v>
      </c>
      <c r="E10" s="18" t="s">
        <v>31</v>
      </c>
      <c r="F10" s="18">
        <v>12</v>
      </c>
      <c r="G10" s="19">
        <v>39</v>
      </c>
      <c r="H10" s="20">
        <v>0</v>
      </c>
      <c r="I10" s="21">
        <v>0</v>
      </c>
      <c r="J10" s="21">
        <v>2</v>
      </c>
      <c r="K10" s="21">
        <v>1</v>
      </c>
      <c r="L10" s="21">
        <v>0</v>
      </c>
      <c r="M10" s="21">
        <v>0</v>
      </c>
      <c r="N10" s="18">
        <v>1</v>
      </c>
      <c r="O10" s="21">
        <v>0</v>
      </c>
      <c r="P10" s="21">
        <v>1</v>
      </c>
      <c r="Q10" s="18">
        <v>0</v>
      </c>
      <c r="R10" s="21">
        <v>6</v>
      </c>
      <c r="S10" s="22"/>
      <c r="T10" s="23" t="s">
        <v>327</v>
      </c>
      <c r="U10" s="24" t="str">
        <f>NewEngland!U10</f>
        <v>Federico Anselmi</v>
      </c>
      <c r="V10" s="24" t="str">
        <f>NewEngland!V10</f>
        <v>Derek Summers</v>
      </c>
      <c r="W10" s="24" t="str">
        <f>NewEngland!W10</f>
        <v>Jarrod Ford</v>
      </c>
      <c r="X10" s="24" t="str">
        <f>NewEngland!X10</f>
        <v>Aaron Davis</v>
      </c>
      <c r="Y10" s="25">
        <f>NewEngland!Y10</f>
        <v>1</v>
      </c>
      <c r="Z10" s="25">
        <f>NewEngland!AB10</f>
        <v>0</v>
      </c>
      <c r="AA10" s="25">
        <f>NewEngland!AA10</f>
        <v>0</v>
      </c>
      <c r="AB10" s="26">
        <f>NewEngland!Z10</f>
        <v>1</v>
      </c>
      <c r="AC10" s="25"/>
      <c r="AD10" s="25"/>
      <c r="AE10" s="25"/>
      <c r="AF10" s="26"/>
      <c r="AG10" s="25">
        <f>Y10</f>
        <v>1</v>
      </c>
      <c r="AH10" s="25">
        <f t="shared" ref="AH10:AJ10" si="1">Z10</f>
        <v>0</v>
      </c>
      <c r="AI10" s="25">
        <f t="shared" si="1"/>
        <v>0</v>
      </c>
      <c r="AJ10" s="25">
        <f t="shared" si="1"/>
        <v>1</v>
      </c>
      <c r="AK10" s="25"/>
      <c r="AL10" s="25"/>
      <c r="AM10" s="25"/>
      <c r="AN10" s="26"/>
    </row>
    <row r="11" spans="1:40" ht="17" thickBot="1" x14ac:dyDescent="0.35">
      <c r="A11" s="2" t="s">
        <v>122</v>
      </c>
      <c r="B11" s="3" t="s">
        <v>32</v>
      </c>
      <c r="C11" s="4" t="s">
        <v>39</v>
      </c>
      <c r="D11" s="5" t="s">
        <v>34</v>
      </c>
      <c r="E11" s="5" t="s">
        <v>31</v>
      </c>
      <c r="F11" s="5">
        <v>18</v>
      </c>
      <c r="G11" s="6">
        <v>31</v>
      </c>
      <c r="H11" s="7">
        <v>0</v>
      </c>
      <c r="I11" s="8">
        <v>0</v>
      </c>
      <c r="J11" s="8">
        <v>2</v>
      </c>
      <c r="K11" s="8">
        <v>1</v>
      </c>
      <c r="L11" s="8">
        <v>0</v>
      </c>
      <c r="M11" s="8">
        <v>2</v>
      </c>
      <c r="N11" s="8">
        <v>2</v>
      </c>
      <c r="O11" s="8">
        <v>0</v>
      </c>
      <c r="P11" s="8">
        <v>1</v>
      </c>
      <c r="Q11" s="5">
        <v>0</v>
      </c>
      <c r="R11" s="8">
        <v>5</v>
      </c>
      <c r="S11" s="9"/>
      <c r="T11" s="10" t="s">
        <v>260</v>
      </c>
      <c r="U11" s="162" t="s">
        <v>222</v>
      </c>
      <c r="V11" s="163" t="s">
        <v>215</v>
      </c>
      <c r="W11" s="163" t="s">
        <v>242</v>
      </c>
      <c r="X11" s="164" t="s">
        <v>246</v>
      </c>
      <c r="Y11" s="12">
        <v>1</v>
      </c>
      <c r="Z11" s="12">
        <v>0</v>
      </c>
      <c r="AA11" s="12">
        <v>0</v>
      </c>
      <c r="AB11" s="14">
        <v>1</v>
      </c>
      <c r="AC11" s="12">
        <f>Y11</f>
        <v>1</v>
      </c>
      <c r="AD11" s="12">
        <f t="shared" ref="AD11:AF11" si="2">Z11</f>
        <v>0</v>
      </c>
      <c r="AE11" s="12">
        <f t="shared" si="2"/>
        <v>0</v>
      </c>
      <c r="AF11" s="12">
        <f t="shared" si="2"/>
        <v>1</v>
      </c>
      <c r="AG11" s="12"/>
      <c r="AH11" s="12"/>
      <c r="AI11" s="12"/>
      <c r="AJ11" s="14"/>
      <c r="AK11" s="12"/>
      <c r="AL11" s="12"/>
      <c r="AM11" s="12"/>
      <c r="AN11" s="14"/>
    </row>
    <row r="12" spans="1:40" ht="17" thickBot="1" x14ac:dyDescent="0.35">
      <c r="A12" s="33" t="s">
        <v>118</v>
      </c>
      <c r="B12" s="16" t="s">
        <v>32</v>
      </c>
      <c r="C12" s="17" t="s">
        <v>46</v>
      </c>
      <c r="D12" s="18" t="s">
        <v>21</v>
      </c>
      <c r="E12" s="18" t="s">
        <v>30</v>
      </c>
      <c r="F12" s="18">
        <v>38</v>
      </c>
      <c r="G12" s="19">
        <v>36</v>
      </c>
      <c r="H12" s="20">
        <v>1</v>
      </c>
      <c r="I12" s="21">
        <v>0</v>
      </c>
      <c r="J12" s="21">
        <v>6</v>
      </c>
      <c r="K12" s="21">
        <v>4</v>
      </c>
      <c r="L12" s="21">
        <v>0</v>
      </c>
      <c r="M12" s="21">
        <v>0</v>
      </c>
      <c r="N12" s="18">
        <v>1</v>
      </c>
      <c r="O12" s="21">
        <v>0</v>
      </c>
      <c r="P12" s="21">
        <v>1</v>
      </c>
      <c r="Q12" s="21">
        <v>1</v>
      </c>
      <c r="R12" s="21">
        <v>6</v>
      </c>
      <c r="S12" s="34"/>
      <c r="T12" s="297" t="s">
        <v>352</v>
      </c>
      <c r="U12" s="24" t="str">
        <f>LosAngeles!U12</f>
        <v>Lex Weiner</v>
      </c>
      <c r="V12" s="24" t="str">
        <f>LosAngeles!V12</f>
        <v>Chris O'Malley</v>
      </c>
      <c r="W12" s="24" t="str">
        <f>LosAngeles!W12</f>
        <v>Shanda Assmus</v>
      </c>
      <c r="X12" s="24" t="str">
        <f>LosAngeles!X12</f>
        <v>Will Nelson</v>
      </c>
      <c r="Y12" s="25">
        <f>LosAngeles!Y12</f>
        <v>1</v>
      </c>
      <c r="Z12" s="25">
        <f>LosAngeles!AB12</f>
        <v>1</v>
      </c>
      <c r="AA12" s="25">
        <f>LosAngeles!AA12</f>
        <v>0</v>
      </c>
      <c r="AB12" s="26">
        <f>LosAngeles!Z12</f>
        <v>0</v>
      </c>
      <c r="AC12" s="25"/>
      <c r="AD12" s="25"/>
      <c r="AE12" s="25"/>
      <c r="AF12" s="25"/>
      <c r="AG12" s="25">
        <f>Y12</f>
        <v>1</v>
      </c>
      <c r="AH12" s="25">
        <f>Z12</f>
        <v>1</v>
      </c>
      <c r="AI12" s="25">
        <f>AA12</f>
        <v>0</v>
      </c>
      <c r="AJ12" s="26">
        <f>AB12</f>
        <v>0</v>
      </c>
      <c r="AK12" s="25"/>
      <c r="AL12" s="25"/>
      <c r="AM12" s="25"/>
      <c r="AN12" s="26"/>
    </row>
    <row r="13" spans="1:40" ht="17" thickBot="1" x14ac:dyDescent="0.35">
      <c r="A13" s="33" t="s">
        <v>135</v>
      </c>
      <c r="B13" s="16" t="s">
        <v>32</v>
      </c>
      <c r="C13" s="17" t="s">
        <v>39</v>
      </c>
      <c r="D13" s="18" t="s">
        <v>21</v>
      </c>
      <c r="E13" s="18" t="s">
        <v>31</v>
      </c>
      <c r="F13" s="18">
        <v>31</v>
      </c>
      <c r="G13" s="19">
        <v>38</v>
      </c>
      <c r="H13" s="20">
        <v>1</v>
      </c>
      <c r="I13" s="21">
        <v>1</v>
      </c>
      <c r="J13" s="21">
        <v>5</v>
      </c>
      <c r="K13" s="21">
        <v>3</v>
      </c>
      <c r="L13" s="21">
        <v>0</v>
      </c>
      <c r="M13" s="21">
        <v>0</v>
      </c>
      <c r="N13" s="21">
        <v>0</v>
      </c>
      <c r="O13" s="21">
        <v>1</v>
      </c>
      <c r="P13" s="21">
        <v>1</v>
      </c>
      <c r="Q13" s="21">
        <v>0</v>
      </c>
      <c r="R13" s="21">
        <v>6</v>
      </c>
      <c r="S13" s="34"/>
      <c r="T13" s="23" t="s">
        <v>353</v>
      </c>
      <c r="U13" s="24" t="str">
        <f>Utah!U12</f>
        <v>David Vosalevu</v>
      </c>
      <c r="V13" s="24" t="str">
        <f>Utah!V12</f>
        <v>Chris O'Malley</v>
      </c>
      <c r="W13" s="24" t="str">
        <f>Utah!W12</f>
        <v>Kahlil Harrison</v>
      </c>
      <c r="X13" s="24" t="str">
        <f>Utah!X12</f>
        <v>Alex Nunnally</v>
      </c>
      <c r="Y13" s="25">
        <f>Utah!Y12</f>
        <v>1</v>
      </c>
      <c r="Z13" s="25">
        <f>Utah!AB12</f>
        <v>0</v>
      </c>
      <c r="AA13" s="25">
        <f>Utah!AA12</f>
        <v>0</v>
      </c>
      <c r="AB13" s="26">
        <f>Utah!Z12</f>
        <v>1</v>
      </c>
      <c r="AC13" s="25"/>
      <c r="AD13" s="25"/>
      <c r="AE13" s="25"/>
      <c r="AF13" s="26"/>
      <c r="AG13" s="25">
        <f>Y13</f>
        <v>1</v>
      </c>
      <c r="AH13" s="25">
        <f t="shared" ref="AH13:AJ13" si="3">Z13</f>
        <v>0</v>
      </c>
      <c r="AI13" s="25">
        <f t="shared" si="3"/>
        <v>0</v>
      </c>
      <c r="AJ13" s="25">
        <f t="shared" si="3"/>
        <v>1</v>
      </c>
      <c r="AK13" s="25"/>
      <c r="AL13" s="25"/>
      <c r="AM13" s="25"/>
      <c r="AN13" s="26"/>
    </row>
    <row r="14" spans="1:40" ht="17" thickBot="1" x14ac:dyDescent="0.35">
      <c r="A14" s="31" t="s">
        <v>42</v>
      </c>
      <c r="B14" s="3" t="s">
        <v>32</v>
      </c>
      <c r="C14" s="4" t="s">
        <v>96</v>
      </c>
      <c r="D14" s="5" t="s">
        <v>34</v>
      </c>
      <c r="E14" s="5" t="s">
        <v>30</v>
      </c>
      <c r="F14" s="5">
        <v>45</v>
      </c>
      <c r="G14" s="6">
        <v>36</v>
      </c>
      <c r="H14" s="7">
        <v>1</v>
      </c>
      <c r="I14" s="8">
        <v>0</v>
      </c>
      <c r="J14" s="8">
        <v>7</v>
      </c>
      <c r="K14" s="8">
        <v>5</v>
      </c>
      <c r="L14" s="8">
        <v>0</v>
      </c>
      <c r="M14" s="8">
        <v>0</v>
      </c>
      <c r="N14" s="8">
        <v>1</v>
      </c>
      <c r="O14" s="8">
        <v>0</v>
      </c>
      <c r="P14" s="8">
        <v>1</v>
      </c>
      <c r="Q14" s="8">
        <v>0</v>
      </c>
      <c r="R14" s="8">
        <v>6</v>
      </c>
      <c r="S14" s="32"/>
      <c r="T14" s="298" t="s">
        <v>360</v>
      </c>
      <c r="U14" s="11" t="s">
        <v>332</v>
      </c>
      <c r="V14" s="12" t="s">
        <v>213</v>
      </c>
      <c r="W14" s="12" t="s">
        <v>219</v>
      </c>
      <c r="X14" s="13" t="s">
        <v>246</v>
      </c>
      <c r="Y14" s="12">
        <v>1</v>
      </c>
      <c r="Z14" s="12">
        <v>1</v>
      </c>
      <c r="AA14" s="12">
        <v>0</v>
      </c>
      <c r="AB14" s="14">
        <v>0</v>
      </c>
      <c r="AC14" s="12">
        <f>Y14</f>
        <v>1</v>
      </c>
      <c r="AD14" s="12">
        <f t="shared" ref="AD14:AF15" si="4">Z14</f>
        <v>1</v>
      </c>
      <c r="AE14" s="12">
        <f t="shared" si="4"/>
        <v>0</v>
      </c>
      <c r="AF14" s="12">
        <f t="shared" si="4"/>
        <v>0</v>
      </c>
      <c r="AG14" s="12"/>
      <c r="AH14" s="12"/>
      <c r="AI14" s="12"/>
      <c r="AJ14" s="14"/>
      <c r="AK14" s="12"/>
      <c r="AL14" s="12"/>
      <c r="AM14" s="12"/>
      <c r="AN14" s="14"/>
    </row>
    <row r="15" spans="1:40" ht="17" thickBot="1" x14ac:dyDescent="0.35">
      <c r="A15" s="31" t="s">
        <v>107</v>
      </c>
      <c r="B15" s="3" t="s">
        <v>32</v>
      </c>
      <c r="C15" s="4" t="s">
        <v>44</v>
      </c>
      <c r="D15" s="5" t="s">
        <v>34</v>
      </c>
      <c r="E15" s="5" t="s">
        <v>31</v>
      </c>
      <c r="F15" s="5">
        <v>20</v>
      </c>
      <c r="G15" s="6">
        <v>37</v>
      </c>
      <c r="H15" s="7">
        <v>1</v>
      </c>
      <c r="I15" s="8">
        <v>0</v>
      </c>
      <c r="J15" s="8">
        <v>4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8">
        <v>1</v>
      </c>
      <c r="Q15" s="8">
        <v>0</v>
      </c>
      <c r="R15" s="8">
        <v>4</v>
      </c>
      <c r="S15" s="32"/>
      <c r="T15" s="10" t="s">
        <v>366</v>
      </c>
      <c r="U15" s="11" t="s">
        <v>214</v>
      </c>
      <c r="V15" s="12" t="s">
        <v>213</v>
      </c>
      <c r="W15" s="12" t="s">
        <v>223</v>
      </c>
      <c r="X15" s="13" t="s">
        <v>219</v>
      </c>
      <c r="Y15" s="12">
        <v>1</v>
      </c>
      <c r="Z15" s="12">
        <v>0</v>
      </c>
      <c r="AA15" s="12">
        <v>0</v>
      </c>
      <c r="AB15" s="14">
        <v>1</v>
      </c>
      <c r="AC15" s="12">
        <f>Y15</f>
        <v>1</v>
      </c>
      <c r="AD15" s="12">
        <f t="shared" si="4"/>
        <v>0</v>
      </c>
      <c r="AE15" s="12">
        <f t="shared" si="4"/>
        <v>0</v>
      </c>
      <c r="AF15" s="12">
        <f t="shared" si="4"/>
        <v>1</v>
      </c>
      <c r="AG15" s="12"/>
      <c r="AH15" s="12"/>
      <c r="AI15" s="12"/>
      <c r="AJ15" s="14"/>
      <c r="AK15" s="12"/>
      <c r="AL15" s="12"/>
      <c r="AM15" s="12"/>
      <c r="AN15" s="14"/>
    </row>
    <row r="16" spans="1:40" ht="17" thickBot="1" x14ac:dyDescent="0.35">
      <c r="A16" s="33" t="s">
        <v>123</v>
      </c>
      <c r="B16" s="16" t="s">
        <v>32</v>
      </c>
      <c r="C16" s="17" t="s">
        <v>43</v>
      </c>
      <c r="D16" s="18" t="s">
        <v>21</v>
      </c>
      <c r="E16" s="18" t="s">
        <v>31</v>
      </c>
      <c r="F16" s="18">
        <v>25</v>
      </c>
      <c r="G16" s="19">
        <v>29</v>
      </c>
      <c r="H16" s="20">
        <v>1</v>
      </c>
      <c r="I16" s="21">
        <v>1</v>
      </c>
      <c r="J16" s="21">
        <v>4</v>
      </c>
      <c r="K16" s="21">
        <v>1</v>
      </c>
      <c r="L16" s="21">
        <v>0</v>
      </c>
      <c r="M16" s="21">
        <v>1</v>
      </c>
      <c r="N16" s="21">
        <v>1</v>
      </c>
      <c r="O16" s="21">
        <v>0</v>
      </c>
      <c r="P16" s="21">
        <v>1</v>
      </c>
      <c r="Q16" s="21">
        <v>0</v>
      </c>
      <c r="R16" s="21">
        <v>4</v>
      </c>
      <c r="S16" s="34"/>
      <c r="T16" s="23" t="s">
        <v>336</v>
      </c>
      <c r="U16" s="24" t="str">
        <f>Seattle!U15</f>
        <v>Lex Weiner</v>
      </c>
      <c r="V16" s="24" t="str">
        <f>Seattle!V15</f>
        <v>Austin Reed</v>
      </c>
      <c r="W16" s="24" t="str">
        <f>Seattle!W15</f>
        <v>Kahlil Harrison</v>
      </c>
      <c r="X16" s="24" t="str">
        <f>Seattle!X15</f>
        <v>Marty Steffens</v>
      </c>
      <c r="Y16" s="25">
        <f>Seattle!Y15</f>
        <v>1</v>
      </c>
      <c r="Z16" s="25">
        <f>Seattle!AB15</f>
        <v>0</v>
      </c>
      <c r="AA16" s="25">
        <f>Seattle!AA15</f>
        <v>0</v>
      </c>
      <c r="AB16" s="26">
        <f>Seattle!Z15</f>
        <v>1</v>
      </c>
      <c r="AC16" s="25"/>
      <c r="AD16" s="25"/>
      <c r="AE16" s="25"/>
      <c r="AF16" s="26"/>
      <c r="AG16" s="25">
        <f>Y16</f>
        <v>1</v>
      </c>
      <c r="AH16" s="25">
        <f t="shared" ref="AH16:AJ17" si="5">Z16</f>
        <v>0</v>
      </c>
      <c r="AI16" s="25">
        <f t="shared" si="5"/>
        <v>0</v>
      </c>
      <c r="AJ16" s="25">
        <f t="shared" si="5"/>
        <v>1</v>
      </c>
      <c r="AK16" s="25"/>
      <c r="AL16" s="25"/>
      <c r="AM16" s="25"/>
      <c r="AN16" s="26"/>
    </row>
    <row r="17" spans="1:40" ht="17" thickBot="1" x14ac:dyDescent="0.35">
      <c r="A17" s="33" t="s">
        <v>110</v>
      </c>
      <c r="B17" s="16" t="s">
        <v>32</v>
      </c>
      <c r="C17" s="17" t="s">
        <v>36</v>
      </c>
      <c r="D17" s="18" t="s">
        <v>21</v>
      </c>
      <c r="E17" s="18" t="s">
        <v>31</v>
      </c>
      <c r="F17" s="18">
        <v>32</v>
      </c>
      <c r="G17" s="19">
        <v>36</v>
      </c>
      <c r="H17" s="20">
        <v>1</v>
      </c>
      <c r="I17" s="21">
        <v>1</v>
      </c>
      <c r="J17" s="21">
        <v>5</v>
      </c>
      <c r="K17" s="21">
        <v>2</v>
      </c>
      <c r="L17" s="21">
        <v>0</v>
      </c>
      <c r="M17" s="21">
        <v>1</v>
      </c>
      <c r="N17" s="18">
        <v>2</v>
      </c>
      <c r="O17" s="21">
        <v>0</v>
      </c>
      <c r="P17" s="21">
        <v>0</v>
      </c>
      <c r="Q17" s="21">
        <v>0</v>
      </c>
      <c r="R17" s="21">
        <v>3</v>
      </c>
      <c r="S17" s="22"/>
      <c r="T17" s="23" t="s">
        <v>233</v>
      </c>
      <c r="U17" s="25" t="str">
        <f>Miami!U17</f>
        <v>Mike Lawrenson</v>
      </c>
      <c r="V17" s="25" t="str">
        <f>Miami!V17</f>
        <v>Mike Kelly</v>
      </c>
      <c r="W17" s="25" t="str">
        <f>Miami!W17</f>
        <v>Cam Russell</v>
      </c>
      <c r="X17" s="25" t="str">
        <f>Miami!X17</f>
        <v>Kye Martinovic</v>
      </c>
      <c r="Y17" s="25">
        <f>Miami!Y17</f>
        <v>1</v>
      </c>
      <c r="Z17" s="25">
        <f>Miami!AB17</f>
        <v>0</v>
      </c>
      <c r="AA17" s="25">
        <f>Miami!AA17</f>
        <v>0</v>
      </c>
      <c r="AB17" s="26">
        <f>Miami!Z17</f>
        <v>1</v>
      </c>
      <c r="AC17" s="25"/>
      <c r="AD17" s="25"/>
      <c r="AE17" s="25"/>
      <c r="AF17" s="26"/>
      <c r="AG17" s="25">
        <f>Y17</f>
        <v>1</v>
      </c>
      <c r="AH17" s="25">
        <f t="shared" si="5"/>
        <v>0</v>
      </c>
      <c r="AI17" s="25">
        <f t="shared" si="5"/>
        <v>0</v>
      </c>
      <c r="AJ17" s="25">
        <f t="shared" si="5"/>
        <v>1</v>
      </c>
      <c r="AK17" s="25"/>
      <c r="AL17" s="25"/>
      <c r="AM17" s="25"/>
      <c r="AN17" s="26"/>
    </row>
    <row r="18" spans="1:40" ht="17" thickBot="1" x14ac:dyDescent="0.35">
      <c r="A18" s="31" t="s">
        <v>131</v>
      </c>
      <c r="B18" s="3" t="s">
        <v>32</v>
      </c>
      <c r="C18" s="167" t="s">
        <v>37</v>
      </c>
      <c r="D18" s="45" t="s">
        <v>34</v>
      </c>
      <c r="E18" s="45" t="s">
        <v>30</v>
      </c>
      <c r="F18" s="5">
        <v>50</v>
      </c>
      <c r="G18" s="6">
        <v>5</v>
      </c>
      <c r="H18" s="7">
        <v>1</v>
      </c>
      <c r="I18" s="8">
        <v>0</v>
      </c>
      <c r="J18" s="8">
        <v>7</v>
      </c>
      <c r="K18" s="8">
        <v>4</v>
      </c>
      <c r="L18" s="8">
        <v>0</v>
      </c>
      <c r="M18" s="8">
        <v>1</v>
      </c>
      <c r="N18" s="8">
        <v>0</v>
      </c>
      <c r="O18" s="8">
        <v>1</v>
      </c>
      <c r="P18" s="8">
        <v>0</v>
      </c>
      <c r="Q18" s="8">
        <v>0</v>
      </c>
      <c r="R18" s="8">
        <v>1</v>
      </c>
      <c r="S18" s="32"/>
      <c r="T18" s="282" t="s">
        <v>404</v>
      </c>
      <c r="U18" s="12" t="s">
        <v>210</v>
      </c>
      <c r="V18" s="12" t="s">
        <v>215</v>
      </c>
      <c r="W18" s="12" t="s">
        <v>227</v>
      </c>
      <c r="X18" s="247" t="s">
        <v>283</v>
      </c>
      <c r="Y18" s="12">
        <v>1</v>
      </c>
      <c r="Z18" s="12">
        <v>1</v>
      </c>
      <c r="AA18" s="12">
        <v>0</v>
      </c>
      <c r="AB18" s="14">
        <v>0</v>
      </c>
      <c r="AC18" s="12">
        <f>Y18</f>
        <v>1</v>
      </c>
      <c r="AD18" s="12">
        <f t="shared" ref="AD18:AF18" si="6">Z18</f>
        <v>1</v>
      </c>
      <c r="AE18" s="12">
        <f t="shared" si="6"/>
        <v>0</v>
      </c>
      <c r="AF18" s="12">
        <f t="shared" si="6"/>
        <v>0</v>
      </c>
      <c r="AG18" s="12"/>
      <c r="AH18" s="12"/>
      <c r="AI18" s="12"/>
      <c r="AJ18" s="14"/>
      <c r="AK18" s="12"/>
      <c r="AL18" s="12"/>
      <c r="AM18" s="12"/>
      <c r="AN18" s="14"/>
    </row>
    <row r="19" spans="1:40" ht="17" thickBot="1" x14ac:dyDescent="0.35">
      <c r="A19" s="39"/>
      <c r="B19" s="40"/>
      <c r="C19" s="389" t="s">
        <v>48</v>
      </c>
      <c r="D19" s="416"/>
      <c r="E19" s="417"/>
      <c r="F19" s="41">
        <f t="shared" ref="F19:R19" si="7">SUM(F3+F4+F5+F6+F7+F8+F9+F10+F11+F12+F13+F14+F15+F16+F17+F18)</f>
        <v>490</v>
      </c>
      <c r="G19" s="41">
        <f t="shared" si="7"/>
        <v>429</v>
      </c>
      <c r="H19" s="41">
        <f t="shared" si="7"/>
        <v>12</v>
      </c>
      <c r="I19" s="41">
        <f t="shared" si="7"/>
        <v>4</v>
      </c>
      <c r="J19" s="41">
        <f t="shared" si="7"/>
        <v>74</v>
      </c>
      <c r="K19" s="41">
        <f t="shared" si="7"/>
        <v>44</v>
      </c>
      <c r="L19" s="41">
        <f t="shared" si="7"/>
        <v>0</v>
      </c>
      <c r="M19" s="41">
        <f t="shared" si="7"/>
        <v>8</v>
      </c>
      <c r="N19" s="41">
        <f t="shared" si="7"/>
        <v>18</v>
      </c>
      <c r="O19" s="41">
        <f t="shared" si="7"/>
        <v>2</v>
      </c>
      <c r="P19" s="41">
        <f t="shared" si="7"/>
        <v>10</v>
      </c>
      <c r="Q19" s="41">
        <f t="shared" si="7"/>
        <v>1</v>
      </c>
      <c r="R19" s="41">
        <f t="shared" si="7"/>
        <v>60</v>
      </c>
      <c r="S19" s="42"/>
      <c r="T19" s="42"/>
      <c r="U19" s="42"/>
      <c r="V19" s="42"/>
      <c r="W19" s="43"/>
      <c r="X19" s="44" t="s">
        <v>48</v>
      </c>
      <c r="Y19" s="41">
        <f t="shared" ref="Y19:AN19" si="8">Y3+Y4+Y5+Y6+Y7+Y8+Y9+Y10+Y11+Y12+Y13+Y14+Y15+Y16+Y17+Y18</f>
        <v>16</v>
      </c>
      <c r="Z19" s="41">
        <f t="shared" si="8"/>
        <v>8</v>
      </c>
      <c r="AA19" s="41">
        <f t="shared" si="8"/>
        <v>0</v>
      </c>
      <c r="AB19" s="41">
        <f t="shared" si="8"/>
        <v>8</v>
      </c>
      <c r="AC19" s="45">
        <f t="shared" si="8"/>
        <v>8</v>
      </c>
      <c r="AD19" s="45">
        <f t="shared" si="8"/>
        <v>5</v>
      </c>
      <c r="AE19" s="45">
        <f t="shared" si="8"/>
        <v>0</v>
      </c>
      <c r="AF19" s="45">
        <f t="shared" si="8"/>
        <v>3</v>
      </c>
      <c r="AG19" s="38">
        <f t="shared" si="8"/>
        <v>8</v>
      </c>
      <c r="AH19" s="38">
        <f t="shared" si="8"/>
        <v>3</v>
      </c>
      <c r="AI19" s="38">
        <f t="shared" si="8"/>
        <v>0</v>
      </c>
      <c r="AJ19" s="38">
        <f t="shared" si="8"/>
        <v>5</v>
      </c>
      <c r="AK19" s="41">
        <f t="shared" si="8"/>
        <v>0</v>
      </c>
      <c r="AL19" s="41">
        <f t="shared" si="8"/>
        <v>0</v>
      </c>
      <c r="AM19" s="41">
        <f t="shared" si="8"/>
        <v>0</v>
      </c>
      <c r="AN19" s="41">
        <f t="shared" si="8"/>
        <v>0</v>
      </c>
    </row>
    <row r="20" spans="1:40" ht="17" thickBot="1" x14ac:dyDescent="0.35">
      <c r="A20" s="39"/>
      <c r="B20" s="40"/>
      <c r="C20" s="389" t="s">
        <v>49</v>
      </c>
      <c r="D20" s="390"/>
      <c r="E20" s="391"/>
      <c r="F20" s="46">
        <f>F19</f>
        <v>490</v>
      </c>
      <c r="G20" s="46">
        <f t="shared" ref="G20:R20" si="9">G19</f>
        <v>429</v>
      </c>
      <c r="H20" s="46">
        <f t="shared" si="9"/>
        <v>12</v>
      </c>
      <c r="I20" s="46">
        <f t="shared" si="9"/>
        <v>4</v>
      </c>
      <c r="J20" s="46">
        <f t="shared" si="9"/>
        <v>74</v>
      </c>
      <c r="K20" s="46">
        <f t="shared" si="9"/>
        <v>44</v>
      </c>
      <c r="L20" s="46">
        <f t="shared" si="9"/>
        <v>0</v>
      </c>
      <c r="M20" s="46">
        <f t="shared" si="9"/>
        <v>8</v>
      </c>
      <c r="N20" s="46">
        <f t="shared" si="9"/>
        <v>18</v>
      </c>
      <c r="O20" s="46">
        <f t="shared" si="9"/>
        <v>2</v>
      </c>
      <c r="P20" s="46">
        <f t="shared" si="9"/>
        <v>10</v>
      </c>
      <c r="Q20" s="46">
        <f t="shared" si="9"/>
        <v>1</v>
      </c>
      <c r="R20" s="46">
        <f t="shared" si="9"/>
        <v>60</v>
      </c>
      <c r="S20" s="42"/>
      <c r="T20" s="42"/>
      <c r="U20" s="42"/>
      <c r="V20" s="42"/>
      <c r="W20" s="43"/>
      <c r="X20" s="44" t="s">
        <v>49</v>
      </c>
      <c r="Y20" s="41">
        <f>Y19</f>
        <v>16</v>
      </c>
      <c r="Z20" s="41">
        <f t="shared" ref="Z20:AN20" si="10">Z19</f>
        <v>8</v>
      </c>
      <c r="AA20" s="41">
        <f t="shared" si="10"/>
        <v>0</v>
      </c>
      <c r="AB20" s="41">
        <f t="shared" si="10"/>
        <v>8</v>
      </c>
      <c r="AC20" s="45">
        <f t="shared" si="10"/>
        <v>8</v>
      </c>
      <c r="AD20" s="45">
        <f t="shared" si="10"/>
        <v>5</v>
      </c>
      <c r="AE20" s="45">
        <f t="shared" si="10"/>
        <v>0</v>
      </c>
      <c r="AF20" s="45">
        <f t="shared" si="10"/>
        <v>3</v>
      </c>
      <c r="AG20" s="38">
        <f t="shared" si="10"/>
        <v>8</v>
      </c>
      <c r="AH20" s="38">
        <f t="shared" si="10"/>
        <v>3</v>
      </c>
      <c r="AI20" s="38">
        <f t="shared" si="10"/>
        <v>0</v>
      </c>
      <c r="AJ20" s="38">
        <f t="shared" si="10"/>
        <v>5</v>
      </c>
      <c r="AK20" s="41">
        <f t="shared" si="10"/>
        <v>0</v>
      </c>
      <c r="AL20" s="41">
        <f t="shared" si="10"/>
        <v>0</v>
      </c>
      <c r="AM20" s="41">
        <f t="shared" si="10"/>
        <v>0</v>
      </c>
      <c r="AN20" s="41">
        <f t="shared" si="10"/>
        <v>0</v>
      </c>
    </row>
    <row r="22" spans="1:40" x14ac:dyDescent="0.3">
      <c r="A22" s="1" t="s">
        <v>52</v>
      </c>
    </row>
  </sheetData>
  <mergeCells count="12">
    <mergeCell ref="Y1:AB1"/>
    <mergeCell ref="AC1:AF1"/>
    <mergeCell ref="AG1:AJ1"/>
    <mergeCell ref="AK1:AN1"/>
    <mergeCell ref="C19:E19"/>
    <mergeCell ref="N1:O1"/>
    <mergeCell ref="P1:R1"/>
    <mergeCell ref="C20:E20"/>
    <mergeCell ref="A1:D1"/>
    <mergeCell ref="E1:G1"/>
    <mergeCell ref="H1:I1"/>
    <mergeCell ref="J1:M1"/>
  </mergeCells>
  <pageMargins left="0.7" right="0.7" top="0.75" bottom="0.75" header="0.3" footer="0.3"/>
  <ignoredErrors>
    <ignoredError sqref="T15:T16 T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Anthem</vt:lpstr>
      <vt:lpstr>Chicago</vt:lpstr>
      <vt:lpstr>Houston</vt:lpstr>
      <vt:lpstr>LosAngeles</vt:lpstr>
      <vt:lpstr>Miami</vt:lpstr>
      <vt:lpstr>NewEngland</vt:lpstr>
      <vt:lpstr>NOLA</vt:lpstr>
      <vt:lpstr>OldGlory</vt:lpstr>
      <vt:lpstr>SanDiego</vt:lpstr>
      <vt:lpstr>Seattle</vt:lpstr>
      <vt:lpstr>Utah</vt:lpstr>
      <vt:lpstr>Results</vt:lpstr>
      <vt:lpstr>Stats</vt:lpstr>
      <vt:lpstr>Cards</vt:lpstr>
      <vt:lpstr>Tables</vt:lpstr>
      <vt:lpstr>All-Time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Whatmore</dc:creator>
  <cp:lastModifiedBy>Ade Hill</cp:lastModifiedBy>
  <dcterms:created xsi:type="dcterms:W3CDTF">2025-01-23T17:17:16Z</dcterms:created>
  <dcterms:modified xsi:type="dcterms:W3CDTF">2025-06-30T08:02:29Z</dcterms:modified>
</cp:coreProperties>
</file>