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5/"/>
    </mc:Choice>
  </mc:AlternateContent>
  <xr:revisionPtr revIDLastSave="6059" documentId="8_{37855488-8A24-408C-98CE-F5AC87D2103F}" xr6:coauthVersionLast="47" xr6:coauthVersionMax="47" xr10:uidLastSave="{7E3F1841-E41F-490A-884A-66373095873A}"/>
  <bookViews>
    <workbookView xWindow="-109" yWindow="-109" windowWidth="26301" windowHeight="14169" tabRatio="939" activeTab="2" xr2:uid="{00000000-000D-0000-FFFF-FFFF00000000}"/>
  </bookViews>
  <sheets>
    <sheet name="WC" sheetId="31" r:id="rId1"/>
    <sheet name="6N" sheetId="22" r:id="rId2"/>
    <sheet name="P4" sheetId="30" r:id="rId3"/>
    <sheet name="AUS" sheetId="25" r:id="rId4"/>
    <sheet name="BRA" sheetId="34" r:id="rId5"/>
    <sheet name="CAN" sheetId="26" r:id="rId6"/>
    <sheet name="ENG" sheetId="4" r:id="rId7"/>
    <sheet name="FIJ" sheetId="23" r:id="rId8"/>
    <sheet name="FRA" sheetId="6" r:id="rId9"/>
    <sheet name="IRE" sheetId="8" r:id="rId10"/>
    <sheet name="ITA" sheetId="9" r:id="rId11"/>
    <sheet name="JPN" sheetId="24" r:id="rId12"/>
    <sheet name="NZL" sheetId="28" r:id="rId13"/>
    <sheet name="SAM" sheetId="32" r:id="rId14"/>
    <sheet name="SCO" sheetId="16" r:id="rId15"/>
    <sheet name="RSA" sheetId="29" r:id="rId16"/>
    <sheet name="ESP" sheetId="33" r:id="rId17"/>
    <sheet name="USA" sheetId="27" r:id="rId18"/>
    <sheet name="WAL" sheetId="21" r:id="rId19"/>
  </sheets>
  <definedNames>
    <definedName name="A_Wallerpts">ITA!#REF!</definedName>
    <definedName name="A_Wallertries">ITA!#REF!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damsWAL6NPTS">WAL!$G$3</definedName>
    <definedName name="AdamsWAL6NTRIES">WAL!$B$3</definedName>
    <definedName name="Addisonsalpts">#REF!</definedName>
    <definedName name="Addisonsaltries">#REF!</definedName>
    <definedName name="Afoaglopts">#REF!</definedName>
    <definedName name="Afoaglotries">#REF!</definedName>
    <definedName name="Agullabatpts">#REF!</definedName>
    <definedName name="Agullabattries">#REF!</definedName>
    <definedName name="Agullapts">#REF!</definedName>
    <definedName name="Agullatries">#REF!</definedName>
    <definedName name="Aholeleiwelshpts">#REF!</definedName>
    <definedName name="Aholeleiwelshtries">#REF!</definedName>
    <definedName name="Aitchisoneng6natt">ENG!$M$16</definedName>
    <definedName name="Aitchisoneng6ngls">ENG!$L$16</definedName>
    <definedName name="Aitchisonengpts">ENG!$G$3</definedName>
    <definedName name="Aitchisonengtries">ENG!$B$3</definedName>
    <definedName name="aitchisonengwxvatt">ENG!$M$37</definedName>
    <definedName name="Aitchisonengwxvgls">ENG!$L$37</definedName>
    <definedName name="aitchisonengwxvpts">ENG!$H$3</definedName>
    <definedName name="aitchisonengwxvtries">ENG!$C$3</definedName>
    <definedName name="Akiire6npts">IRE!$G$4</definedName>
    <definedName name="Akiiretries">IRE!$B$4</definedName>
    <definedName name="alamedaespwxvpts">ESP!$H$3</definedName>
    <definedName name="alamedaespwxvtries">ESP!$C$3</definedName>
    <definedName name="Aldcrofteng6npts">ENG!$G$4</definedName>
    <definedName name="Aldcrofteng6ntries">ENG!$B$4</definedName>
    <definedName name="aldcroftengwxvpts">ENG!$H$4</definedName>
    <definedName name="aldcroftengwxvtries">ENG!$C$4</definedName>
    <definedName name="Allenanthonypts">#REF!</definedName>
    <definedName name="Allenanthonytries">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osaauswxvpts">AUS!$H$3</definedName>
    <definedName name="amosaauswxvtries">AUS!$C$3</definedName>
    <definedName name="andopnwxvpts">JPN!$H$4</definedName>
    <definedName name="andopnwxvtries">JPN!$C$4</definedName>
    <definedName name="antolinezespwxvpts">ESP!$H$4</definedName>
    <definedName name="antolinezespwxvtries">ESP!$C$4</definedName>
    <definedName name="Appscanp4pts">CAN!$G$3</definedName>
    <definedName name="Appscanp4tries">CAN!$B$3</definedName>
    <definedName name="Arbeyfra6npts">FRA!$G$3</definedName>
    <definedName name="Arbeyfra6ntries">FRA!$B$3</definedName>
    <definedName name="arbeyfrawxvpts">FRA!$H$3</definedName>
    <definedName name="arbeyfrawxvtries">FRA!$C$3</definedName>
    <definedName name="arbezfra6natt">FRA!$M$15</definedName>
    <definedName name="Arbezfra6ngls">FRA!$L$15</definedName>
    <definedName name="ArbezFRA6NPTS">FRA!$G$4</definedName>
    <definedName name="ArbezFRA6NTRIES">FRA!$B$4</definedName>
    <definedName name="arbezfrawxpts">FRA!$H$4</definedName>
    <definedName name="arbezfrawxtries">FRA!$C$4</definedName>
    <definedName name="argudoespwxvpts">ESP!$H$5</definedName>
    <definedName name="argudoespwxvtries">ESP!$C$5</definedName>
    <definedName name="Armanddonpts">#REF!</definedName>
    <definedName name="Armanddontries">#REF!</definedName>
    <definedName name="Armitageguytries">FRA!#REF!</definedName>
    <definedName name="Armtageguypts">FRA!#REF!</definedName>
    <definedName name="Arnottexepts">#REF!</definedName>
    <definedName name="Arnottexetries">#REF!</definedName>
    <definedName name="Arscottbatpts">#REF!</definedName>
    <definedName name="Arscottbattries">#REF!</definedName>
    <definedName name="Arscottlukepts">#REF!</definedName>
    <definedName name="Arscottluketries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shenbruckerUSAP4pts">USA!$G$3</definedName>
    <definedName name="AshenbruckerUSAP4tries">USA!$B$3</definedName>
    <definedName name="Ashtonchrisptscorrect">#REF!</definedName>
    <definedName name="Ashtonchristriescorrect">#REF!</definedName>
    <definedName name="Ashtonpts">#REF!</definedName>
    <definedName name="ashtontries">#REF!</definedName>
    <definedName name="atkindavieseng6npts">ENG!$G$6</definedName>
    <definedName name="atkindavieseng6ntries">ENG!$B$6</definedName>
    <definedName name="atkindaviesengwxvpts">ENG!$H$6</definedName>
    <definedName name="atkindaviesengwxvtries">ENG!$C$6</definedName>
    <definedName name="Atkinsonglopts">#REF!</definedName>
    <definedName name="Atkinsonglo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#REF!</definedName>
    <definedName name="auteracnicbat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leFRA6NPTS">FRA!$G$5</definedName>
    <definedName name="BailleFRA6NTRIES">FRA!$B$5</definedName>
    <definedName name="Bainessalpts">#REF!</definedName>
    <definedName name="Bainessaltries">#REF!</definedName>
    <definedName name="Bairdire6npts">IRE!$G$5</definedName>
    <definedName name="Bairdire6ntries">IRE!$B$5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etfrawxvpts">FRA!$H$5</definedName>
    <definedName name="banetfrawxvtries">FRA!$C$5</definedName>
    <definedName name="banhanpts">#REF!</definedName>
    <definedName name="Barattinitapts">ITA!$G$4</definedName>
    <definedName name="Barattinitatries">ITA!$B$4</definedName>
    <definedName name="Barbierileipts">#REF!</definedName>
    <definedName name="Barbierileitries">#REF!</definedName>
    <definedName name="bargellusawxtries">USA!$C$4</definedName>
    <definedName name="bargellusawxvpts">USA!$H$4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newpts">IRE!#REF!</definedName>
    <definedName name="Barnesnewtries">IRE!#REF!</definedName>
    <definedName name="Barringtonrichardpts">#REF!</definedName>
    <definedName name="Barringtonrichardtries">#REF!</definedName>
    <definedName name="Barrittbradpts">#REF!</definedName>
    <definedName name="Barrittbradtries">#REF!</definedName>
    <definedName name="Barrownewpts">IRE!#REF!</definedName>
    <definedName name="Barrownewtries">IRE!#REF!</definedName>
    <definedName name="Bartlettsco6npts">SCO!$G$3</definedName>
    <definedName name="Bartlettsco6ntries">SCO!$B$3</definedName>
    <definedName name="bartlettscowxvpts">SCO!$H$3</definedName>
    <definedName name="bartlettscowxvtries">SCO!$C$3</definedName>
    <definedName name="BashamWAL6NPTS">WAL!$G$5</definedName>
    <definedName name="BashamWAL6NTRIES">WAL!$B$5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#REF!</definedName>
    <definedName name="Batemangregtries">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scorers">#REF!</definedName>
    <definedName name="Battyrosspts">#REF!</definedName>
    <definedName name="Battyrosstries">#REF!</definedName>
    <definedName name="bayfieldnzlwxvpts">NZL!$H$3</definedName>
    <definedName name="bayfieldnzlwxvtries">NZL!$C$3</definedName>
    <definedName name="Bealhamire6npts">IRE!$G$6</definedName>
    <definedName name="Bealhamire6ntries">IRE!$B$6</definedName>
    <definedName name="Beaumontsalpts">#REF!</definedName>
    <definedName name="Beaumontsaltries">#REF!</definedName>
    <definedName name="Beechcharliepts">#REF!</definedName>
    <definedName name="Beechcharlietries">#REF!</definedName>
    <definedName name="Bell_C">#REF!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tommypts">#REF!</definedName>
    <definedName name="Belltommytries">#REF!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tleyjonnypts">#REF!</definedName>
    <definedName name="Bermudezcanp4pts">CAN!$G$4</definedName>
    <definedName name="Bermudezcanp4tries">CAN!$B$4</definedName>
    <definedName name="bermudezcanwxvpts">CAN!$H$4</definedName>
    <definedName name="bermudezcanwxvtries">CAN!$C$4</definedName>
    <definedName name="Berneng6npts">ENG!$G$8</definedName>
    <definedName name="Berneng6ntries">ENG!$B$8</definedName>
    <definedName name="bernengwxvpts">ENG!$H$8</definedName>
    <definedName name="bernengwxvtries">ENG!$C$8</definedName>
    <definedName name="Bettoniita6npts">ITA!$G$5</definedName>
    <definedName name="Bettoniita6ntries">ITA!$B$5</definedName>
    <definedName name="Bettysampts">#REF!</definedName>
    <definedName name="Bettysamtries">#REF!</definedName>
    <definedName name="Beukeboomcanp4pts">CAN!$G$5</definedName>
    <definedName name="Beukeboomcanp4tries">CAN!$B$5</definedName>
    <definedName name="bevanwal6natt">WAL!$M$12</definedName>
    <definedName name="Bevanwal6ngls">WAL!$L$4</definedName>
    <definedName name="Bevanwal6nglscorrect">WAL!$L$12</definedName>
    <definedName name="Bevanwalwxvatt">WAL!$M$26</definedName>
    <definedName name="Bevanwalwxvgls">WAL!$L$26</definedName>
    <definedName name="bevanwalwxvpts">WAL!$H$3</definedName>
    <definedName name="bevanwalwxvtries">WAL!$C$3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ggarwal6natt">WAL!$V$20</definedName>
    <definedName name="biggarwal6nattcorrect">WAL!$M$15</definedName>
    <definedName name="Biggarwal6nglscorrect">WAL!$L$15</definedName>
    <definedName name="Biggarwal6ngoals">WAL!#REF!</definedName>
    <definedName name="Biggarwal6npts">WAL!$G$6</definedName>
    <definedName name="Biggarwal6ntries">WAL!$B$6</definedName>
    <definedName name="biggarwalatt">WAL!$M$7</definedName>
    <definedName name="Biggarwalgls">WAL!$L$7</definedName>
    <definedName name="biggarwalpts">WAL!$J$6</definedName>
    <definedName name="biggarwaltries">WAL!$E$6</definedName>
    <definedName name="Biggstompts">#REF!</definedName>
    <definedName name="Biggstomtries">#REF!</definedName>
    <definedName name="Bigotfra6npts">FRA!$G$8</definedName>
    <definedName name="Bigotfra6ntries">FRA!$B$8</definedName>
    <definedName name="bitonciitawxvpts">ITA!$H$5</definedName>
    <definedName name="bitonciitawxvtries">ITA!$C$5</definedName>
    <definedName name="Bitterusawxvatt">USA!$M$28</definedName>
    <definedName name="Bitterusawxvgls">USA!$L$28</definedName>
    <definedName name="Blairnewpts">IRE!#REF!</definedName>
    <definedName name="Blairpts">IRE!#REF!</definedName>
    <definedName name="Blairtries">IRE!#REF!</definedName>
    <definedName name="blancoespwxvpts">ESP!$H$6</definedName>
    <definedName name="blancoespwxvtries">ESP!$C$6</definedName>
    <definedName name="Bluckwal6npts">WAL!$G$4</definedName>
    <definedName name="Bluckwal6ntries">WAL!$B$4</definedName>
    <definedName name="Boagcanp4pts">CAN!$G$6</definedName>
    <definedName name="Boagcanp4tries">CAN!$B$6</definedName>
    <definedName name="boagcanwxvpts">CAN!$H$6</definedName>
    <definedName name="boagcanwxvtries">CAN!$C$6</definedName>
    <definedName name="Bodillyexepts">#REF!</definedName>
    <definedName name="Bodillyexetries">#REF!</definedName>
    <definedName name="bonarrscowxvpts">SCO!$H$5</definedName>
    <definedName name="bonarrscowxvtries">SCO!$C$5</definedName>
    <definedName name="Bonarsco6npts">SCO!$G$5</definedName>
    <definedName name="Bonarsco6ntries">SCO!$B$5</definedName>
    <definedName name="boschatt">#REF!</definedName>
    <definedName name="Boschgoals">#REF!</definedName>
    <definedName name="Boschmarcelopts">#REF!</definedName>
    <definedName name="Boschmarcelotries">#REF!</definedName>
    <definedName name="botesrsawxvpts">RSA!$H$5</definedName>
    <definedName name="botesrsawxvtries">RSA!$C$5</definedName>
    <definedName name="Bothaexepts">#REF!</definedName>
    <definedName name="Bothaexetries">#REF!</definedName>
    <definedName name="Bothamouritzpts">#REF!</definedName>
    <definedName name="Bothamouritztries">#REF!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ttermanengwxvpts">ENG!$H$9</definedName>
    <definedName name="bottermanengwxvtries">ENG!$C$9</definedName>
    <definedName name="Boujardfra6npts">FRA!$G$9</definedName>
    <definedName name="Boujardfra6ntries">FRA!$B$9</definedName>
    <definedName name="Boulard_Efra6npts">FRA!$G$10</definedName>
    <definedName name="Boulard_Efra6ntries">FRA!$B$10</definedName>
    <definedName name="boulardfrawxvpts">FRA!$H$10</definedName>
    <definedName name="boulardfrawxvtries">FRA!$C$10</definedName>
    <definedName name="Bourdonfra6natt">FRA!$M$16</definedName>
    <definedName name="Bourdonfra6ngls">FRA!$L$16</definedName>
    <definedName name="Bourdonfra6npts">FRA!$G$11</definedName>
    <definedName name="Bourdonfra6ntries">FRA!$B$11</definedName>
    <definedName name="bourdonfragls">FRA!$L$5</definedName>
    <definedName name="bourdonfrawxvpts">FRA!$H$11</definedName>
    <definedName name="bourdonfrawxvtries">FRA!$C$11</definedName>
    <definedName name="Bourgeoisfra6natt">FRA!$M$17</definedName>
    <definedName name="Bourgeoisfra6ngls">FRA!$L$17</definedName>
    <definedName name="Bourgeoisfrawxvatt">FRA!$M$34</definedName>
    <definedName name="Bourgeoisfrawxvgls">FRA!$L$34</definedName>
    <definedName name="bourgeoisfrawxvtpts">FRA!$H$12</definedName>
    <definedName name="bourgeoisfrawxvtries">FRA!$C$12</definedName>
    <definedName name="Bowdendanpts">#REF!</definedName>
    <definedName name="Bowdendantries">#REF!</definedName>
    <definedName name="Bowdenpts">#REF!</definedName>
    <definedName name="bowden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leyglopts">#REF!</definedName>
    <definedName name="Braleyglotries">#REF!</definedName>
    <definedName name="Braleyita6npts">ITA!$G$6</definedName>
    <definedName name="Braleyita6ntries">ITA!$B$6</definedName>
    <definedName name="breachengwxvpts">ENG!$H$10</definedName>
    <definedName name="breachengwxvtries">ENG!$C$10</definedName>
    <definedName name="brebnerholdenscowxvpts">SCO!$H$6</definedName>
    <definedName name="brebnerholdenscowxvtries">SCO!$C$6</definedName>
    <definedName name="Breenire6natt">IRE!$M$12</definedName>
    <definedName name="Breenire6nattcorrect">IRE!$M$14</definedName>
    <definedName name="Breenire6ngls">IRE!$L$12</definedName>
    <definedName name="Breenire6nglscorrect">IRE!$L$14</definedName>
    <definedName name="breenirewxvpts">IRE!$H$5</definedName>
    <definedName name="breenirewxvtries">IRE!$C$5</definedName>
    <definedName name="Bremner_AnzlP4pts">NZL!$G$4</definedName>
    <definedName name="Bremner_AnzlP4tries">NZL!$B$4</definedName>
    <definedName name="Bremner_CnzlP4pts">NZL!$G$5</definedName>
    <definedName name="Bremner_CnzlP4tries">NZL!$B$5</definedName>
    <definedName name="Briggsleipts">#REF!</definedName>
    <definedName name="Briggsleitries">#REF!</definedName>
    <definedName name="Bristowleipts">#REF!</definedName>
    <definedName name="Bristowleitries">#REF!</definedName>
    <definedName name="Britspts">#REF!</definedName>
    <definedName name="britstris">#REF!</definedName>
    <definedName name="Brittonwelpts">#REF!</definedName>
    <definedName name="Brittonweltries">#REF!</definedName>
    <definedName name="brockengwxvpts">ENG!$H$11</definedName>
    <definedName name="brockengwxvtries">ENG!$C$11</definedName>
    <definedName name="brodyusawxvpts">USA!$H$6</definedName>
    <definedName name="brodyusawxvtries">USA!$C$6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#REF!</definedName>
    <definedName name="Brownedanieltries">#REF!</definedName>
    <definedName name="browneng6npts">ENG!#REF!</definedName>
    <definedName name="browneng6ntries">ENG!#REF!</definedName>
    <definedName name="Brownepetepts">#REF!</definedName>
    <definedName name="Brownepetetries">#REF!</definedName>
    <definedName name="brownexepts">#REF!</definedName>
    <definedName name="brownexetries">#REF!</definedName>
    <definedName name="brownkellypts">#REF!</definedName>
    <definedName name="brownkellytries">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#REF!</definedName>
    <definedName name="brownsartries">#REF!</definedName>
    <definedName name="BruntnzlP4pts">NZL!$G$6</definedName>
    <definedName name="BruntnzlP4tries">NZL!$B$6</definedName>
    <definedName name="bruntnzlwxvpts">NZL!$H$6</definedName>
    <definedName name="bruntnzlwxvtries">NZL!$C$6</definedName>
    <definedName name="Buchananpts">ENG!#REF!</definedName>
    <definedName name="buchanantries">ENG!#REF!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#REF!</definedName>
    <definedName name="Burnsbillytries">#REF!</definedName>
    <definedName name="burnsfreddieatt">#REF!</definedName>
    <definedName name="burnsfreddiegoals">#REF!</definedName>
    <definedName name="Burnsfreddiepts">#REF!</definedName>
    <definedName name="Burnsfreddietries">#REF!</definedName>
    <definedName name="burnsgloatt">#REF!</definedName>
    <definedName name="burnsglogoals">#REF!</definedName>
    <definedName name="Burnsharpts">ENG!#REF!</definedName>
    <definedName name="Burnshartries">ENG!#REF!</definedName>
    <definedName name="burnsleiatt">#REF!</definedName>
    <definedName name="burnsleigoals">#REF!</definedName>
    <definedName name="Burnsleipts">#REF!</definedName>
    <definedName name="Burnsleitries">#REF!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rtoneng6npts">ENG!$G$12</definedName>
    <definedName name="Burtoneng6ntries">ENG!$B$12</definedName>
    <definedName name="busoitawxvpts">ITA!$H$6</definedName>
    <definedName name="busoitawxvtries">ITA!$C$6</definedName>
    <definedName name="caarberyire6ngls">IRE!#REF!</definedName>
    <definedName name="Cahillshanepts">#REF!</definedName>
    <definedName name="Cahillshanetries">#REF!</definedName>
    <definedName name="Caldwellexepts">#REF!</definedName>
    <definedName name="Caldwellexetries">#REF!</definedName>
    <definedName name="callenderwalwxpts">WAL!$H$42</definedName>
    <definedName name="callenderwalwxtries">WAL!$C$42</definedName>
    <definedName name="callenderwalwxvpts">WAL!$H$5</definedName>
    <definedName name="callenderwalwxvtries">WAL!$C$5</definedName>
    <definedName name="Camacholeipts">#REF!</definedName>
    <definedName name="Camacholeitries">#REF!</definedName>
    <definedName name="Cannaita6natt">ITA!#REF!</definedName>
    <definedName name="Cannaita6ngoals">ITA!#REF!</definedName>
    <definedName name="Cannonwaspts">#REF!</definedName>
    <definedName name="Cannonwastries">#REF!</definedName>
    <definedName name="cantornaUSAp4att">USA!$M$14</definedName>
    <definedName name="CantornaUSAp4gls">USA!$L$14</definedName>
    <definedName name="CantornaUSAP4pts">USA!$G$7</definedName>
    <definedName name="Cantornausap4tries">USA!$B$7</definedName>
    <definedName name="Cantornausawxvatt">USA!$M$29</definedName>
    <definedName name="Cantornausawxvgls">USA!$L$29</definedName>
    <definedName name="cantornausawxvpts">USA!$H$7</definedName>
    <definedName name="cantornausawxvtries">USA!$C$7</definedName>
    <definedName name="Capomaggiita6natt">ITA!$M$5</definedName>
    <definedName name="Capomaggiita6nattcorrect">ITA!$M$14</definedName>
    <definedName name="Capomaggiita6ngls">ITA!$L$5</definedName>
    <definedName name="Capomaggiita6nglscorrect">ITA!$L$14</definedName>
    <definedName name="capomaggiitawxvatt">ITA!$M$29</definedName>
    <definedName name="Capomaggiitawxvgls">ITA!$L$29</definedName>
    <definedName name="capomaggiitawxvpts">ITA!$H$7</definedName>
    <definedName name="capomaggiitawxvtries">ITA!$C$7</definedName>
    <definedName name="Capuozzoita6npts">ITA!$G$7</definedName>
    <definedName name="Capuozzoita6ntries">ITA!$B$7</definedName>
    <definedName name="carberyire6natt">IRE!#REF!</definedName>
    <definedName name="Carberyire6ngls">IRE!#REF!</definedName>
    <definedName name="Carberyire6npts">IRE!$G$12</definedName>
    <definedName name="Carberyire6ntries">IRE!$B$12</definedName>
    <definedName name="carberyireatt">IRE!#REF!</definedName>
    <definedName name="Carberyiregls">IRE!#REF!</definedName>
    <definedName name="Care" comment="constant">ENG!#REF!</definedName>
    <definedName name="Carepts">ENG!#REF!</definedName>
    <definedName name="caretries" comment="constant">ENG!#REF!</definedName>
    <definedName name="carlisleatt">#REF!</definedName>
    <definedName name="carlislegoals">#REF!</definedName>
    <definedName name="Carlislejoetries">#REF!</definedName>
    <definedName name="Carlislepts">#REF!</definedName>
    <definedName name="Carrick_Smithexepts">#REF!</definedName>
    <definedName name="Carrick_Smithexetries">#REF!</definedName>
    <definedName name="CarsonEeng6npts">ENG!$G$14</definedName>
    <definedName name="CarsonEeng6ntries">ENG!$B$14</definedName>
    <definedName name="carsonengwxvpts">ENG!$H$14</definedName>
    <definedName name="carsonengwxvtries">ENG!$C$14</definedName>
    <definedName name="Caslickausp4pts">AUS!$G$4</definedName>
    <definedName name="Caslickausp4tries">AUS!$B$4</definedName>
    <definedName name="Cassonharpts">ENG!#REF!</definedName>
    <definedName name="Cassonhartries">ENG!#REF!</definedName>
    <definedName name="casteloespwxvpts">ESP!$H$8</definedName>
    <definedName name="casteloespwxvtries">ESP!$C$8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#REF!</definedName>
    <definedName name="Cattnathantries">#REF!</definedName>
    <definedName name="Chambonfra6npts">FRA!$G$13</definedName>
    <definedName name="Chambonfra6ntries">FRA!$B$13</definedName>
    <definedName name="chambonfrawxvpts">FRA!$H$14</definedName>
    <definedName name="chambonfrawxvptscorrect">FRA!$H$13</definedName>
    <definedName name="chambonfrawxvtries">FRA!$C$14</definedName>
    <definedName name="chambonfrawxvtriescorrect">FRA!$C$13</definedName>
    <definedName name="champonfrawxvpts">FRA!$H$14</definedName>
    <definedName name="champonfrawxvtries">FRA!$C$14</definedName>
    <definedName name="chancellorauswxvpts">AUS!$H$5</definedName>
    <definedName name="chancellorauswxvtries">AUS!$C$5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udleyexepts">#REF!</definedName>
    <definedName name="Chudleyexetries">#REF!</definedName>
    <definedName name="ciprianiatt">#REF!</definedName>
    <definedName name="Ciprianidannytries">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ttadiniwaspts">#REF!</definedName>
    <definedName name="Cittadiniwastries">#REF!</definedName>
    <definedName name="ClappUSAP4pts">USA!$G$8</definedName>
    <definedName name="ClappUSAp4tries">USA!$B$8</definedName>
    <definedName name="clappusawxvpts">USA!$H$8</definedName>
    <definedName name="clappusawxvtries">USA!$C$8</definedName>
    <definedName name="Clarkcalumpts">ITA!#REF!</definedName>
    <definedName name="Clarkcalumtries">ITA!#REF!</definedName>
    <definedName name="Cleall_Penftries">ENG!$B$16</definedName>
    <definedName name="Cleall_Pengpts">ENG!$G$16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eng6npts">ENG!$G$17</definedName>
    <definedName name="Cliffordeng6ntries">ENG!$A$17</definedName>
    <definedName name="Cliffordeng6ntriescorrect">ENG!$B$17</definedName>
    <definedName name="cliffordengwxvpts">ENG!$H$17</definedName>
    <definedName name="cliffordengwxvtries">ENG!$C$17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#REF!</definedName>
    <definedName name="Cliffsaltries">#REF!</definedName>
    <definedName name="Clinecanp4pts">CAN!$G$7</definedName>
    <definedName name="Clinecanp4tries">CAN!$B$7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kayneeng6npts">ENG!$G$18</definedName>
    <definedName name="Cokayneeng6ntries">ENG!$B$18</definedName>
    <definedName name="cokayneengwxvpts">ENG!$H$18</definedName>
    <definedName name="cokayneengwxvtries">ENG!$C$18</definedName>
    <definedName name="Coleleipts">#REF!</definedName>
    <definedName name="Coleleitries">#REF!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nanire6npts">IRE!$G$13</definedName>
    <definedName name="Conanire6ntries">IRE!$B$13</definedName>
    <definedName name="Conlonexepts">#REF!</definedName>
    <definedName name="Conlonexetries">#REF!</definedName>
    <definedName name="Conlonjoelpts">#REF!</definedName>
    <definedName name="Conlonjoeltries">#REF!</definedName>
    <definedName name="ConnornzlP4tries">NZL!$B$7</definedName>
    <definedName name="ConnorrnzlP4pts">NZL!$G$7</definedName>
    <definedName name="Conwayire6npts">IRE!$G$15</definedName>
    <definedName name="Conwayire6ntries">IRE!$B$15</definedName>
    <definedName name="cookatt">#REF!</definedName>
    <definedName name="Cookchrispts">#REF!</definedName>
    <definedName name="Cookchristries">#REF!</definedName>
    <definedName name="Cookgoals">#REF!</definedName>
    <definedName name="Cookpts">#REF!</definedName>
    <definedName name="Cooktries">#REF!</definedName>
    <definedName name="Cooper_Woolleypts">#REF!</definedName>
    <definedName name="Cooper_Woolleytries">#REF!</definedName>
    <definedName name="Cooper_Woolleywaspts">#REF!</definedName>
    <definedName name="Cooper_Woolleywastries">#REF!</definedName>
    <definedName name="Cooperwelpts">#REF!</definedName>
    <definedName name="Cooperweltries">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kermattpts">#REF!</definedName>
    <definedName name="Corkermatttries">#REF!</definedName>
    <definedName name="corradiniitawxvpts">ITA!$H$8</definedName>
    <definedName name="corradiniitawxvtries">ITA!$C$8</definedName>
    <definedName name="Corrigancanp4pts">CAN!$G$8</definedName>
    <definedName name="Corrigancanp4tries">CAN!$B$8</definedName>
    <definedName name="corrigancanwxvpts">CAN!$H$8</definedName>
    <definedName name="corrigancanwxvtries">CAN!$C$8</definedName>
    <definedName name="Corriganire6npts">IRE!$G$8</definedName>
    <definedName name="Corriganire6ntries">IRE!$B$8</definedName>
    <definedName name="costiganirewxvpts">IRE!$H$9</definedName>
    <definedName name="costiganirewxvtries">IRE!$C$9</definedName>
    <definedName name="coulibalyusawxpts">USA!$H$9</definedName>
    <definedName name="coulibalyusawxtries">USA!$C$9</definedName>
    <definedName name="Courtlipts">FRA!#REF!</definedName>
    <definedName name="Courtlitries">FRA!#REF!</definedName>
    <definedName name="Cowan_Dickie_Lukepts">#REF!</definedName>
    <definedName name="Cowan_Dickie_Luketries">#REF!</definedName>
    <definedName name="Cowanblairtries">FRA!#REF!</definedName>
    <definedName name="Cowanjimmypts">#REF!</definedName>
    <definedName name="Cowanjimmytries">#REF!</definedName>
    <definedName name="Cowanlipts">FRA!#REF!</definedName>
    <definedName name="Cowanpts">FRA!#REF!</definedName>
    <definedName name="Cowantries">FRA!#REF!</definedName>
    <definedName name="Cowellengpts">ENG!$G$19</definedName>
    <definedName name="Cowellengtries">ENG!$B$19</definedName>
    <definedName name="Coxlipts">FRA!#REF!</definedName>
    <definedName name="Coxlitries">FRA!#REF!</definedName>
    <definedName name="Coxmattpts">#REF!</definedName>
    <definedName name="Coxmatttries">#REF!</definedName>
    <definedName name="coxwalwxvtries">WAL!$C$6</definedName>
    <definedName name="coxwalwxvtriespts">WAL!$H$6</definedName>
    <definedName name="Crabbwal6npts">WAL!$G$7</definedName>
    <definedName name="Crabbwal6ntries">WAL!$B$7</definedName>
    <definedName name="Craignorpts">ITA!#REF!</definedName>
    <definedName name="Craignortries">ITA!#REF!</definedName>
    <definedName name="cramerausP4att">AUS!$M$15</definedName>
    <definedName name="CramerausP4gls">AUS!$L$15</definedName>
    <definedName name="Cramerausp4pts">AUS!$G$8</definedName>
    <definedName name="Cramerausp4tries">AUS!$B$8</definedName>
    <definedName name="cramerauswxvpts">AUS!$H$8</definedName>
    <definedName name="cramerauswxvtries">AUS!$C$8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ninire6natt">IRE!$M$13</definedName>
    <definedName name="Croninire6ngls">IRE!$L$13</definedName>
    <definedName name="Croninire6npts">IRE!$G$9</definedName>
    <definedName name="Croninire6ntries">IRE!$B$9</definedName>
    <definedName name="crossleycanwxvpts">CAN!$H$9</definedName>
    <definedName name="crossleycanwxvtries">CAN!$C$9</definedName>
    <definedName name="Crosslipts">FRA!#REF!</definedName>
    <definedName name="Crosslitries">FRA!#REF!</definedName>
    <definedName name="Croweire6npts">IRE!$G$10</definedName>
    <definedName name="Croweire6ntries">IRE!$B$10</definedName>
    <definedName name="Cuetopts">#REF!</definedName>
    <definedName name="Cuetosalpts">#REF!</definedName>
    <definedName name="Cuetosaltries">#REF!</definedName>
    <definedName name="cuetotries">#REF!</definedName>
    <definedName name="Cusitersalpts">#REF!</definedName>
    <definedName name="Cusitersaltries">#REF!</definedName>
    <definedName name="D_Incaita6npts">ITA!$G$9</definedName>
    <definedName name="D_Incaita6ntries">ITA!$B$9</definedName>
    <definedName name="Dallavallewal6npts">WAL!$G$8</definedName>
    <definedName name="Dallavallewal6ntries">WAL!$B$8</definedName>
    <definedName name="dallingerauswxvatt">AUS!$M$31</definedName>
    <definedName name="Dallingerauswxvgls">AUS!$L$31</definedName>
    <definedName name="dallingerauswxvpts">AUS!$H$9</definedName>
    <definedName name="dallingerauswxvtries">AUS!$C$9</definedName>
    <definedName name="Daltonire6npts">IRE!$G$11</definedName>
    <definedName name="Daltonire6ntries">IRE!$B$11</definedName>
    <definedName name="Dalyelliotpts">#REF!</definedName>
    <definedName name="Dalyelliottries">#REF!</definedName>
    <definedName name="Dalyeng6npts">ENG!$G$9</definedName>
    <definedName name="Dalyeng6ntries">ENG!$B$9</definedName>
    <definedName name="dalywasatt">#REF!</definedName>
    <definedName name="dalywasgoals">#REF!</definedName>
    <definedName name="Dalywaspts">#REF!</definedName>
    <definedName name="Danaherdeclanpts">FRA!#REF!</definedName>
    <definedName name="Danaherdeclantries">FRA!#REF!</definedName>
    <definedName name="Dantyfra6npts">FRA!$G$12</definedName>
    <definedName name="Dantyfra6ntries">FRA!$B$12</definedName>
    <definedName name="Dargesco6npts">SCO!$G$7</definedName>
    <definedName name="Dargesco6ntries">SCO!$B$7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ng6npts">ENG!#REF!</definedName>
    <definedName name="Davieseng6ntries">ENG!#REF!</definedName>
    <definedName name="daviesengwxvpts">ENG!#REF!</definedName>
    <definedName name="daviesengwxvtries">ENG!#REF!</definedName>
    <definedName name="Daviesexepts">#REF!</definedName>
    <definedName name="Daviesexetries">#REF!</definedName>
    <definedName name="Daviesnewpts">IRE!#REF!</definedName>
    <definedName name="Daviesnewtries">IRE!#REF!</definedName>
    <definedName name="davieswelatt">#REF!</definedName>
    <definedName name="davieswelgoals">#REF!</definedName>
    <definedName name="Dawidiukglopts">#REF!</definedName>
    <definedName name="Dawidiukglotries">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#REF!</definedName>
    <definedName name="Daydomtries">#REF!</definedName>
    <definedName name="De_Chavesleipts">#REF!</definedName>
    <definedName name="De_Chavesleitries">#REF!</definedName>
    <definedName name="De_Goedecanp4att">CAN!$M$14</definedName>
    <definedName name="De_Goedecanp4gls">CAN!$L$14</definedName>
    <definedName name="de_Goedecanp4pts">CAN!$G$10</definedName>
    <definedName name="de_Goedecanp4tries">CAN!$B$10</definedName>
    <definedName name="de_Goedecanwxvatt">CAN!$M$31</definedName>
    <definedName name="de_Goedecanwxvgls">CAN!$L$31</definedName>
    <definedName name="de_Jagersarpts">#REF!</definedName>
    <definedName name="de_Jagersartries">#REF!</definedName>
    <definedName name="de_Kockneilpts">#REF!</definedName>
    <definedName name="de_Kockneiltries">#REF!</definedName>
    <definedName name="Deaconleipts">#REF!</definedName>
    <definedName name="Deaconleitries">#REF!</definedName>
    <definedName name="degoedecanwxvpts">CAN!$H$10</definedName>
    <definedName name="degoedecanwxvtries">CAN!$C$10</definedName>
    <definedName name="Demantnzlp4att">NZL!$L$15</definedName>
    <definedName name="Demantnzlp4attcorrect">NZL!$M$15</definedName>
    <definedName name="Demantnzlp4gls">NZL!$L$15</definedName>
    <definedName name="DemantnzlP4pts">NZL!$G$9</definedName>
    <definedName name="DemantnzlP4tries">NZL!$B$9</definedName>
    <definedName name="Demantnzlwxvatt">NZL!$M$32</definedName>
    <definedName name="Demantnzlwxvgls">NZL!$L$32</definedName>
    <definedName name="demantnzlwxvpts">NZL!$H$9</definedName>
    <definedName name="demantnzlwxvtries">NZL!$C$9</definedName>
    <definedName name="DeMerchantcanP4pts">CAN!$G$11</definedName>
    <definedName name="DeMerchantcanP4tries">CAN!$B$11</definedName>
    <definedName name="demerchantcanwxvpts">CAN!$H$11</definedName>
    <definedName name="demerchantcanwxvtries">CAN!$C$11</definedName>
    <definedName name="Denmangarethpts">ITA!#REF!</definedName>
    <definedName name="Denmangarethtries">ITA!#REF!</definedName>
    <definedName name="deshayefrawxvpts">FRA!$H$15</definedName>
    <definedName name="deshayefrawxvtries">FRA!$C$15</definedName>
    <definedName name="DetiveauxUSAP4pts">USA!$G$9</definedName>
    <definedName name="DetiveauxUSAP4tries">USA!$B$9</definedName>
    <definedName name="devotobatatt">#REF!</definedName>
    <definedName name="devotobatgoals">#REF!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ncaitawxvpts">ITA!$H$9</definedName>
    <definedName name="dincaitawxvtries">ITA!$C$9</definedName>
    <definedName name="djougangirewxvpts">IRE!$H$13</definedName>
    <definedName name="djougangirewxvtries">IRE!$C$13</definedName>
    <definedName name="Dobsonmatthewpts">#REF!</definedName>
    <definedName name="Dobsonmatthewtries">#REF!</definedName>
    <definedName name="Dolannorpts">ITA!#REF!</definedName>
    <definedName name="Dolannortries">ITA!#REF!</definedName>
    <definedName name="dolfrsawxvpts">RSA!$H$8</definedName>
    <definedName name="dolfrsawxvtries">RSA!$C$8</definedName>
    <definedName name="dollmanatt">#REF!</definedName>
    <definedName name="Dollmanexepts">#REF!</definedName>
    <definedName name="Dollmanexetries">#REF!</definedName>
    <definedName name="Dollmangoals">#REF!</definedName>
    <definedName name="Dollmanpts">#REF!</definedName>
    <definedName name="dollmantries">#REF!</definedName>
    <definedName name="Dombrandteng6npts">ENG!$G$10</definedName>
    <definedName name="Dombrandteng6ntries">ENG!$B$10</definedName>
    <definedName name="Doran_Jonesharpts">ENG!#REF!</definedName>
    <definedName name="Doran_Joneshartries">ENG!#REF!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engpts">ENG!$G$20</definedName>
    <definedName name="Dowengtries">ENG!$B$20</definedName>
    <definedName name="dowengwxvpts">ENG!$H$20</definedName>
    <definedName name="dowengwxvtries">ENG!$C$20</definedName>
    <definedName name="Downwelpts">#REF!</definedName>
    <definedName name="Downweltries">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#REF!</definedName>
    <definedName name="Drauniniutries">#REF!</definedName>
    <definedName name="drouinfra6natt">FRA!$M$18</definedName>
    <definedName name="Drouinfra6ngls">FRA!$L$18</definedName>
    <definedName name="Drouinfra6npts">FRA!$G$18</definedName>
    <definedName name="Drouinfra6ntries">FRA!$B$18</definedName>
    <definedName name="du_PlessisnzlP4pts">NZL!$G$10</definedName>
    <definedName name="du_PlessisnzlP4tries">NZL!$B$10</definedName>
    <definedName name="du_Plessissarpts">#REF!</definedName>
    <definedName name="du_Plessissartries">#REF!</definedName>
    <definedName name="ducautawxvpts">ITA!$H$10</definedName>
    <definedName name="ducautawxvtrie">ITA!$C$10</definedName>
    <definedName name="dumkersawxvpts">RSA!$H$9</definedName>
    <definedName name="dumkersawxvtries">RSA!$C$9</definedName>
    <definedName name="Dunnbattries">#REF!</definedName>
    <definedName name="Dunntompts">#REF!</definedName>
    <definedName name="duplessisnzlwxvpts">NZL!$H$10</definedName>
    <definedName name="duplessisnzlwxvtries">NZL!$C$10</definedName>
    <definedName name="DupontFRA6NPTS">FRA!$G$14</definedName>
    <definedName name="DupontFRA6NTRIES">FRA!$B$14</definedName>
    <definedName name="Earlenathanpts">#REF!</definedName>
    <definedName name="Earlenathantries">#REF!</definedName>
    <definedName name="Eastermarkpts">#REF!</definedName>
    <definedName name="Eastermarktries">#REF!</definedName>
    <definedName name="Easternickpts">ENG!#REF!</definedName>
    <definedName name="Easternicktries">ENG!#REF!</definedName>
    <definedName name="Eastersalpts">#REF!</definedName>
    <definedName name="Eastersaltries">#REF!</definedName>
    <definedName name="Eastertries">ENG!#REF!</definedName>
    <definedName name="Eastmondkylepts">#REF!</definedName>
    <definedName name="Eastmondkyletries">#REF!</definedName>
    <definedName name="Edmondshuiapts">#REF!</definedName>
    <definedName name="Edmondshuiatries">#REF!</definedName>
    <definedName name="Elderchrispts">#REF!</definedName>
    <definedName name="Elderchristries">#REF!</definedName>
    <definedName name="Ellerysarpts">#REF!</definedName>
    <definedName name="Ellerysartries">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scuderoFRA6NPTS">FRA!$G$19</definedName>
    <definedName name="EscuderoFRA6NTRIES">FRA!$B$19</definedName>
    <definedName name="escuderofrawxpts">FRA!$H$19</definedName>
    <definedName name="escuderofrawxtries">FRA!$C$19</definedName>
    <definedName name="Evansbrynpts">FRA!#REF!</definedName>
    <definedName name="Evansbryntries">FRA!#REF!</definedName>
    <definedName name="Evansgarethpts">#REF!</definedName>
    <definedName name="Evansgarethtries">#REF!</definedName>
    <definedName name="Evansharpts">ENG!#REF!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answalwxvpts">WAL!$H$9</definedName>
    <definedName name="evanswalwxvtries">WAL!$C$9</definedName>
    <definedName name="Everardmattpts">#REF!</definedName>
    <definedName name="Everardmatttries">#REF!</definedName>
    <definedName name="Everardwaspts">#REF!</definedName>
    <definedName name="Everardwastries">#REF!</definedName>
    <definedName name="Ewersexepts">#REF!</definedName>
    <definedName name="Ewersexetries">#REF!</definedName>
    <definedName name="Ewerspts">#REF!</definedName>
    <definedName name="Ewerstries">#REF!</definedName>
    <definedName name="Fa_asavalumauriepts">ENG!#REF!</definedName>
    <definedName name="Fa_asavalumaurietries">ENG!#REF!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rrellatt">#REF!</definedName>
    <definedName name="Farrelleng6Ngatt">ENG!$V$20</definedName>
    <definedName name="Farrelleng6Ngoals">ENG!$U$20</definedName>
    <definedName name="farrellgoals">#REF!</definedName>
    <definedName name="Farrellowentries">#REF!</definedName>
    <definedName name="Farrellpts">#REF!</definedName>
    <definedName name="Farrellsarpts">#REF!</definedName>
    <definedName name="farriescanwxvpts">CAN!$H$13</definedName>
    <definedName name="farriescanwxvtries">CAN!$C$13</definedName>
    <definedName name="Fearnsalpts">#REF!</definedName>
    <definedName name="Fearnsaltries">#REF!</definedName>
    <definedName name="Fearnscarlpts">#REF!</definedName>
    <definedName name="Fearnscarltries">#REF!</definedName>
    <definedName name="Feaunatieng6npts">ENG!$G$21</definedName>
    <definedName name="Feaunatieng6ntries">ENG!$B$21</definedName>
    <definedName name="feaunatiengwxvpts">ENG!$H$21</definedName>
    <definedName name="feaunatiengwxvtries">ENG!$C$21</definedName>
    <definedName name="Fedrighiita6npts">ITA!$G$11</definedName>
    <definedName name="Fedrighiita6ntries">ITA!$B$11</definedName>
    <definedName name="fedrighiitawxvpts">ITA!$H$11</definedName>
    <definedName name="fedrighiitawxvtries">ITA!$C$11</definedName>
    <definedName name="Feleu_Tfra6npts">FRA!$G$22</definedName>
    <definedName name="Feleu_Tfra6Ntries">FRA!$B$22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#REF!</definedName>
    <definedName name="Fercusartries">#REF!</definedName>
    <definedName name="Festucciacarlopts">#REF!</definedName>
    <definedName name="Festucciacarlotries">#REF!</definedName>
    <definedName name="Feuryusawxvatt">USA!$M$30</definedName>
    <definedName name="Feuryusawxvgls">USA!$L$30</definedName>
    <definedName name="feuryusawxvpts">USA!$H$11</definedName>
    <definedName name="feuryusawxvtries">USA!$C$11</definedName>
    <definedName name="Fickoufra6npts">FRA!$G$15</definedName>
    <definedName name="Fickoufra6ntries">FRA!$B$15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eetwoodeng6npts">ENG!#REF!</definedName>
    <definedName name="Fleetwoodeng6ntries">ENG!#REF!</definedName>
    <definedName name="Flemingwal6npts">WAL!$G$10</definedName>
    <definedName name="Flemingwal6ntries">WAL!$B$10</definedName>
    <definedName name="flemingwalwxvpts">WAL!$H$10</definedName>
    <definedName name="flemingwalwxvtries">WAL!$C$10</definedName>
    <definedName name="floodatt">#REF!</definedName>
    <definedName name="floodgoals">#REF!</definedName>
    <definedName name="floodirewxvpts">IRE!$H$15</definedName>
    <definedName name="floodirewxvtries">IRE!$C$15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ITA!#REF!</definedName>
    <definedName name="fodentries">ITA!#REF!</definedName>
    <definedName name="Fonualwepts">#REF!</definedName>
    <definedName name="Fonualwetries">#REF!</definedName>
    <definedName name="Fordeng6ngatt">ENG!$V$21</definedName>
    <definedName name="Fordeng6ngoals">ENG!$U$21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saltries">#REF!</definedName>
    <definedName name="Forlanifra6npts">FRA!$G$24</definedName>
    <definedName name="Forlanifra6ntries">FRA!$B$24</definedName>
    <definedName name="Forsythandy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rtezacanP4pts">CAN!$G$15</definedName>
    <definedName name="FortezacanP4tries">CAN!$B$15</definedName>
    <definedName name="fortezacanwxvpts">CAN!$H$15</definedName>
    <definedName name="fortezacanwxvtries">CAN!$C$15</definedName>
    <definedName name="Fotuali_Ikahnpts">ITA!#REF!</definedName>
    <definedName name="Fotuali_Ikahntries">ITA!#REF!</definedName>
    <definedName name="Fowlessalpts">#REF!</definedName>
    <definedName name="Fowlessaltries">#REF!</definedName>
    <definedName name="Fowley6nireatt">IRE!$M$16</definedName>
    <definedName name="Fowley6niregls">IRE!$L$16</definedName>
    <definedName name="Fowlielipts">FRA!#REF!</definedName>
    <definedName name="Fowlietompts">FRA!#REF!</definedName>
    <definedName name="Fowlietomtries">FRA!#REF!</definedName>
    <definedName name="Francisexepts">#REF!</definedName>
    <definedName name="Francisexetries">#REF!</definedName>
    <definedName name="Franciswal6npts">WAL!#REF!</definedName>
    <definedName name="Franciswal6ntries">WAL!#REF!</definedName>
    <definedName name="franciswalpts">WAL!#REF!</definedName>
    <definedName name="franciswaltries">WAL!#REF!</definedName>
    <definedName name="Frasersarpts">#REF!</definedName>
    <definedName name="Frasersartries">#REF!</definedName>
    <definedName name="Fraserwillpts">#REF!</definedName>
    <definedName name="Fraserwilltries">#REF!</definedName>
    <definedName name="FriedrichsausP4pts">AUS!$G$11</definedName>
    <definedName name="FriedrichsausP4tries">AUS!$B$11</definedName>
    <definedName name="friedrichsauswxvpts">AUS!$H$11</definedName>
    <definedName name="friedrichsauswxvtries">AUS!$C$11</definedName>
    <definedName name="Frydayire6npts">IRE!$G$16</definedName>
    <definedName name="Frydayire6ntries">IRE!$B$16</definedName>
    <definedName name="Frynewpts">IRE!#REF!</definedName>
    <definedName name="Frynewtries">IRE!#REF!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Gaffneysco6npts">SCO!$G$11</definedName>
    <definedName name="Gaffneysco6ntries">SCO!$B$11</definedName>
    <definedName name="gaffneyscointpts">SCO!$I$11</definedName>
    <definedName name="gaffneyscointtries">SCO!$D$11</definedName>
    <definedName name="Gagop4nzlpts">NZL!$G$11</definedName>
    <definedName name="Gagop4nzltries">NZL!$B$11</definedName>
    <definedName name="Galarzaglopts">#REF!</definedName>
    <definedName name="Galarzaglotries">#REF!</definedName>
    <definedName name="Galarzamarianopts">#REF!</definedName>
    <definedName name="Galarzamarianotries">#REF!</definedName>
    <definedName name="Gallaghercanp4att">CAN!$M$15</definedName>
    <definedName name="Gallaghercanp4gls">CAN!$L$15</definedName>
    <definedName name="Gallaghercanp4pts">CAN!$G$16</definedName>
    <definedName name="Gallaghercanp4tries">CAN!$B$16</definedName>
    <definedName name="gallagherscowxvpts">SCO!$H$12</definedName>
    <definedName name="gallagherscowxvtries">SCO!$C$12</definedName>
    <definedName name="Galliganeng6npts">ENG!$G$22</definedName>
    <definedName name="Galliganeng6ntries">ENG!$B$22</definedName>
    <definedName name="garbisiita6natt">ITA!#REF!</definedName>
    <definedName name="Garbisiita6ngls">ITA!#REF!</definedName>
    <definedName name="Garbisiita6npts">ITA!$G$12</definedName>
    <definedName name="garbisiitayearatt">ITA!#REF!</definedName>
    <definedName name="Garbisiitayeargls">ITA!#REF!</definedName>
    <definedName name="Garciaita6natt">ITA!#REF!</definedName>
    <definedName name="Garciaita6ngoals">ITA!#REF!</definedName>
    <definedName name="Garrattbthpts">#REF!</definedName>
    <definedName name="Garrattbthtries">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eng6npts">ENG!$G$15</definedName>
    <definedName name="Georgeeng6ntries">ENG!$B$15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tries">#REF!</definedName>
    <definedName name="georgetries">#REF!</definedName>
    <definedName name="Georgewal6natt">WAL!$M$13</definedName>
    <definedName name="Georgewal6ngls">WAL!$L$13</definedName>
    <definedName name="Georgewal6npts">WAL!$G$11</definedName>
    <definedName name="Georgewal6ntries">WAL!$B$11</definedName>
    <definedName name="georgewalwxvatt">WAL!$M$27</definedName>
    <definedName name="Georgewalwxvgls">WAL!$L$27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rinfrawxvpts">FRA!$H$25</definedName>
    <definedName name="gerinfrawxvtries">FRA!$C$25</definedName>
    <definedName name="gfordpts">#REF!</definedName>
    <definedName name="Ghiraldinileipts">#REF!</definedName>
    <definedName name="Ghiraldinileitries">#REF!</definedName>
    <definedName name="Gibson_Parkire6npts">IRE!$G$22</definedName>
    <definedName name="Gibson_Parkire6ntries">IRE!$B$22</definedName>
    <definedName name="Gibsonjamiepts">#REF!</definedName>
    <definedName name="Gibsonjamie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sarpts">#REF!</definedName>
    <definedName name="Gillsartries">#REF!</definedName>
    <definedName name="Gilsenanlipts">FRA!#REF!</definedName>
    <definedName name="Gilsenanlitries">FRA!#REF!</definedName>
    <definedName name="giordanoitawxvpts">ITA!$H$16</definedName>
    <definedName name="giordanoitawxvtries">ITA!$C$16</definedName>
    <definedName name="gloucesterpentriespts">#REF!</definedName>
    <definedName name="GloucesterPenTriestries">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pts">#REF!</definedName>
    <definedName name="Goodewaspts">#REF!</definedName>
    <definedName name="Goodewastries">#REF!</definedName>
    <definedName name="Goodhuecampts">#REF!</definedName>
    <definedName name="Goodhuecamtries">#REF!</definedName>
    <definedName name="Grahamsco6npts">SCO!$G$10</definedName>
    <definedName name="Grahamsco6ntries">SCO!$B$10</definedName>
    <definedName name="grahamscopts">SCO!$J$10</definedName>
    <definedName name="grahamscotries">SCO!$E$10</definedName>
    <definedName name="Grantcanp4pts">CAN!$G$18</definedName>
    <definedName name="Grantcanp4tries">CAN!$B$18</definedName>
    <definedName name="grantcanwxvpts">CAN!$H$18</definedName>
    <definedName name="grantcanwxvtries">CAN!$C$18</definedName>
    <definedName name="Grantsco6npts">SCO!$G$13</definedName>
    <definedName name="Grantsco6ntries">SCO!$B$13</definedName>
    <definedName name="grantscowxvpts">SCO!$H$13</definedName>
    <definedName name="grantscowxvtries">SCO!$C$13</definedName>
    <definedName name="Granzottoita6npts">ITA!$G$17</definedName>
    <definedName name="Granzottoita6ntries">ITA!$B$17</definedName>
    <definedName name="granzottoitawxvpts">ITA!$H$17</definedName>
    <definedName name="granzottoitawxvtries">ITA!$C$17</definedName>
    <definedName name="graydannyatt">#REF!</definedName>
    <definedName name="graydannygoals">#REF!</definedName>
    <definedName name="Grayharpts">ENG!#REF!</definedName>
    <definedName name="Grayhartries">ENG!#REF!</definedName>
    <definedName name="Graypts">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isezfra6npts">FRA!$G$26</definedName>
    <definedName name="Grisezfra6ntries">FRA!$B$26</definedName>
    <definedName name="grisezfrawxvpts">FRA!$H$26</definedName>
    <definedName name="grisezfrawxvtries">FRA!$C$26</definedName>
    <definedName name="Grovepts">#REF!</definedName>
    <definedName name="Grovetries">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#REF!</definedName>
    <definedName name="Haleymiketries">#REF!</definedName>
    <definedName name="halseauswxvpts">AUS!$H$12</definedName>
    <definedName name="halseauswxvtries">AUS!$C$12</definedName>
    <definedName name="HamiltonausP4pts">AUS!$G$13</definedName>
    <definedName name="HamiltonausP4tries">AUS!$B$13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IRE!#REF!</definedName>
    <definedName name="Hammersleynewtries">IRE!#REF!</definedName>
    <definedName name="Hammonddeanpts">#REF!</definedName>
    <definedName name="Hammonddeantries">#REF!</definedName>
    <definedName name="Hankinmattpts">#REF!</definedName>
    <definedName name="Hankinmatttries">#REF!</definedName>
    <definedName name="Hansenire6npts">IRE!$G$23</definedName>
    <definedName name="Hansenire6nries">IRE!$B$23</definedName>
    <definedName name="HardyWAL6NPTS">WAL!$G$21</definedName>
    <definedName name="HardyWAL6NTRIES">WAL!$B$21</definedName>
    <definedName name="Hargreavessarpts">#REF!</definedName>
    <definedName name="Hargreavessartries">#REF!</definedName>
    <definedName name="Harrieswal6npts">WAL!$G$13</definedName>
    <definedName name="Harrieswal6ntries">WAL!$B$13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eng6natt">ENG!$M$17</definedName>
    <definedName name="Harrisoneng6ngls">ENG!$L$17</definedName>
    <definedName name="Harrisoneng6npts">ENG!$G$24</definedName>
    <definedName name="Harrisoneng6ntries">ENG!$B$24</definedName>
    <definedName name="Harrisonengwxvatt">ENG!$M$38</definedName>
    <definedName name="Harrisonengwxvgls">ENG!$L$38</definedName>
    <definedName name="harrisonengwxvpts">ENG!$H$24</definedName>
    <definedName name="harrisonengwxvtries">ENG!$C$24</definedName>
    <definedName name="Harrisonnorpts">ITA!#REF!</definedName>
    <definedName name="Harrisonnortries">ITA!#REF!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SCO6NPTS">SCO!$G$12</definedName>
    <definedName name="HarrisSCO6NTRIES">SCO!$B$12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ENG!$A$2:$E$52</definedName>
    <definedName name="Haskelljamespts">#REF!</definedName>
    <definedName name="Haskelljamestries">#REF!</definedName>
    <definedName name="hatadajpnwxvpts">JPN!$H$6</definedName>
    <definedName name="hatadajpnwxvtries">JPN!$C$6</definedName>
    <definedName name="Hawkinscanp4pts">CAN!#REF!</definedName>
    <definedName name="Hawkinscanp4tries">CAN!#REF!</definedName>
    <definedName name="Hawkinsnewpts">IRE!#REF!</definedName>
    <definedName name="Hawkinsnewtries">IRE!#REF!</definedName>
    <definedName name="hawkinsUSAp4att">USA!$M$16</definedName>
    <definedName name="HawkinsUSAp4gls">USA!$L$16</definedName>
    <definedName name="HawkinsUSAP4pts">USA!$G$15</definedName>
    <definedName name="Hawkinsusap4tries">USA!$B$15</definedName>
    <definedName name="Hawkinsusawxvatt">USA!$M$31</definedName>
    <definedName name="Hawkinsusawxvgls">USA!$L$31</definedName>
    <definedName name="hawkinsusawxvpts">USA!$H$15</definedName>
    <definedName name="hawkinsusawxvtries">USA!$C$15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ITA!#REF!</definedName>
    <definedName name="Haywoodmiketries">ITA!#REF!</definedName>
    <definedName name="heathcoteatt">#REF!</definedName>
    <definedName name="Heathcotegoals">#REF!</definedName>
    <definedName name="Heathcotepts">#REF!</definedName>
    <definedName name="Heathcoteptscorrect">#REF!</definedName>
    <definedName name="helersawxvpts">RSA!$H$13</definedName>
    <definedName name="helersawxvtries">RSA!$C$13</definedName>
    <definedName name="Helleurnewpts">IRE!#REF!</definedName>
    <definedName name="Helleurnewtris">IRE!#REF!</definedName>
    <definedName name="Helupts">#REF!</definedName>
    <definedName name="Helutries">#REF!</definedName>
    <definedName name="Hennwelshpts">#REF!</definedName>
    <definedName name="Hennwelsh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waspts">#REF!</definedName>
    <definedName name="Hepburnwastries">#REF!</definedName>
    <definedName name="Hepetamaleipts">#REF!</definedName>
    <definedName name="Hepetamaleitries">#REF!</definedName>
    <definedName name="Hermetfra6npts">FRA!$G$28</definedName>
    <definedName name="Hermetfra6ntries">FRA!$B$28</definedName>
    <definedName name="Hibbardglopts">#REF!</definedName>
    <definedName name="Hibbardglotries">#REF!</definedName>
    <definedName name="Higginsire6npts">IRE!$G$18</definedName>
    <definedName name="Higginsire6ntries">IRE!$B$18</definedName>
    <definedName name="higginsirewxvpts">IRE!$H$18</definedName>
    <definedName name="higginsirewxvtries">IRE!$C$18</definedName>
    <definedName name="Hillsampts">#REF!</definedName>
    <definedName name="Hillsamtries">#REF!</definedName>
    <definedName name="Hinessalpts">#REF!</definedName>
    <definedName name="Hinessaltries">#REF!</definedName>
    <definedName name="Hinganousap4pts">USA!$G$18</definedName>
    <definedName name="Hinganousap4tries">USA!$B$18</definedName>
    <definedName name="hinganousawxvpts">USA!$H$18</definedName>
    <definedName name="hinganousawxvtries">USA!$C$18</definedName>
    <definedName name="hirotsujpnwxvpts">JPN!$H$7</definedName>
    <definedName name="hirotsujpnwxvtries">JPN!$C$7</definedName>
    <definedName name="hirotsupnwxvpts">JPN!$H$6</definedName>
    <definedName name="hirotsupnwxvtries">JPN!$C$6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an_Rochestercanp4pts">CAN!$G$19</definedName>
    <definedName name="Hogan_Rochestercanp4tries">CAN!$B$19</definedName>
    <definedName name="Hoganire6npts">IRE!$G$19</definedName>
    <definedName name="Hoganire6ntries">IRE!$B$19</definedName>
    <definedName name="hoganrochestercanwxvpts">CAN!$H$19</definedName>
    <definedName name="hoganrochestercanwxvtries">CAN!$C$19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SCO!#REF!</definedName>
    <definedName name="Hoggsco6ntries">SCO!#REF!</definedName>
    <definedName name="hoggscoatt">SCO!#REF!</definedName>
    <definedName name="Hoggscogoals">SCO!#REF!</definedName>
    <definedName name="hoggscoyratt">SCO!#REF!</definedName>
    <definedName name="Hoggscoyrgls">SCO!#REF!</definedName>
    <definedName name="HohalanzlP4pts">NZL!$G$12</definedName>
    <definedName name="HohalanzlP4tries">NZL!$B$12</definedName>
    <definedName name="Holmesjonahpts">#REF!</definedName>
    <definedName name="Holmesjonahtries">#REF!</definedName>
    <definedName name="holmesnzlP4att">NZL!$M$16</definedName>
    <definedName name="HolmesnzlP4gls">NZL!$L$16</definedName>
    <definedName name="HolmesnzlP4pts">NZL!$G$13</definedName>
    <definedName name="HolmesnzlP4tries">NZL!$B$13</definedName>
    <definedName name="Holmesnzlwxvatt">NZL!$M$33</definedName>
    <definedName name="Holmesnzlwxvgls">NZL!$L$33</definedName>
    <definedName name="holmesnzlwxvpts">NZL!$H$13</definedName>
    <definedName name="holmesnzlwxvtries">NZL!$C$13</definedName>
    <definedName name="Holmeswaspts">#REF!</definedName>
    <definedName name="Holmeswastries">#REF!</definedName>
    <definedName name="holtkampcanwxvpts">CAN!#REF!</definedName>
    <definedName name="holtkampcanwxvtries">CAN!#REF!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FRA!#REF!</definedName>
    <definedName name="homerligoals">FRA!#REF!</definedName>
    <definedName name="homertombthatt">#REF!</definedName>
    <definedName name="Homertompts">FRA!#REF!</definedName>
    <definedName name="Homertomtried">FRA!#REF!</definedName>
    <definedName name="hookgloatt">#REF!</definedName>
    <definedName name="hookglogoals">#REF!</definedName>
    <definedName name="Hookglopts">#REF!</definedName>
    <definedName name="Hookglotries">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#REF!</definedName>
    <definedName name="Hooperstuarttries">#REF!</definedName>
    <definedName name="Hopkinswal6npts">WAL!$G$16</definedName>
    <definedName name="Hopkinswal6ntries">WAL!$B$16</definedName>
    <definedName name="Hopperpts">ENG!#REF!</definedName>
    <definedName name="Hoppertries">ENG!#REF!</definedName>
    <definedName name="Horstmannexepts">#REF!</definedName>
    <definedName name="Horstmannexetries">#REF!</definedName>
    <definedName name="Houstonleroypts">#REF!</definedName>
    <definedName name="Houstonleroytries">#REF!</definedName>
    <definedName name="Howetompts">#REF!</definedName>
    <definedName name="Howetomtries">#REF!</definedName>
    <definedName name="Hudsonjamespts">#REF!</definedName>
    <definedName name="hudsonjamestries">#REF!</definedName>
    <definedName name="Hughesexepts">#REF!</definedName>
    <definedName name="Hughesexetries">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ntcanp4pts">CAN!$G$20</definedName>
    <definedName name="Huntcanp4tries">CAN!$B$20</definedName>
    <definedName name="huntcanwxvpts">CAN!$H$20</definedName>
    <definedName name="huntcanwxvtries">CAN!$C$20</definedName>
    <definedName name="Huntereng6npts">ENG!$G$26</definedName>
    <definedName name="Huntereng6ntries">ENG!$B$26</definedName>
    <definedName name="imakugijpnwxvpts">JPN!$H$8</definedName>
    <definedName name="imakugijpnwxvtries">JPN!$C$8</definedName>
    <definedName name="Infanteengpts">ENG!$G$27</definedName>
    <definedName name="Infanteengtries">ENG!$B$27</definedName>
    <definedName name="Ingallcharliepts">#REF!</definedName>
    <definedName name="Ingallcharlietries">#REF!</definedName>
    <definedName name="Ioanetjsalpts">#REF!</definedName>
    <definedName name="Ioanetjsaltries">#REF!</definedName>
    <definedName name="Isaacsglopts">#REF!</definedName>
    <definedName name="Isaacsglotries">#REF!</definedName>
    <definedName name="Itojesarpts">#REF!</definedName>
    <definedName name="Itojesartries">#REF!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rwasatt">#REF!</definedName>
    <definedName name="jacksonrwasgoals">#REF!</definedName>
    <definedName name="Jacobsbenpts">#REF!</definedName>
    <definedName name="Jacobsbentries">#REF!</definedName>
    <definedName name="jacobsrsawxvpts">RSA!$H$15</definedName>
    <definedName name="jacobsrsawxvtries">RSA!$C$15</definedName>
    <definedName name="Jacobswaspts">#REF!</definedName>
    <definedName name="Jacobswastries">#REF!</definedName>
    <definedName name="jacobyusawxvpts">USA!$H$19</definedName>
    <definedName name="jacobyusawxvtries">USA!$C$19</definedName>
    <definedName name="Jacquetfra6npts">FRA!$G$29</definedName>
    <definedName name="Jacquetfra6ntries">FRA!$B$29</definedName>
    <definedName name="Jamespaulpts">#REF!</definedName>
    <definedName name="Jamespaultries">#REF!</definedName>
    <definedName name="Jamespts">#REF!</definedName>
    <definedName name="Jamessalpts">#REF!</definedName>
    <definedName name="Jamessaltries">#REF!</definedName>
    <definedName name="jamestries">#REF!</definedName>
    <definedName name="jaminetfra6natt">FRA!#REF!</definedName>
    <definedName name="Jaminetfra6ngls">FRA!#REF!</definedName>
    <definedName name="Jaminetfra6npts">FRA!$G$19</definedName>
    <definedName name="jaminetfrayearatt">FRA!#REF!</definedName>
    <definedName name="Jaminetfrayeargls">FRA!#REF!</definedName>
    <definedName name="Janse_v_Rensburgrsawxvatt">RSA!$M$37</definedName>
    <definedName name="Janse_v_Rensburgrsawxvgls">RSA!$L$37</definedName>
    <definedName name="jansevanrensburgrsawxvpts">RSA!$H$16</definedName>
    <definedName name="jansevanrensburgrsawxvtries">RSA!$C$16</definedName>
    <definedName name="jarrellsearcyusawxvpts">USA!$H$20</definedName>
    <definedName name="jarrellsearcyusawxvtries">USA!$C$20</definedName>
    <definedName name="Jelonchfra6npts">FRA!$G$20</definedName>
    <definedName name="Jelonchfra6ntries">FRA!$B$20</definedName>
    <definedName name="jenkinsnzlwxvpts">NZL!$H$14</definedName>
    <definedName name="jenkinsnzlwxvtries">NZL!$C$14</definedName>
    <definedName name="Jenningsbthpts">#REF!</definedName>
    <definedName name="Jenningsbthtries">#REF!</definedName>
    <definedName name="Jenningssalpts">#REF!</definedName>
    <definedName name="Jenningssaltries">#REF!</definedName>
    <definedName name="Jessexepts">#REF!</definedName>
    <definedName name="Jessexetries">#REF!</definedName>
    <definedName name="Jesspts">#REF!</definedName>
    <definedName name="Jesstries">#REF!</definedName>
    <definedName name="Jewellsebpts">#REF!</definedName>
    <definedName name="Jewellsebtries">#REF!</definedName>
    <definedName name="Johnson_Rusap4pts">USA!$G$22</definedName>
    <definedName name="Johnson_Rusap4tries">USA!$B$22</definedName>
    <definedName name="Johnsonashleypts">#REF!</definedName>
    <definedName name="johnsonashleytries">#REF!</definedName>
    <definedName name="Johnsoncanp4pts">CAN!#REF!</definedName>
    <definedName name="Johnsoncanp4tries">CAN!#REF!</definedName>
    <definedName name="Johnsonexepts">#REF!</definedName>
    <definedName name="Johnsonexetries">#REF!</definedName>
    <definedName name="johnsonrusawxvpts">USA!$H$22</definedName>
    <definedName name="johnsonrusawxvtries">USA!$C$22</definedName>
    <definedName name="Johnsonsco6npts">SCO!$G$15</definedName>
    <definedName name="JohnsonSCO6NTRIES">SCO!$B$15</definedName>
    <definedName name="Johnsontompts">#REF!</definedName>
    <definedName name="Johnsontomtries">#REF!</definedName>
    <definedName name="Johnsonwaspts">#REF!</definedName>
    <definedName name="Johnsonwastries">#REF!</definedName>
    <definedName name="Johnstonjamespts">#REF!</definedName>
    <definedName name="Johnstonjamestries">#REF!</definedName>
    <definedName name="jonathanjosephtries">#REF!</definedName>
    <definedName name="Jones_Kwal6npts">WAL!$G$19</definedName>
    <definedName name="Jones_Kwal6ntries">WAL!$B$19</definedName>
    <definedName name="Joneschrispts">#REF!</definedName>
    <definedName name="joneschristries">#REF!</definedName>
    <definedName name="joneseng6natt">ENG!$M$18</definedName>
    <definedName name="Joneseng6ngls">ENG!$L$18</definedName>
    <definedName name="Joneseng6npts">ENG!$G$28</definedName>
    <definedName name="Joneseng6ntries">ENG!$B$28</definedName>
    <definedName name="jonesengwxvpts">ENG!$H$28</definedName>
    <definedName name="jonesengwxvtries">ENG!$C$28</definedName>
    <definedName name="jonesirewxvpts">IRE!$H$23</definedName>
    <definedName name="jonesirewxvtries">IRE!$C$23</definedName>
    <definedName name="joneskwalwxvpts">WAL!$H$19</definedName>
    <definedName name="joneskwalwxvtries">WAL!$C$19</definedName>
    <definedName name="Jonesmarcpts">#REF!</definedName>
    <definedName name="Jonesmarctries">#REF!</definedName>
    <definedName name="Jonesmengatt">ENG!$M$6</definedName>
    <definedName name="Jonesmenggls">ENG!$L$6</definedName>
    <definedName name="Jonessampts">#REF!</definedName>
    <definedName name="Jonessamtries">#REF!</definedName>
    <definedName name="Josephbatpts">#REF!</definedName>
    <definedName name="Josephbattries">#REF!</definedName>
    <definedName name="Josephjonathanptscorrect">#REF!</definedName>
    <definedName name="Josephjonathantriescorrect">#REF!</definedName>
    <definedName name="josephnzlwxvpts">NZL!$H$15</definedName>
    <definedName name="josephnzlwxvtries">NZL!$C$15</definedName>
    <definedName name="josephpts">#REF!</definedName>
    <definedName name="Josephpts2">#REF!</definedName>
    <definedName name="Jouberternstpts">#REF!</definedName>
    <definedName name="Jouberternsttries">#REF!</definedName>
    <definedName name="Joyeuxfra6npts">FRA!$G$30</definedName>
    <definedName name="Joyeuxfra6ntries">FRA!$B$30</definedName>
    <definedName name="Jubbtompts">#REF!</definedName>
    <definedName name="Jubbtomtries">#REF!</definedName>
    <definedName name="Kabeyaeng6npts">ENG!$G$29</definedName>
    <definedName name="Kabeyaeng6ntries">ENG!$B$29</definedName>
    <definedName name="kabeyaengwxvpts">ENG!$H$29</definedName>
    <definedName name="kabeyaengWXVtries">ENG!$C$29</definedName>
    <definedName name="Kalamafonipts">#REF!</definedName>
    <definedName name="Kalamafonitries">#REF!</definedName>
    <definedName name="kalouivalenzlwxvpts">NZL!$H$16</definedName>
    <definedName name="kalouivalenzlwxvtries">NZL!$C$16</definedName>
    <definedName name="KalounivalenzlP4pts">NZL!$G$16</definedName>
    <definedName name="KalounivalenzlP4tries">NZL!$B$16</definedName>
    <definedName name="KarpaniausP4pts">AUS!$G$14</definedName>
    <definedName name="KarpaniausP4tries">AUS!$B$14</definedName>
    <definedName name="karpaniauswxvpts">AUS!$H$14</definedName>
    <definedName name="karpaniauswxvtries">AUS!$C$14</definedName>
    <definedName name="kassilcanwxvpts">CAN!$H$21</definedName>
    <definedName name="kassilcanwxvtries">CAN!$C$21</definedName>
    <definedName name="kawamurajpnwxvpts">JPN!$H$11</definedName>
    <definedName name="kawamurajpnwxvtries">JPN!$C$11</definedName>
    <definedName name="Kearlwepts">#REF!</definedName>
    <definedName name="Kearlwetries">#REF!</definedName>
    <definedName name="Keenanire6npts">IRE!$G$29</definedName>
    <definedName name="Keenanire6ntries">IRE!$B$29</definedName>
    <definedName name="Kelterusap4pts">USA!$G$24</definedName>
    <definedName name="Kelterusap4tries">USA!$B$24</definedName>
    <definedName name="Khalfaouifra6npts">FRA!$G$31</definedName>
    <definedName name="Khalfaouifra6ntries">FRA!$B$31</definedName>
    <definedName name="khalfaouifrawxvpts">FRA!$H$31</definedName>
    <definedName name="khalfaouifrawxvtries">FRA!$C$31</definedName>
    <definedName name="Kibirigezachpts">IRE!#REF!</definedName>
    <definedName name="Kibirigezachtries">IRE!#REF!</definedName>
    <definedName name="Kildunneeng6npts">ENG!$G$30</definedName>
    <definedName name="Kildunneeng6ntries">ENG!$B$30</definedName>
    <definedName name="kildunneengwxvpts">ENG!$H$30</definedName>
    <definedName name="kildunneengwxvtries">ENG!$C$30</definedName>
    <definedName name="kingnzlp4att">NZL!$M$17</definedName>
    <definedName name="Kingnzlp4gls">NZL!$L$17</definedName>
    <definedName name="Kingnzlp4pts">NZL!$G$17</definedName>
    <definedName name="Kingnzlp4tries">NZL!$B$17</definedName>
    <definedName name="Kingnzlwxvatt">NZL!$M$34</definedName>
    <definedName name="Kingnzlwxvgls">NZL!$L$34</definedName>
    <definedName name="Kirwancarlpts">#REF!</definedName>
    <definedName name="Kirwancarltries">#REF!</definedName>
    <definedName name="kitanojpnwxvpts">JPN!$H$12</definedName>
    <definedName name="kitanojpnwxvtries">JPN!$C$12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nightpts">#REF!</definedName>
    <definedName name="Knighttries">#REF!</definedName>
    <definedName name="Kochhannbrawxvpts">BRA!$F$15</definedName>
    <definedName name="Kochhannbrawxvtries">BRA!$B$15</definedName>
    <definedName name="Kolo_ofainewpts">IRE!#REF!</definedName>
    <definedName name="Kolo_ofainewtries">IRE!#REF!</definedName>
    <definedName name="komaitaifijwxvpts">FIJ!$I$10</definedName>
    <definedName name="komaitaifijwxvtries">FIJ!$D$10</definedName>
    <definedName name="Kondefra6npts">FRA!$G$32</definedName>
    <definedName name="Kondefra6ntries">FRA!$B$32</definedName>
    <definedName name="kondefrawxvpts">FRA!$H$32</definedName>
    <definedName name="kondefrawxvtries">FRA!$C$32</definedName>
    <definedName name="konkelintries">SCO!$D$14</definedName>
    <definedName name="Konkelscopts">SCO!$G$14</definedName>
    <definedName name="Konkelscotries">SCO!$B$14</definedName>
    <definedName name="koraijpnwxvpts">JPN!$H$16</definedName>
    <definedName name="koraijpnwxvtries">JPN!$C$16</definedName>
    <definedName name="Kruisgeorgepts">#REF!</definedName>
    <definedName name="Kruisgeorgetries">#REF!</definedName>
    <definedName name="Kuleminsalpts">#REF!</definedName>
    <definedName name="Kuleminsaltries">#REF!</definedName>
    <definedName name="Kvesicmattpts">#REF!</definedName>
    <definedName name="Kvesicmatttries">#REF!</definedName>
    <definedName name="Lachancecanp4pts">CAN!$G$22</definedName>
    <definedName name="Lachancecanp4tries">CAN!$B$22</definedName>
    <definedName name="lachancecanwxvpts">CAN!$H$22</definedName>
    <definedName name="lachancecanwxvtries">CAN!$C$22</definedName>
    <definedName name="Lahiffmaxbthpts">#REF!</definedName>
    <definedName name="lahiffmaxbthtries">#REF!</definedName>
    <definedName name="laidlawgloatt">#REF!</definedName>
    <definedName name="laidlawglogoals">#REF!</definedName>
    <definedName name="Laidlawglopts">#REF!</definedName>
    <definedName name="Laidlawglotries">#REF!</definedName>
    <definedName name="laidlawsco6natt">SCO!#REF!</definedName>
    <definedName name="Laidlawsco6ngoals">SCO!#REF!</definedName>
    <definedName name="Lakewal6npts">WAL!$G$23</definedName>
    <definedName name="Lakewal6ntries">WAL!$B$23</definedName>
    <definedName name="lambatt">#REF!</definedName>
    <definedName name="Lambertharpts">ENG!#REF!</definedName>
    <definedName name="Lamberthartries">ENG!#REF!</definedName>
    <definedName name="lambgoals">#REF!</definedName>
    <definedName name="Lambpts">#REF!</definedName>
    <definedName name="Lambptscorrect">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nebatpts">#REF!</definedName>
    <definedName name="Lanebattris">#REF!</definedName>
    <definedName name="Laneire6npts">IRE!$G$25</definedName>
    <definedName name="Laneire6ntries">IRE!$B$25</definedName>
    <definedName name="Lanerichardpts">#REF!</definedName>
    <definedName name="Lanerichardtries">#REF!</definedName>
    <definedName name="Lanerichardtriescorrect">#REF!</definedName>
    <definedName name="LATSHARSAWXVPTS">RSA!$H$19</definedName>
    <definedName name="LATSHARSAWXVTRIES">RSA!$C$19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wesnorpts">ITA!#REF!</definedName>
    <definedName name="Lawesnortries">ITA!#REF!</definedName>
    <definedName name="Lawrencewaspts">#REF!</definedName>
    <definedName name="Lawrencewastries">#REF!</definedName>
    <definedName name="lawscointpts">SCO!$I$15</definedName>
    <definedName name="Lawscoyrgls">SCO!#REF!</definedName>
    <definedName name="lawsocyrAtt">SCO!#REF!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esexepts">#REF!</definedName>
    <definedName name="Leesexetries">#REF!</definedName>
    <definedName name="leicspentriespts">#REF!</definedName>
    <definedName name="leicspentriestries">#REF!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FRA!#REF!</definedName>
    <definedName name="Leolitries">FRA!#REF!</definedName>
    <definedName name="Leotajohnnypts">#REF!</definedName>
    <definedName name="Leotajohnnytries">#REF!</definedName>
    <definedName name="Leti_l_iganzlp4pts">NZL!$G$18</definedName>
    <definedName name="Leti_l_iganzlp4tries">NZL!$B$18</definedName>
    <definedName name="letiiiganzlwxvpts">NZL!$H$18</definedName>
    <definedName name="letiiiganzlwxvtries">NZL!$C$18</definedName>
    <definedName name="Lewingtonalextries">FRA!#REF!</definedName>
    <definedName name="Lewingtonpts">FRA!#REF!</definedName>
    <definedName name="Lewingtontries">FRA!#REF!</definedName>
    <definedName name="Lewis_">#REF!</definedName>
    <definedName name="Lewis_Bwal6npts">WAL!$G$24</definedName>
    <definedName name="Lewis_Bwal6ntries">WAL!$B$24</definedName>
    <definedName name="Lewis_Fwal6npts">WAL!$G$26</definedName>
    <definedName name="Lewis_Fwal6ntries">WAL!$B$26</definedName>
    <definedName name="Lewis_Robertssalpts">#REF!</definedName>
    <definedName name="Lewis_Robertssaltries">#REF!</definedName>
    <definedName name="Lewisdavepts">#REF!</definedName>
    <definedName name="Lewisdavetries">#REF!</definedName>
    <definedName name="Lewisjamespts">#REF!</definedName>
    <definedName name="Lewisjamestries">#REF!</definedName>
    <definedName name="Lewisrobpts">#REF!</definedName>
    <definedName name="Lewisrobtries">#REF!</definedName>
    <definedName name="Lindsay_Hagueolliepts">ENG!#REF!</definedName>
    <definedName name="Lindsay_Hagueollietries">ENG!#REF!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lorensfra6npts">FRA!$G$33</definedName>
    <definedName name="Llorensfra6ntries">FRA!$B$33</definedName>
    <definedName name="Lloydsco6npts">SCO!$G$16</definedName>
    <definedName name="Lloydscointpts">SCO!$G$16</definedName>
    <definedName name="lloydscointptscorrect">SCO!$I$16</definedName>
    <definedName name="lloydscointtries">SCO!$D$16</definedName>
    <definedName name="lloydscowxvpts">SCO!$H$16</definedName>
    <definedName name="lloydscowxvtries">SCO!$C$16</definedName>
    <definedName name="Lloydscpo6ntries">SCO!$B$16</definedName>
    <definedName name="Loamanuleipts">#REF!</definedName>
    <definedName name="Loamanuleitries">#REF!</definedName>
    <definedName name="Lokotuiglopts">#REF!</definedName>
    <definedName name="Lokotuiglotries">#REF!</definedName>
    <definedName name="lomanifijwvpts">FIJ!$I$12</definedName>
    <definedName name="lomanifijwvtries">FIJ!$D$12</definedName>
    <definedName name="londonirishpentriespts">FRA!#REF!</definedName>
    <definedName name="londonirishpentriestries">FRA!#REF!</definedName>
    <definedName name="Longbottomsarpts">#REF!</definedName>
    <definedName name="Longbottomsartries">#REF!</definedName>
    <definedName name="Louwfrancoispts">#REF!</definedName>
    <definedName name="Louwfrancoistris">#REF!</definedName>
    <definedName name="Lovenzlp4pts">NZL!$G$20</definedName>
    <definedName name="Lovenzlp4tries">NZL!$B$20</definedName>
    <definedName name="Loweharpts">ENG!#REF!</definedName>
    <definedName name="Lowehartries">ENG!#REF!</definedName>
    <definedName name="Loweire6npts">IRE!$G$32</definedName>
    <definedName name="Loweire6ntries">IRE!$B$32</definedName>
    <definedName name="Lowkierantries">FRA!#REF!</definedName>
    <definedName name="Lowlipts">FRA!#REF!</definedName>
    <definedName name="Lowmoraypts">#REF!</definedName>
    <definedName name="Lowmoraytries">#REF!</definedName>
    <definedName name="Lowpts">FRA!#REF!</definedName>
    <definedName name="Lowptscorrect">FRA!#REF!</definedName>
    <definedName name="Lowryire6npts">IRE!$G$33</definedName>
    <definedName name="Lowryire6ntries">IRE!$B$33</definedName>
    <definedName name="lowtries">FRA!#REF!</definedName>
    <definedName name="Lowtriescorrect">FRA!#REF!</definedName>
    <definedName name="Lozadawaspts">#REF!</definedName>
    <definedName name="Lozadawastries">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ndsalpts">#REF!</definedName>
    <definedName name="Lundsaltries">#REF!</definedName>
    <definedName name="Lutuiglopts">#REF!</definedName>
    <definedName name="Lutuiglotries">#REF!</definedName>
    <definedName name="Ma_afusalesipts">ITA!#REF!</definedName>
    <definedName name="Ma_afusalesitries">ITA!#REF!</definedName>
    <definedName name="MacDonaldeng6npts">ENG!$G$31</definedName>
    <definedName name="MacDonaldeng6ntries">ENG!$B$31</definedName>
    <definedName name="macdonaldengwxvpts">ENG!$H$31</definedName>
    <definedName name="macdonaldengwxvtries">ENG!$C$31</definedName>
    <definedName name="MacKenziephilpts">#REF!</definedName>
    <definedName name="MacKenziephiltries">#REF!</definedName>
    <definedName name="MacLeodnewpts">IRE!#REF!</definedName>
    <definedName name="MacLeodnewtries">IRE!#REF!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diaita6npts">ITA!$G$19</definedName>
    <definedName name="Madiaita6ntries">ITA!$B$19</definedName>
    <definedName name="Mafipts">#REF!</definedName>
    <definedName name="Mafistevepts">#REF!</definedName>
    <definedName name="Mafistevetriescorrect">#REF!</definedName>
    <definedName name="mafitries">#REF!</definedName>
    <definedName name="makuarsawxvpts">RSA!$H$22</definedName>
    <definedName name="makuarsawxvtries">RSA!$C$22</definedName>
    <definedName name="Malcolmsco6npts">SCO!$G$17</definedName>
    <definedName name="Malcolmsco6ntries">SCO!$B$17</definedName>
    <definedName name="Malieponzlp4pts">NZL!$G$21</definedName>
    <definedName name="Malieponzlp4tries">NZL!$B$21</definedName>
    <definedName name="malingarsawxvpts">RSA!$H$23</definedName>
    <definedName name="malingarsawxvtries">RSA!$C$23</definedName>
    <definedName name="Mamukashvilisalpts">#REF!</definedName>
    <definedName name="Mamukashvilisaltries">#REF!</definedName>
    <definedName name="mannianiitawxvpts">ITA!$H$20</definedName>
    <definedName name="mannianiitawxvtries">ITA!$C$20</definedName>
    <definedName name="Manoanorpts">ITA!#REF!</definedName>
    <definedName name="Manoanortries">ITA!#REF!</definedName>
    <definedName name="Manoapts">ITA!#REF!</definedName>
    <definedName name="manoatries">ITA!#REF!</definedName>
    <definedName name="Marfoharpts">ENG!#REF!</definedName>
    <definedName name="Marfohartries">ENG!#REF!</definedName>
    <definedName name="Marino_Tauhinunzlp4pts">NZL!$G$22</definedName>
    <definedName name="Marino_Tauhinunzlp4tries">NZL!$B$22</definedName>
    <definedName name="Marlerharpts">ENG!#REF!</definedName>
    <definedName name="Marlerpts">ENG!#REF!</definedName>
    <definedName name="marlertries">ENG!#REF!</definedName>
    <definedName name="Marstersausp4pts">AUS!$G$19</definedName>
    <definedName name="Marstersausp4tries">AUS!$B$19</definedName>
    <definedName name="marstersauswxvpts">AUS!$H$19</definedName>
    <definedName name="marstersauswxvtries">AUS!$C$19</definedName>
    <definedName name="Martinsco6npts">SCO!$G$18</definedName>
    <definedName name="Martinsco6ntries">SCO!$B$18</definedName>
    <definedName name="Masiwaspts">#REF!</definedName>
    <definedName name="Masiwastries">#REF!</definedName>
    <definedName name="Matavesipts">#REF!</definedName>
    <definedName name="matavesitries">#REF!</definedName>
    <definedName name="Materapablopts">#REF!</definedName>
    <definedName name="Materapablotries">#REF!</definedName>
    <definedName name="matsumurajpnwxvpts">JPN!$H$21</definedName>
    <definedName name="matsumurajpnwxvtries">JPN!$C$21</definedName>
    <definedName name="matthewsengwxvpts">ENG!$H$32</definedName>
    <definedName name="matthewsengwxvtries">ENG!$C$32</definedName>
    <definedName name="Matthewsharpts">ENG!#REF!</definedName>
    <definedName name="Matthewshartries">ENG!#REF!</definedName>
    <definedName name="Mayglopts">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#REF!</definedName>
    <definedName name="Maytompts">#REF!</definedName>
    <definedName name="Maytomtries">#REF!</definedName>
    <definedName name="Maytris">#REF!</definedName>
    <definedName name="mcatshulwarsawxvpts">RSA!$H$26</definedName>
    <definedName name="mcatshulwarsawxvtries">RSA!$C$26</definedName>
    <definedName name="McCaffreywelshpts">#REF!</definedName>
    <definedName name="McCaffreywelshtries">#REF!</definedName>
    <definedName name="McCollgloptsd">#REF!</definedName>
    <definedName name="McCollglotries">#REF!</definedName>
    <definedName name="McGannire6npts">IRE!$G$26</definedName>
    <definedName name="McGannire6ntries">IRE!$B$26</definedName>
    <definedName name="mcgannirewxpts">IRE!$H$26</definedName>
    <definedName name="mcgannirewxtries">IRE!$C$26</definedName>
    <definedName name="McGhiesco6npts">SCO!$G$22</definedName>
    <definedName name="McGhiesco6ntries">SCO!$B$22</definedName>
    <definedName name="mcghiescowxvpts">SCO!$H$22</definedName>
    <definedName name="mcghiescowxvtries">SCO!$C$22</definedName>
    <definedName name="McGuiganexepts">#REF!</definedName>
    <definedName name="McGuiganexetries">#REF!</definedName>
    <definedName name="McGuiganpts">IRE!#REF!</definedName>
    <definedName name="McGuigantries">IRE!#REF!</definedName>
    <definedName name="McIntyresimonpts">#REF!</definedName>
    <definedName name="McIntyresimontries">#REF!</definedName>
    <definedName name="McIntyrewastries">#REF!</definedName>
    <definedName name="McKennaeng6npts">ENG!$G$33</definedName>
    <definedName name="McKennaeng6ntries">ENG!$B$33</definedName>
    <definedName name="mckenzieausP4att">AUS!$M$16</definedName>
    <definedName name="McKenzieausP4gls">AUS!$L$16</definedName>
    <definedName name="McKenzieausP4pts">AUS!$G$20</definedName>
    <definedName name="McKenzieausp4tries">AUS!$B$20</definedName>
    <definedName name="McKenzieauswxvatt">AUS!$M$32</definedName>
    <definedName name="McKenzieauswxvgls">AUS!$L$32</definedName>
    <definedName name="mckenzieauswxvpts">AUS!$H$20</definedName>
    <definedName name="mckenzieauswxvtries">AUS!$C$20</definedName>
    <definedName name="McKenziefraserpts">IRE!#REF!</definedName>
    <definedName name="McKenziefrasertries">IRE!#REF!</definedName>
    <definedName name="McLachlansco6npts">SCO!$G$23</definedName>
    <definedName name="McLachlansco6ntries">SCO!$B$23</definedName>
    <definedName name="mcleansalatt">#REF!</definedName>
    <definedName name="mcleansalgoals">#REF!</definedName>
    <definedName name="McLeansalpts">#REF!</definedName>
    <definedName name="McLeansaltries">#REF!</definedName>
    <definedName name="McMillannorpts">ITA!#REF!</definedName>
    <definedName name="McMillannortries">ITA!#REF!</definedName>
    <definedName name="McNallyjoshpts">#REF!</definedName>
    <definedName name="McNallyjoshtries">#REF!</definedName>
    <definedName name="Meakesglopts">#REF!</definedName>
    <definedName name="Meakesglo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nager_Mfra6npts">FRA!$G$35</definedName>
    <definedName name="Menager_Mfra6ntries">FRA!$B$35</definedName>
    <definedName name="menagerfrawxvpts">FRA!$H$35</definedName>
    <definedName name="menagerfrawxvtries">FRA!$C$35</definedName>
    <definedName name="Menincanp4pts">CAN!$G$23</definedName>
    <definedName name="Menincanp4tries">CAN!$B$23</definedName>
    <definedName name="Menoncelloita6npts">ITA!$G$15</definedName>
    <definedName name="Menoncelloita6ntries">ITA!$B$15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#REF!</definedName>
    <definedName name="mieresgoals">#REF!</definedName>
    <definedName name="Mierespts">#REF!</definedName>
    <definedName name="mierestries">#REF!</definedName>
    <definedName name="Mikaele_Tu_unzlp4pts">NZL!$G$24</definedName>
    <definedName name="Mikaele_Tu_unzlp4tries">NZL!$B$24</definedName>
    <definedName name="MikaeleTuunzlwxvpts">NZL!$H$24</definedName>
    <definedName name="MikaeleTuunzlwxvtries">NZL!$C$24</definedName>
    <definedName name="mikepts">ENG!#REF!</definedName>
    <definedName name="Millerausp4pts">AUS!$G$21</definedName>
    <definedName name="Millerausp4tries">AUS!$B$21</definedName>
    <definedName name="millerauswxvpts">AUS!$H$21</definedName>
    <definedName name="millerauswxvtries">AUS!$C$21</definedName>
    <definedName name="millernzlwxvpts">NZL!$H$25</definedName>
    <definedName name="millernzlwxvtries">NZL!$C$25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sjonathanpts">#REF!</definedName>
    <definedName name="Millsjonathantries">#REF!</definedName>
    <definedName name="Minuzziita6npts">ITA!$G$24</definedName>
    <definedName name="Minuzziita6ntries">ITA!$B$24</definedName>
    <definedName name="minuzziitawxvpts">ITA!$H$24</definedName>
    <definedName name="minuzziitawxvtries">ITA!$C$24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efana6npts">FRA!$G$21</definedName>
    <definedName name="Moefanafra6ntries">FRA!$B$21</definedName>
    <definedName name="Molekaausp4att">AUS!$M$17</definedName>
    <definedName name="Molekaausp4gls">AUS!$L$17</definedName>
    <definedName name="Molekaausp4pts">AUS!$G$22</definedName>
    <definedName name="Molekaausp4tries">AUS!$B$22</definedName>
    <definedName name="Molenaartimpts">ENG!#REF!</definedName>
    <definedName name="Molenaartimtries">ENG!#REF!</definedName>
    <definedName name="Molenaarwelpts">#REF!</definedName>
    <definedName name="Molenaarweltries">#REF!</definedName>
    <definedName name="Moloneyire6npts">IRE!$G$29</definedName>
    <definedName name="Moloneyire6ntries">IRE!$B$29</definedName>
    <definedName name="Monahanshanepts">#REF!</definedName>
    <definedName name="Monahanshanetries">#REF!</definedName>
    <definedName name="Monyeugopts">ENG!#REF!</definedName>
    <definedName name="Monyeugotries">ENG!#REF!</definedName>
    <definedName name="mooreirewxvpts">IRE!$H$31</definedName>
    <definedName name="mooreirewxvtries">IRE!$C$31</definedName>
    <definedName name="Mordtnilspts">#REF!</definedName>
    <definedName name="mordtsaratt">#REF!</definedName>
    <definedName name="mordtsargoals">#REF!</definedName>
    <definedName name="Mordtsartries">#REF!</definedName>
    <definedName name="Morganbenpts">#REF!</definedName>
    <definedName name="Morganbentries">#REF!</definedName>
    <definedName name="Moriartyglopts">#REF!</definedName>
    <definedName name="Moriartyglotries">#REF!</definedName>
    <definedName name="morlandfrawxvpts">FRA!$H$37</definedName>
    <definedName name="morlandfrawxvtries">FRA!$C$37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waspts">#REF!</definedName>
    <definedName name="Morriswastries">#REF!</definedName>
    <definedName name="Muireng6npts">ENG!$G$35</definedName>
    <definedName name="Muireng6ntries">ENG!$B$35</definedName>
    <definedName name="muirengwxvpts">ENG!$H$35</definedName>
    <definedName name="muirengwxvtries">ENG!$C$35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#REF!</definedName>
    <definedName name="Mulipolalei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mmpts">#REF!</definedName>
    <definedName name="mummtries">#REF!</definedName>
    <definedName name="Murphydanpts">#REF!</definedName>
    <definedName name="Murphydantries">#REF!</definedName>
    <definedName name="Muzzoita6npts">ITA!$G$25</definedName>
    <definedName name="Muzzoita6ntries">ITA!$B$25</definedName>
    <definedName name="muzzoitawxvpts">ITA!$H$25</definedName>
    <definedName name="muzzoitawxvtries">ITA!$C$25</definedName>
    <definedName name="Myallpts">#REF!</definedName>
    <definedName name="Myalltries">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denausp4pts">AUS!$G$25</definedName>
    <definedName name="Nadenausp4tries">AUS!$B$25</definedName>
    <definedName name="nagataijpnwxvpts">JPN!$H$23</definedName>
    <definedName name="nagataijpnwxvtries">JPN!$C$23</definedName>
    <definedName name="naisewafijwxvpts">FIJ!$I$20</definedName>
    <definedName name="naisewafijwxvtries">FIJ!$D$20</definedName>
    <definedName name="Naqelevukisirelipts">#REF!</definedName>
    <definedName name="Naqelevukisirelitries">#REF!</definedName>
    <definedName name="Narrawaylipts">FRA!#REF!</definedName>
    <definedName name="Narrawaylitries">FRA!#REF!</definedName>
    <definedName name="ndukajpnwxvpts">JPN!$H$25</definedName>
    <definedName name="ndukajpnwxvptscorrect">JPN!$H$26</definedName>
    <definedName name="ndukajpnwxvtries">JPN!$C$25</definedName>
    <definedName name="ndukajpnwxvtriescorrect">JPN!$C$26</definedName>
    <definedName name="neihamufijwxots">FIJ!$I$23</definedName>
    <definedName name="neihamufijwxvtries">FIJ!$D$23</definedName>
    <definedName name="Nelsonnewpts">IRE!#REF!</definedName>
    <definedName name="Nelsonnewtries">IRE!#REF!</definedName>
    <definedName name="nelsonsco6nAtt">SCO!$M$11</definedName>
    <definedName name="Nelsonsco6ngls">SCO!$L$11</definedName>
    <definedName name="Nelsonsco6npts">SCO!$G$27</definedName>
    <definedName name="Nelsonsco6ntries">SCO!$B$27</definedName>
    <definedName name="nelsonscointpts">SCO!$I$27</definedName>
    <definedName name="nelsonscointtries">SCO!$D$27</definedName>
    <definedName name="Nelsonscowxvatt">SCO!$M$22</definedName>
    <definedName name="Nelsonscowxvgls">SCO!$L$22</definedName>
    <definedName name="nelsonscowxvpts">SCO!$H$27</definedName>
    <definedName name="nelsonscowxvtries">SCO!$C$27</definedName>
    <definedName name="nelsonscoyratt">SCO!$M$4</definedName>
    <definedName name="Nelsonscoyrgls">SCO!$L$4</definedName>
    <definedName name="neumannwalwxvpts">WAL!$H$28</definedName>
    <definedName name="neumannwalwxvtries">WAL!$C$28</definedName>
    <definedName name="newcastlepenaltytriespts">IRE!#REF!</definedName>
    <definedName name="newcastlepenaltytriestries">IRE!#REF!</definedName>
    <definedName name="ngwevursawxvpts">RSA!$H$32</definedName>
    <definedName name="ngwevursawxvtries">RSA!$C$32</definedName>
    <definedName name="nishimurajpnwxvpts">JPN!$H$29</definedName>
    <definedName name="nishimurajpnwxvtries">JPN!$C$29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#REF!</definedName>
    <definedName name="Noonemichaeltries">#REF!</definedName>
    <definedName name="Northcote_Greenbthpts">#REF!</definedName>
    <definedName name="Northcote_Greenbthtries">#REF!</definedName>
    <definedName name="Northnorpts">ITA!#REF!</definedName>
    <definedName name="Northnortries">ITA!#REF!</definedName>
    <definedName name="Northpts">ITA!#REF!</definedName>
    <definedName name="Northtries">ITA!#REF!</definedName>
    <definedName name="Nowellexepts">#REF!</definedName>
    <definedName name="Nowellexetries">#REF!</definedName>
    <definedName name="ntamackfra6natt">FRA!#REF!</definedName>
    <definedName name="Ntamackfra6ngls">FRA!#REF!</definedName>
    <definedName name="Ntamackfra6npts">FRA!$G$22</definedName>
    <definedName name="ntamackfrayearatt">FRA!#REF!</definedName>
    <definedName name="Ntamackfrayeargls">FRA!#REF!</definedName>
    <definedName name="Nutleybenpts">ITA!#REF!</definedName>
    <definedName name="Nutleybentries">ITA!#REF!</definedName>
    <definedName name="O_Brienire6natt">IRE!$M$17</definedName>
    <definedName name="O_Brienire6ngls">IRE!$L$17</definedName>
    <definedName name="O_Brienire6npts">IRE!$G$34</definedName>
    <definedName name="O_Brienire6ntries">IRE!$B$34</definedName>
    <definedName name="O_Brieniregls">IRE!$L$14</definedName>
    <definedName name="O_Connorire6natt">IRE!$M$15</definedName>
    <definedName name="O_Connorire6ngls">IRE!$L$15</definedName>
    <definedName name="O_Connorjamespts">FRA!#REF!</definedName>
    <definedName name="O_Donnellcanp4pts">CAN!$G$26</definedName>
    <definedName name="O_Donnellcanp4triees">CAN!$B$26</definedName>
    <definedName name="O_Donnellrobpts">#REF!</definedName>
    <definedName name="O_Donnellrobptscorrect">#REF!</definedName>
    <definedName name="O_Donnellrobtries">#REF!</definedName>
    <definedName name="O_Learylipts">FRA!#REF!</definedName>
    <definedName name="O_Learylitries">FRA!#REF!</definedName>
    <definedName name="O_Mahonyire6npts">IRE!$G$37</definedName>
    <definedName name="O_Mahonyire6ntries">IRE!$B$37</definedName>
    <definedName name="O’Connorire6npts">IRE!$G$35</definedName>
    <definedName name="O’Connorire6ntries">IRE!$B$35</definedName>
    <definedName name="obrienire6natt">IRE!$M$14</definedName>
    <definedName name="obrienirewxvpts">IRE!$H$34</definedName>
    <definedName name="obrienirewxvtries">IRE!$C$34</definedName>
    <definedName name="oconnoratt">FRA!#REF!</definedName>
    <definedName name="oconnorgoals">FRA!#REF!</definedName>
    <definedName name="OConnorjamestries">FRA!#REF!</definedName>
    <definedName name="Ojotopsypts">FRA!#REF!</definedName>
    <definedName name="Ojotopsytries">FRA!#REF!</definedName>
    <definedName name="Okembafra6Npts">FRA!$G$38</definedName>
    <definedName name="OkembaFra6Ntries">FRA!$B$38</definedName>
    <definedName name="okembafrawxvpts">FRA!$H$38</definedName>
    <definedName name="okembafrawxvtries">FRA!$C$38</definedName>
    <definedName name="Olsen_Bakernzlp4tries">NZL!$B$26</definedName>
    <definedName name="Olsen_Bakerp4pts">NZL!$G$26</definedName>
    <definedName name="olsenbakernzlwxvpts">NZL!$H$26</definedName>
    <definedName name="olsenbakernzlwxvtries">NZL!$C$26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mokhualecanp4pts">CAN!$G$27</definedName>
    <definedName name="Omokhualecanp4tries">CAN!$B$27</definedName>
    <definedName name="Orlandibatpts">#REF!</definedName>
    <definedName name="Orlandibattries">#REF!</definedName>
    <definedName name="Orrsco6npts">SCO!$G$29</definedName>
    <definedName name="Orrsco6ntries">SCO!$B$29</definedName>
    <definedName name="orrscowxvpts">SCO!$H$29</definedName>
    <definedName name="orrscowxvtries">SCO!$C$29</definedName>
    <definedName name="ortizusawxvpts">USA!$H$31</definedName>
    <definedName name="ortizusawxvtries">USA!$C$31</definedName>
    <definedName name="Ostrikovandreipts">#REF!</definedName>
    <definedName name="Ostrikovandreitries">#REF!</definedName>
    <definedName name="OStrikovsalpts">#REF!</definedName>
    <definedName name="ostuniminuzziitawxvpts">ITA!#REF!</definedName>
    <definedName name="ostuniminuzziitawxvtries">ITA!#REF!</definedName>
    <definedName name="Otsukajpnwxvatt">JPN!$M$27</definedName>
    <definedName name="Otsukajpnwxvgls">JPN!$L$27</definedName>
    <definedName name="otsukajpnwxvtries">JPN!$C$30</definedName>
    <definedName name="otsukapnwxvpts">JPN!$H$30</definedName>
    <definedName name="otsukapnwxvtries">JPN!$C$30</definedName>
    <definedName name="Ovensjoshpts">#REF!</definedName>
    <definedName name="Ovensjoshtries">#REF!</definedName>
    <definedName name="Packer_Mengpts">ENG!$G$37</definedName>
    <definedName name="Packer_Mengtries">ENG!$B$37</definedName>
    <definedName name="packerlengwxvpts">ENG!$H$36</definedName>
    <definedName name="packerlengwxvtries">ENG!$C$36</definedName>
    <definedName name="packermengwxvpts">ENG!$H$37</definedName>
    <definedName name="packermengwxvtries">ENG!$C$37</definedName>
    <definedName name="Packmanhowardpts">ITA!#REF!</definedName>
    <definedName name="Packmanhowardtries">ITA!#REF!</definedName>
    <definedName name="PADOVANIITA6NATT">ITA!#REF!</definedName>
    <definedName name="PadovaniITA6NGLS">ITA!#REF!</definedName>
    <definedName name="PadovaniITA6NPTS">ITA!$G$20</definedName>
    <definedName name="PadovaniITA6NTRIES">ITA!$B$20</definedName>
    <definedName name="padovaniitaatt">ITA!#REF!</definedName>
    <definedName name="Padovaniitagoals">ITA!#REF!</definedName>
    <definedName name="padovaniitayratt">ITA!#REF!</definedName>
    <definedName name="Padovaniitayrgls">ITA!#REF!</definedName>
    <definedName name="Paicedavidpts">FRA!#REF!</definedName>
    <definedName name="Paicedavidtries">FRA!#REF!</definedName>
    <definedName name="Palma_Newportpts">#REF!</definedName>
    <definedName name="palmanewporttries">#REF!</definedName>
    <definedName name="Palmerglopts">#REF!</definedName>
    <definedName name="Palmerglotries">#REF!</definedName>
    <definedName name="Palmerpts">#REF!</definedName>
    <definedName name="palmertomtries">#REF!</definedName>
    <definedName name="Paquincanp4pts">CAN!$G$28</definedName>
    <definedName name="Paquincanp4tries">CAN!$B$28</definedName>
    <definedName name="paqyuincanwxvpts">CAN!$H$28</definedName>
    <definedName name="paqyuincanwxvtries">CAN!$C$28</definedName>
    <definedName name="Parlingleipts">#REF!</definedName>
    <definedName name="Parlingleitries">#REF!</definedName>
    <definedName name="Parrmattpts">FRA!#REF!</definedName>
    <definedName name="Parrmatttries">FRA!#REF!</definedName>
    <definedName name="Parsonsire6npts">IRE!$G$38</definedName>
    <definedName name="Parsonsire6ntries">IRE!$B$38</definedName>
    <definedName name="parsonsirewxvpts">IRE!$H$38</definedName>
    <definedName name="parsonsirewxvtries">IRE!$C$38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ulnzlP4pts">NZL!$G$27</definedName>
    <definedName name="PaulnzlP4tries">NZL!$B$27</definedName>
    <definedName name="paulnzlwxvpts">NZL!$H$27</definedName>
    <definedName name="paulnzlwxvtries">NZL!$C$27</definedName>
    <definedName name="Pearceleipts">#REF!</definedName>
    <definedName name="Pearceleitries">#REF!</definedName>
    <definedName name="Peeldwaynepts">#REF!</definedName>
    <definedName name="Peeldwaynetries">#REF!</definedName>
    <definedName name="Peeldwaynetriescorrect">#REF!</definedName>
    <definedName name="Pelletiercanp4pts">CAN!$G$29</definedName>
    <definedName name="pelletiercanwxvpts">CAN!$H$29</definedName>
    <definedName name="pelletiercanwxvtries">CAN!$C$29</definedName>
    <definedName name="Pelletiercsanp4tries">CAN!$B$29</definedName>
    <definedName name="penaespwxvpts">ESP!$H$18</definedName>
    <definedName name="penaespwxvtries">ESP!$C$18</definedName>
    <definedName name="Penalty_Triesausp4pts">AUS!$G$32</definedName>
    <definedName name="Penalty_Triesausp4tries">AUS!$B$32</definedName>
    <definedName name="Penalty_Triesbath">#REF!</definedName>
    <definedName name="Penalty_Trieseng6npts">ENG!$G$38</definedName>
    <definedName name="Penalty_Trieseng6ntries">ENG!$B$38</definedName>
    <definedName name="Penalty_Triesexepts">#REF!</definedName>
    <definedName name="Penalty_Triesexetries">#REF!</definedName>
    <definedName name="Penalty_Triesfra6npts">FRA!$G$39</definedName>
    <definedName name="Penalty_Triesfra6ntries">FRA!$B$39</definedName>
    <definedName name="Penalty_Triesglopts">#REF!</definedName>
    <definedName name="Penalty_Triesglotries">#REF!</definedName>
    <definedName name="Penalty_Triesharpts">ENG!#REF!</definedName>
    <definedName name="Penalty_Trieshartries">ENG!#REF!</definedName>
    <definedName name="Penalty_Triesire6npts">IRE!$G$40</definedName>
    <definedName name="Penalty_Triesire6ntries">IRE!$B$40</definedName>
    <definedName name="Penalty_Trieslwelshpts">#REF!</definedName>
    <definedName name="Penalty_Trieslwelshtries">#REF!</definedName>
    <definedName name="Penalty_Triesnewpts">IRE!#REF!</definedName>
    <definedName name="Penalty_Triesnewtries">IRE!#REF!</definedName>
    <definedName name="Penalty_Triessaintspts">ITA!#REF!</definedName>
    <definedName name="Penalty_Triessaintstries">ITA!#REF!</definedName>
    <definedName name="Penalty_Triessarpts">#REF!</definedName>
    <definedName name="Penalty_Triessartries">#REF!</definedName>
    <definedName name="Penalty_Triessco6npts">SCO!$G$32</definedName>
    <definedName name="Penalty_Triessco6ntries">SCO!$B$32</definedName>
    <definedName name="Penalty_Triesusap4pts">USA!$G$32</definedName>
    <definedName name="Penalty_Triesusap4tries">USA!$B$32</definedName>
    <definedName name="Penalty_Trieswaspts">#REF!</definedName>
    <definedName name="Penalty_Trieswastries">#REF!</definedName>
    <definedName name="penaltytriescanwxvpts">CAN!$H$30</definedName>
    <definedName name="penaltytriescanwxvtries">CAN!$C$30</definedName>
    <definedName name="penaltytriesjpnwxpts">JPN!$H$32</definedName>
    <definedName name="penaltytriesjpnwxtries">JPN!$C$32</definedName>
    <definedName name="Penaudfra6npts">FRA!$G$27</definedName>
    <definedName name="Penaudfra6ntries">FRA!$B$27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ynewpts">IRE!#REF!</definedName>
    <definedName name="Pennynewtries">IRE!#REF!</definedName>
    <definedName name="pentriesscowxscopts">SCO!$H$30</definedName>
    <definedName name="pentriesscowxvtries">SCO!$C$30</definedName>
    <definedName name="pentrieswalwxvpts">WAL!$H$29</definedName>
    <definedName name="pentrieswalwxvtries">WAL!$C$29</definedName>
    <definedName name="Pereniseanthonypt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ezcespwxvpts">ESP!$H$21</definedName>
    <definedName name="perezcespwxvtries">ESP!$C$21</definedName>
    <definedName name="Perris_Reddingusap4pts">USA!$G$33</definedName>
    <definedName name="Perris_Reddingusap4tries">USA!$B$33</definedName>
    <definedName name="perrycanwxvpts">CAN!$H$31</definedName>
    <definedName name="perrycanwxvtries">CAN!$C$31</definedName>
    <definedName name="Phibbslipts">FRA!#REF!</definedName>
    <definedName name="Phibbslitries">FRA!#REF!</definedName>
    <definedName name="Phillipsjamespts">#REF!</definedName>
    <definedName name="Phillipsjamestries">#REF!</definedName>
    <definedName name="Phillipswal6npts">WAL!$G$30</definedName>
    <definedName name="Phillipswal6ntries">WAL!$B$30</definedName>
    <definedName name="phillipswalwxvpts">WAL!$H$30</definedName>
    <definedName name="phillipswalwxvtries">WAL!$C$30</definedName>
    <definedName name="Pienaarbenpts">#REF!</definedName>
    <definedName name="Pienaarbentries">#REF!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nsonbynzlp4pts">NZL!$G$29</definedName>
    <definedName name="Ponsonbynzlp4tries">NZL!$B$29</definedName>
    <definedName name="ponsonbynzlwxvpts">NZL!$H$29</definedName>
    <definedName name="ponsonbynzlwxvtries">NZL!$C$29</definedName>
    <definedName name="Poulincanp4pts">CAN!$G$32</definedName>
    <definedName name="Poulincanp4tries">CAN!$B$32</definedName>
    <definedName name="pourilanenzlwxvpts">NZL!$H$30</definedName>
    <definedName name="pourilanenzlwxvtries">NZL!$C$30</definedName>
    <definedName name="Powell">WAL!$L$14</definedName>
    <definedName name="Powelladampts">IRE!#REF!</definedName>
    <definedName name="Powelladamtries">IRE!#REF!</definedName>
    <definedName name="Powellengpts">ENG!$G$39</definedName>
    <definedName name="Powellengtries">ENG!$B$39</definedName>
    <definedName name="Powellwal6natt">WAL!$M$6</definedName>
    <definedName name="powellwal6nattcorrect">WAL!$M$14</definedName>
    <definedName name="Powellwal6ngls">WAL!$L$6</definedName>
    <definedName name="powellwal6nglscorrect">WAL!$L$14</definedName>
    <definedName name="Powellwal6ntries">WAL!$L$6</definedName>
    <definedName name="powellwalwxvpts">WAL!$H$32</definedName>
    <definedName name="powellwalwxvtries">WAL!$C$32</definedName>
    <definedName name="powellwalyratt">WAL!$M$6</definedName>
    <definedName name="powellwalyrgls">WAL!$L$6</definedName>
    <definedName name="Priestlandwal6natt">WAL!#REF!</definedName>
    <definedName name="Priestlandwal6ngoals">WAL!#REF!</definedName>
    <definedName name="pts">ENG!#REF!</definedName>
    <definedName name="Puafisiglopts">#REF!</definedName>
    <definedName name="Puafisiglotries">#REF!</definedName>
    <definedName name="Purdyglospts">#REF!</definedName>
    <definedName name="Purdyglotries">#REF!</definedName>
    <definedName name="Pyrswal6npts">WAL!$G$33</definedName>
    <definedName name="Pyrswal6ntries">WAL!$B$33</definedName>
    <definedName name="Queyroifra6natt">FRA!$M$19</definedName>
    <definedName name="Queyroifra6ngls">FRA!$L$19</definedName>
    <definedName name="Queyroifra6npts">FRA!$G$41</definedName>
    <definedName name="Queyroifra6ntries">FRA!$B$41</definedName>
    <definedName name="queyroifrawxvpts">FRA!$H$41</definedName>
    <definedName name="queyroifrawxvtries">FRA!$C$41</definedName>
    <definedName name="quinspentriespts">ENG!#REF!</definedName>
    <definedName name="quinspentriestries">ENG!#REF!</definedName>
    <definedName name="railumufijwxvpts">FIJ!$I$24</definedName>
    <definedName name="railumufijwxvtries">FIJ!$D$24</definedName>
    <definedName name="Ransombenpts">#REF!</definedName>
    <definedName name="Ransombentries">#REF!</definedName>
    <definedName name="ranucciniitawxvpts">ITA!$H$26</definedName>
    <definedName name="ranucciniitawxvtries">ITA!$C$26</definedName>
    <definedName name="Reevesrickypts">#REF!</definedName>
    <definedName name="Reevesrickytries">#REF!</definedName>
    <definedName name="Reynoldsnicpts">#REF!</definedName>
    <definedName name="Reynoldsnictries">#REF!</definedName>
    <definedName name="Reynoldsstefpts">#REF!</definedName>
    <definedName name="Reynoldssteftries">#REF!</definedName>
    <definedName name="riffoneaufrawxvpts">FRA!$H$42</definedName>
    <definedName name="riffoneaufrawxvtries">FRA!$C$42</definedName>
    <definedName name="rigoniia6natt">ITA!$M$15</definedName>
    <definedName name="Rigoniita6ngls">ITA!$L$15</definedName>
    <definedName name="Rigoniita6npts">ITA!$G$27</definedName>
    <definedName name="Rigoniita6ntries">ITA!$B$27</definedName>
    <definedName name="Rigoniitawxvatt">ITA!$M$30</definedName>
    <definedName name="Rigoniitawxvgls">ITA!$L$30</definedName>
    <definedName name="rigoniitawxvpts">ITA!$H$27</definedName>
    <definedName name="rigoniitawxvtries">ITA!$C$27</definedName>
    <definedName name="Rimmercarlpts">#REF!</definedName>
    <definedName name="Rimmercarltries">#REF!</definedName>
    <definedName name="Ringroseire6npts">IRE!$G$41</definedName>
    <definedName name="Ringroseire6ntries">IRE!$B$41</definedName>
    <definedName name="Rizzoleipts">#REF!</definedName>
    <definedName name="Rizzoleitries">#REF!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IRE!#REF!</definedName>
    <definedName name="Robinsonnewtries">IRE!#REF!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ENG!#REF!</definedName>
    <definedName name="Robshawhartries">ENG!#REF!</definedName>
    <definedName name="Robsonglopts">#REF!</definedName>
    <definedName name="Robsonglotries">#REF!</definedName>
    <definedName name="Robsonharpts">ENG!#REF!</definedName>
    <definedName name="Robsonhartries">ENG!#REF!</definedName>
    <definedName name="Rogersnewpts">IRE!#REF!</definedName>
    <definedName name="Rogersnewtries">IRE!#REF!</definedName>
    <definedName name="RogersUSAP4pts">USA!$G$34</definedName>
    <definedName name="RogersUSAp4tries">USA!$B$34</definedName>
    <definedName name="rogersusawxvpts">USA!$H$34</definedName>
    <definedName name="rogersusawxvtries">USA!$C$34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sco6npts">SCO!$G$32</definedName>
    <definedName name="Rolliesco6nptscorrect">SCO!$G$32</definedName>
    <definedName name="Rolliesco6nptsthisone">SCO!$G$32</definedName>
    <definedName name="Rolliesco6ntries">SCO!$B$32</definedName>
    <definedName name="Rolliesco6ntriescorrect">SCO!$B$32</definedName>
    <definedName name="Rolliesco6ntriesthisone">SCO!$B$32</definedName>
    <definedName name="rolliescointpts">SCO!$I$32</definedName>
    <definedName name="rolliescointtries">SCO!$D$32</definedName>
    <definedName name="rolliescowxvpts">SCO!$H$32</definedName>
    <definedName name="rolliescowxvtries">SCO!$C$32</definedName>
    <definedName name="romanespwxvpts">ESP!$H$26</definedName>
    <definedName name="romanespwxvtries">ESP!$C$26</definedName>
    <definedName name="roosrsawxvpts">RSA!$H$39</definedName>
    <definedName name="roosrsawxvtries">RSA!$C$39</definedName>
    <definedName name="Rose6nwaltries">WAL!$B$35</definedName>
    <definedName name="rosellespwxvpts">ESP!$H$27</definedName>
    <definedName name="rosellespwxvtries">ESP!$C$27</definedName>
    <definedName name="Rosewal6npts">WAL!$G$35</definedName>
    <definedName name="Rossgordonpts">#REF!</definedName>
    <definedName name="Rossgordontries">#REF!</definedName>
    <definedName name="rosswelatt">#REF!</definedName>
    <definedName name="rosswelgoals">#REF!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#REF!</definedName>
    <definedName name="Rowanglotries">#REF!</definedName>
    <definedName name="rowlandeng6natt">ENG!$M$20</definedName>
    <definedName name="Rowlandeng6ngls">ENG!$L$20</definedName>
    <definedName name="Rowlandengpts">ENG!$G$41</definedName>
    <definedName name="Rowlandengtries">ENG!$B$41</definedName>
    <definedName name="Rowlandengwxvatt">ENG!$M$39</definedName>
    <definedName name="Rowlandengwxvgls">ENG!$L$39</definedName>
    <definedName name="rowlandengwxvpts">ENG!$H$41</definedName>
    <definedName name="rowlandengwxvtries">ENG!$C$41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canp4pts">CAN!$G$33</definedName>
    <definedName name="Royercanp4tries">CAN!$B$33</definedName>
    <definedName name="russellsco6natt">SCO!#REF!</definedName>
    <definedName name="Russellsco6ngls">SCO!#REF!</definedName>
    <definedName name="Russellsco6npts">SCO!$G$35</definedName>
    <definedName name="Russellscoyearatt">SCO!#REF!</definedName>
    <definedName name="russellscoyearattcorrect">SCO!#REF!</definedName>
    <definedName name="Russellscoyeargls">SCO!#REF!</definedName>
    <definedName name="Sackeypaulpts">ENG!#REF!</definedName>
    <definedName name="Sackeypaultries">ENG!#REF!</definedName>
    <definedName name="Saenzlp4pts">NZL!$G$33</definedName>
    <definedName name="Saenzlp4tries">NZL!$B$33</definedName>
    <definedName name="sagapoluusawxvpts">USA!$H$35</definedName>
    <definedName name="sagapoluusawxvtries">USA!$C$35</definedName>
    <definedName name="Salepenaltytriespts">#REF!</definedName>
    <definedName name="SalePenaltyTriestries">#REF!</definedName>
    <definedName name="Salvijulianpts">#REF!</definedName>
    <definedName name="Salvijuliantries">#REF!</definedName>
    <definedName name="Sandfordjamespts">#REF!</definedName>
    <definedName name="Sandfordjamestries">#REF!</definedName>
    <definedName name="Sansusfra6npts">FRA!$G$42</definedName>
    <definedName name="Sansusfra6ntries">FRA!$B$42</definedName>
    <definedName name="saracenspenaltytriespts">#REF!</definedName>
    <definedName name="saracenspenaltytriestries">#REF!</definedName>
    <definedName name="Saullandypts">IRE!#REF!</definedName>
    <definedName name="Saullandytries">IRE!#REF!</definedName>
    <definedName name="Saundersjaredsarpts">#REF!</definedName>
    <definedName name="Saundersjaredsartries">#REF!</definedName>
    <definedName name="Saunderssarpts">#REF!</definedName>
    <definedName name="Saunderssartries">#REF!</definedName>
    <definedName name="Savageglopts">#REF!</definedName>
    <definedName name="Savageglotries">#REF!</definedName>
    <definedName name="scarratteng6natt">ENG!$M$21</definedName>
    <definedName name="Scarratteng6ngls">ENG!$L$21</definedName>
    <definedName name="Scarrattengpts">ENG!$G$42</definedName>
    <definedName name="Scarrattengtries">ENG!$B$42</definedName>
    <definedName name="Scaysbrookpts">#REF!</definedName>
    <definedName name="scaysbrooktries">#REF!</definedName>
    <definedName name="schellcanp4att">CAN!$M$16</definedName>
    <definedName name="Schellcanp4gls">CAN!$L$16</definedName>
    <definedName name="Schellcanp4pts">CAN!$G$34</definedName>
    <definedName name="Schellcanp4tries">CAN!$B$34</definedName>
    <definedName name="schellcanwxvpts">CAN!$H$34</definedName>
    <definedName name="schellcanwxvtries">CAN!$C$34</definedName>
    <definedName name="Schofieldwelpts">#REF!</definedName>
    <definedName name="Schofieldweltries">#REF!</definedName>
    <definedName name="Scoblewal6npts">WAL!$G$37</definedName>
    <definedName name="Scoblewal6ntries">WAL!$B$37</definedName>
    <definedName name="ScotlandWilliamsonchristianpts">#REF!</definedName>
    <definedName name="ScotlandWilliamsonchristiantries">#REF!</definedName>
    <definedName name="Scottnickpts">#REF!</definedName>
    <definedName name="Scottnick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curfieldcanp4pts">CAN!$G$35</definedName>
    <definedName name="Scurfieldcanp4tries">CAN!$B$35</definedName>
    <definedName name="scurfieldcanwxvpts">CAN!$H$35</definedName>
    <definedName name="scurfieldcanwxvtries">CAN!$C$35</definedName>
    <definedName name="senivutufijwxvpts">FIJ!$I$30</definedName>
    <definedName name="senivutufijwxvtries">FIJ!$D$30</definedName>
    <definedName name="setefanonzlwxvpts">NZL!$H$34</definedName>
    <definedName name="setefanonzlwxvtries">NZL!$C$34</definedName>
    <definedName name="Seumanutafacanp4pts">CAN!$G$37</definedName>
    <definedName name="Seumanutafacanp4tries">CAN!$B$37</definedName>
    <definedName name="Sextonexepoints">#REF!</definedName>
    <definedName name="Sextonexetries">#REF!</definedName>
    <definedName name="Sextonire6natt">IRE!$S$33</definedName>
    <definedName name="sextonire6nattcorrect">IRE!#REF!</definedName>
    <definedName name="Sextonire6ngls">IRE!#REF!</definedName>
    <definedName name="Sextonire6ngoals">IRE!$R$26</definedName>
    <definedName name="Sextonire6npts">IRE!#REF!</definedName>
    <definedName name="Sextonire6ntries">IRE!#REF!</definedName>
    <definedName name="sextonireyearatt">IRE!#REF!</definedName>
    <definedName name="Sextonireyeargls">IRE!#REF!</definedName>
    <definedName name="seyeitawxvpts">ITA!$H$29</definedName>
    <definedName name="seyeitawxvtries">ITA!$C$29</definedName>
    <definedName name="Seymourdavidpts">#REF!</definedName>
    <definedName name="seymourdavidtries">#REF!</definedName>
    <definedName name="Seymourdavidtriescorrect">#REF!</definedName>
    <definedName name="Sgorbiniita6ntries">ITA!$B$30</definedName>
    <definedName name="sgorbiniitawxvpts">ITA!$H$30</definedName>
    <definedName name="sgorbiniitawxvtries">ITA!$C$30</definedName>
    <definedName name="Sgorbiniits6npts">ITA!$G$30</definedName>
    <definedName name="Sharplesglopts">#REF!</definedName>
    <definedName name="Sharplesglotries">#REF!</definedName>
    <definedName name="Sharplespts">#REF!</definedName>
    <definedName name="Sharplestries">#REF!</definedName>
    <definedName name="sheedywal6natt">WAL!#REF!</definedName>
    <definedName name="Sheedywal6ngls">WAL!#REF!</definedName>
    <definedName name="Sheedywal6npts">WAL!$G$36</definedName>
    <definedName name="sheedywalyearatt">WAL!#REF!</definedName>
    <definedName name="Sheedywalyeargls">WAL!#REF!</definedName>
    <definedName name="Sheridaneamonnpts">FRA!#REF!</definedName>
    <definedName name="Sheridaneamonntries">FRA!#REF!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lsgrahambatpts">#REF!</definedName>
    <definedName name="Shiellsgrahambattries">#REF!</definedName>
    <definedName name="Short_Alirpts">FRA!#REF!</definedName>
    <definedName name="Short_Alirtries">FRA!#REF!</definedName>
    <definedName name="Shortjamespts">#REF!</definedName>
    <definedName name="Shortjamestries">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llariita6ngls">ITA!$L$16</definedName>
    <definedName name="Sillariita6npts">ITA!$G$31</definedName>
    <definedName name="Sillariita6ntries">ITA!$B$31</definedName>
    <definedName name="sillariitawxvatt">ITA!$M$31</definedName>
    <definedName name="Sillariitawxvgls">ITA!$L$31</definedName>
    <definedName name="sillariitawxvpts">ITA!$H$31</definedName>
    <definedName name="sillariitawxvtries">ITA!$C$31</definedName>
    <definedName name="sillarita6natt">ITA!$M$16</definedName>
    <definedName name="Silvabrawxvpts">BRA!$F$25</definedName>
    <definedName name="Silvabrawxvtries">BRA!$B$25</definedName>
    <definedName name="Simmondsexepts">#REF!</definedName>
    <definedName name="Simmondsexetries">#REF!</definedName>
    <definedName name="Simonnzlp4pts">NZL!$G$35</definedName>
    <definedName name="Simonnzlp4tries">NZL!$B$35</definedName>
    <definedName name="simonnzlwxvpts">NZL!$H$35</definedName>
    <definedName name="simonnzlwxvtries">NZL!$C$35</definedName>
    <definedName name="Simpson_Danieljamespts">#REF!</definedName>
    <definedName name="Simpson_Danieljamestries">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eng6npts">ENG!$G$32</definedName>
    <definedName name="Sincklereng6ntries">ENG!$B$32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geng6natt">ENG!$M$22</definedName>
    <definedName name="Singeng6ngls">ENG!$L$22</definedName>
    <definedName name="Singeng6npts">ENG!$G$44</definedName>
    <definedName name="Singeng6ntries">ENG!$B$44</definedName>
    <definedName name="singengwxvpts">ENG!$H$44</definedName>
    <definedName name="singengwxvtries">ENG!$C$44</definedName>
    <definedName name="Sinotisinotipts">IRE!#REF!</definedName>
    <definedName name="Sinotisinotitries">IRE!#REF!</definedName>
    <definedName name="Sioleipts">#REF!</definedName>
    <definedName name="Sioleitries">#REF!</definedName>
    <definedName name="Sisidavidpts">#REF!</definedName>
    <definedName name="Sisidavidtries">#REF!</definedName>
    <definedName name="skeldonscointpts">SCO!$I$34</definedName>
    <definedName name="skeldonscointtries">SCO!$D$34</definedName>
    <definedName name="Skeldonscopts">SCO!$G$34</definedName>
    <definedName name="Skeldonscotries">SCO!$B$34</definedName>
    <definedName name="skeldonscowxvpts">SCO!$H$34</definedName>
    <definedName name="skeldonscowxvtries">SCO!$C$34</definedName>
    <definedName name="Skinnerexepts">#REF!</definedName>
    <definedName name="Skinnerexetries">#REF!</definedName>
    <definedName name="Skivingtongeorgeli">FRA!#REF!</definedName>
    <definedName name="Skivingtongeorgepts">FRA!#REF!</definedName>
    <definedName name="Skivingtongeorgetries">FRA!#REF!</definedName>
    <definedName name="Skusebatpts">#REF!</definedName>
    <definedName name="Skusebattries">#REF!</definedName>
    <definedName name="sladeatt">#REF!</definedName>
    <definedName name="Sladeexepts">#REF!</definedName>
    <definedName name="Sladeexetries">#REF!</definedName>
    <definedName name="sladegoals">#REF!</definedName>
    <definedName name="Sladehenrypts">#REF!</definedName>
    <definedName name="Slaterpts">#REF!</definedName>
    <definedName name="Slaterptscorrect">#REF!</definedName>
    <definedName name="slatertries">#REF!</definedName>
    <definedName name="Slatertriescorrect">#REF!</definedName>
    <definedName name="Sloanharrypts">ENG!#REF!</definedName>
    <definedName name="Sloanharrytries">ENG!#REF!</definedName>
    <definedName name="Smith_Msco6npts">SCO!$G$36</definedName>
    <definedName name="Smith_Msco6ntries">SCO!$B$36</definedName>
    <definedName name="Smith_Mscowxvatt">SCO!$M$23</definedName>
    <definedName name="Smith_Mscowxvgls">SCO!$L$23</definedName>
    <definedName name="smithausP4att">AUS!$M$18</definedName>
    <definedName name="SmithausP4gls">AUS!$L$18</definedName>
    <definedName name="SmithausP4pts">AUS!$G$36</definedName>
    <definedName name="Smithausp4tries">AUS!$B$36</definedName>
    <definedName name="smithauswxvpts">AUS!$H$36</definedName>
    <definedName name="smithauswxvtries">AUS!$C$36</definedName>
    <definedName name="smitheng6natt">ENG!#REF!</definedName>
    <definedName name="Smitheng6ngls">ENG!#REF!</definedName>
    <definedName name="Smitheng6npts">ENG!$G$34</definedName>
    <definedName name="Smitheng6ntries">ENG!$B$34</definedName>
    <definedName name="smithengyearatt">ENG!#REF!</definedName>
    <definedName name="Smithengyeargls">ENG!#REF!</definedName>
    <definedName name="smithleeatt">IRE!#REF!</definedName>
    <definedName name="Smithleegoals">IRE!#REF!</definedName>
    <definedName name="Smithleepts">IRE!#REF!</definedName>
    <definedName name="Smithleipts">#REF!</definedName>
    <definedName name="Smithleitries">#REF!</definedName>
    <definedName name="smithmscowxvpts">SCO!$H$36</definedName>
    <definedName name="smithmscowxvtries">SCO!$C$36</definedName>
    <definedName name="Smithnewtries">IRE!#REF!</definedName>
    <definedName name="Smithsampts">ENG!#REF!</definedName>
    <definedName name="Smithsamtries">ENG!#REF!</definedName>
    <definedName name="Smithsarpts">#REF!</definedName>
    <definedName name="Smithsartries">#REF!</definedName>
    <definedName name="snowillwal6natt">WAL!#REF!</definedName>
    <definedName name="Snowsillwal6ngls">WAL!#REF!</definedName>
    <definedName name="Snowsillwal6npts">WAL!$G$38</definedName>
    <definedName name="Sochatfra6n">FRA!#REF!</definedName>
    <definedName name="Sochatfra6npts">FRA!#REF!</definedName>
    <definedName name="Sochatfra6ntries">FRA!#REF!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lontsirsawxvpts">RSA!$H$41</definedName>
    <definedName name="solontsirsawxvtries">RSA!$C$41</definedName>
    <definedName name="Sorensen_McGeenzlp4pts">NZL!$G$36</definedName>
    <definedName name="Sorensen_McGeenzlp4tries">NZL!$B$36</definedName>
    <definedName name="sorensenmcgeenzlwxvpts">NZL!$H$36</definedName>
    <definedName name="sorensenmcgeenzlwxvtries">NZL!$C$36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tathopoulosusawxvpts">USA!$H$36</definedName>
    <definedName name="Stathopoulosusawxvtries">USA!$C$36</definedName>
    <definedName name="Stedmanolliepts">#REF!</definedName>
    <definedName name="Stedmanollietrie">#REF!</definedName>
    <definedName name="Steelelipts">FRA!#REF!</definedName>
    <definedName name="Steelelitries">FRA!#REF!</definedName>
    <definedName name="Steenson">#REF!</definedName>
    <definedName name="steensonatt">#REF!</definedName>
    <definedName name="steensonexepts">#REF!</definedName>
    <definedName name="steensongarethtries">#REF!</definedName>
    <definedName name="Steensongoals">#REF!</definedName>
    <definedName name="Steensonpts">#REF!</definedName>
    <definedName name="Stefanita6npts">ITA!$G$33</definedName>
    <definedName name="Stefanita6ntries">ITA!$B$33</definedName>
    <definedName name="stefanutawxvpts">ITA!$H$33</definedName>
    <definedName name="stefanutawxvtries">ITA!$C$33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phensonjamespts">#REF!</definedName>
    <definedName name="Stephensonjamestries">#REF!</definedName>
    <definedName name="Stephensontompts">ITA!#REF!</definedName>
    <definedName name="Stephensontomtries">ITA!#REF!</definedName>
    <definedName name="Stevaninita6npts">ITA!$G$34</definedName>
    <definedName name="Stevaninita6ntries">ITA!$B$34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#REF!</definedName>
    <definedName name="stevenstries">#REF!</definedName>
    <definedName name="StewartausP4pts">AUS!$G$37</definedName>
    <definedName name="StewartausP4tries">AUS!$B$37</definedName>
    <definedName name="stewartauswxvpts">AUS!$H$37</definedName>
    <definedName name="stewartauswxvtries">AUS!$C$37</definedName>
    <definedName name="Stookeglotres">#REF!</definedName>
    <definedName name="Stookeglptd">#REF!</definedName>
    <definedName name="Stookepts">#REF!</definedName>
    <definedName name="Stooketries">#REF!</definedName>
    <definedName name="Strainnewpts">IRE!#REF!</definedName>
    <definedName name="Strainnewtries">IRE!#REF!</definedName>
    <definedName name="Streathertimpts">#REF!</definedName>
    <definedName name="Streathertimtries">#REF!</definedName>
    <definedName name="Strettlepts">#REF!</definedName>
    <definedName name="Strettlesarpts">#REF!</definedName>
    <definedName name="Strettlesartries">#REF!</definedName>
    <definedName name="strettletries">#REF!</definedName>
    <definedName name="Stringerpeterpts">#REF!</definedName>
    <definedName name="Stringerpetertries">#REF!</definedName>
    <definedName name="Stuartharpts">ENG!#REF!</definedName>
    <definedName name="Stuarthartries">ENG!#REF!</definedName>
    <definedName name="Sturgessexepts">#REF!</definedName>
    <definedName name="Sturgessexetries">#REF!</definedName>
    <definedName name="suajeremypts">#REF!</definedName>
    <definedName name="suajeremytries">#REF!</definedName>
    <definedName name="Suniulawaspts">#REF!</definedName>
    <definedName name="Suniulawastries">#REF!</definedName>
    <definedName name="svobodacanwxvpts">CAN!$H$38</definedName>
    <definedName name="svobodacanwxvtries">CAN!$C$38</definedName>
    <definedName name="Swainstonwapts">#REF!</definedName>
    <definedName name="Swainstonwastries">#REF!</definedName>
    <definedName name="Sweeneyceripts">#REF!</definedName>
    <definedName name="Sweeneyceritries">#REF!</definedName>
    <definedName name="sweeneyexeatt">#REF!</definedName>
    <definedName name="sweeneyexegoals">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dscanwxvpts">CAN!$H$39</definedName>
    <definedName name="symondscanwxvtries">CAN!$C$39</definedName>
    <definedName name="Symonsandypts">#REF!</definedName>
    <definedName name="Symonsandytries">#REF!</definedName>
    <definedName name="Tafunacanp4pts">CAN!#REF!</definedName>
    <definedName name="Tafunacanp4tries">CAN!#REF!</definedName>
    <definedName name="Tafunausap4pts">USA!$G$37</definedName>
    <definedName name="Tafunausap4tries">USA!$B$37</definedName>
    <definedName name="tafunausawxvpts">USA!$H$37</definedName>
    <definedName name="tafunausawxvtries">USA!$C$37</definedName>
    <definedName name="Tagicakibausailosipts">FRA!#REF!</definedName>
    <definedName name="Tagicakibausailositries">FRA!#REF!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#REF!</definedName>
    <definedName name="Taioneexetries">#REF!</definedName>
    <definedName name="Taitalexpts">IRE!#REF!</definedName>
    <definedName name="Taitalextries">IRE!#REF!</definedName>
    <definedName name="Taitmathewpts">#REF!</definedName>
    <definedName name="Taitmathewtries">#REF!</definedName>
    <definedName name="Taitnewpts">IRE!#REF!</definedName>
    <definedName name="Taitnewtris">IRE!#REF!</definedName>
    <definedName name="TalakaiausP4pts">AUS!$G$39</definedName>
    <definedName name="TalakaiausP4tries">AUS!$B$39</definedName>
    <definedName name="talakaiauswxvpts">AUS!$H$38</definedName>
    <definedName name="talakaiauswxvtries">AUS!$C$38</definedName>
    <definedName name="Tallingeng6npts">ENG!$G$45</definedName>
    <definedName name="Tallingeng6ntries">ENG!$B$45</definedName>
    <definedName name="tallingengwxvpts">ENG!$H$45</definedName>
    <definedName name="tallingengwxvtries">ENG!$C$45</definedName>
    <definedName name="Taufoouusap4pts">USA!$G$39</definedName>
    <definedName name="Taufoouusap4tries">USA!$B$39</definedName>
    <definedName name="taufoouusawxvpts">USA!$H$39</definedName>
    <definedName name="taufoouusawxvtries">USA!$C$39</definedName>
    <definedName name="Taulavasemisipts">#REF!</definedName>
    <definedName name="Taulavasemisitries">#REF!</definedName>
    <definedName name="Taylorcanp4pts">CAN!$G$40</definedName>
    <definedName name="Taylorcanp4tries">CAN!$B$40</definedName>
    <definedName name="Taylorduncanpts">#REF!</definedName>
    <definedName name="Taylorduncantries">#REF!</definedName>
    <definedName name="Taylornathanpts">#REF!</definedName>
    <definedName name="Taylornathantries">#REF!</definedName>
    <definedName name="Taylorsalpts">#REF!</definedName>
    <definedName name="Taylorsaltries">#REF!</definedName>
    <definedName name="Taylorsarpts">#REF!</definedName>
    <definedName name="Taylorsartries">#REF!</definedName>
    <definedName name="Taylorwaspts">#REF!</definedName>
    <definedName name="Taylorwastries">#REF!</definedName>
    <definedName name="TenetinzlP4pts">NZL!$G$39</definedName>
    <definedName name="TenetinzlP4tries">NZL!$B$39</definedName>
    <definedName name="Tessiercanp4att">CAN!$M$17</definedName>
    <definedName name="Tessiercanp4gls">CAN!$L$17</definedName>
    <definedName name="Tessiercanp4pts">CAN!$G$41</definedName>
    <definedName name="Tessiercanp4tries">CAN!$B$41</definedName>
    <definedName name="tessiercanwxvpts">CAN!$H$41</definedName>
    <definedName name="tessiercanwxvtries">CAN!$C$41</definedName>
    <definedName name="test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glopts">#REF!</definedName>
    <definedName name="Thomas_Dglotriews">#REF!</definedName>
    <definedName name="Thomas_Yglopts">#REF!</definedName>
    <definedName name="Thomas_Yglotries">#REF!</definedName>
    <definedName name="thomasagloatt">#REF!</definedName>
    <definedName name="thomasaglogoals">#REF!</definedName>
    <definedName name="Thomasaledglopts">#REF!</definedName>
    <definedName name="Thomasaledglotries">#REF!</definedName>
    <definedName name="Thomasexepts">#REF!</definedName>
    <definedName name="Thomasexetries">#REF!</definedName>
    <definedName name="Thomashaydnpts">#REF!</definedName>
    <definedName name="Thomashaydntries">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#REF!</definedName>
    <definedName name="Thomasmartyntries">#REF!</definedName>
    <definedName name="Thompsoneng6npts">ENG!$G$46</definedName>
    <definedName name="Thompsoneng6ntries">ENG!$B$46</definedName>
    <definedName name="Thompsonnewpts">IRE!#REF!</definedName>
    <definedName name="Thompsonnewtries">IRE!#REF!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sco6npts">SCO!$G$38</definedName>
    <definedName name="Thomsonsco6ntries">SCO!$B$38</definedName>
    <definedName name="Thomsonscointpts">SCO!$I$38</definedName>
    <definedName name="Thomsonscointtries">SCO!$D$38</definedName>
    <definedName name="thomsonscowxvpts">SCO!$H$38</definedName>
    <definedName name="thomsonscowxvtries">SCO!$C$38</definedName>
    <definedName name="Thorleyglopts">#REF!</definedName>
    <definedName name="Thorleyglotries">#REF!</definedName>
    <definedName name="Thornleipts">#REF!</definedName>
    <definedName name="Thornleitries">#REF!</definedName>
    <definedName name="Thorperichardpts">#REF!</definedName>
    <definedName name="Thorperichardtries">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ncknelljamespts">#REF!</definedName>
    <definedName name="Tincknelljamestries">#REF!</definedName>
    <definedName name="tindallgloatt">#REF!</definedName>
    <definedName name="tindallglogoals">#REF!</definedName>
    <definedName name="Tindallmikepts">#REF!</definedName>
    <definedName name="Tindallmiketries">#REF!</definedName>
    <definedName name="Tipunanewpts">IRE!#REF!</definedName>
    <definedName name="Tipunanewtries">IRE!#REF!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WAL6NPTS">WAL!$G$39</definedName>
    <definedName name="TompkinsWAL6NTRIES">WAL!$B$39</definedName>
    <definedName name="tovefijwxvpts">FIJ!$I$35</definedName>
    <definedName name="tovefijwxvtries">FIJ!$D$35</definedName>
    <definedName name="Townsendexepts">#REF!</definedName>
    <definedName name="Townsendexetries">#REF!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derusap4pts">USA!$G$40</definedName>
    <definedName name="Trederusap4tries">USA!$B$40</definedName>
    <definedName name="tremoulierefra6natt">FRA!#REF!</definedName>
    <definedName name="Tremoulierefra6ngls">FRA!#REF!</definedName>
    <definedName name="Tremoulierefra6npts">FRA!$G$45</definedName>
    <definedName name="Tremoulierefra6ntries">FRA!$B$45</definedName>
    <definedName name="Trevettnathanpts">#REF!</definedName>
    <definedName name="Trevettnathantries">#REF!</definedName>
    <definedName name="Treviranuspts">FRA!#REF!</definedName>
    <definedName name="Treviranustries">FRA!#REF!</definedName>
    <definedName name="Trinderglopts">#REF!</definedName>
    <definedName name="Trinderhenrypts">#REF!</definedName>
    <definedName name="Trinderpts">#REF!</definedName>
    <definedName name="trindertries">#REF!</definedName>
    <definedName name="Trindertriestries">#REF!</definedName>
    <definedName name="tsukuijpnwxvpts">JPN!$H$40</definedName>
    <definedName name="tsukuijpnwxvtries">JPN!$C$40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manupts">#REF!</definedName>
    <definedName name="Tuilagimanutries">#REF!</definedName>
    <definedName name="Tuinzlp4pts">NZL!$G$40</definedName>
    <definedName name="Tuinzlp4tries">NZL!$B$40</definedName>
    <definedName name="tuinzlwxvpts">NZL!$H$40</definedName>
    <definedName name="tuinzlwxvtries">NZL!$C$40</definedName>
    <definedName name="Tuipulotuwal6npts">WAL!$G$42</definedName>
    <definedName name="Tuipulotuwal6ntries">WAL!$B$42</definedName>
    <definedName name="tuipulotuwalwxvpts">WAL!$H$42</definedName>
    <definedName name="tuipulotuwalwxvtries">WAL!$C$42</definedName>
    <definedName name="tuiteirewxvpts">IRE!$H$43</definedName>
    <definedName name="tuiteirewxvtries">IRE!$C$43</definedName>
    <definedName name="Tuitupousampts">#REF!</definedName>
    <definedName name="Tuitupousamtries">#REF!</definedName>
    <definedName name="tukuafunzlwxvpts">NZL!$H$41</definedName>
    <definedName name="tukuafunzlwxvtries">NZL!$C$41</definedName>
    <definedName name="Turaniita6npts">ITA!$G$36</definedName>
    <definedName name="Turaniita6ntries">ITA!$B$36</definedName>
    <definedName name="turaniitawxvpts">ITA!$H$36</definedName>
    <definedName name="turaniitawxvtries">ITA!$C$36</definedName>
    <definedName name="Turner_Hallharpts">ENG!#REF!</definedName>
    <definedName name="Turner_Hallhartries">ENG!#REF!</definedName>
    <definedName name="Tuttosicanp4pts">CAN!$G$43</definedName>
    <definedName name="Tuttosicanp4tries">CAN!$B$43</definedName>
    <definedName name="tuttosicanwxvpts">CAN!$H$43</definedName>
    <definedName name="tuttosicanwxvtries">CAN!$C$43</definedName>
    <definedName name="tuyfrawxvpts">FRA!$H$46</definedName>
    <definedName name="tuyfrawxvtries">FRA!$C$46</definedName>
    <definedName name="twelvetreesatt">#REF!</definedName>
    <definedName name="Twelvetreesglopts">#REF!</definedName>
    <definedName name="Twelvetreesglotries">#REF!</definedName>
    <definedName name="twelvetreesgoals">#REF!</definedName>
    <definedName name="Twelvetreespts">#REF!</definedName>
    <definedName name="Twelvetreestries">#REF!</definedName>
    <definedName name="Twomeyharpts">ENG!#REF!</definedName>
    <definedName name="Twomeyhartries">ENG!#REF!</definedName>
    <definedName name="Vaha_akolonzlp4pts">NZL!$G$42</definedName>
    <definedName name="Vaha_akolonzlp4tries">NZL!$B$42</definedName>
    <definedName name="Vahaakolonzlwxvpts">NZL!$H$42</definedName>
    <definedName name="Vahaakolonzlwxvtries">NZL!$C$42</definedName>
    <definedName name="Vainikoloexepts">#REF!</definedName>
    <definedName name="Vainikoloexetries">#REF!</definedName>
    <definedName name="Vainikolopts">#REF!</definedName>
    <definedName name="Vainikolotries">#REF!</definedName>
    <definedName name="Vaipulunzlp4pts">NZL!$G$43</definedName>
    <definedName name="Vaipulunzlp4tries">NZL!$B$43</definedName>
    <definedName name="van_der_Flierire6npts">IRE!#REF!</definedName>
    <definedName name="van_der_Flierire6ntries">IRE!#REF!</definedName>
    <definedName name="van_der_Merwe6nscopts">SCO!$G$40</definedName>
    <definedName name="van_der_Merwesco6ntries">SCO!$B$40</definedName>
    <definedName name="van_Velzegjpts">ITA!#REF!</definedName>
    <definedName name="van_Velzegjtries">ITA!#REF!</definedName>
    <definedName name="Varndelltompts">#REF!</definedName>
    <definedName name="Varndelltomtries">#REF!</definedName>
    <definedName name="vatausamwxvpts">SAM!$H$27</definedName>
    <definedName name="vatausamwxvtries">SAM!$C$27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cchiniita6npts">ITA!$G$37</definedName>
    <definedName name="Vecchiniita6ntries">ITA!$B$37</definedName>
    <definedName name="vecchiniitawxvpts">ITA!$H$37</definedName>
    <definedName name="vecchiniitawxvtries">ITA!$C$37</definedName>
    <definedName name="Vellanathanpts">#REF!</definedName>
    <definedName name="Vellanathantries">#REF!</definedName>
    <definedName name="Vennereng6npts">ENG!$G$48</definedName>
    <definedName name="Vennereng6ntries">ENG!$B$48</definedName>
    <definedName name="Verbakelnorpts">ITA!#REF!</definedName>
    <definedName name="Verbakelnortries">ITA!#REF!</definedName>
    <definedName name="VernierFRA6NPTS">FRA!$G$47</definedName>
    <definedName name="VernierFRA6NTRIES">FRA!$B$47</definedName>
    <definedName name="vernierfrawxvpts">FRA!$H$47</definedName>
    <definedName name="vernierfrawxvtries">FRA!$C$47</definedName>
    <definedName name="Vickersnewpts">IRE!#REF!</definedName>
    <definedName name="Vickersnewtries">IRE!#REF!</definedName>
    <definedName name="Vilikonzlp4pts">NZL!$G$44</definedName>
    <definedName name="Vilikonzlp4tries">NZL!$B$44</definedName>
    <definedName name="vilikonzlwxvpts">NZL!$H$44</definedName>
    <definedName name="vilikonzlwxvtries">NZL!$C$44</definedName>
    <definedName name="Villierefra6npts">FRA!$G$36</definedName>
    <definedName name="Villierefra6ntries">FRA!$B$36</definedName>
    <definedName name="vuetifijwvpts">FIJ!$I$38</definedName>
    <definedName name="vuetifijwvtries">FIJ!$D$38</definedName>
    <definedName name="Vunipola_Bsarpts">#REF!</definedName>
    <definedName name="Vunipola_Bsartrie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Waakanzlp4pts">NZL!$G$45</definedName>
    <definedName name="Waakanzlp4tries">NZL!$B$45</definedName>
    <definedName name="waakanzlwxvpts">NZL!$H$45</definedName>
    <definedName name="waakanzlwxvtries">NZL!$C$45</definedName>
    <definedName name="Wadepts">#REF!</definedName>
    <definedName name="wadetries">#REF!</definedName>
    <definedName name="Wadewaspts">#REF!</definedName>
    <definedName name="Wadewastries">#REF!</definedName>
    <definedName name="Waferire6npts">IRE!$G$44</definedName>
    <definedName name="Waferire6ntries">IRE!$B$44</definedName>
    <definedName name="Waldoucknorpts">ITA!#REF!</definedName>
    <definedName name="Waldoucknortries">ITA!#REF!</definedName>
    <definedName name="Waldromexepts">#REF!</definedName>
    <definedName name="Waldromexetries">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llire6npts">IRE!$G$45</definedName>
    <definedName name="Wallire6ntries">IRE!$B$45</definedName>
    <definedName name="Warddavepts">ENG!#REF!</definedName>
    <definedName name="warddavetries">ENG!#REF!</definedName>
    <definedName name="Wardeng6npts">ENG!$G$49</definedName>
    <definedName name="Wardeng6ntries">ENG!$B$49</definedName>
    <definedName name="wardrngwxvpts">ENG!$H$49</definedName>
    <definedName name="wardrngwxvtries">ENG!$C$49</definedName>
    <definedName name="warwickatt">#REF!</definedName>
    <definedName name="warwickgoals">#REF!</definedName>
    <definedName name="Warwickpaulpts">#REF!</definedName>
    <definedName name="Warwickpaultries">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sellsco6npts">SCO!$G$39</definedName>
    <definedName name="Wassellsco6ntries">SCO!$B$39</definedName>
    <definedName name="wassellscowxvpts">SCO!$H$39</definedName>
    <definedName name="wassellscowxvtries">SCO!$C$39</definedName>
    <definedName name="Waterswelpts">#REF!</definedName>
    <definedName name="Watersweltries">#REF!</definedName>
    <definedName name="Watsonanthonypts">#REF!</definedName>
    <definedName name="Watsonanthonytries">#REF!</definedName>
    <definedName name="Webberpts">#REF!</definedName>
    <definedName name="Webberrobtries">#REF!</definedName>
    <definedName name="Webbertries">#REF!</definedName>
    <definedName name="Weepuwelshpts">#REF!</definedName>
    <definedName name="Weepuwelshtries">#REF!</definedName>
    <definedName name="Weirsco6natt">SCO!#REF!</definedName>
    <definedName name="Weirsco6ngoals">SCO!#REF!</definedName>
    <definedName name="Welchdamianpts">#REF!</definedName>
    <definedName name="Welchdamiantries">#REF!</definedName>
    <definedName name="Welchexepts">#REF!</definedName>
    <definedName name="Welchexetries">#REF!</definedName>
    <definedName name="Welchwillpts">IRE!#REF!</definedName>
    <definedName name="Welchwilltries">IRE!#REF!</definedName>
    <definedName name="Wellsharrypts">#REF!</definedName>
    <definedName name="Wellsharrytries">#REF!</definedName>
    <definedName name="Westbenpts">#REF!</definedName>
    <definedName name="Westbentries">#REF!</definedName>
    <definedName name="westcombeevansengpts">ENG!$H$50</definedName>
    <definedName name="westcombeevansengtries">ENG!$C$50</definedName>
    <definedName name="Whiteexepts">#REF!</definedName>
    <definedName name="Whiteheadchrispts">#REF!</definedName>
    <definedName name="Whiteheadchristries">#REF!</definedName>
    <definedName name="Whitepts">#REF!</definedName>
    <definedName name="Whitesco6npts">SCO!#REF!</definedName>
    <definedName name="Whitesco6ntries">SCO!#REF!</definedName>
    <definedName name="whitetrie">#REF!</definedName>
    <definedName name="Whittenpts">#REF!</definedName>
    <definedName name="Whittentrie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inswalwxvpts">WAL!$H$43</definedName>
    <definedName name="wilinswalwxvtries">WAL!$C$43</definedName>
    <definedName name="wilkinswal6natt">WAL!$M$15</definedName>
    <definedName name="Wilkinswal6ngls">WAL!$L$15</definedName>
    <definedName name="Wilkinswal6npts">WAL!$G$43</definedName>
    <definedName name="Wilkinswal6ntries">WAL!$B$43</definedName>
    <definedName name="wilkinswalwxvatt">WAL!$M$28</definedName>
    <definedName name="Wilkinswalwxvgls">WAL!$L$28</definedName>
    <definedName name="Willemsefra6npts">FRA!$G$37</definedName>
    <definedName name="Willemsefra6ntries">FRA!$B$37</definedName>
    <definedName name="Williamsbenpts">#REF!</definedName>
    <definedName name="Williamsbentries">#REF!</definedName>
    <definedName name="Williamsleipts">#REF!</definedName>
    <definedName name="Williamsleitries">#REF!</definedName>
    <definedName name="Williamsmikepts">#REF!</definedName>
    <definedName name="Williamsmiketries">#REF!</definedName>
    <definedName name="Williamsmiketriescorrect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tompts">ENG!#REF!</definedName>
    <definedName name="Williamstomtries">ENG!#REF!</definedName>
    <definedName name="Williamstomtriescorrect">ENG!#REF!</definedName>
    <definedName name="Williamswal6npts">WAL!$G$44</definedName>
    <definedName name="Williamswal6ntries">WAL!$B$44</definedName>
    <definedName name="WillisonnzlP4att">NZL!$M$19</definedName>
    <definedName name="WillisonnzlP4gls">NZL!$L$19</definedName>
    <definedName name="WillisonnzlP4pts">NZL!$G$42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ngausP4pts">AUS!$G$41</definedName>
    <definedName name="WongausP4tries">AUS!$B$41</definedName>
    <definedName name="wongauswxvpts">AUS!$H$41</definedName>
    <definedName name="wongauswxvtries">AUS!$C$41</definedName>
    <definedName name="Woodburnollypts">#REF!</definedName>
    <definedName name="woodburnollytries">#REF!</definedName>
    <definedName name="Woodglopts">#REF!</definedName>
    <definedName name="Woodglotries">#REF!</definedName>
    <definedName name="Woodman_Wickliffenzlp4pts">NZL!$G$46</definedName>
    <definedName name="Woodman_Wickliffenzlp4tries">NZL!$B$46</definedName>
    <definedName name="woodmanwickliffenzlwxvpts">NZL!$H$46</definedName>
    <definedName name="woodmanwickliffenzlwxvtries">NZL!$C$46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#REF!</definedName>
    <definedName name="worcesterpentriespts">#REF!</definedName>
    <definedName name="Wrayjacksonpts">#REF!</definedName>
    <definedName name="Wrayjacksontries">#REF!</definedName>
    <definedName name="Wrightsco6npts">SCO!$G$42</definedName>
    <definedName name="Wrightsco6ntries">SCO!$B$42</definedName>
    <definedName name="wrightscointpts">SCO!$I$42</definedName>
    <definedName name="wrightscointrtries">SCO!$D$42</definedName>
    <definedName name="Wylespts">#REF!</definedName>
    <definedName name="wylestries">#REF!</definedName>
    <definedName name="wyrwasengwxvpts">ENG!$H$51</definedName>
    <definedName name="wyrwasengwxvtries">ENG!$C$51</definedName>
    <definedName name="wywwasengwxvtries" localSheetId="15">ENG!$C$51</definedName>
    <definedName name="yamamotoajpnwxvpts">JPN!$H$41</definedName>
    <definedName name="yamamotoajpnwxvtries">JPN!$C$41</definedName>
    <definedName name="yamamotojpnwxvatt">JPN!$M$29</definedName>
    <definedName name="yamamotojpnwxvgls">JPN!$L$29</definedName>
    <definedName name="Yappwaspts">#REF!</definedName>
    <definedName name="Yappwastries">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#REF!</definedName>
    <definedName name="Yeandlejacktries">#REF!</definedName>
    <definedName name="Yorkchrispts">IRE!#REF!</definedName>
    <definedName name="Yorkchristries">IRE!#REF!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usap4pts">USA!$G$43</definedName>
    <definedName name="Zackaryusap4tries">USA!$B$43</definedName>
    <definedName name="zackaryusawxvpts">USA!$H$43</definedName>
    <definedName name="zackaryusawxvtries">USA!$C$43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4" l="1"/>
  <c r="H105" i="4"/>
  <c r="G105" i="4"/>
  <c r="J105" i="4" s="1"/>
  <c r="D105" i="4"/>
  <c r="C105" i="4"/>
  <c r="B105" i="4"/>
  <c r="E105" i="4" s="1"/>
  <c r="J104" i="4"/>
  <c r="E104" i="4"/>
  <c r="J103" i="4"/>
  <c r="E103" i="4"/>
  <c r="J70" i="4"/>
  <c r="E68" i="4"/>
  <c r="J86" i="4"/>
  <c r="E86" i="4"/>
  <c r="J102" i="4"/>
  <c r="E102" i="4"/>
  <c r="J101" i="4"/>
  <c r="E101" i="4"/>
  <c r="J73" i="4"/>
  <c r="E71" i="4"/>
  <c r="J60" i="4"/>
  <c r="E67" i="4"/>
  <c r="J85" i="4"/>
  <c r="E85" i="4"/>
  <c r="J84" i="4"/>
  <c r="E84" i="4"/>
  <c r="J59" i="4"/>
  <c r="E66" i="4"/>
  <c r="J100" i="4"/>
  <c r="E100" i="4"/>
  <c r="J99" i="4"/>
  <c r="E99" i="4"/>
  <c r="J79" i="4"/>
  <c r="E83" i="4"/>
  <c r="J72" i="4"/>
  <c r="E70" i="4"/>
  <c r="J83" i="4"/>
  <c r="E82" i="4"/>
  <c r="J78" i="4"/>
  <c r="E76" i="4"/>
  <c r="J98" i="4"/>
  <c r="E98" i="4"/>
  <c r="J97" i="4"/>
  <c r="E97" i="4"/>
  <c r="J77" i="4"/>
  <c r="E75" i="4"/>
  <c r="J68" i="4"/>
  <c r="E64" i="4"/>
  <c r="J58" i="4"/>
  <c r="E57" i="4"/>
  <c r="J71" i="4"/>
  <c r="E69" i="4"/>
  <c r="J65" i="4"/>
  <c r="E62" i="4"/>
  <c r="J82" i="4"/>
  <c r="E81" i="4"/>
  <c r="J96" i="4"/>
  <c r="E96" i="4"/>
  <c r="J95" i="4"/>
  <c r="E95" i="4"/>
  <c r="J56" i="4"/>
  <c r="E80" i="4"/>
  <c r="J94" i="4"/>
  <c r="E94" i="4"/>
  <c r="J93" i="4"/>
  <c r="E93" i="4"/>
  <c r="J69" i="4"/>
  <c r="E65" i="4"/>
  <c r="J57" i="4"/>
  <c r="E56" i="4"/>
  <c r="J92" i="4"/>
  <c r="E92" i="4"/>
  <c r="J67" i="4"/>
  <c r="E63" i="4"/>
  <c r="J64" i="4"/>
  <c r="E61" i="4"/>
  <c r="J91" i="4"/>
  <c r="E91" i="4"/>
  <c r="J90" i="4"/>
  <c r="E90" i="4"/>
  <c r="J81" i="4"/>
  <c r="E79" i="4"/>
  <c r="J80" i="4"/>
  <c r="E78" i="4"/>
  <c r="J76" i="4"/>
  <c r="E74" i="4"/>
  <c r="J89" i="4"/>
  <c r="E89" i="4"/>
  <c r="J63" i="4"/>
  <c r="E60" i="4"/>
  <c r="J75" i="4"/>
  <c r="E73" i="4"/>
  <c r="J62" i="4"/>
  <c r="E59" i="4"/>
  <c r="J88" i="4"/>
  <c r="E88" i="4"/>
  <c r="J61" i="4"/>
  <c r="E58" i="4"/>
  <c r="J87" i="4"/>
  <c r="E87" i="4"/>
  <c r="J74" i="4"/>
  <c r="E72" i="4"/>
  <c r="J66" i="4"/>
  <c r="E77" i="4"/>
  <c r="I89" i="26"/>
  <c r="H89" i="26"/>
  <c r="G89" i="26"/>
  <c r="D89" i="26"/>
  <c r="C89" i="26"/>
  <c r="B89" i="26"/>
  <c r="E89" i="26" s="1"/>
  <c r="J66" i="26"/>
  <c r="E66" i="26"/>
  <c r="J88" i="26"/>
  <c r="E88" i="26"/>
  <c r="J54" i="26"/>
  <c r="E65" i="26"/>
  <c r="J87" i="26"/>
  <c r="E87" i="26"/>
  <c r="J53" i="26"/>
  <c r="E52" i="26"/>
  <c r="J86" i="26"/>
  <c r="E86" i="26"/>
  <c r="J77" i="26"/>
  <c r="E77" i="26"/>
  <c r="J76" i="26"/>
  <c r="E76" i="26"/>
  <c r="J65" i="26"/>
  <c r="E64" i="26"/>
  <c r="J49" i="26"/>
  <c r="E48" i="26"/>
  <c r="J59" i="26"/>
  <c r="E58" i="26"/>
  <c r="J85" i="26"/>
  <c r="E85" i="26"/>
  <c r="J75" i="26"/>
  <c r="E75" i="26"/>
  <c r="J60" i="26"/>
  <c r="E63" i="26"/>
  <c r="J58" i="26"/>
  <c r="E57" i="26"/>
  <c r="J57" i="26"/>
  <c r="E56" i="26"/>
  <c r="J84" i="26"/>
  <c r="E84" i="26"/>
  <c r="J74" i="26"/>
  <c r="E74" i="26"/>
  <c r="J73" i="26"/>
  <c r="E73" i="26"/>
  <c r="J72" i="26"/>
  <c r="E72" i="26"/>
  <c r="J56" i="26"/>
  <c r="E55" i="26"/>
  <c r="J71" i="26"/>
  <c r="E71" i="26"/>
  <c r="J55" i="26"/>
  <c r="E54" i="26"/>
  <c r="J52" i="26"/>
  <c r="E51" i="26"/>
  <c r="J51" i="26"/>
  <c r="E50" i="26"/>
  <c r="J78" i="26"/>
  <c r="E83" i="26"/>
  <c r="J83" i="26"/>
  <c r="E82" i="26"/>
  <c r="J82" i="26"/>
  <c r="E81" i="26"/>
  <c r="J64" i="26"/>
  <c r="E62" i="26"/>
  <c r="J81" i="26"/>
  <c r="E80" i="26"/>
  <c r="J70" i="26"/>
  <c r="E70" i="26"/>
  <c r="J80" i="26"/>
  <c r="E79" i="26"/>
  <c r="J63" i="26"/>
  <c r="E61" i="26"/>
  <c r="J48" i="26"/>
  <c r="E53" i="26"/>
  <c r="J62" i="26"/>
  <c r="E60" i="26"/>
  <c r="J50" i="26"/>
  <c r="E49" i="26"/>
  <c r="J79" i="26"/>
  <c r="E78" i="26"/>
  <c r="J61" i="26"/>
  <c r="E59" i="26"/>
  <c r="J69" i="26"/>
  <c r="E69" i="26"/>
  <c r="J68" i="26"/>
  <c r="E68" i="26"/>
  <c r="J67" i="26"/>
  <c r="E67" i="26"/>
  <c r="F177" i="31"/>
  <c r="C177" i="31"/>
  <c r="K17" i="31"/>
  <c r="K26" i="31"/>
  <c r="N29" i="6"/>
  <c r="N24" i="6"/>
  <c r="N10" i="6"/>
  <c r="N4" i="6"/>
  <c r="Q10" i="6"/>
  <c r="Q4" i="6"/>
  <c r="I97" i="6"/>
  <c r="H97" i="6"/>
  <c r="G97" i="6"/>
  <c r="D97" i="6"/>
  <c r="C97" i="6"/>
  <c r="B97" i="6"/>
  <c r="J62" i="6"/>
  <c r="E61" i="6"/>
  <c r="J67" i="6"/>
  <c r="E75" i="6"/>
  <c r="J96" i="6"/>
  <c r="E96" i="6"/>
  <c r="J95" i="6"/>
  <c r="E95" i="6"/>
  <c r="J94" i="6"/>
  <c r="E94" i="6"/>
  <c r="J93" i="6"/>
  <c r="E93" i="6"/>
  <c r="J56" i="6"/>
  <c r="E74" i="6"/>
  <c r="J92" i="6"/>
  <c r="E92" i="6"/>
  <c r="J68" i="6"/>
  <c r="E73" i="6"/>
  <c r="J61" i="6"/>
  <c r="E60" i="6"/>
  <c r="J75" i="6"/>
  <c r="E72" i="6"/>
  <c r="J74" i="6"/>
  <c r="E71" i="6"/>
  <c r="J55" i="6"/>
  <c r="E54" i="6"/>
  <c r="J91" i="6"/>
  <c r="E91" i="6"/>
  <c r="J90" i="6"/>
  <c r="E90" i="6"/>
  <c r="J60" i="6"/>
  <c r="E59" i="6"/>
  <c r="J73" i="6"/>
  <c r="E70" i="6"/>
  <c r="J89" i="6"/>
  <c r="E89" i="6"/>
  <c r="J88" i="6"/>
  <c r="E88" i="6"/>
  <c r="J87" i="6"/>
  <c r="E87" i="6"/>
  <c r="J86" i="6"/>
  <c r="E86" i="6"/>
  <c r="J54" i="6"/>
  <c r="E53" i="6"/>
  <c r="J72" i="6"/>
  <c r="E69" i="6"/>
  <c r="J85" i="6"/>
  <c r="E85" i="6"/>
  <c r="J84" i="6"/>
  <c r="E84" i="6"/>
  <c r="J71" i="6"/>
  <c r="E68" i="6"/>
  <c r="J70" i="6"/>
  <c r="E67" i="6"/>
  <c r="J83" i="6"/>
  <c r="E83" i="6"/>
  <c r="J59" i="6"/>
  <c r="E58" i="6"/>
  <c r="J82" i="6"/>
  <c r="E82" i="6"/>
  <c r="J81" i="6"/>
  <c r="E81" i="6"/>
  <c r="J80" i="6"/>
  <c r="E80" i="6"/>
  <c r="J66" i="6"/>
  <c r="E65" i="6"/>
  <c r="J65" i="6"/>
  <c r="E64" i="6"/>
  <c r="J64" i="6"/>
  <c r="E63" i="6"/>
  <c r="J52" i="6"/>
  <c r="E57" i="6"/>
  <c r="J58" i="6"/>
  <c r="E56" i="6"/>
  <c r="J53" i="6"/>
  <c r="E52" i="6"/>
  <c r="J79" i="6"/>
  <c r="E79" i="6"/>
  <c r="J69" i="6"/>
  <c r="E66" i="6"/>
  <c r="J78" i="6"/>
  <c r="E78" i="6"/>
  <c r="J77" i="6"/>
  <c r="E77" i="6"/>
  <c r="J76" i="6"/>
  <c r="E76" i="6"/>
  <c r="J63" i="6"/>
  <c r="E62" i="6"/>
  <c r="J57" i="6"/>
  <c r="E55" i="6"/>
  <c r="F167" i="31"/>
  <c r="C156" i="31"/>
  <c r="I95" i="28"/>
  <c r="H95" i="28"/>
  <c r="G95" i="28"/>
  <c r="D95" i="28"/>
  <c r="C95" i="28"/>
  <c r="B95" i="28"/>
  <c r="J53" i="28"/>
  <c r="E52" i="28"/>
  <c r="J63" i="28"/>
  <c r="E63" i="28"/>
  <c r="J62" i="28"/>
  <c r="E62" i="28"/>
  <c r="J94" i="28"/>
  <c r="E94" i="28"/>
  <c r="J56" i="28"/>
  <c r="E54" i="28"/>
  <c r="J71" i="28"/>
  <c r="E70" i="28"/>
  <c r="J70" i="28"/>
  <c r="E69" i="28"/>
  <c r="J93" i="28"/>
  <c r="E93" i="28"/>
  <c r="J92" i="28"/>
  <c r="E92" i="28"/>
  <c r="J91" i="28"/>
  <c r="E91" i="28"/>
  <c r="J51" i="28"/>
  <c r="E51" i="28"/>
  <c r="J90" i="28"/>
  <c r="E90" i="28"/>
  <c r="J61" i="28"/>
  <c r="E61" i="28"/>
  <c r="J89" i="28"/>
  <c r="E89" i="28"/>
  <c r="J88" i="28"/>
  <c r="E88" i="28"/>
  <c r="J87" i="28"/>
  <c r="E87" i="28"/>
  <c r="J69" i="28"/>
  <c r="E68" i="28"/>
  <c r="J68" i="28"/>
  <c r="E67" i="28"/>
  <c r="J86" i="28"/>
  <c r="E86" i="28"/>
  <c r="J85" i="28"/>
  <c r="E85" i="28"/>
  <c r="J60" i="28"/>
  <c r="E60" i="28"/>
  <c r="J57" i="28"/>
  <c r="E56" i="28"/>
  <c r="J59" i="28"/>
  <c r="E59" i="28"/>
  <c r="J84" i="28"/>
  <c r="E84" i="28"/>
  <c r="J83" i="28"/>
  <c r="E83" i="28"/>
  <c r="J82" i="28"/>
  <c r="E82" i="28"/>
  <c r="J81" i="28"/>
  <c r="E81" i="28"/>
  <c r="J80" i="28"/>
  <c r="E80" i="28"/>
  <c r="J55" i="28"/>
  <c r="E53" i="28"/>
  <c r="J64" i="28"/>
  <c r="E79" i="28"/>
  <c r="J67" i="28"/>
  <c r="E66" i="28"/>
  <c r="J66" i="28"/>
  <c r="E65" i="28"/>
  <c r="J79" i="28"/>
  <c r="E78" i="28"/>
  <c r="J52" i="28"/>
  <c r="E55" i="28"/>
  <c r="J78" i="28"/>
  <c r="E77" i="28"/>
  <c r="J77" i="28"/>
  <c r="E76" i="28"/>
  <c r="J76" i="28"/>
  <c r="E75" i="28"/>
  <c r="J54" i="28"/>
  <c r="J95" i="28" s="1"/>
  <c r="E58" i="28"/>
  <c r="J75" i="28"/>
  <c r="E74" i="28"/>
  <c r="J74" i="28"/>
  <c r="E73" i="28"/>
  <c r="J58" i="28"/>
  <c r="E57" i="28"/>
  <c r="J73" i="28"/>
  <c r="E72" i="28"/>
  <c r="J72" i="28"/>
  <c r="E71" i="28"/>
  <c r="J65" i="28"/>
  <c r="E64" i="28"/>
  <c r="F158" i="31"/>
  <c r="C154" i="31"/>
  <c r="F166" i="31"/>
  <c r="C155" i="31"/>
  <c r="F168" i="31"/>
  <c r="C157" i="31"/>
  <c r="Q5" i="4"/>
  <c r="J89" i="26" l="1"/>
  <c r="J97" i="6"/>
  <c r="E97" i="6"/>
  <c r="E95" i="28"/>
  <c r="F164" i="31"/>
  <c r="C152" i="31"/>
  <c r="F165" i="31"/>
  <c r="C151" i="31"/>
  <c r="F163" i="31"/>
  <c r="C150" i="31"/>
  <c r="F42" i="31"/>
  <c r="C144" i="31"/>
  <c r="I89" i="16"/>
  <c r="H89" i="16"/>
  <c r="G89" i="16"/>
  <c r="J89" i="16" s="1"/>
  <c r="D89" i="16"/>
  <c r="C89" i="16"/>
  <c r="B89" i="16"/>
  <c r="E89" i="16" s="1"/>
  <c r="J88" i="16"/>
  <c r="E88" i="16"/>
  <c r="J87" i="16"/>
  <c r="E87" i="16"/>
  <c r="J86" i="16"/>
  <c r="E86" i="16"/>
  <c r="J85" i="16"/>
  <c r="E85" i="16"/>
  <c r="J84" i="16"/>
  <c r="E84" i="16"/>
  <c r="J53" i="16"/>
  <c r="E54" i="16"/>
  <c r="J83" i="16"/>
  <c r="E83" i="16"/>
  <c r="J82" i="16"/>
  <c r="E82" i="16"/>
  <c r="J81" i="16"/>
  <c r="E81" i="16"/>
  <c r="J55" i="16"/>
  <c r="E53" i="16"/>
  <c r="J61" i="16"/>
  <c r="E61" i="16"/>
  <c r="J60" i="16"/>
  <c r="E60" i="16"/>
  <c r="J80" i="16"/>
  <c r="E80" i="16"/>
  <c r="J79" i="16"/>
  <c r="E79" i="16"/>
  <c r="J50" i="16"/>
  <c r="E49" i="16"/>
  <c r="J78" i="16"/>
  <c r="E78" i="16"/>
  <c r="J48" i="16"/>
  <c r="E59" i="16"/>
  <c r="J77" i="16"/>
  <c r="E77" i="16"/>
  <c r="J76" i="16"/>
  <c r="E76" i="16"/>
  <c r="J75" i="16"/>
  <c r="E75" i="16"/>
  <c r="J59" i="16"/>
  <c r="E58" i="16"/>
  <c r="J49" i="16"/>
  <c r="E48" i="16"/>
  <c r="J74" i="16"/>
  <c r="E74" i="16"/>
  <c r="J73" i="16"/>
  <c r="E73" i="16"/>
  <c r="J72" i="16"/>
  <c r="E72" i="16"/>
  <c r="J54" i="16"/>
  <c r="E52" i="16"/>
  <c r="J71" i="16"/>
  <c r="E71" i="16"/>
  <c r="J52" i="16"/>
  <c r="E51" i="16"/>
  <c r="J70" i="16"/>
  <c r="E70" i="16"/>
  <c r="J69" i="16"/>
  <c r="E69" i="16"/>
  <c r="J68" i="16"/>
  <c r="E68" i="16"/>
  <c r="J51" i="16"/>
  <c r="E50" i="16"/>
  <c r="J67" i="16"/>
  <c r="E67" i="16"/>
  <c r="J66" i="16"/>
  <c r="E66" i="16"/>
  <c r="J65" i="16"/>
  <c r="E65" i="16"/>
  <c r="J64" i="16"/>
  <c r="E64" i="16"/>
  <c r="J63" i="16"/>
  <c r="E63" i="16"/>
  <c r="J58" i="16"/>
  <c r="E57" i="16"/>
  <c r="J57" i="16"/>
  <c r="E56" i="16"/>
  <c r="J62" i="16"/>
  <c r="E62" i="16"/>
  <c r="J56" i="16"/>
  <c r="E55" i="16"/>
  <c r="K23" i="31"/>
  <c r="N28" i="4"/>
  <c r="Q8" i="8"/>
  <c r="I93" i="8"/>
  <c r="H93" i="8"/>
  <c r="G93" i="8"/>
  <c r="D93" i="8"/>
  <c r="C93" i="8"/>
  <c r="B93" i="8"/>
  <c r="J56" i="8"/>
  <c r="E55" i="8"/>
  <c r="J54" i="8"/>
  <c r="E53" i="8"/>
  <c r="J70" i="8"/>
  <c r="E70" i="8"/>
  <c r="J92" i="8"/>
  <c r="E92" i="8"/>
  <c r="J91" i="8"/>
  <c r="E91" i="8"/>
  <c r="J90" i="8"/>
  <c r="E90" i="8"/>
  <c r="J89" i="8"/>
  <c r="E89" i="8"/>
  <c r="J55" i="8"/>
  <c r="E54" i="8"/>
  <c r="J88" i="8"/>
  <c r="E88" i="8"/>
  <c r="J87" i="8"/>
  <c r="E87" i="8"/>
  <c r="J69" i="8"/>
  <c r="E69" i="8"/>
  <c r="J50" i="8"/>
  <c r="E68" i="8"/>
  <c r="J68" i="8"/>
  <c r="E67" i="8"/>
  <c r="J86" i="8"/>
  <c r="E86" i="8"/>
  <c r="J60" i="8"/>
  <c r="E58" i="8"/>
  <c r="J85" i="8"/>
  <c r="E85" i="8"/>
  <c r="J84" i="8"/>
  <c r="E84" i="8"/>
  <c r="J67" i="8"/>
  <c r="E66" i="8"/>
  <c r="J66" i="8"/>
  <c r="E65" i="8"/>
  <c r="J51" i="8"/>
  <c r="E50" i="8"/>
  <c r="J65" i="8"/>
  <c r="E64" i="8"/>
  <c r="J83" i="8"/>
  <c r="E83" i="8"/>
  <c r="J59" i="8"/>
  <c r="E57" i="8"/>
  <c r="J82" i="8"/>
  <c r="E82" i="8"/>
  <c r="J81" i="8"/>
  <c r="E81" i="8"/>
  <c r="J80" i="8"/>
  <c r="E80" i="8"/>
  <c r="J64" i="8"/>
  <c r="E63" i="8"/>
  <c r="J58" i="8"/>
  <c r="E56" i="8"/>
  <c r="J79" i="8"/>
  <c r="E79" i="8"/>
  <c r="J78" i="8"/>
  <c r="E78" i="8"/>
  <c r="J63" i="8"/>
  <c r="E62" i="8"/>
  <c r="J77" i="8"/>
  <c r="E77" i="8"/>
  <c r="J53" i="8"/>
  <c r="E52" i="8"/>
  <c r="J62" i="8"/>
  <c r="E61" i="8"/>
  <c r="J61" i="8"/>
  <c r="E60" i="8"/>
  <c r="J76" i="8"/>
  <c r="E76" i="8"/>
  <c r="J52" i="8"/>
  <c r="E51" i="8"/>
  <c r="J75" i="8"/>
  <c r="E75" i="8"/>
  <c r="J74" i="8"/>
  <c r="E74" i="8"/>
  <c r="J73" i="8"/>
  <c r="E73" i="8"/>
  <c r="J57" i="8"/>
  <c r="E59" i="8"/>
  <c r="J72" i="8"/>
  <c r="E72" i="8"/>
  <c r="J71" i="8"/>
  <c r="E71" i="8"/>
  <c r="F159" i="31"/>
  <c r="C145" i="31"/>
  <c r="F157" i="31"/>
  <c r="C146" i="31"/>
  <c r="F160" i="31"/>
  <c r="C147" i="31"/>
  <c r="J93" i="8" l="1"/>
  <c r="E93" i="8"/>
  <c r="F161" i="31" l="1"/>
  <c r="C148" i="31"/>
  <c r="I93" i="29"/>
  <c r="H93" i="29"/>
  <c r="G93" i="29"/>
  <c r="D93" i="29"/>
  <c r="C93" i="29"/>
  <c r="B93" i="29"/>
  <c r="J53" i="29"/>
  <c r="E92" i="29"/>
  <c r="J92" i="29"/>
  <c r="E91" i="29"/>
  <c r="J60" i="29"/>
  <c r="E58" i="29"/>
  <c r="J70" i="29"/>
  <c r="E69" i="29"/>
  <c r="J59" i="29"/>
  <c r="E57" i="29"/>
  <c r="J91" i="29"/>
  <c r="E90" i="29"/>
  <c r="J58" i="29"/>
  <c r="E56" i="29"/>
  <c r="J90" i="29"/>
  <c r="E89" i="29"/>
  <c r="J71" i="29"/>
  <c r="E88" i="29"/>
  <c r="J89" i="29"/>
  <c r="E87" i="29"/>
  <c r="J88" i="29"/>
  <c r="E86" i="29"/>
  <c r="J87" i="29"/>
  <c r="E85" i="29"/>
  <c r="J86" i="29"/>
  <c r="E84" i="29"/>
  <c r="J52" i="29"/>
  <c r="E51" i="29"/>
  <c r="J63" i="29"/>
  <c r="E68" i="29"/>
  <c r="J85" i="29"/>
  <c r="E83" i="29"/>
  <c r="J57" i="29"/>
  <c r="E55" i="29"/>
  <c r="J69" i="29"/>
  <c r="E67" i="29"/>
  <c r="J84" i="29"/>
  <c r="E82" i="29"/>
  <c r="J62" i="29"/>
  <c r="E61" i="29"/>
  <c r="J83" i="29"/>
  <c r="E81" i="29"/>
  <c r="J82" i="29"/>
  <c r="E80" i="29"/>
  <c r="J54" i="29"/>
  <c r="E52" i="29"/>
  <c r="J56" i="29"/>
  <c r="E54" i="29"/>
  <c r="J68" i="29"/>
  <c r="E66" i="29"/>
  <c r="J81" i="29"/>
  <c r="E79" i="29"/>
  <c r="J67" i="29"/>
  <c r="E65" i="29"/>
  <c r="J66" i="29"/>
  <c r="E64" i="29"/>
  <c r="J80" i="29"/>
  <c r="E78" i="29"/>
  <c r="J61" i="29"/>
  <c r="E60" i="29"/>
  <c r="J79" i="29"/>
  <c r="E77" i="29"/>
  <c r="J78" i="29"/>
  <c r="E76" i="29"/>
  <c r="J51" i="29"/>
  <c r="E50" i="29"/>
  <c r="J77" i="29"/>
  <c r="E75" i="29"/>
  <c r="J65" i="29"/>
  <c r="E63" i="29"/>
  <c r="J76" i="29"/>
  <c r="E74" i="29"/>
  <c r="J75" i="29"/>
  <c r="E73" i="29"/>
  <c r="J50" i="29"/>
  <c r="E53" i="29"/>
  <c r="J55" i="29"/>
  <c r="E59" i="29"/>
  <c r="J74" i="29"/>
  <c r="E72" i="29"/>
  <c r="J73" i="29"/>
  <c r="E71" i="29"/>
  <c r="J64" i="29"/>
  <c r="E62" i="29"/>
  <c r="J72" i="29"/>
  <c r="E70" i="29"/>
  <c r="J93" i="29" l="1"/>
  <c r="E93" i="29"/>
  <c r="F76" i="31"/>
  <c r="C64" i="31"/>
  <c r="F100" i="31"/>
  <c r="C79" i="31"/>
  <c r="F109" i="31"/>
  <c r="C88" i="31"/>
  <c r="J25" i="6"/>
  <c r="E25" i="6"/>
  <c r="F79" i="31"/>
  <c r="C67" i="31"/>
  <c r="F120" i="31"/>
  <c r="C99" i="31"/>
  <c r="F114" i="31"/>
  <c r="C93" i="31"/>
  <c r="J15" i="28"/>
  <c r="E15" i="28"/>
  <c r="F155" i="31"/>
  <c r="C142" i="31"/>
  <c r="F156" i="31"/>
  <c r="C143" i="31"/>
  <c r="I79" i="9"/>
  <c r="H79" i="9"/>
  <c r="G79" i="9"/>
  <c r="D79" i="9"/>
  <c r="C79" i="9"/>
  <c r="B79" i="9"/>
  <c r="J78" i="9"/>
  <c r="E78" i="9"/>
  <c r="J51" i="9"/>
  <c r="E49" i="9"/>
  <c r="J54" i="9"/>
  <c r="E53" i="9"/>
  <c r="J77" i="9"/>
  <c r="E77" i="9"/>
  <c r="J76" i="9"/>
  <c r="E76" i="9"/>
  <c r="J50" i="9"/>
  <c r="E48" i="9"/>
  <c r="J75" i="9"/>
  <c r="E75" i="9"/>
  <c r="J45" i="9"/>
  <c r="E74" i="9"/>
  <c r="J49" i="9"/>
  <c r="E47" i="9"/>
  <c r="J59" i="9"/>
  <c r="E58" i="9"/>
  <c r="J74" i="9"/>
  <c r="E73" i="9"/>
  <c r="J48" i="9"/>
  <c r="E52" i="9"/>
  <c r="J58" i="9"/>
  <c r="E57" i="9"/>
  <c r="J47" i="9"/>
  <c r="E46" i="9"/>
  <c r="J44" i="9"/>
  <c r="E44" i="9"/>
  <c r="J73" i="9"/>
  <c r="E72" i="9"/>
  <c r="J72" i="9"/>
  <c r="E71" i="9"/>
  <c r="J71" i="9"/>
  <c r="E70" i="9"/>
  <c r="J57" i="9"/>
  <c r="E56" i="9"/>
  <c r="J70" i="9"/>
  <c r="E69" i="9"/>
  <c r="J56" i="9"/>
  <c r="E55" i="9"/>
  <c r="J43" i="9"/>
  <c r="E43" i="9"/>
  <c r="J69" i="9"/>
  <c r="E68" i="9"/>
  <c r="J68" i="9"/>
  <c r="E67" i="9"/>
  <c r="J67" i="9"/>
  <c r="E66" i="9"/>
  <c r="J66" i="9"/>
  <c r="E65" i="9"/>
  <c r="J65" i="9"/>
  <c r="E64" i="9"/>
  <c r="J53" i="9"/>
  <c r="E51" i="9"/>
  <c r="J64" i="9"/>
  <c r="E63" i="9"/>
  <c r="J46" i="9"/>
  <c r="E45" i="9"/>
  <c r="J55" i="9"/>
  <c r="E54" i="9"/>
  <c r="J63" i="9"/>
  <c r="E62" i="9"/>
  <c r="J52" i="9"/>
  <c r="E50" i="9"/>
  <c r="J60" i="9"/>
  <c r="E61" i="9"/>
  <c r="J62" i="9"/>
  <c r="E60" i="9"/>
  <c r="J61" i="9"/>
  <c r="E59" i="9"/>
  <c r="O5" i="34"/>
  <c r="G63" i="34"/>
  <c r="F63" i="34"/>
  <c r="H63" i="34" s="1"/>
  <c r="C63" i="34"/>
  <c r="B63" i="34"/>
  <c r="D63" i="34" s="1"/>
  <c r="H50" i="34"/>
  <c r="D49" i="34"/>
  <c r="H51" i="34"/>
  <c r="D62" i="34"/>
  <c r="H39" i="34"/>
  <c r="D48" i="34"/>
  <c r="H62" i="34"/>
  <c r="D61" i="34"/>
  <c r="H61" i="34"/>
  <c r="D60" i="34"/>
  <c r="H49" i="34"/>
  <c r="D47" i="34"/>
  <c r="H60" i="34"/>
  <c r="D59" i="34"/>
  <c r="H48" i="34"/>
  <c r="D46" i="34"/>
  <c r="H47" i="34"/>
  <c r="D45" i="34"/>
  <c r="H59" i="34"/>
  <c r="D58" i="34"/>
  <c r="H35" i="34"/>
  <c r="D35" i="34"/>
  <c r="H58" i="34"/>
  <c r="D57" i="34"/>
  <c r="H57" i="34"/>
  <c r="D56" i="34"/>
  <c r="H37" i="34"/>
  <c r="D36" i="34"/>
  <c r="H46" i="34"/>
  <c r="D44" i="34"/>
  <c r="H36" i="34"/>
  <c r="D55" i="34"/>
  <c r="H38" i="34"/>
  <c r="D37" i="34"/>
  <c r="H52" i="34"/>
  <c r="D54" i="34"/>
  <c r="H45" i="34"/>
  <c r="D43" i="34"/>
  <c r="H56" i="34"/>
  <c r="D53" i="34"/>
  <c r="H44" i="34"/>
  <c r="D42" i="34"/>
  <c r="H55" i="34"/>
  <c r="D52" i="34"/>
  <c r="H43" i="34"/>
  <c r="D41" i="34"/>
  <c r="H42" i="34"/>
  <c r="D40" i="34"/>
  <c r="H54" i="34"/>
  <c r="D51" i="34"/>
  <c r="H41" i="34"/>
  <c r="D39" i="34"/>
  <c r="H40" i="34"/>
  <c r="D38" i="34"/>
  <c r="H53" i="34"/>
  <c r="D50" i="34"/>
  <c r="K33" i="31"/>
  <c r="K35" i="31"/>
  <c r="N21" i="9"/>
  <c r="N4" i="9"/>
  <c r="Q4" i="9"/>
  <c r="N22" i="9"/>
  <c r="N6" i="9"/>
  <c r="Q6" i="9"/>
  <c r="F171" i="31"/>
  <c r="C165" i="31"/>
  <c r="F149" i="31"/>
  <c r="C134" i="31"/>
  <c r="F51" i="31"/>
  <c r="C40" i="31"/>
  <c r="F102" i="31"/>
  <c r="C81" i="31"/>
  <c r="F33" i="31"/>
  <c r="C25" i="31"/>
  <c r="F108" i="31"/>
  <c r="C87" i="31"/>
  <c r="K19" i="31"/>
  <c r="N19" i="33"/>
  <c r="Q6" i="33"/>
  <c r="I63" i="33"/>
  <c r="H63" i="33"/>
  <c r="G63" i="33"/>
  <c r="J63" i="33" s="1"/>
  <c r="D63" i="33"/>
  <c r="C63" i="33"/>
  <c r="B63" i="33"/>
  <c r="J57" i="33"/>
  <c r="E57" i="33"/>
  <c r="J62" i="33"/>
  <c r="E62" i="33"/>
  <c r="J56" i="33"/>
  <c r="E56" i="33"/>
  <c r="J55" i="33"/>
  <c r="E55" i="33"/>
  <c r="J42" i="33"/>
  <c r="E40" i="33"/>
  <c r="J54" i="33"/>
  <c r="E54" i="33"/>
  <c r="J47" i="33"/>
  <c r="E46" i="33"/>
  <c r="J38" i="33"/>
  <c r="E36" i="33"/>
  <c r="J46" i="33"/>
  <c r="E45" i="33"/>
  <c r="J53" i="33"/>
  <c r="E53" i="33"/>
  <c r="J52" i="33"/>
  <c r="E52" i="33"/>
  <c r="J61" i="33"/>
  <c r="E61" i="33"/>
  <c r="J36" i="33"/>
  <c r="E35" i="33"/>
  <c r="J45" i="33"/>
  <c r="E44" i="33"/>
  <c r="J60" i="33"/>
  <c r="E60" i="33"/>
  <c r="J41" i="33"/>
  <c r="E39" i="33"/>
  <c r="J44" i="33"/>
  <c r="E43" i="33"/>
  <c r="J51" i="33"/>
  <c r="E51" i="33"/>
  <c r="J59" i="33"/>
  <c r="E59" i="33"/>
  <c r="J37" i="33"/>
  <c r="E42" i="33"/>
  <c r="J50" i="33"/>
  <c r="E50" i="33"/>
  <c r="J58" i="33"/>
  <c r="E58" i="33"/>
  <c r="J43" i="33"/>
  <c r="E41" i="33"/>
  <c r="J49" i="33"/>
  <c r="E49" i="33"/>
  <c r="J40" i="33"/>
  <c r="E38" i="33"/>
  <c r="J35" i="33"/>
  <c r="E48" i="33"/>
  <c r="J48" i="33"/>
  <c r="E47" i="33"/>
  <c r="J39" i="33"/>
  <c r="E37" i="33"/>
  <c r="F141" i="31"/>
  <c r="F99" i="31"/>
  <c r="C125" i="31"/>
  <c r="C78" i="31"/>
  <c r="J27" i="33"/>
  <c r="E27" i="33"/>
  <c r="K22" i="31"/>
  <c r="N22" i="24"/>
  <c r="Q8" i="24"/>
  <c r="F176" i="31"/>
  <c r="C281" i="31"/>
  <c r="F127" i="31"/>
  <c r="C106" i="31"/>
  <c r="J26" i="24"/>
  <c r="E26" i="24"/>
  <c r="F112" i="31"/>
  <c r="C91" i="31"/>
  <c r="F117" i="31"/>
  <c r="C96" i="31"/>
  <c r="F125" i="31"/>
  <c r="C104" i="31"/>
  <c r="F129" i="31"/>
  <c r="C108" i="31"/>
  <c r="I85" i="25"/>
  <c r="H85" i="25"/>
  <c r="G85" i="25"/>
  <c r="D85" i="25"/>
  <c r="C85" i="25"/>
  <c r="B85" i="25"/>
  <c r="E85" i="25" s="1"/>
  <c r="J48" i="25"/>
  <c r="E84" i="25"/>
  <c r="J53" i="25"/>
  <c r="E51" i="25"/>
  <c r="J56" i="25"/>
  <c r="E54" i="25"/>
  <c r="J52" i="25"/>
  <c r="E50" i="25"/>
  <c r="J65" i="25"/>
  <c r="E63" i="25"/>
  <c r="J64" i="25"/>
  <c r="E62" i="25"/>
  <c r="J84" i="25"/>
  <c r="E83" i="25"/>
  <c r="J83" i="25"/>
  <c r="E82" i="25"/>
  <c r="J82" i="25"/>
  <c r="E81" i="25"/>
  <c r="J81" i="25"/>
  <c r="E80" i="25"/>
  <c r="J63" i="25"/>
  <c r="E61" i="25"/>
  <c r="J80" i="25"/>
  <c r="E79" i="25"/>
  <c r="J79" i="25"/>
  <c r="E78" i="25"/>
  <c r="J78" i="25"/>
  <c r="E77" i="25"/>
  <c r="J77" i="25"/>
  <c r="E76" i="25"/>
  <c r="J76" i="25"/>
  <c r="E75" i="25"/>
  <c r="J62" i="25"/>
  <c r="E60" i="25"/>
  <c r="J61" i="25"/>
  <c r="E59" i="25"/>
  <c r="J75" i="25"/>
  <c r="E74" i="25"/>
  <c r="J47" i="25"/>
  <c r="E58" i="25"/>
  <c r="J46" i="25"/>
  <c r="E46" i="25"/>
  <c r="J74" i="25"/>
  <c r="E73" i="25"/>
  <c r="J51" i="25"/>
  <c r="E49" i="25"/>
  <c r="J73" i="25"/>
  <c r="E72" i="25"/>
  <c r="J72" i="25"/>
  <c r="E71" i="25"/>
  <c r="J71" i="25"/>
  <c r="E70" i="25"/>
  <c r="J60" i="25"/>
  <c r="E57" i="25"/>
  <c r="J50" i="25"/>
  <c r="E48" i="25"/>
  <c r="J70" i="25"/>
  <c r="E69" i="25"/>
  <c r="J49" i="25"/>
  <c r="E47" i="25"/>
  <c r="J69" i="25"/>
  <c r="E68" i="25"/>
  <c r="J68" i="25"/>
  <c r="E67" i="25"/>
  <c r="J67" i="25"/>
  <c r="E66" i="25"/>
  <c r="J57" i="25"/>
  <c r="E65" i="25"/>
  <c r="J59" i="25"/>
  <c r="E56" i="25"/>
  <c r="J66" i="25"/>
  <c r="E64" i="25"/>
  <c r="J58" i="25"/>
  <c r="E55" i="25"/>
  <c r="J55" i="25"/>
  <c r="E53" i="25"/>
  <c r="J54" i="25"/>
  <c r="E52" i="25"/>
  <c r="F46" i="31"/>
  <c r="C37" i="31"/>
  <c r="C137" i="31"/>
  <c r="K38" i="31"/>
  <c r="N21" i="21"/>
  <c r="I83" i="23"/>
  <c r="H83" i="23"/>
  <c r="G83" i="23"/>
  <c r="J83" i="23" s="1"/>
  <c r="D83" i="23"/>
  <c r="C83" i="23"/>
  <c r="B83" i="23"/>
  <c r="E83" i="23" s="1"/>
  <c r="J82" i="23"/>
  <c r="E82" i="23"/>
  <c r="J81" i="23"/>
  <c r="E81" i="23"/>
  <c r="J47" i="23"/>
  <c r="E58" i="23"/>
  <c r="J80" i="23"/>
  <c r="E80" i="23"/>
  <c r="J58" i="23"/>
  <c r="E57" i="23"/>
  <c r="J46" i="23"/>
  <c r="E46" i="23"/>
  <c r="J59" i="23"/>
  <c r="E79" i="23"/>
  <c r="J79" i="23"/>
  <c r="E78" i="23"/>
  <c r="J57" i="23"/>
  <c r="E56" i="23"/>
  <c r="J78" i="23"/>
  <c r="E77" i="23"/>
  <c r="J52" i="23"/>
  <c r="E51" i="23"/>
  <c r="J77" i="23"/>
  <c r="E76" i="23"/>
  <c r="J76" i="23"/>
  <c r="E75" i="23"/>
  <c r="J75" i="23"/>
  <c r="E74" i="23"/>
  <c r="J74" i="23"/>
  <c r="E73" i="23"/>
  <c r="J73" i="23"/>
  <c r="E72" i="23"/>
  <c r="J51" i="23"/>
  <c r="E50" i="23"/>
  <c r="J45" i="23"/>
  <c r="E45" i="23"/>
  <c r="J72" i="23"/>
  <c r="E71" i="23"/>
  <c r="J50" i="23"/>
  <c r="E49" i="23"/>
  <c r="J56" i="23"/>
  <c r="E55" i="23"/>
  <c r="J55" i="23"/>
  <c r="E54" i="23"/>
  <c r="J71" i="23"/>
  <c r="E70" i="23"/>
  <c r="J70" i="23"/>
  <c r="E69" i="23"/>
  <c r="J69" i="23"/>
  <c r="E68" i="23"/>
  <c r="J68" i="23"/>
  <c r="E67" i="23"/>
  <c r="J67" i="23"/>
  <c r="E66" i="23"/>
  <c r="J66" i="23"/>
  <c r="E65" i="23"/>
  <c r="J54" i="23"/>
  <c r="E53" i="23"/>
  <c r="J65" i="23"/>
  <c r="E64" i="23"/>
  <c r="J49" i="23"/>
  <c r="E48" i="23"/>
  <c r="J60" i="23"/>
  <c r="E63" i="23"/>
  <c r="J48" i="23"/>
  <c r="E47" i="23"/>
  <c r="J64" i="23"/>
  <c r="E62" i="23"/>
  <c r="J63" i="23"/>
  <c r="E61" i="23"/>
  <c r="J62" i="23"/>
  <c r="E60" i="23"/>
  <c r="J61" i="23"/>
  <c r="E59" i="23"/>
  <c r="J53" i="23"/>
  <c r="E52" i="23"/>
  <c r="F47" i="31"/>
  <c r="C135" i="31"/>
  <c r="F139" i="31"/>
  <c r="C123" i="31"/>
  <c r="F65" i="31"/>
  <c r="C53" i="31"/>
  <c r="N5" i="21"/>
  <c r="Q5" i="21"/>
  <c r="Q4" i="21"/>
  <c r="I91" i="21"/>
  <c r="H91" i="21"/>
  <c r="G91" i="21"/>
  <c r="J91" i="21" s="1"/>
  <c r="D91" i="21"/>
  <c r="C91" i="21"/>
  <c r="B91" i="21"/>
  <c r="J50" i="21"/>
  <c r="E49" i="21"/>
  <c r="J90" i="21"/>
  <c r="E90" i="21"/>
  <c r="J64" i="21"/>
  <c r="E63" i="21"/>
  <c r="J89" i="21"/>
  <c r="E89" i="21"/>
  <c r="J88" i="21"/>
  <c r="E88" i="21"/>
  <c r="J87" i="21"/>
  <c r="E87" i="21"/>
  <c r="J86" i="21"/>
  <c r="E86" i="21"/>
  <c r="J63" i="21"/>
  <c r="E62" i="21"/>
  <c r="J85" i="21"/>
  <c r="E85" i="21"/>
  <c r="J84" i="21"/>
  <c r="E84" i="21"/>
  <c r="J83" i="21"/>
  <c r="E83" i="21"/>
  <c r="J54" i="21"/>
  <c r="E53" i="21"/>
  <c r="J62" i="21"/>
  <c r="E61" i="21"/>
  <c r="J82" i="21"/>
  <c r="E82" i="21"/>
  <c r="J61" i="21"/>
  <c r="E60" i="21"/>
  <c r="J81" i="21"/>
  <c r="E81" i="21"/>
  <c r="J60" i="21"/>
  <c r="E59" i="21"/>
  <c r="J53" i="21"/>
  <c r="E52" i="21"/>
  <c r="J80" i="21"/>
  <c r="E80" i="21"/>
  <c r="J79" i="21"/>
  <c r="E79" i="21"/>
  <c r="J78" i="21"/>
  <c r="E78" i="21"/>
  <c r="J77" i="21"/>
  <c r="E77" i="21"/>
  <c r="J76" i="21"/>
  <c r="E76" i="21"/>
  <c r="J59" i="21"/>
  <c r="E58" i="21"/>
  <c r="J75" i="21"/>
  <c r="E75" i="21"/>
  <c r="J74" i="21"/>
  <c r="E74" i="21"/>
  <c r="J73" i="21"/>
  <c r="E73" i="21"/>
  <c r="J72" i="21"/>
  <c r="E72" i="21"/>
  <c r="J71" i="21"/>
  <c r="E71" i="21"/>
  <c r="J70" i="21"/>
  <c r="E70" i="21"/>
  <c r="J69" i="21"/>
  <c r="E69" i="21"/>
  <c r="J68" i="21"/>
  <c r="E68" i="21"/>
  <c r="J67" i="21"/>
  <c r="E67" i="21"/>
  <c r="J66" i="21"/>
  <c r="E66" i="21"/>
  <c r="J58" i="21"/>
  <c r="E57" i="21"/>
  <c r="J65" i="21"/>
  <c r="E65" i="21"/>
  <c r="J57" i="21"/>
  <c r="E56" i="21"/>
  <c r="J56" i="21"/>
  <c r="E55" i="21"/>
  <c r="J52" i="21"/>
  <c r="E51" i="21"/>
  <c r="J51" i="21"/>
  <c r="E50" i="21"/>
  <c r="J55" i="21"/>
  <c r="E54" i="21"/>
  <c r="J49" i="21"/>
  <c r="E64" i="21"/>
  <c r="F128" i="31"/>
  <c r="C107" i="31"/>
  <c r="F138" i="31"/>
  <c r="C121" i="31"/>
  <c r="F151" i="31"/>
  <c r="F104" i="31"/>
  <c r="C83" i="31"/>
  <c r="K25" i="31"/>
  <c r="N21" i="27"/>
  <c r="N5" i="27"/>
  <c r="Q5" i="27"/>
  <c r="I89" i="27"/>
  <c r="H89" i="27"/>
  <c r="G89" i="27"/>
  <c r="J89" i="27" s="1"/>
  <c r="D89" i="27"/>
  <c r="C89" i="27"/>
  <c r="B89" i="27"/>
  <c r="E89" i="27" s="1"/>
  <c r="J61" i="27"/>
  <c r="E59" i="27"/>
  <c r="J88" i="27"/>
  <c r="E88" i="27"/>
  <c r="J87" i="27"/>
  <c r="E87" i="27"/>
  <c r="J86" i="27"/>
  <c r="E86" i="27"/>
  <c r="J85" i="27"/>
  <c r="E85" i="27"/>
  <c r="J84" i="27"/>
  <c r="E84" i="27"/>
  <c r="J49" i="27"/>
  <c r="E49" i="27"/>
  <c r="J83" i="27"/>
  <c r="E83" i="27"/>
  <c r="J56" i="27"/>
  <c r="E54" i="27"/>
  <c r="J48" i="27"/>
  <c r="E48" i="27"/>
  <c r="J82" i="27"/>
  <c r="E82" i="27"/>
  <c r="J81" i="27"/>
  <c r="E81" i="27"/>
  <c r="J60" i="27"/>
  <c r="E58" i="27"/>
  <c r="J80" i="27"/>
  <c r="E80" i="27"/>
  <c r="J59" i="27"/>
  <c r="E57" i="27"/>
  <c r="J79" i="27"/>
  <c r="E79" i="27"/>
  <c r="J78" i="27"/>
  <c r="E78" i="27"/>
  <c r="J77" i="27"/>
  <c r="E77" i="27"/>
  <c r="J76" i="27"/>
  <c r="E76" i="27"/>
  <c r="J55" i="27"/>
  <c r="E53" i="27"/>
  <c r="J75" i="27"/>
  <c r="E75" i="27"/>
  <c r="J58" i="27"/>
  <c r="E56" i="27"/>
  <c r="J74" i="27"/>
  <c r="E74" i="27"/>
  <c r="J51" i="27"/>
  <c r="E50" i="27"/>
  <c r="J73" i="27"/>
  <c r="E73" i="27"/>
  <c r="J72" i="27"/>
  <c r="E72" i="27"/>
  <c r="J54" i="27"/>
  <c r="E52" i="27"/>
  <c r="J71" i="27"/>
  <c r="E71" i="27"/>
  <c r="J50" i="27"/>
  <c r="E70" i="27"/>
  <c r="J70" i="27"/>
  <c r="E69" i="27"/>
  <c r="J69" i="27"/>
  <c r="E68" i="27"/>
  <c r="J68" i="27"/>
  <c r="E67" i="27"/>
  <c r="J67" i="27"/>
  <c r="E66" i="27"/>
  <c r="J66" i="27"/>
  <c r="E65" i="27"/>
  <c r="J52" i="27"/>
  <c r="E51" i="27"/>
  <c r="J65" i="27"/>
  <c r="E64" i="27"/>
  <c r="J53" i="27"/>
  <c r="E63" i="27"/>
  <c r="J64" i="27"/>
  <c r="E62" i="27"/>
  <c r="J63" i="27"/>
  <c r="E61" i="27"/>
  <c r="J57" i="27"/>
  <c r="E55" i="27"/>
  <c r="J62" i="27"/>
  <c r="E60" i="27"/>
  <c r="C174" i="31"/>
  <c r="F53" i="31"/>
  <c r="F130" i="31"/>
  <c r="C110" i="31"/>
  <c r="F103" i="31"/>
  <c r="C82" i="31"/>
  <c r="F94" i="31"/>
  <c r="C72" i="31"/>
  <c r="J85" i="25" l="1"/>
  <c r="J79" i="9"/>
  <c r="E79" i="9"/>
  <c r="E63" i="33"/>
  <c r="E91" i="21"/>
  <c r="K43" i="31" l="1"/>
  <c r="N17" i="16"/>
  <c r="F89" i="31"/>
  <c r="C116" i="31"/>
  <c r="F106" i="31"/>
  <c r="C85" i="31"/>
  <c r="F68" i="31"/>
  <c r="C56" i="31"/>
  <c r="I57" i="32"/>
  <c r="H57" i="32"/>
  <c r="G57" i="32"/>
  <c r="J57" i="32" s="1"/>
  <c r="D57" i="32"/>
  <c r="C57" i="32"/>
  <c r="B57" i="32"/>
  <c r="E57" i="32" s="1"/>
  <c r="J34" i="32"/>
  <c r="E56" i="32"/>
  <c r="J56" i="32"/>
  <c r="E55" i="32"/>
  <c r="J55" i="32"/>
  <c r="E54" i="32"/>
  <c r="J54" i="32"/>
  <c r="E53" i="32"/>
  <c r="J53" i="32"/>
  <c r="E52" i="32"/>
  <c r="J40" i="32"/>
  <c r="E39" i="32"/>
  <c r="J41" i="32"/>
  <c r="E51" i="32"/>
  <c r="J52" i="32"/>
  <c r="E50" i="32"/>
  <c r="J37" i="32"/>
  <c r="E38" i="32"/>
  <c r="J51" i="32"/>
  <c r="E49" i="32"/>
  <c r="J50" i="32"/>
  <c r="E48" i="32"/>
  <c r="J49" i="32"/>
  <c r="E47" i="32"/>
  <c r="J48" i="32"/>
  <c r="E46" i="32"/>
  <c r="J39" i="32"/>
  <c r="E37" i="32"/>
  <c r="J33" i="32"/>
  <c r="E33" i="32"/>
  <c r="J47" i="32"/>
  <c r="E45" i="32"/>
  <c r="J36" i="32"/>
  <c r="E35" i="32"/>
  <c r="J32" i="32"/>
  <c r="E32" i="32"/>
  <c r="J46" i="32"/>
  <c r="E44" i="32"/>
  <c r="J45" i="32"/>
  <c r="E43" i="32"/>
  <c r="J38" i="32"/>
  <c r="E36" i="32"/>
  <c r="J44" i="32"/>
  <c r="E42" i="32"/>
  <c r="J43" i="32"/>
  <c r="E41" i="32"/>
  <c r="J42" i="32"/>
  <c r="E40" i="32"/>
  <c r="J35" i="32"/>
  <c r="E34" i="32"/>
  <c r="K42" i="31"/>
  <c r="L14" i="34"/>
  <c r="F146" i="31"/>
  <c r="C131" i="31"/>
  <c r="K14" i="31"/>
  <c r="N28" i="6"/>
  <c r="N9" i="6"/>
  <c r="F83" i="31"/>
  <c r="C140" i="31"/>
  <c r="F45" i="31"/>
  <c r="C36" i="31"/>
  <c r="F66" i="31"/>
  <c r="C54" i="31"/>
  <c r="F21" i="31"/>
  <c r="C122" i="31"/>
  <c r="F63" i="31"/>
  <c r="C51" i="31"/>
  <c r="F55" i="31"/>
  <c r="C43" i="31"/>
  <c r="F43" i="31"/>
  <c r="C33" i="31"/>
  <c r="F78" i="31"/>
  <c r="C66" i="31"/>
  <c r="F123" i="31"/>
  <c r="C102" i="31"/>
  <c r="F18" i="31"/>
  <c r="C11" i="31"/>
  <c r="I88" i="24"/>
  <c r="H88" i="24"/>
  <c r="G88" i="24"/>
  <c r="D88" i="24"/>
  <c r="C88" i="24"/>
  <c r="B88" i="24"/>
  <c r="E88" i="24" s="1"/>
  <c r="J87" i="24"/>
  <c r="E87" i="24"/>
  <c r="J76" i="24"/>
  <c r="E73" i="24"/>
  <c r="J55" i="24"/>
  <c r="E86" i="24"/>
  <c r="J75" i="24"/>
  <c r="E72" i="24"/>
  <c r="J74" i="24"/>
  <c r="E71" i="24"/>
  <c r="J52" i="24"/>
  <c r="E52" i="24"/>
  <c r="J86" i="24"/>
  <c r="E85" i="24"/>
  <c r="J85" i="24"/>
  <c r="E84" i="24"/>
  <c r="J84" i="24"/>
  <c r="E83" i="24"/>
  <c r="J83" i="24"/>
  <c r="E82" i="24"/>
  <c r="J82" i="24"/>
  <c r="E81" i="24"/>
  <c r="J63" i="24"/>
  <c r="E70" i="24"/>
  <c r="J51" i="24"/>
  <c r="E51" i="24"/>
  <c r="J53" i="24"/>
  <c r="E80" i="24"/>
  <c r="J54" i="24"/>
  <c r="E79" i="24"/>
  <c r="J62" i="24"/>
  <c r="E59" i="24"/>
  <c r="J73" i="24"/>
  <c r="E69" i="24"/>
  <c r="J72" i="24"/>
  <c r="E68" i="24"/>
  <c r="J81" i="24"/>
  <c r="E78" i="24"/>
  <c r="J61" i="24"/>
  <c r="E58" i="24"/>
  <c r="J71" i="24"/>
  <c r="E67" i="24"/>
  <c r="J60" i="24"/>
  <c r="E57" i="24"/>
  <c r="J70" i="24"/>
  <c r="E66" i="24"/>
  <c r="J59" i="24"/>
  <c r="E56" i="24"/>
  <c r="J80" i="24"/>
  <c r="E77" i="24"/>
  <c r="J69" i="24"/>
  <c r="E65" i="24"/>
  <c r="J50" i="24"/>
  <c r="E50" i="24"/>
  <c r="J56" i="24"/>
  <c r="E53" i="24"/>
  <c r="J58" i="24"/>
  <c r="E55" i="24"/>
  <c r="J49" i="24"/>
  <c r="E49" i="24"/>
  <c r="J79" i="24"/>
  <c r="E76" i="24"/>
  <c r="J68" i="24"/>
  <c r="E64" i="24"/>
  <c r="J78" i="24"/>
  <c r="E75" i="24"/>
  <c r="J48" i="24"/>
  <c r="E48" i="24"/>
  <c r="J67" i="24"/>
  <c r="E63" i="24"/>
  <c r="J66" i="24"/>
  <c r="E62" i="24"/>
  <c r="J57" i="24"/>
  <c r="E54" i="24"/>
  <c r="J65" i="24"/>
  <c r="E61" i="24"/>
  <c r="J64" i="24"/>
  <c r="E60" i="24"/>
  <c r="J77" i="24"/>
  <c r="E74" i="24"/>
  <c r="F88" i="31"/>
  <c r="C115" i="31"/>
  <c r="F150" i="31"/>
  <c r="C136" i="31"/>
  <c r="F110" i="31"/>
  <c r="C89" i="31"/>
  <c r="K7" i="31"/>
  <c r="N26" i="28"/>
  <c r="N8" i="28"/>
  <c r="F137" i="31"/>
  <c r="C120" i="31"/>
  <c r="F153" i="31"/>
  <c r="C139" i="31"/>
  <c r="J41" i="28"/>
  <c r="E41" i="28"/>
  <c r="F4" i="31"/>
  <c r="C4" i="31"/>
  <c r="F121" i="31"/>
  <c r="C100" i="31"/>
  <c r="F148" i="31"/>
  <c r="C133" i="31"/>
  <c r="K31" i="31"/>
  <c r="K30" i="31"/>
  <c r="N24" i="9"/>
  <c r="N23" i="9"/>
  <c r="C254" i="31"/>
  <c r="F144" i="31"/>
  <c r="C129" i="31"/>
  <c r="F145" i="31"/>
  <c r="C130" i="31"/>
  <c r="F154" i="31"/>
  <c r="C141" i="31"/>
  <c r="F25" i="31"/>
  <c r="C17" i="31"/>
  <c r="F87" i="31"/>
  <c r="C114" i="31"/>
  <c r="K40" i="31"/>
  <c r="N20" i="33"/>
  <c r="N7" i="33"/>
  <c r="F50" i="31"/>
  <c r="C39" i="31"/>
  <c r="F91" i="31"/>
  <c r="C69" i="31"/>
  <c r="F140" i="31"/>
  <c r="C124" i="31"/>
  <c r="F134" i="31"/>
  <c r="C117" i="31"/>
  <c r="K18" i="31"/>
  <c r="N23" i="8"/>
  <c r="F64" i="31"/>
  <c r="C52" i="31"/>
  <c r="F62" i="31"/>
  <c r="C50" i="31"/>
  <c r="F38" i="31"/>
  <c r="C29" i="31"/>
  <c r="F142" i="31"/>
  <c r="C127" i="31"/>
  <c r="F11" i="31"/>
  <c r="C8" i="31"/>
  <c r="F118" i="31"/>
  <c r="C97" i="31"/>
  <c r="F143" i="31"/>
  <c r="C128" i="31"/>
  <c r="F126" i="31"/>
  <c r="C105" i="31"/>
  <c r="F170" i="31"/>
  <c r="C271" i="31"/>
  <c r="N11" i="32"/>
  <c r="Q5" i="32"/>
  <c r="K21" i="31"/>
  <c r="K5" i="31"/>
  <c r="N30" i="4"/>
  <c r="N8" i="4"/>
  <c r="F122" i="31"/>
  <c r="C101" i="31"/>
  <c r="F132" i="31"/>
  <c r="C112" i="31"/>
  <c r="F13" i="31"/>
  <c r="C126" i="31"/>
  <c r="F98" i="31"/>
  <c r="C77" i="31"/>
  <c r="F17" i="31"/>
  <c r="C10" i="31"/>
  <c r="F131" i="31"/>
  <c r="C111" i="31"/>
  <c r="F107" i="31"/>
  <c r="C86" i="31"/>
  <c r="F44" i="31"/>
  <c r="C34" i="31"/>
  <c r="J88" i="24" l="1"/>
  <c r="K37" i="31"/>
  <c r="K39" i="31"/>
  <c r="N27" i="23"/>
  <c r="N26" i="23"/>
  <c r="N8" i="23"/>
  <c r="R5" i="26" l="1"/>
  <c r="F60" i="31"/>
  <c r="C48" i="31"/>
  <c r="F135" i="31"/>
  <c r="C118" i="31"/>
  <c r="F20" i="31"/>
  <c r="C13" i="31"/>
  <c r="F28" i="31"/>
  <c r="C19" i="31"/>
  <c r="N28" i="23"/>
  <c r="Q12" i="23"/>
  <c r="F93" i="31"/>
  <c r="C71" i="31"/>
  <c r="F81" i="31"/>
  <c r="C161" i="31"/>
  <c r="N18" i="33"/>
  <c r="J4" i="33"/>
  <c r="E4" i="33"/>
  <c r="C22" i="31"/>
  <c r="F74" i="31"/>
  <c r="C62" i="31"/>
  <c r="F69" i="31"/>
  <c r="C57" i="31"/>
  <c r="F24" i="31"/>
  <c r="C16" i="31"/>
  <c r="F136" i="31"/>
  <c r="C119" i="31"/>
  <c r="F77" i="31"/>
  <c r="C65" i="31"/>
  <c r="F61" i="31"/>
  <c r="C49" i="31"/>
  <c r="N25" i="28"/>
  <c r="J34" i="28"/>
  <c r="E34" i="28"/>
  <c r="L13" i="34"/>
  <c r="F82" i="31"/>
  <c r="C216" i="31"/>
  <c r="N28" i="29"/>
  <c r="Q5" i="29"/>
  <c r="F14" i="31"/>
  <c r="C185" i="31"/>
  <c r="F72" i="31"/>
  <c r="C60" i="31"/>
  <c r="F71" i="31"/>
  <c r="C59" i="31"/>
  <c r="F37" i="31"/>
  <c r="C28" i="31"/>
  <c r="F39" i="31"/>
  <c r="C30" i="31"/>
  <c r="F58" i="31"/>
  <c r="C46" i="31"/>
  <c r="F23" i="31"/>
  <c r="C15" i="31"/>
  <c r="N20" i="24"/>
  <c r="F85" i="31"/>
  <c r="C236" i="31"/>
  <c r="F115" i="31"/>
  <c r="C94" i="31"/>
  <c r="F111" i="31"/>
  <c r="C90" i="31"/>
  <c r="N24" i="8"/>
  <c r="F16" i="31"/>
  <c r="C109" i="31"/>
  <c r="F86" i="31"/>
  <c r="C76" i="31"/>
  <c r="F57" i="31"/>
  <c r="C45" i="31"/>
  <c r="F152" i="31"/>
  <c r="C138" i="31"/>
  <c r="F133" i="31"/>
  <c r="C113" i="31"/>
  <c r="F113" i="31"/>
  <c r="C92" i="31"/>
  <c r="F54" i="31"/>
  <c r="C42" i="31"/>
  <c r="J43" i="8"/>
  <c r="E43" i="8"/>
  <c r="N25" i="6"/>
  <c r="C170" i="31"/>
  <c r="F15" i="31"/>
  <c r="F41" i="31"/>
  <c r="C32" i="31"/>
  <c r="F116" i="31"/>
  <c r="C95" i="31"/>
  <c r="F27" i="31"/>
  <c r="C18" i="31"/>
  <c r="F175" i="31"/>
  <c r="C272" i="31"/>
  <c r="F119" i="31"/>
  <c r="C98" i="31"/>
  <c r="N26" i="26"/>
  <c r="N25" i="26"/>
  <c r="N22" i="26"/>
  <c r="N9" i="26"/>
  <c r="F48" i="31"/>
  <c r="C153" i="31"/>
  <c r="F73" i="31"/>
  <c r="C61" i="31"/>
  <c r="F10" i="31"/>
  <c r="C7" i="31"/>
  <c r="F95" i="31"/>
  <c r="C73" i="31"/>
  <c r="C35" i="31"/>
  <c r="F6" i="31"/>
  <c r="F30" i="31"/>
  <c r="C21" i="31"/>
  <c r="F105" i="31"/>
  <c r="C84" i="31"/>
  <c r="N20" i="21"/>
  <c r="N16" i="16"/>
  <c r="Q4" i="16"/>
  <c r="F169" i="31"/>
  <c r="C164" i="31"/>
  <c r="F52" i="31"/>
  <c r="C41" i="31"/>
  <c r="F67" i="31"/>
  <c r="C55" i="31"/>
  <c r="F56" i="31"/>
  <c r="C44" i="31"/>
  <c r="F97" i="31"/>
  <c r="C75" i="31"/>
  <c r="N25" i="25" l="1"/>
  <c r="N23" i="25"/>
  <c r="N4" i="25"/>
  <c r="F90" i="31"/>
  <c r="C183" i="31"/>
  <c r="F26" i="31"/>
  <c r="C278" i="31"/>
  <c r="F40" i="31"/>
  <c r="C31" i="31"/>
  <c r="F147" i="31"/>
  <c r="C132" i="31"/>
  <c r="F59" i="31"/>
  <c r="C47" i="31"/>
  <c r="F101" i="31"/>
  <c r="C80" i="31"/>
  <c r="F22" i="31"/>
  <c r="C14" i="31"/>
  <c r="F12" i="31"/>
  <c r="C9" i="31"/>
  <c r="F92" i="31"/>
  <c r="C70" i="31"/>
  <c r="J38" i="25"/>
  <c r="E38" i="25"/>
  <c r="N22" i="27" l="1"/>
  <c r="F84" i="31"/>
  <c r="C205" i="31"/>
  <c r="F35" i="31"/>
  <c r="C26" i="31"/>
  <c r="N32" i="4" l="1"/>
  <c r="N31" i="4"/>
  <c r="N9" i="4"/>
  <c r="N29" i="4"/>
  <c r="F124" i="31"/>
  <c r="C103" i="31"/>
  <c r="F174" i="31"/>
  <c r="C256" i="31"/>
  <c r="F31" i="31"/>
  <c r="C23" i="31"/>
  <c r="F70" i="31"/>
  <c r="C58" i="31"/>
  <c r="F96" i="31"/>
  <c r="C74" i="31"/>
  <c r="F36" i="31"/>
  <c r="C27" i="31"/>
  <c r="N25" i="33" l="1"/>
  <c r="E10" i="33" l="1"/>
  <c r="J10" i="33"/>
  <c r="E11" i="33"/>
  <c r="J11" i="33"/>
  <c r="N13" i="33"/>
  <c r="N5" i="33"/>
  <c r="E23" i="33"/>
  <c r="J23" i="33"/>
  <c r="E24" i="33"/>
  <c r="J24" i="33"/>
  <c r="E25" i="33"/>
  <c r="J25" i="33"/>
  <c r="E26" i="33"/>
  <c r="J26" i="33"/>
  <c r="E7" i="33"/>
  <c r="J7" i="33"/>
  <c r="E8" i="33"/>
  <c r="J8" i="33"/>
  <c r="N12" i="33"/>
  <c r="Q17" i="32"/>
  <c r="Q16" i="32"/>
  <c r="N18" i="32"/>
  <c r="N17" i="32"/>
  <c r="N4" i="28" l="1"/>
  <c r="F179" i="31" l="1"/>
  <c r="N4" i="24" l="1"/>
  <c r="Q5" i="24"/>
  <c r="Q4" i="26"/>
  <c r="N6" i="33" l="1"/>
  <c r="E21" i="33"/>
  <c r="J21" i="33"/>
  <c r="E22" i="33"/>
  <c r="J22" i="33"/>
  <c r="L6" i="34"/>
  <c r="L5" i="34"/>
  <c r="H28" i="34"/>
  <c r="D28" i="34"/>
  <c r="H27" i="34"/>
  <c r="D27" i="34"/>
  <c r="H26" i="34"/>
  <c r="D26" i="34"/>
  <c r="H25" i="34"/>
  <c r="D25" i="34"/>
  <c r="H24" i="34"/>
  <c r="D24" i="34"/>
  <c r="H23" i="34"/>
  <c r="D23" i="34"/>
  <c r="H22" i="34"/>
  <c r="D22" i="34"/>
  <c r="H21" i="34"/>
  <c r="D21" i="34"/>
  <c r="Q4" i="33"/>
  <c r="N4" i="33"/>
  <c r="J13" i="4"/>
  <c r="E13" i="4"/>
  <c r="J43" i="4"/>
  <c r="E43" i="4"/>
  <c r="N6" i="16"/>
  <c r="J27" i="8"/>
  <c r="E27" i="8"/>
  <c r="Q16" i="27"/>
  <c r="Q14" i="27"/>
  <c r="Q8" i="27" l="1"/>
  <c r="N4" i="26"/>
  <c r="J24" i="26"/>
  <c r="E24" i="26"/>
  <c r="J36" i="26"/>
  <c r="E36" i="26"/>
  <c r="Q10" i="25"/>
  <c r="N10" i="25"/>
  <c r="J20" i="24"/>
  <c r="E20" i="24"/>
  <c r="F111" i="22"/>
  <c r="C108" i="22"/>
  <c r="J8" i="21"/>
  <c r="E8" i="21"/>
  <c r="N7" i="25"/>
  <c r="J7" i="25"/>
  <c r="E7" i="25"/>
  <c r="N7" i="9"/>
  <c r="L4" i="34" l="1"/>
  <c r="N6" i="26" l="1"/>
  <c r="J25" i="26"/>
  <c r="E25" i="26"/>
  <c r="N6" i="28" l="1"/>
  <c r="Q6" i="28"/>
  <c r="J39" i="26"/>
  <c r="E39" i="26"/>
  <c r="J9" i="26"/>
  <c r="E9" i="26"/>
  <c r="N22" i="29" l="1"/>
  <c r="N9" i="29"/>
  <c r="N18" i="23"/>
  <c r="J9" i="23"/>
  <c r="E9" i="23"/>
  <c r="J35" i="23"/>
  <c r="E35" i="23"/>
  <c r="J24" i="32"/>
  <c r="E24" i="32"/>
  <c r="J18" i="32"/>
  <c r="E18" i="32"/>
  <c r="J4" i="32"/>
  <c r="E4" i="32"/>
  <c r="J7" i="32"/>
  <c r="E7" i="32"/>
  <c r="N23" i="32"/>
  <c r="N4" i="32"/>
  <c r="N24" i="32"/>
  <c r="G28" i="32"/>
  <c r="B28" i="32"/>
  <c r="J27" i="32"/>
  <c r="J26" i="32"/>
  <c r="J25" i="32"/>
  <c r="J23" i="32"/>
  <c r="J22" i="32"/>
  <c r="J21" i="32"/>
  <c r="J20" i="32"/>
  <c r="J19" i="32"/>
  <c r="J17" i="32"/>
  <c r="J16" i="32"/>
  <c r="J15" i="32"/>
  <c r="J14" i="32"/>
  <c r="J13" i="32"/>
  <c r="J12" i="32"/>
  <c r="J11" i="32"/>
  <c r="J10" i="32"/>
  <c r="J9" i="32"/>
  <c r="J8" i="32"/>
  <c r="J6" i="32"/>
  <c r="J5" i="32"/>
  <c r="J3" i="32"/>
  <c r="E27" i="32"/>
  <c r="E26" i="32"/>
  <c r="E25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E10" i="32"/>
  <c r="E9" i="32"/>
  <c r="E8" i="32"/>
  <c r="E6" i="32"/>
  <c r="E5" i="32"/>
  <c r="E3" i="32"/>
  <c r="I28" i="32"/>
  <c r="H28" i="32"/>
  <c r="D28" i="32"/>
  <c r="C28" i="32"/>
  <c r="N5" i="32"/>
  <c r="H29" i="34"/>
  <c r="D29" i="34"/>
  <c r="H20" i="34"/>
  <c r="D20" i="34"/>
  <c r="L7" i="34"/>
  <c r="G31" i="34"/>
  <c r="F31" i="34"/>
  <c r="C31" i="34"/>
  <c r="B31" i="34"/>
  <c r="H30" i="34"/>
  <c r="D30" i="34"/>
  <c r="H19" i="34"/>
  <c r="D19" i="34"/>
  <c r="H18" i="34"/>
  <c r="D18" i="34"/>
  <c r="H17" i="34"/>
  <c r="D17" i="34"/>
  <c r="H16" i="34"/>
  <c r="D16" i="34"/>
  <c r="H15" i="34"/>
  <c r="D15" i="34"/>
  <c r="H14" i="34"/>
  <c r="D14" i="34"/>
  <c r="H13" i="34"/>
  <c r="D13" i="34"/>
  <c r="H12" i="34"/>
  <c r="D12" i="34"/>
  <c r="H11" i="34"/>
  <c r="D11" i="34"/>
  <c r="H10" i="34"/>
  <c r="D10" i="34"/>
  <c r="H9" i="34"/>
  <c r="D9" i="34"/>
  <c r="H8" i="34"/>
  <c r="D8" i="34"/>
  <c r="H7" i="34"/>
  <c r="D7" i="34"/>
  <c r="H6" i="34"/>
  <c r="D6" i="34"/>
  <c r="H5" i="34"/>
  <c r="D5" i="34"/>
  <c r="H4" i="34"/>
  <c r="D4" i="34"/>
  <c r="H3" i="34"/>
  <c r="D3" i="34"/>
  <c r="N21" i="29"/>
  <c r="N23" i="29"/>
  <c r="N17" i="29"/>
  <c r="N11" i="29"/>
  <c r="N8" i="29"/>
  <c r="N5" i="29"/>
  <c r="J29" i="29"/>
  <c r="E29" i="29"/>
  <c r="J43" i="29"/>
  <c r="E43" i="29"/>
  <c r="E4" i="29"/>
  <c r="J4" i="29"/>
  <c r="N20" i="23"/>
  <c r="N17" i="23"/>
  <c r="Q18" i="23"/>
  <c r="N4" i="23"/>
  <c r="N12" i="23"/>
  <c r="J27" i="24"/>
  <c r="E27" i="24"/>
  <c r="E28" i="32" l="1"/>
  <c r="J28" i="32"/>
  <c r="D31" i="34"/>
  <c r="H31" i="34"/>
  <c r="F36" i="30"/>
  <c r="C33" i="30"/>
  <c r="J45" i="28"/>
  <c r="E45" i="28"/>
  <c r="F4" i="30"/>
  <c r="C4" i="30"/>
  <c r="J46" i="28"/>
  <c r="E46" i="28"/>
  <c r="I47" i="28"/>
  <c r="H47" i="28"/>
  <c r="G47" i="28"/>
  <c r="D47" i="28"/>
  <c r="C47" i="28"/>
  <c r="B47" i="28"/>
  <c r="F31" i="30" l="1"/>
  <c r="C28" i="30"/>
  <c r="F29" i="30"/>
  <c r="C25" i="30"/>
  <c r="F19" i="30"/>
  <c r="C14" i="30"/>
  <c r="J4" i="25"/>
  <c r="E4" i="25"/>
  <c r="F22" i="30" l="1"/>
  <c r="C18" i="30"/>
  <c r="F20" i="30"/>
  <c r="C15" i="30"/>
  <c r="F18" i="30"/>
  <c r="C13" i="30"/>
  <c r="F32" i="30"/>
  <c r="C29" i="30"/>
  <c r="J37" i="26"/>
  <c r="E37" i="26"/>
  <c r="N14" i="24"/>
  <c r="T15" i="24"/>
  <c r="Q15" i="24"/>
  <c r="N15" i="24"/>
  <c r="Q14" i="24"/>
  <c r="N7" i="24"/>
  <c r="N5" i="24"/>
  <c r="J28" i="24"/>
  <c r="E28" i="24"/>
  <c r="J14" i="24"/>
  <c r="E14" i="24"/>
  <c r="N17" i="28"/>
  <c r="N15" i="28"/>
  <c r="Q17" i="28"/>
  <c r="Q16" i="28"/>
  <c r="Q15" i="28"/>
  <c r="N7" i="28"/>
  <c r="N5" i="28"/>
  <c r="U7" i="28"/>
  <c r="U6" i="28"/>
  <c r="U5" i="28"/>
  <c r="X10" i="28"/>
  <c r="X6" i="28"/>
  <c r="X5" i="28"/>
  <c r="AC9" i="28"/>
  <c r="AC8" i="28"/>
  <c r="AC6" i="28"/>
  <c r="AC5" i="28"/>
  <c r="F11" i="30"/>
  <c r="C9" i="30"/>
  <c r="J36" i="28"/>
  <c r="E36" i="28"/>
  <c r="F7" i="30"/>
  <c r="C5" i="30"/>
  <c r="J6" i="30"/>
  <c r="I6" i="30"/>
  <c r="N17" i="25"/>
  <c r="T17" i="25"/>
  <c r="Q16" i="25"/>
  <c r="F13" i="30"/>
  <c r="C67" i="30"/>
  <c r="J8" i="30"/>
  <c r="I8" i="30"/>
  <c r="N16" i="26"/>
  <c r="Q17" i="26"/>
  <c r="Q15" i="26"/>
  <c r="Q14" i="26"/>
  <c r="N7" i="26"/>
  <c r="U9" i="26"/>
  <c r="U5" i="26"/>
  <c r="U4" i="26"/>
  <c r="X8" i="26"/>
  <c r="X4" i="26"/>
  <c r="AC4" i="26"/>
  <c r="F6" i="30"/>
  <c r="F28" i="30"/>
  <c r="F30" i="30"/>
  <c r="C27" i="30"/>
  <c r="C24" i="30"/>
  <c r="C26" i="30"/>
  <c r="F37" i="30"/>
  <c r="C34" i="30"/>
  <c r="F24" i="30"/>
  <c r="C20" i="30"/>
  <c r="U8" i="25"/>
  <c r="U6" i="25"/>
  <c r="U4" i="25"/>
  <c r="X9" i="25"/>
  <c r="X6" i="25"/>
  <c r="X5" i="25"/>
  <c r="X4" i="25"/>
  <c r="AC9" i="25"/>
  <c r="AC6" i="25"/>
  <c r="AC4" i="25"/>
  <c r="U11" i="23"/>
  <c r="U5" i="23"/>
  <c r="X11" i="23"/>
  <c r="U8" i="24"/>
  <c r="U5" i="24"/>
  <c r="X8" i="24"/>
  <c r="X5" i="24"/>
  <c r="AC9" i="24"/>
  <c r="AC8" i="24"/>
  <c r="AC5" i="24"/>
  <c r="AC9" i="27"/>
  <c r="AC8" i="27"/>
  <c r="AC7" i="27"/>
  <c r="AC5" i="27"/>
  <c r="U8" i="27"/>
  <c r="U5" i="27"/>
  <c r="J35" i="27"/>
  <c r="E35" i="27"/>
  <c r="J20" i="21"/>
  <c r="E20" i="21"/>
  <c r="F63" i="22"/>
  <c r="C55" i="22"/>
  <c r="F65" i="22"/>
  <c r="C57" i="22"/>
  <c r="J23" i="16"/>
  <c r="E23" i="16"/>
  <c r="J17" i="33"/>
  <c r="E17" i="33"/>
  <c r="K6" i="30" l="1"/>
  <c r="K8" i="30"/>
  <c r="I31" i="33" l="1"/>
  <c r="H31" i="33"/>
  <c r="G31" i="33"/>
  <c r="D31" i="33"/>
  <c r="C31" i="33"/>
  <c r="B31" i="33"/>
  <c r="J30" i="33"/>
  <c r="E30" i="33"/>
  <c r="J29" i="33"/>
  <c r="E29" i="33"/>
  <c r="J28" i="33"/>
  <c r="E28" i="33"/>
  <c r="J20" i="33"/>
  <c r="E20" i="33"/>
  <c r="J19" i="33"/>
  <c r="E19" i="33"/>
  <c r="J18" i="33"/>
  <c r="E18" i="33"/>
  <c r="J16" i="33"/>
  <c r="E16" i="33"/>
  <c r="J15" i="33"/>
  <c r="E15" i="33"/>
  <c r="J14" i="33"/>
  <c r="E14" i="33"/>
  <c r="J13" i="33"/>
  <c r="E13" i="33"/>
  <c r="J12" i="33"/>
  <c r="E12" i="33"/>
  <c r="J9" i="33"/>
  <c r="E9" i="33"/>
  <c r="J6" i="33"/>
  <c r="E6" i="33"/>
  <c r="J5" i="33"/>
  <c r="E5" i="33"/>
  <c r="J3" i="33"/>
  <c r="E3" i="33"/>
  <c r="Q23" i="29"/>
  <c r="Q16" i="29"/>
  <c r="X11" i="29"/>
  <c r="X7" i="29"/>
  <c r="X4" i="29"/>
  <c r="AC7" i="29"/>
  <c r="AC6" i="29"/>
  <c r="J11" i="22"/>
  <c r="I11" i="22"/>
  <c r="F80" i="22"/>
  <c r="C83" i="22"/>
  <c r="F60" i="22"/>
  <c r="C51" i="22"/>
  <c r="F49" i="22"/>
  <c r="C40" i="22"/>
  <c r="N14" i="8"/>
  <c r="N4" i="8"/>
  <c r="C132" i="22"/>
  <c r="F14" i="22"/>
  <c r="F40" i="22"/>
  <c r="C34" i="22"/>
  <c r="F50" i="22"/>
  <c r="C41" i="22"/>
  <c r="J13" i="6"/>
  <c r="E13" i="6"/>
  <c r="E31" i="33" l="1"/>
  <c r="K11" i="22"/>
  <c r="J31" i="33"/>
  <c r="F35" i="22" l="1"/>
  <c r="C29" i="22"/>
  <c r="F59" i="22"/>
  <c r="C50" i="22"/>
  <c r="F30" i="22"/>
  <c r="C24" i="22"/>
  <c r="J17" i="4"/>
  <c r="E17" i="4"/>
  <c r="F74" i="22"/>
  <c r="C69" i="22"/>
  <c r="J5" i="22"/>
  <c r="I5" i="22"/>
  <c r="N16" i="4"/>
  <c r="N4" i="4"/>
  <c r="E45" i="8"/>
  <c r="E44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K5" i="22" l="1"/>
  <c r="F51" i="22" l="1"/>
  <c r="C42" i="22"/>
  <c r="F53" i="22"/>
  <c r="C44" i="22"/>
  <c r="J7" i="21"/>
  <c r="E7" i="21"/>
  <c r="E39" i="6"/>
  <c r="F43" i="22"/>
  <c r="C62" i="22"/>
  <c r="F47" i="22"/>
  <c r="C37" i="22"/>
  <c r="E7" i="8"/>
  <c r="F24" i="22"/>
  <c r="F61" i="22"/>
  <c r="C18" i="22"/>
  <c r="C53" i="22"/>
  <c r="F10" i="22"/>
  <c r="C5" i="22"/>
  <c r="F20" i="22"/>
  <c r="C13" i="22"/>
  <c r="F21" i="22"/>
  <c r="C14" i="22"/>
  <c r="J10" i="22"/>
  <c r="I10" i="22"/>
  <c r="N16" i="9"/>
  <c r="N9" i="9"/>
  <c r="F39" i="22"/>
  <c r="C33" i="22"/>
  <c r="J8" i="22"/>
  <c r="I8" i="22"/>
  <c r="N17" i="4"/>
  <c r="N5" i="4"/>
  <c r="F18" i="22"/>
  <c r="C10" i="22"/>
  <c r="F29" i="22"/>
  <c r="C23" i="22"/>
  <c r="J12" i="4"/>
  <c r="E12" i="4"/>
  <c r="F25" i="22"/>
  <c r="F72" i="22"/>
  <c r="C19" i="22"/>
  <c r="C67" i="22"/>
  <c r="F57" i="22"/>
  <c r="C48" i="22"/>
  <c r="F67" i="22"/>
  <c r="C59" i="22"/>
  <c r="F27" i="22"/>
  <c r="C21" i="22"/>
  <c r="K10" i="22" l="1"/>
  <c r="K8" i="22"/>
  <c r="J12" i="22" l="1"/>
  <c r="I12" i="22"/>
  <c r="F71" i="22"/>
  <c r="C66" i="22"/>
  <c r="F42" i="22"/>
  <c r="C61" i="22"/>
  <c r="F9" i="22"/>
  <c r="C17" i="22"/>
  <c r="F38" i="22"/>
  <c r="C32" i="22"/>
  <c r="N15" i="9"/>
  <c r="Q15" i="9"/>
  <c r="Q14" i="9"/>
  <c r="N8" i="9"/>
  <c r="U9" i="9"/>
  <c r="U8" i="9"/>
  <c r="U5" i="9"/>
  <c r="X9" i="9"/>
  <c r="X6" i="9"/>
  <c r="X5" i="9"/>
  <c r="AC9" i="9"/>
  <c r="AC8" i="9"/>
  <c r="J30" i="9"/>
  <c r="E30" i="9"/>
  <c r="N22" i="4"/>
  <c r="Q18" i="4"/>
  <c r="Q17" i="4"/>
  <c r="Q16" i="4"/>
  <c r="N10" i="4"/>
  <c r="U8" i="4"/>
  <c r="U6" i="4"/>
  <c r="U5" i="4"/>
  <c r="U4" i="4"/>
  <c r="X11" i="4"/>
  <c r="X10" i="4"/>
  <c r="X8" i="4"/>
  <c r="X7" i="4"/>
  <c r="X6" i="4"/>
  <c r="X4" i="4"/>
  <c r="AC11" i="4"/>
  <c r="AC9" i="4"/>
  <c r="AC8" i="4"/>
  <c r="AC7" i="4"/>
  <c r="AC5" i="4"/>
  <c r="F77" i="22"/>
  <c r="C72" i="22"/>
  <c r="J48" i="4"/>
  <c r="E48" i="4"/>
  <c r="F12" i="22"/>
  <c r="C7" i="22"/>
  <c r="F58" i="22"/>
  <c r="C49" i="22"/>
  <c r="F46" i="22"/>
  <c r="C36" i="22"/>
  <c r="F19" i="22"/>
  <c r="C11" i="22"/>
  <c r="Q14" i="21"/>
  <c r="Q13" i="21"/>
  <c r="Q12" i="21"/>
  <c r="U6" i="21"/>
  <c r="U5" i="21"/>
  <c r="U4" i="21"/>
  <c r="X7" i="21"/>
  <c r="X5" i="21"/>
  <c r="X4" i="21"/>
  <c r="AC7" i="21"/>
  <c r="AC4" i="21"/>
  <c r="F48" i="22"/>
  <c r="C38" i="22"/>
  <c r="Q11" i="16"/>
  <c r="U5" i="16"/>
  <c r="U4" i="16"/>
  <c r="X5" i="16"/>
  <c r="X4" i="16"/>
  <c r="AC5" i="16"/>
  <c r="AC4" i="16"/>
  <c r="K12" i="22" l="1"/>
  <c r="Q19" i="6" l="1"/>
  <c r="Q17" i="6"/>
  <c r="N6" i="6"/>
  <c r="U10" i="6"/>
  <c r="U9" i="6"/>
  <c r="U8" i="6"/>
  <c r="U6" i="6"/>
  <c r="X6" i="6"/>
  <c r="X5" i="6"/>
  <c r="X4" i="6"/>
  <c r="AC7" i="6"/>
  <c r="AC5" i="6"/>
  <c r="N17" i="8"/>
  <c r="Q17" i="8"/>
  <c r="Q16" i="8"/>
  <c r="AD9" i="8"/>
  <c r="AD8" i="8"/>
  <c r="AD5" i="8"/>
  <c r="AD4" i="8"/>
  <c r="U8" i="8"/>
  <c r="U7" i="8"/>
  <c r="U4" i="8"/>
  <c r="K20" i="31"/>
  <c r="K36" i="31"/>
  <c r="N26" i="21"/>
  <c r="J4" i="21"/>
  <c r="E4" i="21"/>
  <c r="K16" i="31"/>
  <c r="J11" i="29"/>
  <c r="E11" i="29"/>
  <c r="J42" i="29"/>
  <c r="E42" i="29"/>
  <c r="N35" i="29"/>
  <c r="J39" i="29"/>
  <c r="E39" i="29"/>
  <c r="N37" i="29"/>
  <c r="J37" i="16"/>
  <c r="E37" i="16"/>
  <c r="F262" i="31"/>
  <c r="C258" i="31"/>
  <c r="F181" i="31"/>
  <c r="C162" i="31"/>
  <c r="F263" i="31"/>
  <c r="N23" i="16"/>
  <c r="F32" i="31"/>
  <c r="N22" i="16"/>
  <c r="F9" i="31"/>
  <c r="C6" i="31"/>
  <c r="F212" i="31"/>
  <c r="C200" i="31"/>
  <c r="F29" i="31"/>
  <c r="C20" i="31"/>
  <c r="F254" i="31"/>
  <c r="C248" i="31"/>
  <c r="F5" i="31"/>
  <c r="F75" i="31"/>
  <c r="C63" i="31"/>
  <c r="K41" i="31"/>
  <c r="N34" i="28"/>
  <c r="Q33" i="28"/>
  <c r="Q32" i="28"/>
  <c r="J18" i="28"/>
  <c r="E18" i="28"/>
  <c r="N27" i="24"/>
  <c r="N29" i="24"/>
  <c r="N28" i="24"/>
  <c r="Q29" i="24"/>
  <c r="F211" i="31"/>
  <c r="C199" i="31"/>
  <c r="F272" i="31"/>
  <c r="C268" i="31"/>
  <c r="F173" i="31"/>
  <c r="F172" i="31"/>
  <c r="Q30" i="9"/>
  <c r="N30" i="9"/>
  <c r="N31" i="9"/>
  <c r="J24" i="8"/>
  <c r="N30" i="8"/>
  <c r="K9" i="31"/>
  <c r="N31" i="8"/>
  <c r="Q31" i="8"/>
  <c r="Q30" i="8"/>
  <c r="Q29" i="8"/>
  <c r="J9" i="8"/>
  <c r="H46" i="8"/>
  <c r="C46" i="8"/>
  <c r="N36" i="6"/>
  <c r="N35" i="6"/>
  <c r="D41" i="23"/>
  <c r="K24" i="31"/>
  <c r="I41" i="23"/>
  <c r="J40" i="23"/>
  <c r="J39" i="23"/>
  <c r="J38" i="23"/>
  <c r="J37" i="23"/>
  <c r="J36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8" i="23"/>
  <c r="J7" i="23"/>
  <c r="J6" i="23"/>
  <c r="J5" i="23"/>
  <c r="J4" i="23"/>
  <c r="J3" i="23"/>
  <c r="E40" i="23"/>
  <c r="E39" i="23"/>
  <c r="E38" i="23"/>
  <c r="E37" i="23"/>
  <c r="E36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8" i="23"/>
  <c r="E7" i="23"/>
  <c r="E6" i="23"/>
  <c r="E5" i="23"/>
  <c r="E4" i="23"/>
  <c r="E3" i="23"/>
  <c r="F49" i="31"/>
  <c r="C38" i="31"/>
  <c r="C159" i="31"/>
  <c r="N39" i="4"/>
  <c r="J30" i="26"/>
  <c r="E30" i="26"/>
  <c r="K27" i="31"/>
  <c r="N32" i="26"/>
  <c r="Q31" i="26"/>
  <c r="J19" i="26"/>
  <c r="E19" i="26"/>
  <c r="K10" i="31"/>
  <c r="J24" i="25"/>
  <c r="E24" i="25"/>
  <c r="N33" i="25"/>
  <c r="K15" i="31"/>
  <c r="N30" i="25"/>
  <c r="Q32" i="25"/>
  <c r="Q31" i="25"/>
  <c r="N31" i="27" l="1"/>
  <c r="Q30" i="27"/>
  <c r="Q29" i="27"/>
  <c r="Q28" i="27"/>
  <c r="N38" i="4"/>
  <c r="K32" i="31" l="1"/>
  <c r="K4" i="31"/>
  <c r="F7" i="31"/>
  <c r="C204" i="31"/>
  <c r="F281" i="31"/>
  <c r="C280" i="31"/>
  <c r="F8" i="31"/>
  <c r="C5" i="31"/>
  <c r="F162" i="31"/>
  <c r="C149" i="31"/>
  <c r="F278" i="31"/>
  <c r="C276" i="31"/>
  <c r="J50" i="4"/>
  <c r="E50" i="4"/>
  <c r="F80" i="31"/>
  <c r="C68" i="31"/>
  <c r="F34" i="31"/>
  <c r="F19" i="31"/>
  <c r="C12" i="31"/>
  <c r="F188" i="31"/>
  <c r="C172" i="31"/>
  <c r="N8" i="25"/>
  <c r="J22" i="25"/>
  <c r="E22" i="25"/>
  <c r="J12" i="25"/>
  <c r="E12" i="25"/>
  <c r="I45" i="21"/>
  <c r="J44" i="21"/>
  <c r="H45" i="21"/>
  <c r="G45" i="21"/>
  <c r="D45" i="21"/>
  <c r="E44" i="21"/>
  <c r="C45" i="21"/>
  <c r="B45" i="21"/>
  <c r="J34" i="21"/>
  <c r="E34" i="21"/>
  <c r="J33" i="16" l="1"/>
  <c r="E33" i="16"/>
  <c r="J19" i="24"/>
  <c r="E19" i="24"/>
  <c r="J46" i="6" l="1"/>
  <c r="E46" i="6"/>
  <c r="J27" i="21"/>
  <c r="E27" i="21"/>
  <c r="J28" i="28" l="1"/>
  <c r="E28" i="28"/>
  <c r="T14" i="24" l="1"/>
  <c r="C79" i="30" l="1"/>
  <c r="F73" i="30"/>
  <c r="C73" i="30"/>
  <c r="C55" i="30"/>
  <c r="C41" i="30"/>
  <c r="C65" i="30"/>
  <c r="F35" i="30"/>
  <c r="C32" i="30"/>
  <c r="F69" i="30"/>
  <c r="C69" i="30"/>
  <c r="F78" i="30"/>
  <c r="C78" i="30"/>
  <c r="F75" i="30"/>
  <c r="C75" i="30"/>
  <c r="J44" i="28"/>
  <c r="E44" i="28"/>
  <c r="N16" i="27"/>
  <c r="N8" i="27"/>
  <c r="F84" i="30"/>
  <c r="C84" i="30"/>
  <c r="F58" i="30"/>
  <c r="C56" i="30"/>
  <c r="F27" i="30"/>
  <c r="C23" i="30"/>
  <c r="N4" i="29" l="1"/>
  <c r="F34" i="30"/>
  <c r="C31" i="30"/>
  <c r="F26" i="30"/>
  <c r="C22" i="30"/>
  <c r="F46" i="30"/>
  <c r="C43" i="30"/>
  <c r="F23" i="30"/>
  <c r="C19" i="30"/>
  <c r="F72" i="30" l="1"/>
  <c r="C72" i="30"/>
  <c r="F68" i="30"/>
  <c r="C68" i="30"/>
  <c r="F77" i="30"/>
  <c r="C77" i="30"/>
  <c r="F64" i="30"/>
  <c r="C63" i="30"/>
  <c r="J21" i="28"/>
  <c r="E21" i="28"/>
  <c r="J33" i="28"/>
  <c r="E33" i="28"/>
  <c r="J7" i="30" l="1"/>
  <c r="I7" i="30"/>
  <c r="J5" i="30"/>
  <c r="I5" i="30"/>
  <c r="F87" i="30"/>
  <c r="C87" i="30"/>
  <c r="F85" i="30"/>
  <c r="C85" i="30"/>
  <c r="F9" i="30"/>
  <c r="C7" i="30"/>
  <c r="F17" i="30"/>
  <c r="C61" i="30"/>
  <c r="J17" i="28"/>
  <c r="E17" i="28"/>
  <c r="T23" i="29"/>
  <c r="T20" i="29"/>
  <c r="T16" i="29"/>
  <c r="T14" i="26"/>
  <c r="F56" i="30"/>
  <c r="C53" i="30"/>
  <c r="F70" i="30"/>
  <c r="C70" i="30"/>
  <c r="F16" i="30"/>
  <c r="C12" i="30"/>
  <c r="T19" i="28"/>
  <c r="T16" i="28"/>
  <c r="T18" i="25"/>
  <c r="T16" i="25"/>
  <c r="T15" i="25"/>
  <c r="T16" i="27"/>
  <c r="T14" i="27"/>
  <c r="X8" i="27"/>
  <c r="X6" i="27"/>
  <c r="X5" i="27"/>
  <c r="X4" i="27"/>
  <c r="F74" i="30"/>
  <c r="C74" i="30"/>
  <c r="F122" i="22"/>
  <c r="C119" i="22"/>
  <c r="J39" i="6"/>
  <c r="F75" i="22"/>
  <c r="C70" i="22"/>
  <c r="F124" i="22"/>
  <c r="C121" i="22"/>
  <c r="F32" i="22"/>
  <c r="C26" i="22"/>
  <c r="F36" i="22"/>
  <c r="C30" i="22"/>
  <c r="J24" i="9"/>
  <c r="E24" i="9"/>
  <c r="F134" i="22"/>
  <c r="C134" i="22"/>
  <c r="J34" i="9"/>
  <c r="E34" i="9"/>
  <c r="K7" i="30" l="1"/>
  <c r="F37" i="22" l="1"/>
  <c r="C31" i="22"/>
  <c r="F69" i="22"/>
  <c r="C63" i="22"/>
  <c r="F23" i="22"/>
  <c r="C16" i="22"/>
  <c r="F78" i="22"/>
  <c r="F66" i="22"/>
  <c r="C58" i="22"/>
  <c r="F56" i="22"/>
  <c r="C47" i="22"/>
  <c r="F33" i="22"/>
  <c r="C27" i="22"/>
  <c r="F70" i="22" l="1"/>
  <c r="C65" i="22"/>
  <c r="F73" i="22"/>
  <c r="C68" i="22"/>
  <c r="F31" i="22" l="1"/>
  <c r="C25" i="22"/>
  <c r="J21" i="4"/>
  <c r="E21" i="4"/>
  <c r="F110" i="22"/>
  <c r="C107" i="22"/>
  <c r="F34" i="22"/>
  <c r="C28" i="22"/>
  <c r="F109" i="22"/>
  <c r="C106" i="22"/>
  <c r="F55" i="22"/>
  <c r="C46" i="22"/>
  <c r="F114" i="22"/>
  <c r="C111" i="22"/>
  <c r="F118" i="22"/>
  <c r="C115" i="22"/>
  <c r="F92" i="22"/>
  <c r="C89" i="22"/>
  <c r="F113" i="22"/>
  <c r="C110" i="22"/>
  <c r="F91" i="22"/>
  <c r="C88" i="22"/>
  <c r="J16" i="21"/>
  <c r="E16" i="21"/>
  <c r="F108" i="22"/>
  <c r="C105" i="22"/>
  <c r="F127" i="22"/>
  <c r="C126" i="22"/>
  <c r="F112" i="22"/>
  <c r="C109" i="22"/>
  <c r="F52" i="22"/>
  <c r="C43" i="22"/>
  <c r="F86" i="22"/>
  <c r="C82" i="22"/>
  <c r="F44" i="22" l="1"/>
  <c r="C64" i="22"/>
  <c r="J13" i="22"/>
  <c r="I13" i="22"/>
  <c r="F13" i="22"/>
  <c r="C8" i="22"/>
  <c r="F95" i="22"/>
  <c r="C92" i="22"/>
  <c r="F76" i="22"/>
  <c r="C71" i="22"/>
  <c r="F128" i="22"/>
  <c r="C127" i="22"/>
  <c r="F90" i="22"/>
  <c r="C87" i="22"/>
  <c r="F62" i="22"/>
  <c r="C54" i="22"/>
  <c r="F28" i="22"/>
  <c r="C22" i="22"/>
  <c r="F26" i="22"/>
  <c r="C20" i="22"/>
  <c r="F6" i="22"/>
  <c r="F102" i="22"/>
  <c r="C99" i="22"/>
  <c r="F101" i="22"/>
  <c r="C98" i="22"/>
  <c r="F125" i="22"/>
  <c r="C122" i="22"/>
  <c r="F45" i="22"/>
  <c r="C35" i="22"/>
  <c r="F104" i="22"/>
  <c r="C101" i="22"/>
  <c r="I48" i="6"/>
  <c r="H48" i="6"/>
  <c r="G48" i="6"/>
  <c r="D48" i="6"/>
  <c r="C48" i="6"/>
  <c r="B48" i="6"/>
  <c r="J3" i="6"/>
  <c r="E3" i="6"/>
  <c r="K13" i="22" l="1"/>
  <c r="F64" i="22" l="1"/>
  <c r="C56" i="22"/>
  <c r="F5" i="22"/>
  <c r="C52" i="22"/>
  <c r="F79" i="22"/>
  <c r="C74" i="22"/>
  <c r="F129" i="22"/>
  <c r="C128" i="22"/>
  <c r="F88" i="22"/>
  <c r="C85" i="22"/>
  <c r="F132" i="22"/>
  <c r="C131" i="22"/>
  <c r="F68" i="22"/>
  <c r="F11" i="22"/>
  <c r="C6" i="22"/>
  <c r="F84" i="22"/>
  <c r="C80" i="22"/>
  <c r="F16" i="22"/>
  <c r="C75" i="22"/>
  <c r="F17" i="22" l="1"/>
  <c r="C79" i="22"/>
  <c r="F87" i="22"/>
  <c r="C84" i="22"/>
  <c r="F137" i="22"/>
  <c r="C137" i="22"/>
  <c r="F119" i="22"/>
  <c r="C116" i="22"/>
  <c r="F7" i="22"/>
  <c r="C123" i="22"/>
  <c r="N11" i="16"/>
  <c r="N4" i="16"/>
  <c r="F103" i="22"/>
  <c r="C100" i="22"/>
  <c r="N12" i="21"/>
  <c r="N4" i="21"/>
  <c r="J47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12" i="6"/>
  <c r="J11" i="6"/>
  <c r="J10" i="6"/>
  <c r="J9" i="6"/>
  <c r="J8" i="6"/>
  <c r="J7" i="6"/>
  <c r="J6" i="6"/>
  <c r="J5" i="6"/>
  <c r="J9" i="22"/>
  <c r="I9" i="22"/>
  <c r="T17" i="8"/>
  <c r="N8" i="8"/>
  <c r="X8" i="8"/>
  <c r="X7" i="8"/>
  <c r="X6" i="8"/>
  <c r="W18" i="8"/>
  <c r="W15" i="8"/>
  <c r="W14" i="8"/>
  <c r="F98" i="22" l="1"/>
  <c r="C95" i="22"/>
  <c r="F8" i="22"/>
  <c r="C124" i="22"/>
  <c r="F54" i="22"/>
  <c r="C45" i="22"/>
  <c r="F15" i="22"/>
  <c r="C9" i="22"/>
  <c r="J4" i="22" l="1"/>
  <c r="I4" i="22"/>
  <c r="N17" i="6"/>
  <c r="C12" i="22"/>
  <c r="F4" i="22"/>
  <c r="F130" i="22"/>
  <c r="C129" i="22"/>
  <c r="F131" i="22"/>
  <c r="C130" i="22"/>
  <c r="F22" i="22"/>
  <c r="C15" i="22"/>
  <c r="F41" i="22"/>
  <c r="C39" i="22"/>
  <c r="F94" i="22"/>
  <c r="C91" i="22"/>
  <c r="Q28" i="21"/>
  <c r="Q27" i="21"/>
  <c r="Q26" i="21"/>
  <c r="T12" i="21"/>
  <c r="Q23" i="16"/>
  <c r="Q22" i="16"/>
  <c r="T11" i="16"/>
  <c r="Q31" i="9"/>
  <c r="Q29" i="9"/>
  <c r="Q34" i="6"/>
  <c r="T17" i="6"/>
  <c r="T16" i="6"/>
  <c r="T15" i="6"/>
  <c r="Q39" i="4"/>
  <c r="Q37" i="4"/>
  <c r="T23" i="4"/>
  <c r="T22" i="4"/>
  <c r="T20" i="4"/>
  <c r="T19" i="4"/>
  <c r="T16" i="4"/>
  <c r="E41" i="25"/>
  <c r="E40" i="25"/>
  <c r="E39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3" i="25"/>
  <c r="E21" i="25"/>
  <c r="E20" i="25"/>
  <c r="E19" i="25"/>
  <c r="E18" i="25"/>
  <c r="E17" i="25"/>
  <c r="E16" i="25"/>
  <c r="E15" i="25"/>
  <c r="E14" i="25"/>
  <c r="E13" i="25"/>
  <c r="E11" i="25"/>
  <c r="E10" i="25"/>
  <c r="E9" i="25"/>
  <c r="E8" i="25"/>
  <c r="E6" i="25"/>
  <c r="E3" i="25"/>
  <c r="J26" i="9"/>
  <c r="E26" i="9"/>
  <c r="H44" i="27" l="1"/>
  <c r="C44" i="27"/>
  <c r="H44" i="16"/>
  <c r="C44" i="16"/>
  <c r="J13" i="29"/>
  <c r="E13" i="29"/>
  <c r="H46" i="29"/>
  <c r="C46" i="29"/>
  <c r="K11" i="31" l="1"/>
  <c r="K13" i="31"/>
  <c r="N8" i="24"/>
  <c r="H44" i="24"/>
  <c r="C44" i="24"/>
  <c r="H39" i="9"/>
  <c r="C39" i="9"/>
  <c r="C24" i="31"/>
  <c r="J6" i="4"/>
  <c r="E6" i="4"/>
  <c r="J14" i="28"/>
  <c r="E14" i="28"/>
  <c r="N33" i="28"/>
  <c r="K12" i="31" l="1"/>
  <c r="K29" i="31"/>
  <c r="K28" i="31"/>
  <c r="K8" i="31"/>
  <c r="K6" i="31"/>
  <c r="K34" i="31"/>
  <c r="H44" i="26"/>
  <c r="C44" i="26"/>
  <c r="H42" i="25"/>
  <c r="C42" i="25"/>
  <c r="H52" i="4"/>
  <c r="C52" i="4"/>
  <c r="J18" i="16"/>
  <c r="E18" i="16"/>
  <c r="J36" i="27"/>
  <c r="E36" i="27"/>
  <c r="J28" i="4"/>
  <c r="E28" i="4"/>
  <c r="F284" i="31" l="1"/>
  <c r="C284" i="31"/>
  <c r="J5" i="4"/>
  <c r="E5" i="4"/>
  <c r="J8" i="29"/>
  <c r="E8" i="29"/>
  <c r="J13" i="24" l="1"/>
  <c r="E13" i="24"/>
  <c r="J43" i="21"/>
  <c r="E43" i="21"/>
  <c r="J42" i="21"/>
  <c r="E42" i="21"/>
  <c r="J41" i="21"/>
  <c r="E41" i="21"/>
  <c r="J40" i="21"/>
  <c r="E40" i="21"/>
  <c r="J39" i="21"/>
  <c r="E39" i="21"/>
  <c r="J38" i="21"/>
  <c r="E38" i="21"/>
  <c r="J37" i="21"/>
  <c r="E37" i="21"/>
  <c r="J36" i="21"/>
  <c r="E36" i="21"/>
  <c r="J35" i="21"/>
  <c r="E35" i="21"/>
  <c r="J33" i="21"/>
  <c r="E33" i="21"/>
  <c r="J32" i="21"/>
  <c r="E32" i="21"/>
  <c r="J31" i="21"/>
  <c r="E31" i="21"/>
  <c r="J30" i="21"/>
  <c r="E30" i="21"/>
  <c r="J29" i="21"/>
  <c r="E29" i="21"/>
  <c r="J28" i="21"/>
  <c r="E28" i="21"/>
  <c r="J26" i="21"/>
  <c r="E26" i="21"/>
  <c r="J25" i="21"/>
  <c r="E25" i="21"/>
  <c r="J24" i="21"/>
  <c r="E24" i="21"/>
  <c r="J23" i="21"/>
  <c r="E23" i="21"/>
  <c r="J22" i="21"/>
  <c r="E22" i="21"/>
  <c r="J21" i="21"/>
  <c r="E21" i="21"/>
  <c r="J19" i="21"/>
  <c r="E19" i="21"/>
  <c r="J18" i="21"/>
  <c r="E18" i="21"/>
  <c r="J17" i="21"/>
  <c r="E17" i="21"/>
  <c r="W15" i="21"/>
  <c r="J15" i="21"/>
  <c r="E15" i="21"/>
  <c r="J14" i="21"/>
  <c r="E14" i="21"/>
  <c r="W12" i="21"/>
  <c r="J13" i="21"/>
  <c r="E13" i="21"/>
  <c r="J12" i="21"/>
  <c r="E12" i="21"/>
  <c r="J11" i="21"/>
  <c r="E11" i="21"/>
  <c r="J10" i="21"/>
  <c r="E10" i="21"/>
  <c r="J9" i="21"/>
  <c r="E9" i="21"/>
  <c r="J6" i="21"/>
  <c r="E6" i="21"/>
  <c r="J5" i="21"/>
  <c r="E5" i="21"/>
  <c r="J3" i="21"/>
  <c r="E3" i="21"/>
  <c r="I44" i="27"/>
  <c r="G44" i="27"/>
  <c r="D44" i="27"/>
  <c r="B44" i="27"/>
  <c r="J43" i="27"/>
  <c r="E43" i="27"/>
  <c r="J42" i="27"/>
  <c r="E42" i="27"/>
  <c r="J41" i="27"/>
  <c r="E41" i="27"/>
  <c r="J40" i="27"/>
  <c r="E40" i="27"/>
  <c r="J39" i="27"/>
  <c r="E39" i="27"/>
  <c r="J38" i="27"/>
  <c r="E38" i="27"/>
  <c r="J37" i="27"/>
  <c r="E37" i="27"/>
  <c r="J34" i="27"/>
  <c r="E34" i="27"/>
  <c r="J33" i="27"/>
  <c r="E33" i="27"/>
  <c r="J32" i="27"/>
  <c r="E32" i="27"/>
  <c r="J31" i="27"/>
  <c r="E31" i="27"/>
  <c r="J30" i="27"/>
  <c r="E30" i="27"/>
  <c r="J29" i="27"/>
  <c r="E29" i="27"/>
  <c r="J28" i="27"/>
  <c r="E28" i="27"/>
  <c r="J27" i="27"/>
  <c r="E27" i="27"/>
  <c r="J26" i="27"/>
  <c r="E26" i="27"/>
  <c r="J25" i="27"/>
  <c r="E25" i="27"/>
  <c r="J24" i="27"/>
  <c r="E24" i="27"/>
  <c r="J23" i="27"/>
  <c r="E23" i="27"/>
  <c r="J22" i="27"/>
  <c r="E22" i="27"/>
  <c r="J21" i="27"/>
  <c r="E21" i="27"/>
  <c r="J20" i="27"/>
  <c r="E20" i="27"/>
  <c r="J19" i="27"/>
  <c r="E19" i="27"/>
  <c r="J18" i="27"/>
  <c r="E18" i="27"/>
  <c r="J17" i="27"/>
  <c r="E17" i="27"/>
  <c r="J16" i="27"/>
  <c r="E16" i="27"/>
  <c r="J15" i="27"/>
  <c r="E15" i="27"/>
  <c r="W16" i="27"/>
  <c r="J14" i="27"/>
  <c r="E14" i="27"/>
  <c r="W15" i="27"/>
  <c r="J13" i="27"/>
  <c r="E13" i="27"/>
  <c r="W14" i="27"/>
  <c r="J12" i="27"/>
  <c r="E12" i="27"/>
  <c r="J11" i="27"/>
  <c r="E11" i="27"/>
  <c r="J10" i="27"/>
  <c r="E10" i="27"/>
  <c r="J9" i="27"/>
  <c r="E9" i="27"/>
  <c r="J8" i="27"/>
  <c r="E8" i="27"/>
  <c r="J7" i="27"/>
  <c r="E7" i="27"/>
  <c r="J6" i="27"/>
  <c r="E6" i="27"/>
  <c r="J5" i="27"/>
  <c r="E5" i="27"/>
  <c r="J4" i="27"/>
  <c r="E4" i="27"/>
  <c r="J3" i="27"/>
  <c r="E3" i="27"/>
  <c r="I46" i="29"/>
  <c r="G46" i="29"/>
  <c r="D46" i="29"/>
  <c r="B46" i="29"/>
  <c r="J45" i="29"/>
  <c r="E45" i="29"/>
  <c r="J44" i="29"/>
  <c r="E44" i="29"/>
  <c r="J41" i="29"/>
  <c r="E41" i="29"/>
  <c r="J40" i="29"/>
  <c r="E40" i="29"/>
  <c r="J38" i="29"/>
  <c r="E38" i="29"/>
  <c r="J37" i="29"/>
  <c r="E37" i="29"/>
  <c r="J36" i="29"/>
  <c r="E36" i="29"/>
  <c r="J35" i="29"/>
  <c r="E35" i="29"/>
  <c r="J34" i="29"/>
  <c r="E34" i="29"/>
  <c r="J33" i="29"/>
  <c r="E33" i="29"/>
  <c r="J32" i="29"/>
  <c r="E32" i="29"/>
  <c r="J31" i="29"/>
  <c r="E31" i="29"/>
  <c r="J30" i="29"/>
  <c r="E30" i="29"/>
  <c r="J28" i="29"/>
  <c r="E28" i="29"/>
  <c r="J27" i="29"/>
  <c r="E27" i="29"/>
  <c r="J26" i="29"/>
  <c r="E26" i="29"/>
  <c r="J25" i="29"/>
  <c r="E25" i="29"/>
  <c r="J24" i="29"/>
  <c r="E24" i="29"/>
  <c r="J23" i="29"/>
  <c r="E23" i="29"/>
  <c r="J22" i="29"/>
  <c r="E22" i="29"/>
  <c r="J21" i="29"/>
  <c r="E21" i="29"/>
  <c r="W20" i="29"/>
  <c r="J20" i="29"/>
  <c r="E20" i="29"/>
  <c r="W19" i="29"/>
  <c r="J19" i="29"/>
  <c r="E19" i="29"/>
  <c r="W18" i="29"/>
  <c r="J18" i="29"/>
  <c r="E18" i="29"/>
  <c r="J17" i="29"/>
  <c r="E17" i="29"/>
  <c r="J16" i="29"/>
  <c r="E16" i="29"/>
  <c r="J15" i="29"/>
  <c r="E15" i="29"/>
  <c r="J14" i="29"/>
  <c r="E14" i="29"/>
  <c r="J12" i="29"/>
  <c r="E12" i="29"/>
  <c r="J10" i="29"/>
  <c r="E10" i="29"/>
  <c r="J9" i="29"/>
  <c r="E9" i="29"/>
  <c r="J7" i="29"/>
  <c r="E7" i="29"/>
  <c r="J6" i="29"/>
  <c r="E6" i="29"/>
  <c r="J5" i="29"/>
  <c r="E5" i="29"/>
  <c r="J3" i="29"/>
  <c r="E3" i="29"/>
  <c r="I44" i="16"/>
  <c r="G44" i="16"/>
  <c r="D44" i="16"/>
  <c r="B44" i="16"/>
  <c r="J43" i="16"/>
  <c r="E43" i="16"/>
  <c r="J42" i="16"/>
  <c r="E42" i="16"/>
  <c r="J41" i="16"/>
  <c r="E41" i="16"/>
  <c r="J40" i="16"/>
  <c r="E40" i="16"/>
  <c r="J39" i="16"/>
  <c r="E39" i="16"/>
  <c r="J38" i="16"/>
  <c r="E38" i="16"/>
  <c r="J36" i="16"/>
  <c r="E36" i="16"/>
  <c r="J35" i="16"/>
  <c r="E35" i="16"/>
  <c r="J34" i="16"/>
  <c r="E34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2" i="16"/>
  <c r="E22" i="16"/>
  <c r="J21" i="16"/>
  <c r="E21" i="16"/>
  <c r="J20" i="16"/>
  <c r="E20" i="16"/>
  <c r="J19" i="16"/>
  <c r="E19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W11" i="16"/>
  <c r="J10" i="16"/>
  <c r="E10" i="16"/>
  <c r="J9" i="16"/>
  <c r="E9" i="16"/>
  <c r="J8" i="16"/>
  <c r="E8" i="16"/>
  <c r="J7" i="16"/>
  <c r="E7" i="16"/>
  <c r="J6" i="16"/>
  <c r="E6" i="16"/>
  <c r="J5" i="16"/>
  <c r="E5" i="16"/>
  <c r="J4" i="16"/>
  <c r="E4" i="16"/>
  <c r="J3" i="16"/>
  <c r="E3" i="16"/>
  <c r="J43" i="28"/>
  <c r="E43" i="28"/>
  <c r="J42" i="28"/>
  <c r="E42" i="28"/>
  <c r="J40" i="28"/>
  <c r="E40" i="28"/>
  <c r="J39" i="28"/>
  <c r="E39" i="28"/>
  <c r="J38" i="28"/>
  <c r="E38" i="28"/>
  <c r="J37" i="28"/>
  <c r="E37" i="28"/>
  <c r="J35" i="28"/>
  <c r="E35" i="28"/>
  <c r="J32" i="28"/>
  <c r="E32" i="28"/>
  <c r="J31" i="28"/>
  <c r="E31" i="28"/>
  <c r="J30" i="28"/>
  <c r="E30" i="28"/>
  <c r="J29" i="28"/>
  <c r="E29" i="28"/>
  <c r="J27" i="28"/>
  <c r="E27" i="28"/>
  <c r="J26" i="28"/>
  <c r="E26" i="28"/>
  <c r="J25" i="28"/>
  <c r="E25" i="28"/>
  <c r="J24" i="28"/>
  <c r="E24" i="28"/>
  <c r="J23" i="28"/>
  <c r="E23" i="28"/>
  <c r="J22" i="28"/>
  <c r="E22" i="28"/>
  <c r="J20" i="28"/>
  <c r="E20" i="28"/>
  <c r="W18" i="28"/>
  <c r="J19" i="28"/>
  <c r="E19" i="28"/>
  <c r="W16" i="28"/>
  <c r="J16" i="28"/>
  <c r="E16" i="28"/>
  <c r="W15" i="28"/>
  <c r="J13" i="28"/>
  <c r="E13" i="28"/>
  <c r="J12" i="28"/>
  <c r="E12" i="28"/>
  <c r="J11" i="28"/>
  <c r="E11" i="28"/>
  <c r="J10" i="28"/>
  <c r="E10" i="28"/>
  <c r="J9" i="28"/>
  <c r="E9" i="28"/>
  <c r="J8" i="28"/>
  <c r="E8" i="28"/>
  <c r="J7" i="28"/>
  <c r="E7" i="28"/>
  <c r="J6" i="28"/>
  <c r="E6" i="28"/>
  <c r="J5" i="28"/>
  <c r="E5" i="28"/>
  <c r="J4" i="28"/>
  <c r="E4" i="28"/>
  <c r="J3" i="28"/>
  <c r="E3" i="28"/>
  <c r="I44" i="24"/>
  <c r="G44" i="24"/>
  <c r="D44" i="24"/>
  <c r="B44" i="24"/>
  <c r="J43" i="24"/>
  <c r="E43" i="24"/>
  <c r="J42" i="24"/>
  <c r="E42" i="24"/>
  <c r="J41" i="24"/>
  <c r="E41" i="24"/>
  <c r="J40" i="24"/>
  <c r="E40" i="24"/>
  <c r="J39" i="24"/>
  <c r="E39" i="24"/>
  <c r="J38" i="24"/>
  <c r="E38" i="24"/>
  <c r="J37" i="24"/>
  <c r="E37" i="24"/>
  <c r="J36" i="24"/>
  <c r="E36" i="24"/>
  <c r="J35" i="24"/>
  <c r="E35" i="24"/>
  <c r="J34" i="24"/>
  <c r="E34" i="24"/>
  <c r="J33" i="24"/>
  <c r="E33" i="24"/>
  <c r="J32" i="24"/>
  <c r="E32" i="24"/>
  <c r="J31" i="24"/>
  <c r="E31" i="24"/>
  <c r="J30" i="24"/>
  <c r="E30" i="24"/>
  <c r="J29" i="24"/>
  <c r="E29" i="24"/>
  <c r="J25" i="24"/>
  <c r="E25" i="24"/>
  <c r="J24" i="24"/>
  <c r="E24" i="24"/>
  <c r="J23" i="24"/>
  <c r="E23" i="24"/>
  <c r="J22" i="24"/>
  <c r="E22" i="24"/>
  <c r="J21" i="24"/>
  <c r="E21" i="24"/>
  <c r="J18" i="24"/>
  <c r="E18" i="24"/>
  <c r="J17" i="24"/>
  <c r="E17" i="24"/>
  <c r="J16" i="24"/>
  <c r="E16" i="24"/>
  <c r="J15" i="24"/>
  <c r="E15" i="24"/>
  <c r="J12" i="24"/>
  <c r="E12" i="24"/>
  <c r="J11" i="24"/>
  <c r="E11" i="24"/>
  <c r="J10" i="24"/>
  <c r="E10" i="24"/>
  <c r="J9" i="24"/>
  <c r="E9" i="24"/>
  <c r="J8" i="24"/>
  <c r="E8" i="24"/>
  <c r="J7" i="24"/>
  <c r="E7" i="24"/>
  <c r="J6" i="24"/>
  <c r="E6" i="24"/>
  <c r="J5" i="24"/>
  <c r="E5" i="24"/>
  <c r="J4" i="24"/>
  <c r="E4" i="24"/>
  <c r="J3" i="24"/>
  <c r="E3" i="24"/>
  <c r="I39" i="9"/>
  <c r="G39" i="9"/>
  <c r="D39" i="9"/>
  <c r="B39" i="9"/>
  <c r="J38" i="9"/>
  <c r="E38" i="9"/>
  <c r="J37" i="9"/>
  <c r="E37" i="9"/>
  <c r="J36" i="9"/>
  <c r="E36" i="9"/>
  <c r="J35" i="9"/>
  <c r="E35" i="9"/>
  <c r="J33" i="9"/>
  <c r="E33" i="9"/>
  <c r="J32" i="9"/>
  <c r="E32" i="9"/>
  <c r="J31" i="9"/>
  <c r="E31" i="9"/>
  <c r="J29" i="9"/>
  <c r="E29" i="9"/>
  <c r="J28" i="9"/>
  <c r="E28" i="9"/>
  <c r="J27" i="9"/>
  <c r="E27" i="9"/>
  <c r="J25" i="9"/>
  <c r="E25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W16" i="9"/>
  <c r="J11" i="9"/>
  <c r="E11" i="9"/>
  <c r="W15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J3" i="9"/>
  <c r="E3" i="9"/>
  <c r="I46" i="8"/>
  <c r="G46" i="8"/>
  <c r="D46" i="8"/>
  <c r="B46" i="8"/>
  <c r="J45" i="8"/>
  <c r="J44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8" i="8"/>
  <c r="E8" i="8"/>
  <c r="J7" i="8"/>
  <c r="J6" i="8"/>
  <c r="E6" i="8"/>
  <c r="J5" i="8"/>
  <c r="E5" i="8"/>
  <c r="J4" i="8"/>
  <c r="E4" i="8"/>
  <c r="J3" i="8"/>
  <c r="E3" i="8"/>
  <c r="E47" i="6"/>
  <c r="E45" i="6"/>
  <c r="E44" i="6"/>
  <c r="E43" i="6"/>
  <c r="E42" i="6"/>
  <c r="E41" i="6"/>
  <c r="E40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4" i="6"/>
  <c r="E23" i="6"/>
  <c r="E22" i="6"/>
  <c r="E21" i="6"/>
  <c r="E20" i="6"/>
  <c r="E19" i="6"/>
  <c r="W18" i="6"/>
  <c r="E18" i="6"/>
  <c r="E17" i="6"/>
  <c r="E16" i="6"/>
  <c r="E15" i="6"/>
  <c r="E14" i="6"/>
  <c r="E12" i="6"/>
  <c r="E11" i="6"/>
  <c r="E10" i="6"/>
  <c r="E9" i="6"/>
  <c r="E8" i="6"/>
  <c r="E7" i="6"/>
  <c r="E6" i="6"/>
  <c r="E5" i="6"/>
  <c r="J4" i="6"/>
  <c r="J48" i="6" s="1"/>
  <c r="E4" i="6"/>
  <c r="H41" i="23"/>
  <c r="G41" i="23"/>
  <c r="C41" i="23"/>
  <c r="B41" i="23"/>
  <c r="N11" i="23"/>
  <c r="I52" i="4"/>
  <c r="G52" i="4"/>
  <c r="D52" i="4"/>
  <c r="B52" i="4"/>
  <c r="J51" i="4"/>
  <c r="E51" i="4"/>
  <c r="J49" i="4"/>
  <c r="E49" i="4"/>
  <c r="J47" i="4"/>
  <c r="E47" i="4"/>
  <c r="J46" i="4"/>
  <c r="E46" i="4"/>
  <c r="J45" i="4"/>
  <c r="E45" i="4"/>
  <c r="J44" i="4"/>
  <c r="E44" i="4"/>
  <c r="J42" i="4"/>
  <c r="E42" i="4"/>
  <c r="J41" i="4"/>
  <c r="E41" i="4"/>
  <c r="J40" i="4"/>
  <c r="E40" i="4"/>
  <c r="J39" i="4"/>
  <c r="E39" i="4"/>
  <c r="J38" i="4"/>
  <c r="E38" i="4"/>
  <c r="J37" i="4"/>
  <c r="E37" i="4"/>
  <c r="J36" i="4"/>
  <c r="E36" i="4"/>
  <c r="J35" i="4"/>
  <c r="E35" i="4"/>
  <c r="J34" i="4"/>
  <c r="E34" i="4"/>
  <c r="J33" i="4"/>
  <c r="E33" i="4"/>
  <c r="J32" i="4"/>
  <c r="E32" i="4"/>
  <c r="J31" i="4"/>
  <c r="E31" i="4"/>
  <c r="J30" i="4"/>
  <c r="E30" i="4"/>
  <c r="J29" i="4"/>
  <c r="E29" i="4"/>
  <c r="J27" i="4"/>
  <c r="E27" i="4"/>
  <c r="J26" i="4"/>
  <c r="E26" i="4"/>
  <c r="J25" i="4"/>
  <c r="E25" i="4"/>
  <c r="J24" i="4"/>
  <c r="E24" i="4"/>
  <c r="J23" i="4"/>
  <c r="E23" i="4"/>
  <c r="W21" i="4"/>
  <c r="J22" i="4"/>
  <c r="E22" i="4"/>
  <c r="W20" i="4"/>
  <c r="J20" i="4"/>
  <c r="E20" i="4"/>
  <c r="W17" i="4"/>
  <c r="J19" i="4"/>
  <c r="E19" i="4"/>
  <c r="J18" i="4"/>
  <c r="E18" i="4"/>
  <c r="J16" i="4"/>
  <c r="E16" i="4"/>
  <c r="J15" i="4"/>
  <c r="E15" i="4"/>
  <c r="J14" i="4"/>
  <c r="E14" i="4"/>
  <c r="J11" i="4"/>
  <c r="E11" i="4"/>
  <c r="J10" i="4"/>
  <c r="E10" i="4"/>
  <c r="J9" i="4"/>
  <c r="E9" i="4"/>
  <c r="J8" i="4"/>
  <c r="E8" i="4"/>
  <c r="J7" i="4"/>
  <c r="E7" i="4"/>
  <c r="J4" i="4"/>
  <c r="E4" i="4"/>
  <c r="J3" i="4"/>
  <c r="E3" i="4"/>
  <c r="I44" i="26"/>
  <c r="G44" i="26"/>
  <c r="D44" i="26"/>
  <c r="B44" i="26"/>
  <c r="J43" i="26"/>
  <c r="E43" i="26"/>
  <c r="J42" i="26"/>
  <c r="E42" i="26"/>
  <c r="J41" i="26"/>
  <c r="E41" i="26"/>
  <c r="J40" i="26"/>
  <c r="E40" i="26"/>
  <c r="J38" i="26"/>
  <c r="E38" i="26"/>
  <c r="J35" i="26"/>
  <c r="E35" i="26"/>
  <c r="J34" i="26"/>
  <c r="E34" i="26"/>
  <c r="J33" i="26"/>
  <c r="E33" i="26"/>
  <c r="J32" i="26"/>
  <c r="E32" i="26"/>
  <c r="J31" i="26"/>
  <c r="E31" i="26"/>
  <c r="J29" i="26"/>
  <c r="E29" i="26"/>
  <c r="J28" i="26"/>
  <c r="E28" i="26"/>
  <c r="J27" i="26"/>
  <c r="E27" i="26"/>
  <c r="J26" i="26"/>
  <c r="E26" i="26"/>
  <c r="J23" i="26"/>
  <c r="E23" i="26"/>
  <c r="J22" i="26"/>
  <c r="E22" i="26"/>
  <c r="J21" i="26"/>
  <c r="E21" i="26"/>
  <c r="J20" i="26"/>
  <c r="E20" i="26"/>
  <c r="J18" i="26"/>
  <c r="E18" i="26"/>
  <c r="J17" i="26"/>
  <c r="E17" i="26"/>
  <c r="J16" i="26"/>
  <c r="E16" i="26"/>
  <c r="J15" i="26"/>
  <c r="E15" i="26"/>
  <c r="J14" i="26"/>
  <c r="E14" i="26"/>
  <c r="J13" i="26"/>
  <c r="E13" i="26"/>
  <c r="W14" i="26"/>
  <c r="J12" i="26"/>
  <c r="E12" i="26"/>
  <c r="J11" i="26"/>
  <c r="E11" i="26"/>
  <c r="J10" i="26"/>
  <c r="E10" i="26"/>
  <c r="J8" i="26"/>
  <c r="E8" i="26"/>
  <c r="J7" i="26"/>
  <c r="E7" i="26"/>
  <c r="J6" i="26"/>
  <c r="E6" i="26"/>
  <c r="J5" i="26"/>
  <c r="E5" i="26"/>
  <c r="J4" i="26"/>
  <c r="E4" i="26"/>
  <c r="J3" i="26"/>
  <c r="E3" i="26"/>
  <c r="I42" i="25"/>
  <c r="G42" i="25"/>
  <c r="D42" i="25"/>
  <c r="B42" i="25"/>
  <c r="J41" i="25"/>
  <c r="J40" i="25"/>
  <c r="J39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3" i="25"/>
  <c r="J21" i="25"/>
  <c r="J20" i="25"/>
  <c r="J19" i="25"/>
  <c r="J18" i="25"/>
  <c r="J17" i="25"/>
  <c r="J16" i="25"/>
  <c r="W15" i="25"/>
  <c r="J15" i="25"/>
  <c r="J14" i="25"/>
  <c r="J13" i="25"/>
  <c r="J11" i="25"/>
  <c r="J10" i="25"/>
  <c r="J9" i="25"/>
  <c r="J8" i="25"/>
  <c r="J6" i="25"/>
  <c r="J5" i="25"/>
  <c r="E5" i="25"/>
  <c r="J3" i="25"/>
  <c r="F66" i="30"/>
  <c r="F48" i="30"/>
  <c r="F88" i="30"/>
  <c r="F86" i="30"/>
  <c r="F83" i="30"/>
  <c r="C45" i="30"/>
  <c r="F82" i="30"/>
  <c r="C88" i="30"/>
  <c r="F81" i="30"/>
  <c r="C86" i="30"/>
  <c r="F33" i="30"/>
  <c r="C83" i="30"/>
  <c r="F8" i="30"/>
  <c r="C82" i="30"/>
  <c r="F67" i="30"/>
  <c r="C81" i="30"/>
  <c r="F10" i="30"/>
  <c r="C30" i="30"/>
  <c r="F65" i="30"/>
  <c r="C6" i="30"/>
  <c r="F63" i="30"/>
  <c r="C66" i="30"/>
  <c r="F62" i="30"/>
  <c r="C8" i="30"/>
  <c r="F61" i="30"/>
  <c r="C64" i="30"/>
  <c r="F59" i="30"/>
  <c r="C62" i="30"/>
  <c r="F57" i="30"/>
  <c r="C60" i="30"/>
  <c r="F55" i="30"/>
  <c r="C59" i="30"/>
  <c r="F54" i="30"/>
  <c r="C58" i="30"/>
  <c r="F53" i="30"/>
  <c r="C57" i="30"/>
  <c r="F21" i="30"/>
  <c r="C54" i="30"/>
  <c r="F50" i="30"/>
  <c r="C52" i="30"/>
  <c r="F47" i="30"/>
  <c r="C51" i="30"/>
  <c r="F45" i="30"/>
  <c r="C50" i="30"/>
  <c r="F44" i="30"/>
  <c r="C17" i="30"/>
  <c r="F43" i="30"/>
  <c r="C47" i="30"/>
  <c r="F42" i="30"/>
  <c r="C44" i="30"/>
  <c r="F41" i="30"/>
  <c r="C42" i="30"/>
  <c r="F39" i="30"/>
  <c r="C40" i="30"/>
  <c r="F38" i="30"/>
  <c r="C39" i="30"/>
  <c r="F76" i="30"/>
  <c r="C38" i="30"/>
  <c r="F25" i="30"/>
  <c r="C36" i="30"/>
  <c r="F15" i="30"/>
  <c r="C35" i="30"/>
  <c r="F51" i="30"/>
  <c r="C76" i="30"/>
  <c r="F5" i="30"/>
  <c r="C21" i="30"/>
  <c r="F14" i="30"/>
  <c r="C11" i="30"/>
  <c r="F79" i="30"/>
  <c r="C48" i="30"/>
  <c r="F12" i="30"/>
  <c r="C16" i="30"/>
  <c r="F80" i="30"/>
  <c r="C10" i="30"/>
  <c r="F52" i="30"/>
  <c r="C80" i="30"/>
  <c r="F71" i="30"/>
  <c r="C49" i="30"/>
  <c r="F40" i="30"/>
  <c r="C46" i="30"/>
  <c r="J4" i="30"/>
  <c r="I4" i="30"/>
  <c r="F60" i="30"/>
  <c r="C71" i="30"/>
  <c r="F49" i="30"/>
  <c r="C37" i="30"/>
  <c r="K9" i="22"/>
  <c r="J6" i="22"/>
  <c r="I6" i="22"/>
  <c r="J7" i="22"/>
  <c r="I7" i="22"/>
  <c r="C73" i="22"/>
  <c r="C4" i="22"/>
  <c r="C60" i="22"/>
  <c r="J47" i="28" l="1"/>
  <c r="E47" i="28"/>
  <c r="J41" i="23"/>
  <c r="E46" i="8"/>
  <c r="E41" i="23"/>
  <c r="F89" i="30"/>
  <c r="K5" i="30"/>
  <c r="E48" i="6"/>
  <c r="K6" i="22"/>
  <c r="J46" i="8"/>
  <c r="K4" i="22"/>
  <c r="K4" i="30"/>
  <c r="E44" i="27"/>
  <c r="J39" i="9"/>
  <c r="E44" i="26"/>
  <c r="E45" i="21"/>
  <c r="K7" i="22"/>
  <c r="J44" i="26"/>
  <c r="E42" i="25"/>
  <c r="J42" i="25"/>
  <c r="C89" i="30"/>
  <c r="E44" i="24"/>
  <c r="E39" i="9"/>
  <c r="J44" i="16"/>
  <c r="E44" i="16"/>
  <c r="J44" i="27"/>
  <c r="J45" i="21"/>
  <c r="C139" i="22"/>
  <c r="F139" i="22"/>
  <c r="J52" i="4"/>
  <c r="E52" i="4"/>
  <c r="J46" i="29"/>
  <c r="E46" i="29"/>
  <c r="J44" i="24"/>
</calcChain>
</file>

<file path=xl/sharedStrings.xml><?xml version="1.0" encoding="utf-8"?>
<sst xmlns="http://schemas.openxmlformats.org/spreadsheetml/2006/main" count="7217" uniqueCount="1029">
  <si>
    <t>TRIES</t>
  </si>
  <si>
    <t>Tot</t>
  </si>
  <si>
    <t>POINTS</t>
  </si>
  <si>
    <t>TOTALS</t>
  </si>
  <si>
    <t>George</t>
  </si>
  <si>
    <t>Att</t>
  </si>
  <si>
    <t>%</t>
  </si>
  <si>
    <t>Ordered</t>
  </si>
  <si>
    <t>-</t>
  </si>
  <si>
    <t xml:space="preserve"> </t>
  </si>
  <si>
    <t>© Hillsport Media Ltd</t>
  </si>
  <si>
    <t>INT</t>
  </si>
  <si>
    <t>Last Match</t>
  </si>
  <si>
    <t>SIX NATIONS</t>
  </si>
  <si>
    <t>6N</t>
  </si>
  <si>
    <t>ALL TESTS</t>
  </si>
  <si>
    <t>Seq</t>
  </si>
  <si>
    <t>Gls</t>
  </si>
  <si>
    <t>Thomas</t>
  </si>
  <si>
    <t>IRE</t>
  </si>
  <si>
    <t>ENG</t>
  </si>
  <si>
    <t>SCO</t>
  </si>
  <si>
    <t>ITA</t>
  </si>
  <si>
    <t>WAL</t>
  </si>
  <si>
    <t>NAT</t>
  </si>
  <si>
    <t>GLS</t>
  </si>
  <si>
    <t>ATT</t>
  </si>
  <si>
    <t>FRA</t>
  </si>
  <si>
    <t>Lloyd</t>
  </si>
  <si>
    <t>GOAL-KICKERS*</t>
  </si>
  <si>
    <t>Nelson</t>
  </si>
  <si>
    <t>Smith M</t>
  </si>
  <si>
    <t>Wright</t>
  </si>
  <si>
    <t>Skeldon</t>
  </si>
  <si>
    <t>Konkel</t>
  </si>
  <si>
    <t>Law</t>
  </si>
  <si>
    <t>Thomson</t>
  </si>
  <si>
    <t>Gaffney</t>
  </si>
  <si>
    <t>Wills</t>
  </si>
  <si>
    <t>Rollie</t>
  </si>
  <si>
    <t>Aldcroft</t>
  </si>
  <si>
    <t>Beckett</t>
  </si>
  <si>
    <t>Bern</t>
  </si>
  <si>
    <t>Botterman</t>
  </si>
  <si>
    <t>Campbell</t>
  </si>
  <si>
    <t>Cleall B</t>
  </si>
  <si>
    <t>Cleall P</t>
  </si>
  <si>
    <t>Cokayne</t>
  </si>
  <si>
    <t>Galligan</t>
  </si>
  <si>
    <t>Harper</t>
  </si>
  <si>
    <t>Kabeya</t>
  </si>
  <si>
    <t>Matthews</t>
  </si>
  <si>
    <t>Millar-Mills</t>
  </si>
  <si>
    <t>Muir</t>
  </si>
  <si>
    <t>Powell</t>
  </si>
  <si>
    <t>Ward</t>
  </si>
  <si>
    <t>Aitchison</t>
  </si>
  <si>
    <t>Breach</t>
  </si>
  <si>
    <t>Cowell</t>
  </si>
  <si>
    <t>Dow</t>
  </si>
  <si>
    <t>Harrison</t>
  </si>
  <si>
    <t>Kildunne</t>
  </si>
  <si>
    <t>McKenna</t>
  </si>
  <si>
    <t>Packer L</t>
  </si>
  <si>
    <t>Packer M</t>
  </si>
  <si>
    <t>Reed</t>
  </si>
  <si>
    <t>Rowland</t>
  </si>
  <si>
    <t>Scarratt</t>
  </si>
  <si>
    <t>Sing</t>
  </si>
  <si>
    <t>Tuima</t>
  </si>
  <si>
    <t>Thompson</t>
  </si>
  <si>
    <t>Wyrwas</t>
  </si>
  <si>
    <t>Banet</t>
  </si>
  <si>
    <t>Bernadou</t>
  </si>
  <si>
    <t>Berthoumeu</t>
  </si>
  <si>
    <t>Diallo</t>
  </si>
  <si>
    <t>Domain</t>
  </si>
  <si>
    <t>Drouin</t>
  </si>
  <si>
    <t>Escudero</t>
  </si>
  <si>
    <t>Filopon</t>
  </si>
  <si>
    <t>Forlani</t>
  </si>
  <si>
    <t>Gros</t>
  </si>
  <si>
    <t>Hermet</t>
  </si>
  <si>
    <t>Jacquet</t>
  </si>
  <si>
    <t>Joyeux</t>
  </si>
  <si>
    <t>Khalfaoui</t>
  </si>
  <si>
    <t>Llorens</t>
  </si>
  <si>
    <t>Mayans</t>
  </si>
  <si>
    <t>Menager R</t>
  </si>
  <si>
    <t>Menager M</t>
  </si>
  <si>
    <t>Peyronnet</t>
  </si>
  <si>
    <t>Touye</t>
  </si>
  <si>
    <t>Traoré</t>
  </si>
  <si>
    <t>Vernier</t>
  </si>
  <si>
    <t>O'Dwyer</t>
  </si>
  <si>
    <t>Pearse</t>
  </si>
  <si>
    <t>Djougang</t>
  </si>
  <si>
    <t>Haney</t>
  </si>
  <si>
    <t>Boles</t>
  </si>
  <si>
    <t>Hooban</t>
  </si>
  <si>
    <t>Jones</t>
  </si>
  <si>
    <t>Fryday</t>
  </si>
  <si>
    <t>Monaghan</t>
  </si>
  <si>
    <t>McGann</t>
  </si>
  <si>
    <t>Moore</t>
  </si>
  <si>
    <t>Wall</t>
  </si>
  <si>
    <t>Wafer</t>
  </si>
  <si>
    <t>Hogan</t>
  </si>
  <si>
    <t>O’Leary</t>
  </si>
  <si>
    <t>Reilly</t>
  </si>
  <si>
    <t>Hughes</t>
  </si>
  <si>
    <t>Cronin</t>
  </si>
  <si>
    <t>Caughey</t>
  </si>
  <si>
    <t>Breen</t>
  </si>
  <si>
    <t>Higgins</t>
  </si>
  <si>
    <t>Mulhall</t>
  </si>
  <si>
    <t>Parsons</t>
  </si>
  <si>
    <t>Doyle</t>
  </si>
  <si>
    <t>Behan</t>
  </si>
  <si>
    <t>Scuffil-McCabe</t>
  </si>
  <si>
    <t>Irwin</t>
  </si>
  <si>
    <t>Arrighetti</t>
  </si>
  <si>
    <t>Barattin</t>
  </si>
  <si>
    <t>Duca</t>
  </si>
  <si>
    <t>Fedrighi</t>
  </si>
  <si>
    <t>Frangipani</t>
  </si>
  <si>
    <t>Franco</t>
  </si>
  <si>
    <t>Furlan</t>
  </si>
  <si>
    <t>Gai</t>
  </si>
  <si>
    <t>Giordano</t>
  </si>
  <si>
    <t>Granzotto</t>
  </si>
  <si>
    <t>Madia</t>
  </si>
  <si>
    <t>Margotti</t>
  </si>
  <si>
    <t>Maris</t>
  </si>
  <si>
    <t>Merlo</t>
  </si>
  <si>
    <t>Muzzo</t>
  </si>
  <si>
    <t>Rigoni</t>
  </si>
  <si>
    <t>Sberna</t>
  </si>
  <si>
    <t>Seye</t>
  </si>
  <si>
    <t>Sillari</t>
  </si>
  <si>
    <t>Stecca</t>
  </si>
  <si>
    <t>Stefan</t>
  </si>
  <si>
    <t>Tounesi</t>
  </si>
  <si>
    <t>Turani</t>
  </si>
  <si>
    <t>Stevanin</t>
  </si>
  <si>
    <t>Vecchini</t>
  </si>
  <si>
    <t>Veronese</t>
  </si>
  <si>
    <t>Bartlett</t>
  </si>
  <si>
    <t>Belisle</t>
  </si>
  <si>
    <t>Bonar</t>
  </si>
  <si>
    <t>Cockburn</t>
  </si>
  <si>
    <t>Dougan</t>
  </si>
  <si>
    <t>Donaldson</t>
  </si>
  <si>
    <t>Evans</t>
  </si>
  <si>
    <t>Gallagher</t>
  </si>
  <si>
    <t>Grant</t>
  </si>
  <si>
    <t>Malcolm</t>
  </si>
  <si>
    <t>Mattinson</t>
  </si>
  <si>
    <t>Maxwell</t>
  </si>
  <si>
    <t>McDonald</t>
  </si>
  <si>
    <t>McMillan</t>
  </si>
  <si>
    <t>Musgrove</t>
  </si>
  <si>
    <t>Muzambe</t>
  </si>
  <si>
    <t>O'Donnell</t>
  </si>
  <si>
    <t>Orr</t>
  </si>
  <si>
    <t>Rettie</t>
  </si>
  <si>
    <t>Smih H</t>
  </si>
  <si>
    <t>Wassell</t>
  </si>
  <si>
    <t>Wilson</t>
  </si>
  <si>
    <t>Young</t>
  </si>
  <si>
    <t>Callender</t>
  </si>
  <si>
    <t>Fleming</t>
  </si>
  <si>
    <t>Hale</t>
  </si>
  <si>
    <t>Harries</t>
  </si>
  <si>
    <t>John</t>
  </si>
  <si>
    <t>Johnes</t>
  </si>
  <si>
    <t>Jones K</t>
  </si>
  <si>
    <t>Lewis B</t>
  </si>
  <si>
    <t>Podpadec</t>
  </si>
  <si>
    <t>Phillips</t>
  </si>
  <si>
    <t>Pyrs</t>
  </si>
  <si>
    <t>Rose</t>
  </si>
  <si>
    <t>Scoble</t>
  </si>
  <si>
    <t>Tuipulotu</t>
  </si>
  <si>
    <t>Bevan</t>
  </si>
  <si>
    <t>Hennessy</t>
  </si>
  <si>
    <t>Keight</t>
  </si>
  <si>
    <t>Lewis C</t>
  </si>
  <si>
    <t>Lake</t>
  </si>
  <si>
    <t>Lewis F</t>
  </si>
  <si>
    <t>Neumann</t>
  </si>
  <si>
    <t>Swords</t>
  </si>
  <si>
    <t>Snowsill</t>
  </si>
  <si>
    <t>Terry</t>
  </si>
  <si>
    <t>Wilkins</t>
  </si>
  <si>
    <t>Rollie C</t>
  </si>
  <si>
    <t>Dow A</t>
  </si>
  <si>
    <t>Aitchison H</t>
  </si>
  <si>
    <t>Nelson H</t>
  </si>
  <si>
    <t>Crowe</t>
  </si>
  <si>
    <t>Gros E</t>
  </si>
  <si>
    <t>Tremouliere</t>
  </si>
  <si>
    <t>Sillari M</t>
  </si>
  <si>
    <t>Llorens M</t>
  </si>
  <si>
    <t>Boulard</t>
  </si>
  <si>
    <t>Harries S</t>
  </si>
  <si>
    <t>Bevan K</t>
  </si>
  <si>
    <t>Skeldon L</t>
  </si>
  <si>
    <t>Matthews A</t>
  </si>
  <si>
    <t>Sing E</t>
  </si>
  <si>
    <t>Breach J</t>
  </si>
  <si>
    <t>Hermet G</t>
  </si>
  <si>
    <t>Penalty Tries</t>
  </si>
  <si>
    <t>Capomaggi</t>
  </si>
  <si>
    <t>Boujard</t>
  </si>
  <si>
    <t>Boujard C</t>
  </si>
  <si>
    <t>Kildunne E</t>
  </si>
  <si>
    <t>O'Connor</t>
  </si>
  <si>
    <t>Bese</t>
  </si>
  <si>
    <t>Naikore</t>
  </si>
  <si>
    <t>Saito</t>
  </si>
  <si>
    <t>Furuta</t>
  </si>
  <si>
    <t>Parry</t>
  </si>
  <si>
    <t>Patu</t>
  </si>
  <si>
    <t>Cramer</t>
  </si>
  <si>
    <t>Matarugu</t>
  </si>
  <si>
    <t>Otsuka</t>
  </si>
  <si>
    <t>PAC</t>
  </si>
  <si>
    <t>DeMerchant</t>
  </si>
  <si>
    <t>Perry</t>
  </si>
  <si>
    <t>PACIFIC FOUR</t>
  </si>
  <si>
    <t>Taufoou</t>
  </si>
  <si>
    <t>Hawkins</t>
  </si>
  <si>
    <t>Rogers</t>
  </si>
  <si>
    <t>Cantorna</t>
  </si>
  <si>
    <t>Friedrichs</t>
  </si>
  <si>
    <t>Roos</t>
  </si>
  <si>
    <t>Tui</t>
  </si>
  <si>
    <t>Demant</t>
  </si>
  <si>
    <t>Tubic</t>
  </si>
  <si>
    <t>Ellis</t>
  </si>
  <si>
    <t>Pelletier</t>
  </si>
  <si>
    <t>Tuttosi</t>
  </si>
  <si>
    <t>Marino-Tauhinu</t>
  </si>
  <si>
    <t>Holmes</t>
  </si>
  <si>
    <t>Brunt</t>
  </si>
  <si>
    <t>Foster</t>
  </si>
  <si>
    <t>OC</t>
  </si>
  <si>
    <t>Lomani</t>
  </si>
  <si>
    <t>Milina</t>
  </si>
  <si>
    <t>Rokouono</t>
  </si>
  <si>
    <t>Rubuti</t>
  </si>
  <si>
    <t>Senikarivi</t>
  </si>
  <si>
    <t>Tagabale</t>
  </si>
  <si>
    <t>Vonosere</t>
  </si>
  <si>
    <t>Waisega</t>
  </si>
  <si>
    <t>Vosadrau</t>
  </si>
  <si>
    <t>Tawake</t>
  </si>
  <si>
    <t>Masi</t>
  </si>
  <si>
    <t>Lutumaibau</t>
  </si>
  <si>
    <t>Nabura</t>
  </si>
  <si>
    <t>Mirini</t>
  </si>
  <si>
    <t>Yamamoto</t>
  </si>
  <si>
    <t>Farries</t>
  </si>
  <si>
    <t>Miller</t>
  </si>
  <si>
    <t>Namba</t>
  </si>
  <si>
    <t>Botes</t>
  </si>
  <si>
    <t>Mabenge</t>
  </si>
  <si>
    <t>Mpupha</t>
  </si>
  <si>
    <t>Gwala</t>
  </si>
  <si>
    <t>Solontsi</t>
  </si>
  <si>
    <t>Dumke</t>
  </si>
  <si>
    <t>Mcatshulwa</t>
  </si>
  <si>
    <t>Kinsey</t>
  </si>
  <si>
    <t>Ngwevu</t>
  </si>
  <si>
    <t>Jordaan</t>
  </si>
  <si>
    <t>Mathe</t>
  </si>
  <si>
    <t>Ntoyanto</t>
  </si>
  <si>
    <t>Imakugi</t>
  </si>
  <si>
    <t>Dalton</t>
  </si>
  <si>
    <t>Deely</t>
  </si>
  <si>
    <t>O'Brien</t>
  </si>
  <si>
    <t>Connor</t>
  </si>
  <si>
    <t>du Plessis</t>
  </si>
  <si>
    <t>Duck</t>
  </si>
  <si>
    <t>McKenzie</t>
  </si>
  <si>
    <t>Kato</t>
  </si>
  <si>
    <t>Kelter</t>
  </si>
  <si>
    <t>Washington</t>
  </si>
  <si>
    <t>Talei Bonte</t>
  </si>
  <si>
    <t>Kahele</t>
  </si>
  <si>
    <t>Mataltoga</t>
  </si>
  <si>
    <t>Waters</t>
  </si>
  <si>
    <t>Jacoby</t>
  </si>
  <si>
    <t>Clapp</t>
  </si>
  <si>
    <t>Henrich</t>
  </si>
  <si>
    <t>Ashenbrucker</t>
  </si>
  <si>
    <t>Perris-Redding</t>
  </si>
  <si>
    <t>Kronish</t>
  </si>
  <si>
    <t>Hayward</t>
  </si>
  <si>
    <t>Kitlinski</t>
  </si>
  <si>
    <t>Matyas</t>
  </si>
  <si>
    <t>Zackary</t>
  </si>
  <si>
    <t>Treder</t>
  </si>
  <si>
    <t>Learned</t>
  </si>
  <si>
    <t>Bizer</t>
  </si>
  <si>
    <t>Ortiz</t>
  </si>
  <si>
    <t>Ehrecke</t>
  </si>
  <si>
    <t>Hamdan</t>
  </si>
  <si>
    <t>Feury</t>
  </si>
  <si>
    <t>Johnson K</t>
  </si>
  <si>
    <t>Johnson R</t>
  </si>
  <si>
    <t>Beukeboom</t>
  </si>
  <si>
    <t>Boag</t>
  </si>
  <si>
    <t>Tessier</t>
  </si>
  <si>
    <t>Corrigan</t>
  </si>
  <si>
    <t>Holly</t>
  </si>
  <si>
    <t>Kassil</t>
  </si>
  <si>
    <t>Taylor</t>
  </si>
  <si>
    <t>Schell</t>
  </si>
  <si>
    <t>Paquin</t>
  </si>
  <si>
    <t>Thibaut</t>
  </si>
  <si>
    <t>Menin</t>
  </si>
  <si>
    <t>Poulin</t>
  </si>
  <si>
    <t>Svoboda</t>
  </si>
  <si>
    <t>Lachance</t>
  </si>
  <si>
    <t>de Goede</t>
  </si>
  <si>
    <t>Delamere</t>
  </si>
  <si>
    <t>Sadaka</t>
  </si>
  <si>
    <t>KICKERS*</t>
  </si>
  <si>
    <t>NZL</t>
  </si>
  <si>
    <t>AUS</t>
  </si>
  <si>
    <t>CAN</t>
  </si>
  <si>
    <t>USA</t>
  </si>
  <si>
    <t>TOTAL</t>
  </si>
  <si>
    <t>Chancellor</t>
  </si>
  <si>
    <t>Cheatham</t>
  </si>
  <si>
    <t>Hamilton</t>
  </si>
  <si>
    <t>Karpani</t>
  </si>
  <si>
    <t>Lafai</t>
  </si>
  <si>
    <t>Leaney</t>
  </si>
  <si>
    <t>Leonard</t>
  </si>
  <si>
    <t>Naden</t>
  </si>
  <si>
    <t>Naiqama</t>
  </si>
  <si>
    <t>O'Gorman</t>
  </si>
  <si>
    <t>Palu</t>
  </si>
  <si>
    <t>Pomare</t>
  </si>
  <si>
    <t>Robinson</t>
  </si>
  <si>
    <t>Schuck</t>
  </si>
  <si>
    <t>Stewart</t>
  </si>
  <si>
    <t>Williams</t>
  </si>
  <si>
    <t>WORLD CUP</t>
  </si>
  <si>
    <t>*ALL TESTS</t>
  </si>
  <si>
    <t>n/a</t>
  </si>
  <si>
    <t>Abe</t>
  </si>
  <si>
    <t>Kawamura</t>
  </si>
  <si>
    <t>Kitano</t>
  </si>
  <si>
    <t>Korai</t>
  </si>
  <si>
    <t>Nagata I</t>
  </si>
  <si>
    <t>Nagata N</t>
  </si>
  <si>
    <t>Sato</t>
  </si>
  <si>
    <t>Suzuki M</t>
  </si>
  <si>
    <t>Suzuki A</t>
  </si>
  <si>
    <t>Yoshimura</t>
  </si>
  <si>
    <t>Bremner A</t>
  </si>
  <si>
    <t>Bremner C</t>
  </si>
  <si>
    <t>Kalounivale</t>
  </si>
  <si>
    <t>Love</t>
  </si>
  <si>
    <t>McMenamin</t>
  </si>
  <si>
    <t>Mikaele-Tu'u</t>
  </si>
  <si>
    <t>Ponsonby</t>
  </si>
  <si>
    <t>Rule</t>
  </si>
  <si>
    <t>Simon</t>
  </si>
  <si>
    <t>Tangen-Wainohu</t>
  </si>
  <si>
    <t>Taumata</t>
  </si>
  <si>
    <t>Booi</t>
  </si>
  <si>
    <t>Charlie</t>
  </si>
  <si>
    <t>Cilliers</t>
  </si>
  <si>
    <t>Jacobs</t>
  </si>
  <si>
    <t>Janse v Rensburg</t>
  </si>
  <si>
    <t>Latsha</t>
  </si>
  <si>
    <t>Makua</t>
  </si>
  <si>
    <t>Ngxingolo</t>
  </si>
  <si>
    <t>Potgieter</t>
  </si>
  <si>
    <t>Qawe, Chumisa</t>
  </si>
  <si>
    <t>Qawe, Chuma</t>
  </si>
  <si>
    <t>Grisez</t>
  </si>
  <si>
    <t>Cavuru</t>
  </si>
  <si>
    <t>Queyroi</t>
  </si>
  <si>
    <t>Heard T</t>
  </si>
  <si>
    <t>Heard</t>
  </si>
  <si>
    <t>Kabeya S</t>
  </si>
  <si>
    <t>Tuima L</t>
  </si>
  <si>
    <t>Callender A</t>
  </si>
  <si>
    <t>Tuipulotu S</t>
  </si>
  <si>
    <t>Fryday N</t>
  </si>
  <si>
    <t>D'Inca</t>
  </si>
  <si>
    <t>D'Inca A</t>
  </si>
  <si>
    <t>Franco G</t>
  </si>
  <si>
    <t>Arbez</t>
  </si>
  <si>
    <t>Arbez C</t>
  </si>
  <si>
    <t>Vernier G</t>
  </si>
  <si>
    <t>O'Brien D</t>
  </si>
  <si>
    <t>Fauteux</t>
  </si>
  <si>
    <t>Gonzalez</t>
  </si>
  <si>
    <t>Bermudez</t>
  </si>
  <si>
    <t>Hess</t>
  </si>
  <si>
    <t>Bourgeois</t>
  </si>
  <si>
    <t>Foriani A</t>
  </si>
  <si>
    <t>Escudero C</t>
  </si>
  <si>
    <t>Banet C</t>
  </si>
  <si>
    <t>Bourgeois M</t>
  </si>
  <si>
    <t>Grant C</t>
  </si>
  <si>
    <t>Pyrs G</t>
  </si>
  <si>
    <t>MacDonald C</t>
  </si>
  <si>
    <t>Tounesi S</t>
  </si>
  <si>
    <t>Botterman H</t>
  </si>
  <si>
    <t>Muir M</t>
  </si>
  <si>
    <t>Beckett S</t>
  </si>
  <si>
    <t>Stefan S</t>
  </si>
  <si>
    <t>Filopon M</t>
  </si>
  <si>
    <t>Boulard E</t>
  </si>
  <si>
    <t>Talling</t>
  </si>
  <si>
    <t>Talling M</t>
  </si>
  <si>
    <t>Rowland H</t>
  </si>
  <si>
    <t>Bartlett L</t>
  </si>
  <si>
    <t>McMillan L</t>
  </si>
  <si>
    <t>Vecchini V</t>
  </si>
  <si>
    <t>Bernadou R</t>
  </si>
  <si>
    <t>Evans G</t>
  </si>
  <si>
    <t>McGhie</t>
  </si>
  <si>
    <t>Malcolm R</t>
  </si>
  <si>
    <t>McGhie F</t>
  </si>
  <si>
    <t>Aldcroft Z</t>
  </si>
  <si>
    <t>Madia V</t>
  </si>
  <si>
    <t>Lake K</t>
  </si>
  <si>
    <t>Smith</t>
  </si>
  <si>
    <t>Dallinger</t>
  </si>
  <si>
    <t>Ravutia</t>
  </si>
  <si>
    <t>Mayaba</t>
  </si>
  <si>
    <t>Zulu</t>
  </si>
  <si>
    <t>Daveua</t>
  </si>
  <si>
    <t>Tisolo</t>
  </si>
  <si>
    <t>OCEANIA CHAMPS</t>
  </si>
  <si>
    <t>AC</t>
  </si>
  <si>
    <t>Yasuo</t>
  </si>
  <si>
    <t>Kokaji</t>
  </si>
  <si>
    <t>ASIA CHAMPS</t>
  </si>
  <si>
    <t>Nishimura S</t>
  </si>
  <si>
    <t>Lochnar</t>
  </si>
  <si>
    <t>Cantorna G</t>
  </si>
  <si>
    <t>Hawkins M</t>
  </si>
  <si>
    <t>Tuttosi E</t>
  </si>
  <si>
    <t>Poulin S</t>
  </si>
  <si>
    <t>Bermudez F</t>
  </si>
  <si>
    <t>Lachance S-M</t>
  </si>
  <si>
    <t>Beukeboom T</t>
  </si>
  <si>
    <t>Taylor E</t>
  </si>
  <si>
    <t>Boag G</t>
  </si>
  <si>
    <t>Rogers H</t>
  </si>
  <si>
    <t>Clapp L</t>
  </si>
  <si>
    <t>Paul</t>
  </si>
  <si>
    <t>Willison</t>
  </si>
  <si>
    <t>Holmes R</t>
  </si>
  <si>
    <t>Brunt S</t>
  </si>
  <si>
    <t>Paul M</t>
  </si>
  <si>
    <t>Kalouivale T</t>
  </si>
  <si>
    <t>Hohaia I</t>
  </si>
  <si>
    <t>Hohaia</t>
  </si>
  <si>
    <t>McKenzie A</t>
  </si>
  <si>
    <t>Wong I</t>
  </si>
  <si>
    <t>Friedrichs G</t>
  </si>
  <si>
    <t>Hamilton G</t>
  </si>
  <si>
    <t>Karpani E</t>
  </si>
  <si>
    <t>Talakai A</t>
  </si>
  <si>
    <t>Stewart M</t>
  </si>
  <si>
    <t>Smith C</t>
  </si>
  <si>
    <t>Cramer L</t>
  </si>
  <si>
    <t>Ashenbrucker E</t>
  </si>
  <si>
    <t>Detiveaux J</t>
  </si>
  <si>
    <t>de Goede S</t>
  </si>
  <si>
    <t>Forteza</t>
  </si>
  <si>
    <t>Forteza F</t>
  </si>
  <si>
    <t>DeMerchant O</t>
  </si>
  <si>
    <t>Connor L</t>
  </si>
  <si>
    <t>Demant R</t>
  </si>
  <si>
    <t>du Plessis A</t>
  </si>
  <si>
    <t>Teneti K</t>
  </si>
  <si>
    <t>Teneti</t>
  </si>
  <si>
    <t>Love P</t>
  </si>
  <si>
    <t>Gago</t>
  </si>
  <si>
    <t>Marino-Tauhinu A</t>
  </si>
  <si>
    <t>Gago G</t>
  </si>
  <si>
    <t>Mikaele-Tu'u L</t>
  </si>
  <si>
    <t>Tafuna</t>
  </si>
  <si>
    <t>Tafuna F</t>
  </si>
  <si>
    <t>Gallagher C</t>
  </si>
  <si>
    <t>Marsters</t>
  </si>
  <si>
    <t>Marsters A</t>
  </si>
  <si>
    <t>Kobayashi</t>
  </si>
  <si>
    <t>Tinanivalu</t>
  </si>
  <si>
    <t>Dolf</t>
  </si>
  <si>
    <t>Grain</t>
  </si>
  <si>
    <t>Allen</t>
  </si>
  <si>
    <t>Carson</t>
  </si>
  <si>
    <t>Stathopoulos</t>
  </si>
  <si>
    <t>Levy</t>
  </si>
  <si>
    <t>Martin</t>
  </si>
  <si>
    <t>Samboya</t>
  </si>
  <si>
    <t>WXV</t>
  </si>
  <si>
    <t>Wyrwas E</t>
  </si>
  <si>
    <t>Jones M</t>
  </si>
  <si>
    <t>Hunt</t>
  </si>
  <si>
    <t>Hunt M</t>
  </si>
  <si>
    <t>Grant M</t>
  </si>
  <si>
    <t>Phillips C</t>
  </si>
  <si>
    <t>Vaha'akolo</t>
  </si>
  <si>
    <t>Vaha'akolo K</t>
  </si>
  <si>
    <t>Atkin-Davies L</t>
  </si>
  <si>
    <t>Farries P</t>
  </si>
  <si>
    <t>Tui R</t>
  </si>
  <si>
    <t>Jenkins</t>
  </si>
  <si>
    <t>Fleming A</t>
  </si>
  <si>
    <t>Wilkins R</t>
  </si>
  <si>
    <t>Riffoneau</t>
  </si>
  <si>
    <t>Riffoneau E</t>
  </si>
  <si>
    <t>McKenzie B</t>
  </si>
  <si>
    <t>George L</t>
  </si>
  <si>
    <t>Scurfield</t>
  </si>
  <si>
    <t>Scurfield K</t>
  </si>
  <si>
    <t>Atkin-Davies</t>
  </si>
  <si>
    <t>Bern S</t>
  </si>
  <si>
    <t>Simon K</t>
  </si>
  <si>
    <t>Muzzo A</t>
  </si>
  <si>
    <t>Granzotto F</t>
  </si>
  <si>
    <t>Rigoni B</t>
  </si>
  <si>
    <t>JPN</t>
  </si>
  <si>
    <t>Nduka J</t>
  </si>
  <si>
    <t>Matsumura M</t>
  </si>
  <si>
    <t>Otsuka A</t>
  </si>
  <si>
    <t>Hele</t>
  </si>
  <si>
    <t>Hele A</t>
  </si>
  <si>
    <t>RSA</t>
  </si>
  <si>
    <t>Botes R</t>
  </si>
  <si>
    <t>Janse v R'burg L</t>
  </si>
  <si>
    <t>Thomson L</t>
  </si>
  <si>
    <t>Hingano</t>
  </si>
  <si>
    <t>Zackary K</t>
  </si>
  <si>
    <t>Feury T</t>
  </si>
  <si>
    <t>Taufoou H</t>
  </si>
  <si>
    <t>Hingano M</t>
  </si>
  <si>
    <t>SAM</t>
  </si>
  <si>
    <t>Siataga C</t>
  </si>
  <si>
    <t>Wright-Akeli K</t>
  </si>
  <si>
    <t>Stathopoulos P</t>
  </si>
  <si>
    <t>Jacoby C</t>
  </si>
  <si>
    <t>Lloyd R</t>
  </si>
  <si>
    <t>Wassell E</t>
  </si>
  <si>
    <t>Ranuccini</t>
  </si>
  <si>
    <t>Ranuccini A</t>
  </si>
  <si>
    <t>Capomaggi B</t>
  </si>
  <si>
    <t>Latsha B</t>
  </si>
  <si>
    <t>Dolf B</t>
  </si>
  <si>
    <t>Ando</t>
  </si>
  <si>
    <t>Hirotsu H</t>
  </si>
  <si>
    <t>Ando N</t>
  </si>
  <si>
    <t>Jacobs C</t>
  </si>
  <si>
    <t>Dumke L</t>
  </si>
  <si>
    <t>Brody</t>
  </si>
  <si>
    <t>Bitter</t>
  </si>
  <si>
    <t>Brody T</t>
  </si>
  <si>
    <t>Duca G</t>
  </si>
  <si>
    <t>Giordano E</t>
  </si>
  <si>
    <t>Orr E</t>
  </si>
  <si>
    <t>Bonar S</t>
  </si>
  <si>
    <t>Riffonneau E</t>
  </si>
  <si>
    <t>Queyroi L</t>
  </si>
  <si>
    <t>Wafer A</t>
  </si>
  <si>
    <t>Dalton A</t>
  </si>
  <si>
    <t>Fowley</t>
  </si>
  <si>
    <t>Fowley N</t>
  </si>
  <si>
    <t>Carson M</t>
  </si>
  <si>
    <t>Powell C</t>
  </si>
  <si>
    <t>Ward A</t>
  </si>
  <si>
    <t>Harrison Z</t>
  </si>
  <si>
    <t>Martin E</t>
  </si>
  <si>
    <t>*Qual 5 attempts</t>
  </si>
  <si>
    <t>Arbey</t>
  </si>
  <si>
    <t>Arbey K</t>
  </si>
  <si>
    <t>Galligan R</t>
  </si>
  <si>
    <t>Jones N</t>
  </si>
  <si>
    <t>Corrigan K</t>
  </si>
  <si>
    <t>Fedrighi V</t>
  </si>
  <si>
    <t>Cokayne A</t>
  </si>
  <si>
    <t>Parsons B</t>
  </si>
  <si>
    <t>Higgins E</t>
  </si>
  <si>
    <t>Hopkins</t>
  </si>
  <si>
    <t>Deshayes A</t>
  </si>
  <si>
    <t>Khalfaoui A</t>
  </si>
  <si>
    <t>Konde</t>
  </si>
  <si>
    <t>Konde N</t>
  </si>
  <si>
    <t>Hopkins G</t>
  </si>
  <si>
    <t>Hunt N</t>
  </si>
  <si>
    <t>Feaunati</t>
  </si>
  <si>
    <t>Feaunati M</t>
  </si>
  <si>
    <t>Grisez J</t>
  </si>
  <si>
    <t>Feleu M</t>
  </si>
  <si>
    <t>Stevanin E</t>
  </si>
  <si>
    <t>Minuzzi V</t>
  </si>
  <si>
    <t>Moloney C</t>
  </si>
  <si>
    <t>Perris-Redding G</t>
  </si>
  <si>
    <t>Royer</t>
  </si>
  <si>
    <t>Royer L</t>
  </si>
  <si>
    <t>Omokhuale</t>
  </si>
  <si>
    <t>Omokhuale J</t>
  </si>
  <si>
    <t>Ubisi</t>
  </si>
  <si>
    <t>King</t>
  </si>
  <si>
    <t>King H</t>
  </si>
  <si>
    <t>Vaipulu</t>
  </si>
  <si>
    <t>Vaipulu M</t>
  </si>
  <si>
    <t>Sae</t>
  </si>
  <si>
    <t>Maliepo</t>
  </si>
  <si>
    <t>Maliepo P</t>
  </si>
  <si>
    <t>Sae L</t>
  </si>
  <si>
    <t>Naden T</t>
  </si>
  <si>
    <t>Cline</t>
  </si>
  <si>
    <t>Cline S</t>
  </si>
  <si>
    <t>Menin D</t>
  </si>
  <si>
    <t>Tessier A</t>
  </si>
  <si>
    <t>Mdletshe</t>
  </si>
  <si>
    <t>Miller D</t>
  </si>
  <si>
    <t>Hingano A</t>
  </si>
  <si>
    <t>Treder K</t>
  </si>
  <si>
    <t>Olsen-Baker</t>
  </si>
  <si>
    <t>Viliko</t>
  </si>
  <si>
    <t>Ponsonby G</t>
  </si>
  <si>
    <t>Olsen-Baker K</t>
  </si>
  <si>
    <t>Viliko C</t>
  </si>
  <si>
    <t>Hatada</t>
  </si>
  <si>
    <t>Tsukui</t>
  </si>
  <si>
    <t>Tove</t>
  </si>
  <si>
    <t>Lalabalavu</t>
  </si>
  <si>
    <t>Cox</t>
  </si>
  <si>
    <t>Hesketh</t>
  </si>
  <si>
    <t>Molloy</t>
  </si>
  <si>
    <t>Milinia</t>
  </si>
  <si>
    <t>Narokete</t>
  </si>
  <si>
    <t>Kagawa</t>
  </si>
  <si>
    <t>Ralivanawa</t>
  </si>
  <si>
    <t>Marama</t>
  </si>
  <si>
    <t>Hirotsu</t>
  </si>
  <si>
    <t>Machida</t>
  </si>
  <si>
    <t>Naisewa</t>
  </si>
  <si>
    <t>Cumu</t>
  </si>
  <si>
    <t>Lolohea</t>
  </si>
  <si>
    <t>Harris-Jones</t>
  </si>
  <si>
    <t>Webb</t>
  </si>
  <si>
    <t>Tuy</t>
  </si>
  <si>
    <t>Matsumura</t>
  </si>
  <si>
    <t>Considine</t>
  </si>
  <si>
    <t>Scott</t>
  </si>
  <si>
    <t>*Complete Info on attempts in Oceania Cup</t>
  </si>
  <si>
    <t>Excludes kicks v Netherlands Sep 19 - not available</t>
  </si>
  <si>
    <t>Joyce-Butchers J</t>
  </si>
  <si>
    <t>Reardon</t>
  </si>
  <si>
    <t>Tuinakauvadra</t>
  </si>
  <si>
    <t>Halse</t>
  </si>
  <si>
    <t>Moleka</t>
  </si>
  <si>
    <t>Brock</t>
  </si>
  <si>
    <t>Brock G</t>
  </si>
  <si>
    <t>Westcombe-Evans</t>
  </si>
  <si>
    <t>Westcombe-Evans B</t>
  </si>
  <si>
    <t>Moleka F</t>
  </si>
  <si>
    <t>Palu S</t>
  </si>
  <si>
    <t>Morgan</t>
  </si>
  <si>
    <t>Morgan L</t>
  </si>
  <si>
    <t>Hogan-Rochester</t>
  </si>
  <si>
    <t>Hogan-Rochester A</t>
  </si>
  <si>
    <t>Pelletier J</t>
  </si>
  <si>
    <t>FIJ</t>
  </si>
  <si>
    <t>Tisolo L</t>
  </si>
  <si>
    <t>Tove R A</t>
  </si>
  <si>
    <t>Milina A</t>
  </si>
  <si>
    <t>Lomani K</t>
  </si>
  <si>
    <t>Korovata A</t>
  </si>
  <si>
    <t>Waisega S</t>
  </si>
  <si>
    <t>Naisewa K</t>
  </si>
  <si>
    <t>Jacquet C</t>
  </si>
  <si>
    <t>Feleu T</t>
  </si>
  <si>
    <t>Costigan A L</t>
  </si>
  <si>
    <t>Costigan</t>
  </si>
  <si>
    <t>Turani S</t>
  </si>
  <si>
    <t>Taniguchi K</t>
  </si>
  <si>
    <t>Saito S</t>
  </si>
  <si>
    <t>Leti-l'iga</t>
  </si>
  <si>
    <t>Leti-liga A</t>
  </si>
  <si>
    <t>Kalounivale T</t>
  </si>
  <si>
    <t>Roos M</t>
  </si>
  <si>
    <t>Young A</t>
  </si>
  <si>
    <t>Stewart A</t>
  </si>
  <si>
    <t>Malinga</t>
  </si>
  <si>
    <t>Malinga A</t>
  </si>
  <si>
    <t>Roos N</t>
  </si>
  <si>
    <t>Mpupha Z</t>
  </si>
  <si>
    <t>Cilliers J</t>
  </si>
  <si>
    <t>Tose</t>
  </si>
  <si>
    <t>Tose U</t>
  </si>
  <si>
    <t>Charlie S</t>
  </si>
  <si>
    <t>Gunter M</t>
  </si>
  <si>
    <t>Ubisi V</t>
  </si>
  <si>
    <t>Mcatshulwa S</t>
  </si>
  <si>
    <t>Kelter A</t>
  </si>
  <si>
    <t>Bluck</t>
  </si>
  <si>
    <t>Bluck H</t>
  </si>
  <si>
    <t>ESP</t>
  </si>
  <si>
    <t>Piquero C</t>
  </si>
  <si>
    <t>Cisa N</t>
  </si>
  <si>
    <t>Perez Z</t>
  </si>
  <si>
    <t>Argudo A</t>
  </si>
  <si>
    <t>Castellucci C</t>
  </si>
  <si>
    <t>Fernandez de C A</t>
  </si>
  <si>
    <t>Alameda L</t>
  </si>
  <si>
    <t>Capell A</t>
  </si>
  <si>
    <t>Sio A-L</t>
  </si>
  <si>
    <t>Fiafia L</t>
  </si>
  <si>
    <t>Mamea A</t>
  </si>
  <si>
    <t>Bloomfield F</t>
  </si>
  <si>
    <t>Savelio E</t>
  </si>
  <si>
    <t>Vatau H</t>
  </si>
  <si>
    <t>Fanene Lolo J</t>
  </si>
  <si>
    <t>Aiolupotea D</t>
  </si>
  <si>
    <t>Niupulusu S</t>
  </si>
  <si>
    <t>ENGLAND 2025 SCORERS</t>
  </si>
  <si>
    <t>IRELAND 2025 SCORERS</t>
  </si>
  <si>
    <t>WC</t>
  </si>
  <si>
    <t>FRANCE 2025 SCORERS</t>
  </si>
  <si>
    <t>SCOTLAND 2025 SCORERS</t>
  </si>
  <si>
    <t>WALES 2025 SCORERS</t>
  </si>
  <si>
    <t>Venner</t>
  </si>
  <si>
    <t>Venner M</t>
  </si>
  <si>
    <t>ITALY 2025 SCORERS</t>
  </si>
  <si>
    <t>Sgorbini</t>
  </si>
  <si>
    <t>Sgorbini F</t>
  </si>
  <si>
    <t>Scarratt E</t>
  </si>
  <si>
    <t>2025 WOMEN'S SIX NATIONS SCORERS</t>
  </si>
  <si>
    <t>Okemba</t>
  </si>
  <si>
    <t>Bourgeois slotted 16 in a row between 28 Oct 2023 &amp; 29 Mar 2025</t>
  </si>
  <si>
    <t>Okemba S</t>
  </si>
  <si>
    <t>Bourdon-Sansus scored first DG in Women's Six Nations since 2013</t>
  </si>
  <si>
    <t>Bourdon Sansus P</t>
  </si>
  <si>
    <t>Fall Raclot M</t>
  </si>
  <si>
    <t>Fall Raclot</t>
  </si>
  <si>
    <t>Bourdon Sansus</t>
  </si>
  <si>
    <t>Scobie J</t>
  </si>
  <si>
    <t>Williams K</t>
  </si>
  <si>
    <t xml:space="preserve">Burton </t>
  </si>
  <si>
    <t>Burton</t>
  </si>
  <si>
    <t>Burton A</t>
  </si>
  <si>
    <t>McGann A</t>
  </si>
  <si>
    <t>Costigan A</t>
  </si>
  <si>
    <t>Djougang L</t>
  </si>
  <si>
    <t>Hogan B</t>
  </si>
  <si>
    <t>Wall D</t>
  </si>
  <si>
    <t>Bigot</t>
  </si>
  <si>
    <t>Bigot M</t>
  </si>
  <si>
    <t>Champon</t>
  </si>
  <si>
    <t>Crabb</t>
  </si>
  <si>
    <t>Crabb G</t>
  </si>
  <si>
    <t>Champon L</t>
  </si>
  <si>
    <t>Clifford</t>
  </si>
  <si>
    <t>Clifford K</t>
  </si>
  <si>
    <t>Gallagher E</t>
  </si>
  <si>
    <t>Chambon</t>
  </si>
  <si>
    <t>Chambon A</t>
  </si>
  <si>
    <t>C Cox</t>
  </si>
  <si>
    <t>H Bluck</t>
  </si>
  <si>
    <t>Breen E</t>
  </si>
  <si>
    <t>SOUTH AFRICA 2025 SCORERS</t>
  </si>
  <si>
    <t>2025 WORLD CUP SCORERS</t>
  </si>
  <si>
    <t>RUGBY EUROPE</t>
  </si>
  <si>
    <t>REC</t>
  </si>
  <si>
    <t>Delgado</t>
  </si>
  <si>
    <t>Argudo</t>
  </si>
  <si>
    <t>McLachlan</t>
  </si>
  <si>
    <t>McLachlan R</t>
  </si>
  <si>
    <t>At end of tournament</t>
  </si>
  <si>
    <t>Lane</t>
  </si>
  <si>
    <t>Lane E</t>
  </si>
  <si>
    <t>USA 2025 SCORERS</t>
  </si>
  <si>
    <t>Coulibaly</t>
  </si>
  <si>
    <t>Sagapolu</t>
  </si>
  <si>
    <t>JAPAN 2025 SCORERS</t>
  </si>
  <si>
    <t>Matsuda</t>
  </si>
  <si>
    <t>Tarekado</t>
  </si>
  <si>
    <t>FIJI 2025 SCORERS</t>
  </si>
  <si>
    <t>Fisher</t>
  </si>
  <si>
    <t>AUSTRALIA 2025 SCORERS</t>
  </si>
  <si>
    <t>Terita</t>
  </si>
  <si>
    <t>Zachary K</t>
  </si>
  <si>
    <t>NEW ZEALAND 2025 SCORERS</t>
  </si>
  <si>
    <t>CANADA 2025 SCORERS</t>
  </si>
  <si>
    <t>O'Donnell C</t>
  </si>
  <si>
    <t>Schell J</t>
  </si>
  <si>
    <t>Leti-l'iga A</t>
  </si>
  <si>
    <t>Sorensen-McGee</t>
  </si>
  <si>
    <t>Sorensen-McGee B</t>
  </si>
  <si>
    <t>2025 PACIFIC FOUR SCORERS</t>
  </si>
  <si>
    <t>Komaki</t>
  </si>
  <si>
    <t>Nakamura</t>
  </si>
  <si>
    <t>Matsunaga</t>
  </si>
  <si>
    <t>Nishimura M</t>
  </si>
  <si>
    <t>Seumanutafa</t>
  </si>
  <si>
    <t>Seumanutafa S</t>
  </si>
  <si>
    <t>Apps</t>
  </si>
  <si>
    <t>Apps O</t>
  </si>
  <si>
    <t>Corrigan A</t>
  </si>
  <si>
    <t>Caslick</t>
  </si>
  <si>
    <t>Caslick C</t>
  </si>
  <si>
    <t>Paquin K</t>
  </si>
  <si>
    <t>Woodman-Wickliffe</t>
  </si>
  <si>
    <t>Woodman-Wickliffe P</t>
  </si>
  <si>
    <t>Waaka</t>
  </si>
  <si>
    <t>Waaka S</t>
  </si>
  <si>
    <t>at end of tournament</t>
  </si>
  <si>
    <t>Nishi</t>
  </si>
  <si>
    <t>Mizutani</t>
  </si>
  <si>
    <t>Ouchida</t>
  </si>
  <si>
    <t>Senivutu</t>
  </si>
  <si>
    <t>Neihamu</t>
  </si>
  <si>
    <t>Railumu</t>
  </si>
  <si>
    <t>Adivitaloga</t>
  </si>
  <si>
    <t>Komaitai</t>
  </si>
  <si>
    <t>Vueti</t>
  </si>
  <si>
    <t>Nakesa</t>
  </si>
  <si>
    <t>Nabuli</t>
  </si>
  <si>
    <t>Vasuturaga</t>
  </si>
  <si>
    <t>asuturaga</t>
  </si>
  <si>
    <t xml:space="preserve"> AFRICA CUP</t>
  </si>
  <si>
    <t>Bhengu</t>
  </si>
  <si>
    <t>Gronewald</t>
  </si>
  <si>
    <t>Tshauke</t>
  </si>
  <si>
    <t>Mokone</t>
  </si>
  <si>
    <t>BRAZIL 2025 SCORERS</t>
  </si>
  <si>
    <t>Kochhann</t>
  </si>
  <si>
    <t>Tenorio</t>
  </si>
  <si>
    <t>Moreira</t>
  </si>
  <si>
    <t>Lopes</t>
  </si>
  <si>
    <t>Fioravanti</t>
  </si>
  <si>
    <t>Santini</t>
  </si>
  <si>
    <t>Silva</t>
  </si>
  <si>
    <t>Campos</t>
  </si>
  <si>
    <t>Mayumi</t>
  </si>
  <si>
    <t>Barros</t>
  </si>
  <si>
    <t>Vergara</t>
  </si>
  <si>
    <t>Prioste</t>
  </si>
  <si>
    <t>Soares</t>
  </si>
  <si>
    <t>Lima</t>
  </si>
  <si>
    <t>Gomes Saccomanno</t>
  </si>
  <si>
    <t>Coimbra</t>
  </si>
  <si>
    <t>Dakar</t>
  </si>
  <si>
    <t>Medeiros</t>
  </si>
  <si>
    <t>Alves</t>
  </si>
  <si>
    <t>Carvalho</t>
  </si>
  <si>
    <t>Henwood Lima</t>
  </si>
  <si>
    <t>Souza</t>
  </si>
  <si>
    <t>SAMOA 2025 SCORERS</t>
  </si>
  <si>
    <t>Ah-Cheung</t>
  </si>
  <si>
    <t>Lasini</t>
  </si>
  <si>
    <t>Savelio</t>
  </si>
  <si>
    <t>Leaula</t>
  </si>
  <si>
    <t>Falaniko</t>
  </si>
  <si>
    <t>Vatau</t>
  </si>
  <si>
    <t>Salale</t>
  </si>
  <si>
    <t>Col-Aumua</t>
  </si>
  <si>
    <t>Curry</t>
  </si>
  <si>
    <t>Makisi</t>
  </si>
  <si>
    <t>Tugaga</t>
  </si>
  <si>
    <t>Namea</t>
  </si>
  <si>
    <t>Alolupotea</t>
  </si>
  <si>
    <t>Iosefo</t>
  </si>
  <si>
    <t>Aiono-Samuelu</t>
  </si>
  <si>
    <t>Nonutunu</t>
  </si>
  <si>
    <t>Auimatagi</t>
  </si>
  <si>
    <t>Sio</t>
  </si>
  <si>
    <t>Fa'aiuaso-Cocker</t>
  </si>
  <si>
    <t>Tauasa-Pauaraisa</t>
  </si>
  <si>
    <t>Ryder</t>
  </si>
  <si>
    <t>Kinita</t>
  </si>
  <si>
    <t>Fiafia</t>
  </si>
  <si>
    <t>Onesemo-Tuilaepa</t>
  </si>
  <si>
    <t>Mjwara</t>
  </si>
  <si>
    <t>Moloney-MacDonald</t>
  </si>
  <si>
    <t>Crossley</t>
  </si>
  <si>
    <t>Symonds</t>
  </si>
  <si>
    <t>Brazier</t>
  </si>
  <si>
    <t>Kavoa</t>
  </si>
  <si>
    <t>Norsten</t>
  </si>
  <si>
    <t>Taniguchi</t>
  </si>
  <si>
    <t>Castelo</t>
  </si>
  <si>
    <t>Graf</t>
  </si>
  <si>
    <t>Jarrell-Searcy</t>
  </si>
  <si>
    <t>Codey</t>
  </si>
  <si>
    <t>Dallavalle</t>
  </si>
  <si>
    <t>Dallavalle H</t>
  </si>
  <si>
    <t>Jou</t>
  </si>
  <si>
    <t>Alameda</t>
  </si>
  <si>
    <t>Amosa</t>
  </si>
  <si>
    <t>Wood</t>
  </si>
  <si>
    <t>Butchers A</t>
  </si>
  <si>
    <t>Senft</t>
  </si>
  <si>
    <t>McGrath</t>
  </si>
  <si>
    <t>McGillivray</t>
  </si>
  <si>
    <t>O’Dowd</t>
  </si>
  <si>
    <t>Nic A Bhaird</t>
  </si>
  <si>
    <t>Shekells</t>
  </si>
  <si>
    <t>Ives Campion</t>
  </si>
  <si>
    <t>SPAIN 2025 SCORERS</t>
  </si>
  <si>
    <t>Arruda</t>
  </si>
  <si>
    <t>Pereira</t>
  </si>
  <si>
    <t>Valente</t>
  </si>
  <si>
    <t>Piquero</t>
  </si>
  <si>
    <t>Perez C</t>
  </si>
  <si>
    <t>Da Silva</t>
  </si>
  <si>
    <t>Gurioli</t>
  </si>
  <si>
    <t>Kuge</t>
  </si>
  <si>
    <t>Siatega</t>
  </si>
  <si>
    <t>Milo</t>
  </si>
  <si>
    <t>Pena</t>
  </si>
  <si>
    <t>Peralta</t>
  </si>
  <si>
    <t>Roman</t>
  </si>
  <si>
    <t>Masoko</t>
  </si>
  <si>
    <t>Vinuesa</t>
  </si>
  <si>
    <t>Ducher</t>
  </si>
  <si>
    <t>Cano</t>
  </si>
  <si>
    <t>Blanco</t>
  </si>
  <si>
    <t>Puig</t>
  </si>
  <si>
    <t>Perez V</t>
  </si>
  <si>
    <t>de Andres</t>
  </si>
  <si>
    <t>Fernandez de Cor.</t>
  </si>
  <si>
    <t>Garcia E</t>
  </si>
  <si>
    <t>Garcia N</t>
  </si>
  <si>
    <t>Martinez</t>
  </si>
  <si>
    <t>Jarrell-Searcy E</t>
  </si>
  <si>
    <t>Talakai</t>
  </si>
  <si>
    <t>Amosa K</t>
  </si>
  <si>
    <t>Halse C</t>
  </si>
  <si>
    <t>Chancellor E</t>
  </si>
  <si>
    <t>Wood S</t>
  </si>
  <si>
    <t>Brebner-Holden</t>
  </si>
  <si>
    <t>Brebner-Holden L</t>
  </si>
  <si>
    <t>Crossley C</t>
  </si>
  <si>
    <t>Vueti L</t>
  </si>
  <si>
    <t>Tuite</t>
  </si>
  <si>
    <t>Tuite F</t>
  </si>
  <si>
    <t>Kawamura M</t>
  </si>
  <si>
    <t>Makua L</t>
  </si>
  <si>
    <t>Ngwevu A</t>
  </si>
  <si>
    <t>Kochhann R</t>
  </si>
  <si>
    <t>BRA</t>
  </si>
  <si>
    <t>Setefano</t>
  </si>
  <si>
    <t>Miller J</t>
  </si>
  <si>
    <t>Setefano T</t>
  </si>
  <si>
    <t>Antolinez I</t>
  </si>
  <si>
    <t>Antolinez</t>
  </si>
  <si>
    <t>Blanco C</t>
  </si>
  <si>
    <t>Perry T</t>
  </si>
  <si>
    <t>Kassil B</t>
  </si>
  <si>
    <t>Metcalfe N</t>
  </si>
  <si>
    <t>Nailolo</t>
  </si>
  <si>
    <t>Kinita S</t>
  </si>
  <si>
    <t>A S Nailolo</t>
  </si>
  <si>
    <t>Moloney-MacDonald C</t>
  </si>
  <si>
    <t>Senivutu L</t>
  </si>
  <si>
    <t>Komaitai M</t>
  </si>
  <si>
    <t>Sagapolu K M</t>
  </si>
  <si>
    <t>Moore G</t>
  </si>
  <si>
    <t>Pena C</t>
  </si>
  <si>
    <t>Roman M</t>
  </si>
  <si>
    <t>Seye S</t>
  </si>
  <si>
    <t>Solontsi S</t>
  </si>
  <si>
    <t>Ostuni Minuzzi</t>
  </si>
  <si>
    <t>Ostuni Minuzzi V</t>
  </si>
  <si>
    <t>Tukuafu</t>
  </si>
  <si>
    <t>Tukuafu K</t>
  </si>
  <si>
    <t>Pouri-Lane</t>
  </si>
  <si>
    <t>Pouri-Lane R</t>
  </si>
  <si>
    <t>*Qual 10 attempts</t>
  </si>
  <si>
    <t>Hatada S</t>
  </si>
  <si>
    <t>Tsukui M</t>
  </si>
  <si>
    <t>Morland</t>
  </si>
  <si>
    <t>Morland M</t>
  </si>
  <si>
    <t>Deshaye</t>
  </si>
  <si>
    <t>Deshaye A</t>
  </si>
  <si>
    <t>Tuy L</t>
  </si>
  <si>
    <t>Silva B</t>
  </si>
  <si>
    <t>Tenorio F</t>
  </si>
  <si>
    <t>Bargell</t>
  </si>
  <si>
    <t>Bargell C</t>
  </si>
  <si>
    <t>Ortiz O</t>
  </si>
  <si>
    <t>Coulibaly E</t>
  </si>
  <si>
    <t>Cox C</t>
  </si>
  <si>
    <t>Powell K</t>
  </si>
  <si>
    <t>Neumann L</t>
  </si>
  <si>
    <t>Neihamu J</t>
  </si>
  <si>
    <t>Railumu S</t>
  </si>
  <si>
    <t>Kitano W</t>
  </si>
  <si>
    <t>Imakugi K</t>
  </si>
  <si>
    <t>Nduka</t>
  </si>
  <si>
    <t>Yamamoto M</t>
  </si>
  <si>
    <t>Rosell</t>
  </si>
  <si>
    <t>Castelo M</t>
  </si>
  <si>
    <t>Rosell V</t>
  </si>
  <si>
    <t>Mannini</t>
  </si>
  <si>
    <t>Corradini</t>
  </si>
  <si>
    <t>Corradini G</t>
  </si>
  <si>
    <t>Buso</t>
  </si>
  <si>
    <t>Buso G</t>
  </si>
  <si>
    <t>Bitonci</t>
  </si>
  <si>
    <t>Bitonci A</t>
  </si>
  <si>
    <t>Joseph</t>
  </si>
  <si>
    <t>Joseph M</t>
  </si>
  <si>
    <t>Mannini S</t>
  </si>
  <si>
    <t>Gerin</t>
  </si>
  <si>
    <t>Gerin A</t>
  </si>
  <si>
    <t>Flood</t>
  </si>
  <si>
    <t>Flood S</t>
  </si>
  <si>
    <t>Symonds F</t>
  </si>
  <si>
    <t>Bayfield</t>
  </si>
  <si>
    <t>Bayfield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</si>
</sst>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E2AC0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color rgb="FFBC8F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8">
    <xf numFmtId="0" fontId="0" fillId="0" borderId="0" xfId="0"/>
    <xf numFmtId="0" fontId="7" fillId="6" borderId="4" xfId="0" applyFont="1" applyFill="1" applyBorder="1" applyAlignment="1">
      <alignment horizontal="right" vertical="center" wrapText="1"/>
    </xf>
    <xf numFmtId="0" fontId="7" fillId="0" borderId="0" xfId="0" applyFont="1"/>
    <xf numFmtId="0" fontId="12" fillId="8" borderId="0" xfId="0" applyFont="1" applyFill="1" applyAlignment="1">
      <alignment vertical="center"/>
    </xf>
    <xf numFmtId="14" fontId="14" fillId="8" borderId="3" xfId="0" applyNumberFormat="1" applyFont="1" applyFill="1" applyBorder="1" applyAlignment="1">
      <alignment horizontal="left" vertical="center" wrapText="1"/>
    </xf>
    <xf numFmtId="0" fontId="5" fillId="8" borderId="0" xfId="0" applyFont="1" applyFill="1"/>
    <xf numFmtId="0" fontId="0" fillId="8" borderId="0" xfId="0" applyFill="1"/>
    <xf numFmtId="0" fontId="0" fillId="0" borderId="8" xfId="0" applyBorder="1"/>
    <xf numFmtId="0" fontId="8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right" vertical="center" wrapText="1"/>
    </xf>
    <xf numFmtId="0" fontId="5" fillId="0" borderId="0" xfId="0" applyFont="1"/>
    <xf numFmtId="0" fontId="5" fillId="0" borderId="8" xfId="0" applyFont="1" applyBorder="1"/>
    <xf numFmtId="1" fontId="13" fillId="8" borderId="0" xfId="0" applyNumberFormat="1" applyFont="1" applyFill="1" applyAlignment="1">
      <alignment horizontal="right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17" fillId="9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5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vertical="center" wrapText="1"/>
    </xf>
    <xf numFmtId="1" fontId="15" fillId="8" borderId="0" xfId="0" applyNumberFormat="1" applyFont="1" applyFill="1" applyAlignment="1">
      <alignment horizontal="right" vertical="center" wrapText="1"/>
    </xf>
    <xf numFmtId="0" fontId="8" fillId="8" borderId="0" xfId="0" applyFont="1" applyFill="1" applyAlignment="1">
      <alignment horizontal="right" vertical="center" wrapText="1"/>
    </xf>
    <xf numFmtId="1" fontId="8" fillId="8" borderId="0" xfId="0" applyNumberFormat="1" applyFont="1" applyFill="1" applyAlignment="1">
      <alignment horizontal="right" vertical="center" wrapText="1"/>
    </xf>
    <xf numFmtId="0" fontId="15" fillId="8" borderId="0" xfId="0" applyFont="1" applyFill="1" applyAlignment="1">
      <alignment vertical="center" wrapText="1"/>
    </xf>
    <xf numFmtId="0" fontId="18" fillId="8" borderId="0" xfId="0" applyFont="1" applyFill="1" applyAlignment="1">
      <alignment horizontal="right" vertical="center" wrapText="1"/>
    </xf>
    <xf numFmtId="1" fontId="18" fillId="8" borderId="0" xfId="0" applyNumberFormat="1" applyFont="1" applyFill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1" fontId="13" fillId="2" borderId="4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1" fontId="13" fillId="5" borderId="4" xfId="0" applyNumberFormat="1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9" borderId="3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horizontal="right" vertical="center" wrapText="1"/>
    </xf>
    <xf numFmtId="1" fontId="13" fillId="4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7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" fillId="8" borderId="0" xfId="0" applyFont="1" applyFill="1" applyAlignment="1">
      <alignment horizontal="center" vertical="center" wrapText="1"/>
    </xf>
    <xf numFmtId="0" fontId="14" fillId="0" borderId="0" xfId="0" applyFont="1"/>
    <xf numFmtId="0" fontId="8" fillId="7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22" fillId="0" borderId="0" xfId="0" applyFont="1"/>
    <xf numFmtId="0" fontId="21" fillId="8" borderId="0" xfId="0" applyFont="1" applyFill="1" applyAlignment="1">
      <alignment vertical="center"/>
    </xf>
    <xf numFmtId="0" fontId="4" fillId="0" borderId="0" xfId="0" applyFont="1"/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1" fontId="13" fillId="7" borderId="4" xfId="0" applyNumberFormat="1" applyFont="1" applyFill="1" applyBorder="1" applyAlignment="1">
      <alignment horizontal="right" vertical="center" wrapText="1"/>
    </xf>
    <xf numFmtId="14" fontId="8" fillId="7" borderId="1" xfId="0" applyNumberFormat="1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right" vertical="center" wrapText="1"/>
    </xf>
    <xf numFmtId="1" fontId="9" fillId="8" borderId="4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7" fillId="9" borderId="2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horizontal="right" vertical="center" wrapText="1"/>
    </xf>
    <xf numFmtId="0" fontId="25" fillId="9" borderId="4" xfId="0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left" vertical="center" wrapText="1"/>
    </xf>
    <xf numFmtId="0" fontId="14" fillId="8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3" fillId="8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23" fillId="8" borderId="0" xfId="0" applyFont="1" applyFill="1" applyAlignment="1">
      <alignment horizontal="center" vertical="center" wrapText="1"/>
    </xf>
    <xf numFmtId="0" fontId="28" fillId="8" borderId="2" xfId="0" applyFont="1" applyFill="1" applyBorder="1" applyAlignment="1">
      <alignment horizontal="right" vertical="center" wrapText="1"/>
    </xf>
    <xf numFmtId="0" fontId="28" fillId="8" borderId="4" xfId="0" applyFont="1" applyFill="1" applyBorder="1" applyAlignment="1">
      <alignment horizontal="right" vertical="center" wrapText="1"/>
    </xf>
    <xf numFmtId="0" fontId="26" fillId="5" borderId="2" xfId="0" applyFont="1" applyFill="1" applyBorder="1" applyAlignment="1">
      <alignment horizontal="right" vertical="center" wrapText="1"/>
    </xf>
    <xf numFmtId="0" fontId="26" fillId="5" borderId="4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horizontal="right" vertical="center" wrapText="1"/>
    </xf>
    <xf numFmtId="0" fontId="30" fillId="2" borderId="4" xfId="0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right" vertical="center" wrapText="1"/>
    </xf>
    <xf numFmtId="0" fontId="30" fillId="7" borderId="4" xfId="0" applyFont="1" applyFill="1" applyBorder="1" applyAlignment="1">
      <alignment horizontal="right" vertical="center" wrapText="1"/>
    </xf>
    <xf numFmtId="0" fontId="0" fillId="8" borderId="13" xfId="0" applyFill="1" applyBorder="1" applyAlignment="1">
      <alignment vertical="center" wrapText="1"/>
    </xf>
    <xf numFmtId="0" fontId="13" fillId="3" borderId="1" xfId="0" applyFont="1" applyFill="1" applyBorder="1"/>
    <xf numFmtId="0" fontId="31" fillId="7" borderId="4" xfId="0" applyFont="1" applyFill="1" applyBorder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11" fillId="8" borderId="0" xfId="0" applyFont="1" applyFill="1"/>
    <xf numFmtId="0" fontId="14" fillId="8" borderId="0" xfId="0" applyFont="1" applyFill="1"/>
    <xf numFmtId="0" fontId="27" fillId="8" borderId="0" xfId="0" applyFont="1" applyFill="1" applyAlignment="1">
      <alignment horizontal="right" vertical="center" wrapText="1"/>
    </xf>
    <xf numFmtId="0" fontId="26" fillId="8" borderId="0" xfId="0" applyFont="1" applyFill="1" applyAlignment="1">
      <alignment horizontal="right" vertical="center" wrapText="1"/>
    </xf>
    <xf numFmtId="0" fontId="29" fillId="8" borderId="0" xfId="0" applyFont="1" applyFill="1" applyAlignment="1">
      <alignment horizontal="right" vertical="center" wrapText="1"/>
    </xf>
    <xf numFmtId="0" fontId="19" fillId="8" borderId="13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1" fontId="8" fillId="8" borderId="4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8" fillId="12" borderId="2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18" fillId="12" borderId="3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28" fillId="12" borderId="2" xfId="0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14" fontId="35" fillId="8" borderId="3" xfId="0" applyNumberFormat="1" applyFont="1" applyFill="1" applyBorder="1" applyAlignment="1">
      <alignment horizontal="left" vertical="center" wrapText="1"/>
    </xf>
    <xf numFmtId="0" fontId="34" fillId="6" borderId="2" xfId="0" applyFont="1" applyFill="1" applyBorder="1" applyAlignment="1">
      <alignment vertical="center" wrapText="1"/>
    </xf>
    <xf numFmtId="0" fontId="34" fillId="6" borderId="4" xfId="0" applyFont="1" applyFill="1" applyBorder="1" applyAlignment="1">
      <alignment vertical="center" wrapText="1"/>
    </xf>
    <xf numFmtId="14" fontId="32" fillId="4" borderId="3" xfId="0" applyNumberFormat="1" applyFont="1" applyFill="1" applyBorder="1" applyAlignment="1">
      <alignment horizontal="left" vertical="center" wrapText="1"/>
    </xf>
    <xf numFmtId="0" fontId="37" fillId="13" borderId="1" xfId="0" applyFont="1" applyFill="1" applyBorder="1" applyAlignment="1">
      <alignment vertical="center" wrapText="1"/>
    </xf>
    <xf numFmtId="0" fontId="37" fillId="13" borderId="3" xfId="0" applyFont="1" applyFill="1" applyBorder="1" applyAlignment="1">
      <alignment vertical="center" wrapText="1"/>
    </xf>
    <xf numFmtId="0" fontId="28" fillId="13" borderId="2" xfId="0" applyFont="1" applyFill="1" applyBorder="1" applyAlignment="1">
      <alignment horizontal="right" vertical="center" wrapText="1"/>
    </xf>
    <xf numFmtId="0" fontId="37" fillId="13" borderId="2" xfId="0" applyFont="1" applyFill="1" applyBorder="1" applyAlignment="1">
      <alignment horizontal="right" vertical="center" wrapText="1"/>
    </xf>
    <xf numFmtId="0" fontId="37" fillId="13" borderId="4" xfId="0" applyFont="1" applyFill="1" applyBorder="1" applyAlignment="1">
      <alignment horizontal="right" vertical="center" wrapText="1"/>
    </xf>
    <xf numFmtId="0" fontId="34" fillId="13" borderId="4" xfId="0" applyFont="1" applyFill="1" applyBorder="1" applyAlignment="1">
      <alignment vertical="center" wrapText="1"/>
    </xf>
    <xf numFmtId="14" fontId="38" fillId="13" borderId="3" xfId="0" applyNumberFormat="1" applyFont="1" applyFill="1" applyBorder="1" applyAlignment="1">
      <alignment horizontal="left" vertical="center" wrapText="1"/>
    </xf>
    <xf numFmtId="1" fontId="37" fillId="13" borderId="4" xfId="0" applyNumberFormat="1" applyFont="1" applyFill="1" applyBorder="1" applyAlignment="1">
      <alignment horizontal="right" vertical="center" wrapText="1"/>
    </xf>
    <xf numFmtId="0" fontId="39" fillId="6" borderId="2" xfId="0" applyFont="1" applyFill="1" applyBorder="1" applyAlignment="1">
      <alignment horizontal="right" vertical="center" wrapText="1"/>
    </xf>
    <xf numFmtId="0" fontId="39" fillId="6" borderId="4" xfId="0" applyFont="1" applyFill="1" applyBorder="1" applyAlignment="1">
      <alignment horizontal="right" vertical="center" wrapText="1"/>
    </xf>
    <xf numFmtId="0" fontId="39" fillId="11" borderId="2" xfId="0" applyFont="1" applyFill="1" applyBorder="1" applyAlignment="1">
      <alignment horizontal="right" vertical="center" wrapText="1"/>
    </xf>
    <xf numFmtId="0" fontId="39" fillId="11" borderId="4" xfId="0" applyFont="1" applyFill="1" applyBorder="1" applyAlignment="1">
      <alignment horizontal="right" vertical="center" wrapText="1"/>
    </xf>
    <xf numFmtId="0" fontId="37" fillId="13" borderId="0" xfId="0" applyFont="1" applyFill="1"/>
    <xf numFmtId="0" fontId="37" fillId="13" borderId="11" xfId="0" applyFont="1" applyFill="1" applyBorder="1"/>
    <xf numFmtId="0" fontId="37" fillId="13" borderId="2" xfId="0" applyFont="1" applyFill="1" applyBorder="1"/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3" xfId="0" applyFont="1" applyFill="1" applyBorder="1" applyAlignment="1">
      <alignment vertical="center" wrapText="1"/>
    </xf>
    <xf numFmtId="0" fontId="13" fillId="14" borderId="2" xfId="0" applyFont="1" applyFill="1" applyBorder="1" applyAlignment="1">
      <alignment horizontal="right" vertical="center" wrapText="1"/>
    </xf>
    <xf numFmtId="0" fontId="13" fillId="14" borderId="4" xfId="0" applyFont="1" applyFill="1" applyBorder="1" applyAlignment="1">
      <alignment horizontal="right" vertical="center" wrapText="1"/>
    </xf>
    <xf numFmtId="0" fontId="40" fillId="14" borderId="2" xfId="0" applyFont="1" applyFill="1" applyBorder="1" applyAlignment="1">
      <alignment horizontal="right" vertical="center" wrapText="1"/>
    </xf>
    <xf numFmtId="0" fontId="40" fillId="14" borderId="4" xfId="0" applyFont="1" applyFill="1" applyBorder="1" applyAlignment="1">
      <alignment horizontal="right" vertical="center" wrapText="1"/>
    </xf>
    <xf numFmtId="14" fontId="5" fillId="14" borderId="3" xfId="0" applyNumberFormat="1" applyFont="1" applyFill="1" applyBorder="1" applyAlignment="1">
      <alignment horizontal="left" vertical="center" wrapText="1"/>
    </xf>
    <xf numFmtId="1" fontId="13" fillId="14" borderId="4" xfId="0" applyNumberFormat="1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14" fontId="42" fillId="3" borderId="3" xfId="0" applyNumberFormat="1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right" vertical="center" wrapText="1"/>
    </xf>
    <xf numFmtId="1" fontId="30" fillId="3" borderId="4" xfId="0" applyNumberFormat="1" applyFont="1" applyFill="1" applyBorder="1" applyAlignment="1">
      <alignment horizontal="right" vertical="center" wrapText="1"/>
    </xf>
    <xf numFmtId="0" fontId="43" fillId="14" borderId="2" xfId="0" applyFont="1" applyFill="1" applyBorder="1" applyAlignment="1">
      <alignment horizontal="right" vertical="center" wrapText="1"/>
    </xf>
    <xf numFmtId="0" fontId="43" fillId="14" borderId="4" xfId="0" applyFont="1" applyFill="1" applyBorder="1" applyAlignment="1">
      <alignment vertical="center" wrapText="1"/>
    </xf>
    <xf numFmtId="0" fontId="43" fillId="7" borderId="2" xfId="0" applyFont="1" applyFill="1" applyBorder="1" applyAlignment="1">
      <alignment horizontal="right" vertical="center" wrapText="1"/>
    </xf>
    <xf numFmtId="0" fontId="43" fillId="7" borderId="4" xfId="0" applyFont="1" applyFill="1" applyBorder="1" applyAlignment="1">
      <alignment vertical="center" wrapText="1"/>
    </xf>
    <xf numFmtId="0" fontId="43" fillId="7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/>
    </xf>
    <xf numFmtId="0" fontId="8" fillId="8" borderId="1" xfId="0" applyFont="1" applyFill="1" applyBorder="1"/>
    <xf numFmtId="0" fontId="43" fillId="8" borderId="0" xfId="0" applyFont="1" applyFill="1" applyAlignment="1">
      <alignment vertical="center" wrapText="1"/>
    </xf>
    <xf numFmtId="0" fontId="40" fillId="8" borderId="0" xfId="0" applyFont="1" applyFill="1" applyAlignment="1">
      <alignment horizontal="right" vertical="center" wrapText="1"/>
    </xf>
    <xf numFmtId="0" fontId="30" fillId="8" borderId="0" xfId="0" applyFont="1" applyFill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14" fontId="8" fillId="8" borderId="4" xfId="0" applyNumberFormat="1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1" fontId="9" fillId="8" borderId="0" xfId="0" applyNumberFormat="1" applyFont="1" applyFill="1" applyAlignment="1">
      <alignment horizontal="right" vertical="center" wrapText="1"/>
    </xf>
    <xf numFmtId="0" fontId="32" fillId="8" borderId="0" xfId="0" applyFont="1" applyFill="1"/>
    <xf numFmtId="0" fontId="9" fillId="8" borderId="13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right" vertical="center" wrapText="1"/>
    </xf>
    <xf numFmtId="1" fontId="9" fillId="8" borderId="12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/>
    <xf numFmtId="0" fontId="8" fillId="8" borderId="12" xfId="0" applyFont="1" applyFill="1" applyBorder="1"/>
    <xf numFmtId="1" fontId="8" fillId="8" borderId="2" xfId="0" applyNumberFormat="1" applyFont="1" applyFill="1" applyBorder="1"/>
    <xf numFmtId="1" fontId="8" fillId="8" borderId="1" xfId="0" applyNumberFormat="1" applyFont="1" applyFill="1" applyBorder="1"/>
    <xf numFmtId="1" fontId="37" fillId="13" borderId="0" xfId="0" applyNumberFormat="1" applyFont="1" applyFill="1" applyAlignment="1">
      <alignment horizontal="right"/>
    </xf>
    <xf numFmtId="1" fontId="37" fillId="13" borderId="12" xfId="0" applyNumberFormat="1" applyFont="1" applyFill="1" applyBorder="1" applyAlignment="1">
      <alignment horizontal="right"/>
    </xf>
    <xf numFmtId="1" fontId="37" fillId="13" borderId="2" xfId="0" applyNumberFormat="1" applyFont="1" applyFill="1" applyBorder="1" applyAlignment="1">
      <alignment horizontal="right"/>
    </xf>
    <xf numFmtId="0" fontId="37" fillId="13" borderId="0" xfId="0" applyFont="1" applyFill="1" applyAlignment="1">
      <alignment horizontal="right"/>
    </xf>
    <xf numFmtId="0" fontId="37" fillId="13" borderId="12" xfId="0" applyFont="1" applyFill="1" applyBorder="1" applyAlignment="1">
      <alignment horizontal="right"/>
    </xf>
    <xf numFmtId="0" fontId="13" fillId="14" borderId="1" xfId="0" applyFont="1" applyFill="1" applyBorder="1"/>
    <xf numFmtId="14" fontId="9" fillId="8" borderId="3" xfId="0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vertical="center" wrapText="1"/>
    </xf>
    <xf numFmtId="14" fontId="13" fillId="14" borderId="3" xfId="0" applyNumberFormat="1" applyFont="1" applyFill="1" applyBorder="1" applyAlignment="1">
      <alignment horizontal="left" vertical="center" wrapText="1"/>
    </xf>
    <xf numFmtId="0" fontId="8" fillId="8" borderId="4" xfId="0" applyFont="1" applyFill="1" applyBorder="1"/>
    <xf numFmtId="0" fontId="8" fillId="8" borderId="5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right" vertical="center" wrapText="1"/>
    </xf>
    <xf numFmtId="1" fontId="9" fillId="8" borderId="8" xfId="0" applyNumberFormat="1" applyFont="1" applyFill="1" applyBorder="1" applyAlignment="1">
      <alignment horizontal="right" vertical="center" wrapText="1"/>
    </xf>
    <xf numFmtId="14" fontId="47" fillId="15" borderId="3" xfId="0" applyNumberFormat="1" applyFont="1" applyFill="1" applyBorder="1" applyAlignment="1">
      <alignment horizontal="left" vertical="center" wrapText="1"/>
    </xf>
    <xf numFmtId="1" fontId="8" fillId="6" borderId="4" xfId="0" applyNumberFormat="1" applyFont="1" applyFill="1" applyBorder="1" applyAlignment="1">
      <alignment horizontal="right" vertical="center" wrapText="1"/>
    </xf>
    <xf numFmtId="0" fontId="31" fillId="6" borderId="4" xfId="0" applyFont="1" applyFill="1" applyBorder="1" applyAlignment="1">
      <alignment horizontal="right" vertical="center" wrapText="1"/>
    </xf>
    <xf numFmtId="1" fontId="31" fillId="6" borderId="4" xfId="0" applyNumberFormat="1" applyFont="1" applyFill="1" applyBorder="1" applyAlignment="1">
      <alignment horizontal="right" vertical="center" wrapText="1"/>
    </xf>
    <xf numFmtId="0" fontId="37" fillId="8" borderId="4" xfId="0" applyFont="1" applyFill="1" applyBorder="1" applyAlignment="1">
      <alignment horizontal="right" vertical="center" wrapText="1"/>
    </xf>
    <xf numFmtId="1" fontId="37" fillId="8" borderId="4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48" fillId="7" borderId="4" xfId="0" applyFont="1" applyFill="1" applyBorder="1" applyAlignment="1">
      <alignment horizontal="right" vertical="center" wrapText="1"/>
    </xf>
    <xf numFmtId="0" fontId="9" fillId="0" borderId="0" xfId="0" applyFont="1"/>
    <xf numFmtId="14" fontId="47" fillId="16" borderId="3" xfId="0" applyNumberFormat="1" applyFont="1" applyFill="1" applyBorder="1" applyAlignment="1">
      <alignment horizontal="left" vertical="center" wrapText="1"/>
    </xf>
    <xf numFmtId="14" fontId="14" fillId="16" borderId="3" xfId="0" applyNumberFormat="1" applyFont="1" applyFill="1" applyBorder="1" applyAlignment="1">
      <alignment horizontal="left" vertical="center" wrapText="1"/>
    </xf>
    <xf numFmtId="0" fontId="49" fillId="10" borderId="2" xfId="0" applyFont="1" applyFill="1" applyBorder="1" applyAlignment="1">
      <alignment vertical="center" wrapText="1"/>
    </xf>
    <xf numFmtId="0" fontId="49" fillId="10" borderId="2" xfId="0" applyFont="1" applyFill="1" applyBorder="1" applyAlignment="1">
      <alignment horizontal="center" vertical="center" wrapText="1"/>
    </xf>
    <xf numFmtId="0" fontId="48" fillId="10" borderId="3" xfId="0" applyFont="1" applyFill="1" applyBorder="1" applyAlignment="1">
      <alignment vertical="center" wrapText="1"/>
    </xf>
    <xf numFmtId="0" fontId="48" fillId="10" borderId="4" xfId="0" applyFont="1" applyFill="1" applyBorder="1" applyAlignment="1">
      <alignment vertical="center" wrapText="1"/>
    </xf>
    <xf numFmtId="0" fontId="48" fillId="10" borderId="4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vertical="center" wrapText="1"/>
    </xf>
    <xf numFmtId="0" fontId="49" fillId="7" borderId="2" xfId="0" applyFont="1" applyFill="1" applyBorder="1" applyAlignment="1">
      <alignment vertical="center" wrapText="1"/>
    </xf>
    <xf numFmtId="0" fontId="49" fillId="7" borderId="2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vertical="center" wrapText="1"/>
    </xf>
    <xf numFmtId="0" fontId="48" fillId="7" borderId="4" xfId="0" applyFont="1" applyFill="1" applyBorder="1" applyAlignment="1">
      <alignment vertical="center" wrapText="1"/>
    </xf>
    <xf numFmtId="0" fontId="48" fillId="7" borderId="4" xfId="0" applyFont="1" applyFill="1" applyBorder="1" applyAlignment="1">
      <alignment horizontal="center" vertical="center" wrapText="1"/>
    </xf>
    <xf numFmtId="14" fontId="48" fillId="7" borderId="1" xfId="0" applyNumberFormat="1" applyFont="1" applyFill="1" applyBorder="1" applyAlignment="1">
      <alignment horizontal="left" vertical="center" wrapText="1"/>
    </xf>
    <xf numFmtId="1" fontId="48" fillId="7" borderId="4" xfId="0" applyNumberFormat="1" applyFont="1" applyFill="1" applyBorder="1" applyAlignment="1">
      <alignment horizontal="right" vertical="center" wrapText="1"/>
    </xf>
    <xf numFmtId="0" fontId="50" fillId="4" borderId="4" xfId="0" applyFont="1" applyFill="1" applyBorder="1" applyAlignment="1">
      <alignment horizontal="right" vertical="center" wrapText="1"/>
    </xf>
    <xf numFmtId="0" fontId="50" fillId="4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/>
    </xf>
    <xf numFmtId="14" fontId="14" fillId="2" borderId="3" xfId="0" applyNumberFormat="1" applyFont="1" applyFill="1" applyBorder="1" applyAlignment="1">
      <alignment horizontal="left" vertical="center" wrapText="1"/>
    </xf>
    <xf numFmtId="14" fontId="8" fillId="6" borderId="4" xfId="0" applyNumberFormat="1" applyFont="1" applyFill="1" applyBorder="1" applyAlignment="1">
      <alignment horizontal="right" vertical="center" wrapText="1"/>
    </xf>
    <xf numFmtId="1" fontId="8" fillId="8" borderId="0" xfId="0" applyNumberFormat="1" applyFont="1" applyFill="1" applyAlignment="1">
      <alignment horizontal="right"/>
    </xf>
    <xf numFmtId="1" fontId="8" fillId="8" borderId="2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0" fontId="37" fillId="8" borderId="1" xfId="0" applyFont="1" applyFill="1" applyBorder="1" applyAlignment="1">
      <alignment horizontal="right" vertical="center" wrapText="1"/>
    </xf>
    <xf numFmtId="0" fontId="30" fillId="3" borderId="1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horizontal="right"/>
    </xf>
    <xf numFmtId="1" fontId="8" fillId="8" borderId="12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1" fontId="9" fillId="4" borderId="4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/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48" fillId="7" borderId="1" xfId="0" applyFont="1" applyFill="1" applyBorder="1" applyAlignment="1">
      <alignment horizontal="right" vertical="center" wrapText="1"/>
    </xf>
    <xf numFmtId="0" fontId="13" fillId="14" borderId="4" xfId="0" applyFont="1" applyFill="1" applyBorder="1"/>
    <xf numFmtId="0" fontId="8" fillId="8" borderId="3" xfId="0" applyFont="1" applyFill="1" applyBorder="1" applyAlignment="1">
      <alignment horizontal="righ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0" fontId="10" fillId="3" borderId="1" xfId="0" applyFont="1" applyFill="1" applyBorder="1"/>
    <xf numFmtId="0" fontId="51" fillId="2" borderId="2" xfId="0" applyFont="1" applyFill="1" applyBorder="1" applyAlignment="1">
      <alignment horizontal="right" vertical="center" wrapText="1"/>
    </xf>
    <xf numFmtId="0" fontId="51" fillId="2" borderId="4" xfId="0" applyFont="1" applyFill="1" applyBorder="1" applyAlignment="1">
      <alignment horizontal="right" vertical="center" wrapText="1"/>
    </xf>
    <xf numFmtId="0" fontId="51" fillId="7" borderId="2" xfId="0" applyFont="1" applyFill="1" applyBorder="1" applyAlignment="1">
      <alignment horizontal="right" vertical="center" wrapText="1"/>
    </xf>
    <xf numFmtId="0" fontId="51" fillId="7" borderId="4" xfId="0" applyFont="1" applyFill="1" applyBorder="1" applyAlignment="1">
      <alignment horizontal="right" vertical="center" wrapText="1"/>
    </xf>
    <xf numFmtId="14" fontId="53" fillId="13" borderId="3" xfId="0" applyNumberFormat="1" applyFont="1" applyFill="1" applyBorder="1" applyAlignment="1">
      <alignment horizontal="left" vertical="center" wrapText="1"/>
    </xf>
    <xf numFmtId="0" fontId="51" fillId="8" borderId="2" xfId="0" applyFont="1" applyFill="1" applyBorder="1" applyAlignment="1">
      <alignment horizontal="right" vertical="center" wrapText="1"/>
    </xf>
    <xf numFmtId="0" fontId="51" fillId="8" borderId="4" xfId="0" applyFont="1" applyFill="1" applyBorder="1" applyAlignment="1">
      <alignment horizontal="right" vertical="center" wrapText="1"/>
    </xf>
    <xf numFmtId="0" fontId="51" fillId="6" borderId="2" xfId="0" applyFont="1" applyFill="1" applyBorder="1" applyAlignment="1">
      <alignment horizontal="right" vertical="center" wrapText="1"/>
    </xf>
    <xf numFmtId="0" fontId="51" fillId="6" borderId="4" xfId="0" applyFont="1" applyFill="1" applyBorder="1" applyAlignment="1">
      <alignment horizontal="right" vertical="center" wrapText="1"/>
    </xf>
    <xf numFmtId="0" fontId="52" fillId="4" borderId="2" xfId="0" applyFont="1" applyFill="1" applyBorder="1" applyAlignment="1">
      <alignment horizontal="right" vertical="center" wrapText="1"/>
    </xf>
    <xf numFmtId="0" fontId="52" fillId="4" borderId="4" xfId="0" applyFont="1" applyFill="1" applyBorder="1" applyAlignment="1">
      <alignment horizontal="right" vertical="center" wrapText="1"/>
    </xf>
    <xf numFmtId="0" fontId="54" fillId="5" borderId="2" xfId="0" applyFont="1" applyFill="1" applyBorder="1" applyAlignment="1">
      <alignment horizontal="right" vertical="center" wrapText="1"/>
    </xf>
    <xf numFmtId="0" fontId="54" fillId="5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52" fillId="9" borderId="2" xfId="0" applyFont="1" applyFill="1" applyBorder="1" applyAlignment="1">
      <alignment horizontal="right" vertical="center" wrapText="1"/>
    </xf>
    <xf numFmtId="0" fontId="52" fillId="9" borderId="4" xfId="0" applyFont="1" applyFill="1" applyBorder="1" applyAlignment="1">
      <alignment horizontal="right" vertical="center" wrapText="1"/>
    </xf>
    <xf numFmtId="0" fontId="54" fillId="3" borderId="2" xfId="0" applyFont="1" applyFill="1" applyBorder="1" applyAlignment="1">
      <alignment horizontal="right" vertical="center" wrapText="1"/>
    </xf>
    <xf numFmtId="0" fontId="54" fillId="3" borderId="4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51" fillId="10" borderId="4" xfId="0" applyFont="1" applyFill="1" applyBorder="1" applyAlignment="1">
      <alignment horizontal="center" vertical="center" wrapText="1"/>
    </xf>
    <xf numFmtId="0" fontId="52" fillId="13" borderId="0" xfId="0" applyFont="1" applyFill="1"/>
    <xf numFmtId="0" fontId="53" fillId="13" borderId="0" xfId="0" applyFont="1" applyFill="1"/>
    <xf numFmtId="0" fontId="34" fillId="6" borderId="2" xfId="0" applyFont="1" applyFill="1" applyBorder="1" applyAlignment="1">
      <alignment horizontal="right" vertical="center" wrapText="1"/>
    </xf>
    <xf numFmtId="0" fontId="55" fillId="4" borderId="2" xfId="0" applyFont="1" applyFill="1" applyBorder="1" applyAlignment="1">
      <alignment horizontal="right" vertical="center" wrapText="1"/>
    </xf>
    <xf numFmtId="0" fontId="55" fillId="4" borderId="4" xfId="0" applyFont="1" applyFill="1" applyBorder="1" applyAlignment="1">
      <alignment vertical="center" wrapText="1"/>
    </xf>
    <xf numFmtId="0" fontId="39" fillId="6" borderId="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horizontal="right" vertical="center" wrapText="1"/>
    </xf>
    <xf numFmtId="0" fontId="39" fillId="8" borderId="2" xfId="0" applyFont="1" applyFill="1" applyBorder="1" applyAlignment="1">
      <alignment horizontal="right" vertical="center" wrapText="1"/>
    </xf>
    <xf numFmtId="0" fontId="39" fillId="8" borderId="4" xfId="0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right" vertical="center" wrapText="1"/>
    </xf>
    <xf numFmtId="14" fontId="56" fillId="8" borderId="3" xfId="0" applyNumberFormat="1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right"/>
    </xf>
    <xf numFmtId="0" fontId="34" fillId="8" borderId="2" xfId="0" applyFont="1" applyFill="1" applyBorder="1" applyAlignment="1">
      <alignment horizontal="right" vertical="center" wrapText="1"/>
    </xf>
    <xf numFmtId="0" fontId="34" fillId="8" borderId="4" xfId="0" applyFont="1" applyFill="1" applyBorder="1" applyAlignment="1">
      <alignment vertical="center" wrapText="1"/>
    </xf>
    <xf numFmtId="14" fontId="57" fillId="8" borderId="3" xfId="0" applyNumberFormat="1" applyFont="1" applyFill="1" applyBorder="1" applyAlignment="1">
      <alignment horizontal="left" vertical="center" wrapText="1"/>
    </xf>
    <xf numFmtId="0" fontId="46" fillId="6" borderId="2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horizontal="right" vertical="center" wrapText="1"/>
    </xf>
    <xf numFmtId="0" fontId="26" fillId="7" borderId="4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vertical="center" wrapText="1"/>
    </xf>
    <xf numFmtId="0" fontId="46" fillId="12" borderId="2" xfId="0" applyFont="1" applyFill="1" applyBorder="1" applyAlignment="1">
      <alignment horizontal="right" vertical="center" wrapText="1"/>
    </xf>
    <xf numFmtId="0" fontId="46" fillId="12" borderId="4" xfId="0" applyFont="1" applyFill="1" applyBorder="1" applyAlignment="1">
      <alignment vertical="center" wrapText="1"/>
    </xf>
    <xf numFmtId="0" fontId="46" fillId="12" borderId="2" xfId="0" applyFont="1" applyFill="1" applyBorder="1" applyAlignment="1">
      <alignment vertical="center" wrapText="1"/>
    </xf>
    <xf numFmtId="0" fontId="39" fillId="11" borderId="4" xfId="0" applyFont="1" applyFill="1" applyBorder="1" applyAlignment="1">
      <alignment vertical="center" wrapText="1"/>
    </xf>
    <xf numFmtId="0" fontId="39" fillId="12" borderId="2" xfId="0" applyFont="1" applyFill="1" applyBorder="1" applyAlignment="1">
      <alignment horizontal="right" vertical="center" wrapText="1"/>
    </xf>
    <xf numFmtId="0" fontId="39" fillId="12" borderId="4" xfId="0" applyFont="1" applyFill="1" applyBorder="1" applyAlignment="1">
      <alignment vertical="center" wrapText="1"/>
    </xf>
    <xf numFmtId="0" fontId="39" fillId="12" borderId="2" xfId="0" applyFont="1" applyFill="1" applyBorder="1" applyAlignment="1">
      <alignment vertical="center" wrapText="1"/>
    </xf>
    <xf numFmtId="14" fontId="47" fillId="8" borderId="3" xfId="0" applyNumberFormat="1" applyFont="1" applyFill="1" applyBorder="1" applyAlignment="1">
      <alignment horizontal="left"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right" vertical="center" wrapText="1"/>
    </xf>
    <xf numFmtId="0" fontId="46" fillId="0" borderId="0" xfId="0" applyFont="1"/>
    <xf numFmtId="0" fontId="26" fillId="14" borderId="2" xfId="0" applyFont="1" applyFill="1" applyBorder="1" applyAlignment="1">
      <alignment horizontal="right" vertical="center" wrapText="1"/>
    </xf>
    <xf numFmtId="0" fontId="26" fillId="14" borderId="4" xfId="0" applyFont="1" applyFill="1" applyBorder="1" applyAlignment="1">
      <alignment vertical="center" wrapText="1"/>
    </xf>
    <xf numFmtId="14" fontId="58" fillId="8" borderId="3" xfId="0" applyNumberFormat="1" applyFont="1" applyFill="1" applyBorder="1" applyAlignment="1">
      <alignment horizontal="left" vertical="center" wrapText="1"/>
    </xf>
    <xf numFmtId="0" fontId="45" fillId="16" borderId="1" xfId="0" applyFont="1" applyFill="1" applyBorder="1" applyAlignment="1">
      <alignment vertical="center" wrapText="1"/>
    </xf>
    <xf numFmtId="0" fontId="39" fillId="16" borderId="2" xfId="0" applyFont="1" applyFill="1" applyBorder="1" applyAlignment="1">
      <alignment horizontal="right" vertical="center" wrapText="1"/>
    </xf>
    <xf numFmtId="0" fontId="45" fillId="16" borderId="2" xfId="0" applyFont="1" applyFill="1" applyBorder="1" applyAlignment="1">
      <alignment horizontal="right" vertical="center" wrapText="1"/>
    </xf>
    <xf numFmtId="0" fontId="45" fillId="16" borderId="3" xfId="0" applyFont="1" applyFill="1" applyBorder="1" applyAlignment="1">
      <alignment vertical="center" wrapText="1"/>
    </xf>
    <xf numFmtId="0" fontId="39" fillId="16" borderId="4" xfId="0" applyFont="1" applyFill="1" applyBorder="1" applyAlignment="1">
      <alignment vertical="center" wrapText="1"/>
    </xf>
    <xf numFmtId="0" fontId="39" fillId="16" borderId="4" xfId="0" applyFont="1" applyFill="1" applyBorder="1" applyAlignment="1">
      <alignment horizontal="right" vertical="center" wrapText="1"/>
    </xf>
    <xf numFmtId="0" fontId="45" fillId="16" borderId="4" xfId="0" applyFont="1" applyFill="1" applyBorder="1" applyAlignment="1">
      <alignment horizontal="right" vertical="center" wrapText="1"/>
    </xf>
    <xf numFmtId="14" fontId="33" fillId="16" borderId="3" xfId="0" applyNumberFormat="1" applyFont="1" applyFill="1" applyBorder="1" applyAlignment="1">
      <alignment horizontal="left" vertical="center" wrapText="1"/>
    </xf>
    <xf numFmtId="1" fontId="45" fillId="16" borderId="4" xfId="0" applyNumberFormat="1" applyFont="1" applyFill="1" applyBorder="1" applyAlignment="1">
      <alignment horizontal="right" vertical="center" wrapText="1"/>
    </xf>
    <xf numFmtId="0" fontId="45" fillId="16" borderId="1" xfId="0" applyFont="1" applyFill="1" applyBorder="1" applyAlignment="1">
      <alignment horizontal="right" vertical="center" wrapText="1"/>
    </xf>
    <xf numFmtId="0" fontId="45" fillId="16" borderId="1" xfId="0" applyFont="1" applyFill="1" applyBorder="1"/>
    <xf numFmtId="0" fontId="7" fillId="12" borderId="2" xfId="0" applyFont="1" applyFill="1" applyBorder="1" applyAlignment="1">
      <alignment horizontal="right" vertical="center" wrapText="1"/>
    </xf>
    <xf numFmtId="0" fontId="39" fillId="12" borderId="4" xfId="0" applyFont="1" applyFill="1" applyBorder="1" applyAlignment="1">
      <alignment horizontal="right" vertical="center" wrapText="1"/>
    </xf>
    <xf numFmtId="14" fontId="5" fillId="5" borderId="3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/>
    <xf numFmtId="0" fontId="34" fillId="12" borderId="2" xfId="0" applyFont="1" applyFill="1" applyBorder="1" applyAlignment="1">
      <alignment vertical="center" wrapText="1"/>
    </xf>
    <xf numFmtId="0" fontId="34" fillId="12" borderId="4" xfId="0" applyFont="1" applyFill="1" applyBorder="1" applyAlignment="1">
      <alignment vertical="center" wrapText="1"/>
    </xf>
    <xf numFmtId="0" fontId="34" fillId="12" borderId="3" xfId="0" applyFont="1" applyFill="1" applyBorder="1" applyAlignment="1">
      <alignment vertical="center" wrapText="1"/>
    </xf>
    <xf numFmtId="0" fontId="34" fillId="12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34" fillId="12" borderId="2" xfId="0" applyFont="1" applyFill="1" applyBorder="1" applyAlignment="1">
      <alignment horizontal="right" vertical="center" wrapText="1"/>
    </xf>
    <xf numFmtId="0" fontId="34" fillId="12" borderId="4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59" fillId="12" borderId="2" xfId="0" applyFont="1" applyFill="1" applyBorder="1" applyAlignment="1">
      <alignment horizontal="right" vertical="center" wrapText="1"/>
    </xf>
    <xf numFmtId="0" fontId="59" fillId="12" borderId="4" xfId="0" applyFont="1" applyFill="1" applyBorder="1" applyAlignment="1">
      <alignment horizontal="right" vertical="center" wrapText="1"/>
    </xf>
    <xf numFmtId="14" fontId="14" fillId="11" borderId="3" xfId="0" applyNumberFormat="1" applyFont="1" applyFill="1" applyBorder="1" applyAlignment="1">
      <alignment horizontal="left" vertical="center" wrapText="1"/>
    </xf>
    <xf numFmtId="0" fontId="34" fillId="13" borderId="2" xfId="0" applyFont="1" applyFill="1" applyBorder="1" applyAlignment="1">
      <alignment horizontal="right" vertical="center" wrapText="1"/>
    </xf>
    <xf numFmtId="0" fontId="28" fillId="13" borderId="4" xfId="0" applyFont="1" applyFill="1" applyBorder="1" applyAlignment="1">
      <alignment vertical="center" wrapText="1"/>
    </xf>
    <xf numFmtId="0" fontId="60" fillId="13" borderId="2" xfId="0" applyFont="1" applyFill="1" applyBorder="1" applyAlignment="1">
      <alignment horizontal="right" vertical="center" wrapText="1"/>
    </xf>
    <xf numFmtId="0" fontId="60" fillId="13" borderId="4" xfId="0" applyFont="1" applyFill="1" applyBorder="1" applyAlignment="1">
      <alignment horizontal="right" vertical="center" wrapText="1"/>
    </xf>
    <xf numFmtId="0" fontId="62" fillId="11" borderId="1" xfId="0" applyFont="1" applyFill="1" applyBorder="1" applyAlignment="1">
      <alignment vertical="center" wrapText="1"/>
    </xf>
    <xf numFmtId="0" fontId="62" fillId="11" borderId="3" xfId="0" applyFont="1" applyFill="1" applyBorder="1" applyAlignment="1">
      <alignment vertical="center" wrapText="1"/>
    </xf>
    <xf numFmtId="0" fontId="62" fillId="12" borderId="2" xfId="0" applyFont="1" applyFill="1" applyBorder="1" applyAlignment="1">
      <alignment vertical="center" wrapText="1"/>
    </xf>
    <xf numFmtId="0" fontId="62" fillId="12" borderId="4" xfId="0" applyFont="1" applyFill="1" applyBorder="1" applyAlignment="1">
      <alignment vertical="center" wrapText="1"/>
    </xf>
    <xf numFmtId="0" fontId="62" fillId="12" borderId="3" xfId="0" applyFont="1" applyFill="1" applyBorder="1" applyAlignment="1">
      <alignment vertical="center" wrapText="1"/>
    </xf>
    <xf numFmtId="0" fontId="62" fillId="12" borderId="1" xfId="0" applyFont="1" applyFill="1" applyBorder="1" applyAlignment="1">
      <alignment vertical="center" wrapText="1"/>
    </xf>
    <xf numFmtId="14" fontId="63" fillId="11" borderId="3" xfId="0" applyNumberFormat="1" applyFont="1" applyFill="1" applyBorder="1" applyAlignment="1">
      <alignment horizontal="left" vertical="center" wrapText="1"/>
    </xf>
    <xf numFmtId="0" fontId="62" fillId="11" borderId="4" xfId="0" applyFont="1" applyFill="1" applyBorder="1" applyAlignment="1">
      <alignment horizontal="right" vertical="center" wrapText="1"/>
    </xf>
    <xf numFmtId="1" fontId="62" fillId="11" borderId="4" xfId="0" applyNumberFormat="1" applyFont="1" applyFill="1" applyBorder="1" applyAlignment="1">
      <alignment horizontal="right" vertical="center" wrapText="1"/>
    </xf>
    <xf numFmtId="0" fontId="62" fillId="11" borderId="1" xfId="0" applyFont="1" applyFill="1" applyBorder="1" applyAlignment="1">
      <alignment horizontal="right" vertical="center" wrapText="1"/>
    </xf>
    <xf numFmtId="0" fontId="62" fillId="11" borderId="1" xfId="0" applyFont="1" applyFill="1" applyBorder="1"/>
    <xf numFmtId="0" fontId="62" fillId="12" borderId="2" xfId="0" applyFont="1" applyFill="1" applyBorder="1" applyAlignment="1">
      <alignment horizontal="right" vertical="center" wrapText="1"/>
    </xf>
    <xf numFmtId="0" fontId="62" fillId="12" borderId="4" xfId="0" applyFont="1" applyFill="1" applyBorder="1" applyAlignment="1">
      <alignment horizontal="right" vertical="center" wrapText="1"/>
    </xf>
    <xf numFmtId="0" fontId="62" fillId="11" borderId="2" xfId="0" applyFont="1" applyFill="1" applyBorder="1" applyAlignment="1">
      <alignment horizontal="right" vertical="center" wrapText="1"/>
    </xf>
    <xf numFmtId="0" fontId="25" fillId="3" borderId="2" xfId="0" applyFont="1" applyFill="1" applyBorder="1" applyAlignment="1">
      <alignment horizontal="right" vertical="center" wrapText="1"/>
    </xf>
    <xf numFmtId="0" fontId="25" fillId="3" borderId="4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horizontal="right" vertical="center" wrapText="1"/>
    </xf>
    <xf numFmtId="0" fontId="25" fillId="7" borderId="4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vertical="center" wrapText="1"/>
    </xf>
    <xf numFmtId="0" fontId="64" fillId="6" borderId="2" xfId="0" applyFont="1" applyFill="1" applyBorder="1" applyAlignment="1">
      <alignment horizontal="right" vertical="center" wrapText="1"/>
    </xf>
    <xf numFmtId="0" fontId="64" fillId="6" borderId="4" xfId="0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vertical="center" wrapText="1"/>
    </xf>
    <xf numFmtId="0" fontId="28" fillId="8" borderId="0" xfId="0" applyFont="1" applyFill="1"/>
    <xf numFmtId="0" fontId="57" fillId="8" borderId="0" xfId="0" applyFont="1" applyFill="1"/>
    <xf numFmtId="0" fontId="10" fillId="3" borderId="1" xfId="0" applyFont="1" applyFill="1" applyBorder="1" applyAlignment="1">
      <alignment horizontal="right" vertical="center" wrapText="1"/>
    </xf>
    <xf numFmtId="1" fontId="10" fillId="3" borderId="1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30" fillId="3" borderId="1" xfId="0" applyFont="1" applyFill="1" applyBorder="1"/>
    <xf numFmtId="0" fontId="26" fillId="9" borderId="2" xfId="0" applyFont="1" applyFill="1" applyBorder="1" applyAlignment="1">
      <alignment horizontal="right" vertical="center" wrapText="1"/>
    </xf>
    <xf numFmtId="0" fontId="26" fillId="9" borderId="4" xfId="0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horizontal="right" vertical="center" wrapText="1"/>
    </xf>
    <xf numFmtId="0" fontId="26" fillId="4" borderId="4" xfId="0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1" fontId="9" fillId="8" borderId="1" xfId="0" applyNumberFormat="1" applyFont="1" applyFill="1" applyBorder="1" applyAlignment="1">
      <alignment horizontal="right" vertical="center" wrapText="1"/>
    </xf>
    <xf numFmtId="0" fontId="65" fillId="0" borderId="0" xfId="0" applyFont="1"/>
    <xf numFmtId="0" fontId="66" fillId="7" borderId="2" xfId="0" applyFont="1" applyFill="1" applyBorder="1" applyAlignment="1">
      <alignment horizontal="right" vertical="center" wrapText="1"/>
    </xf>
    <xf numFmtId="0" fontId="66" fillId="7" borderId="4" xfId="0" applyFont="1" applyFill="1" applyBorder="1" applyAlignment="1">
      <alignment horizontal="right" vertical="center" wrapText="1"/>
    </xf>
    <xf numFmtId="0" fontId="67" fillId="0" borderId="0" xfId="0" applyFont="1"/>
    <xf numFmtId="0" fontId="14" fillId="8" borderId="9" xfId="0" applyFont="1" applyFill="1" applyBorder="1" applyAlignment="1">
      <alignment vertical="center" wrapText="1"/>
    </xf>
    <xf numFmtId="0" fontId="0" fillId="0" borderId="8" xfId="0" applyBorder="1"/>
    <xf numFmtId="0" fontId="61" fillId="11" borderId="11" xfId="0" applyFont="1" applyFill="1" applyBorder="1" applyAlignment="1">
      <alignment horizontal="left" vertical="center"/>
    </xf>
    <xf numFmtId="0" fontId="61" fillId="11" borderId="12" xfId="0" applyFont="1" applyFill="1" applyBorder="1" applyAlignment="1">
      <alignment horizontal="left" vertical="center"/>
    </xf>
    <xf numFmtId="0" fontId="61" fillId="11" borderId="2" xfId="0" applyFont="1" applyFill="1" applyBorder="1" applyAlignment="1">
      <alignment horizontal="left" vertical="center"/>
    </xf>
    <xf numFmtId="0" fontId="62" fillId="11" borderId="7" xfId="0" applyFont="1" applyFill="1" applyBorder="1" applyAlignment="1">
      <alignment horizontal="left" vertical="center" wrapText="1"/>
    </xf>
    <xf numFmtId="0" fontId="62" fillId="11" borderId="3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>
      <alignment horizontal="left" vertical="center" wrapText="1"/>
    </xf>
    <xf numFmtId="0" fontId="46" fillId="8" borderId="3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1" fillId="0" borderId="0" xfId="0" applyFont="1"/>
    <xf numFmtId="0" fontId="46" fillId="16" borderId="7" xfId="0" applyFont="1" applyFill="1" applyBorder="1" applyAlignment="1">
      <alignment horizontal="left" vertical="center" wrapText="1"/>
    </xf>
    <xf numFmtId="0" fontId="46" fillId="16" borderId="3" xfId="0" applyFont="1" applyFill="1" applyBorder="1" applyAlignment="1">
      <alignment horizontal="left" vertical="center" wrapText="1"/>
    </xf>
    <xf numFmtId="0" fontId="39" fillId="8" borderId="7" xfId="0" applyFont="1" applyFill="1" applyBorder="1" applyAlignment="1">
      <alignment horizontal="left" vertical="center" wrapText="1"/>
    </xf>
    <xf numFmtId="0" fontId="39" fillId="8" borderId="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4" fillId="16" borderId="11" xfId="0" applyFont="1" applyFill="1" applyBorder="1" applyAlignment="1">
      <alignment horizontal="left" vertical="center"/>
    </xf>
    <xf numFmtId="0" fontId="44" fillId="16" borderId="12" xfId="0" applyFont="1" applyFill="1" applyBorder="1" applyAlignment="1">
      <alignment horizontal="left" vertical="center"/>
    </xf>
    <xf numFmtId="0" fontId="44" fillId="16" borderId="2" xfId="0" applyFont="1" applyFill="1" applyBorder="1" applyAlignment="1">
      <alignment horizontal="left" vertical="center"/>
    </xf>
    <xf numFmtId="0" fontId="45" fillId="16" borderId="7" xfId="0" applyFont="1" applyFill="1" applyBorder="1" applyAlignment="1">
      <alignment horizontal="left" vertical="center" wrapText="1"/>
    </xf>
    <xf numFmtId="0" fontId="45" fillId="16" borderId="3" xfId="0" applyFont="1" applyFill="1" applyBorder="1" applyAlignment="1">
      <alignment horizontal="left" vertical="center" wrapText="1"/>
    </xf>
    <xf numFmtId="0" fontId="41" fillId="3" borderId="11" xfId="0" applyFont="1" applyFill="1" applyBorder="1" applyAlignment="1">
      <alignment horizontal="left" vertical="center"/>
    </xf>
    <xf numFmtId="0" fontId="41" fillId="3" borderId="12" xfId="0" applyFont="1" applyFill="1" applyBorder="1" applyAlignment="1">
      <alignment horizontal="left" vertical="center"/>
    </xf>
    <xf numFmtId="0" fontId="41" fillId="3" borderId="2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horizontal="left" vertical="center" wrapText="1"/>
    </xf>
    <xf numFmtId="0" fontId="8" fillId="16" borderId="3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52" fillId="13" borderId="7" xfId="0" applyFont="1" applyFill="1" applyBorder="1" applyAlignment="1">
      <alignment vertical="center" wrapText="1"/>
    </xf>
    <xf numFmtId="0" fontId="52" fillId="13" borderId="3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0" fillId="0" borderId="0" xfId="0"/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vertical="center" wrapText="1"/>
    </xf>
    <xf numFmtId="0" fontId="32" fillId="0" borderId="8" xfId="0" applyFont="1" applyBorder="1"/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 wrapText="1"/>
    </xf>
    <xf numFmtId="0" fontId="14" fillId="8" borderId="0" xfId="0" applyFont="1" applyFill="1"/>
    <xf numFmtId="0" fontId="13" fillId="4" borderId="7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28" fillId="8" borderId="7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left" vertical="center" wrapText="1"/>
    </xf>
    <xf numFmtId="0" fontId="46" fillId="15" borderId="7" xfId="0" applyFont="1" applyFill="1" applyBorder="1" applyAlignment="1">
      <alignment horizontal="left" vertical="center" wrapText="1"/>
    </xf>
    <xf numFmtId="0" fontId="46" fillId="15" borderId="3" xfId="0" applyFont="1" applyFill="1" applyBorder="1" applyAlignment="1">
      <alignment horizontal="left" vertical="center" wrapText="1"/>
    </xf>
    <xf numFmtId="0" fontId="36" fillId="13" borderId="11" xfId="0" applyFont="1" applyFill="1" applyBorder="1" applyAlignment="1">
      <alignment horizontal="left" vertical="center"/>
    </xf>
    <xf numFmtId="0" fontId="36" fillId="13" borderId="12" xfId="0" applyFont="1" applyFill="1" applyBorder="1" applyAlignment="1">
      <alignment horizontal="left" vertical="center"/>
    </xf>
    <xf numFmtId="0" fontId="36" fillId="13" borderId="2" xfId="0" applyFont="1" applyFill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 wrapText="1"/>
    </xf>
    <xf numFmtId="0" fontId="37" fillId="13" borderId="3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3" fillId="17" borderId="9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vertical="center" wrapText="1"/>
    </xf>
    <xf numFmtId="0" fontId="6" fillId="14" borderId="11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20" fillId="3" borderId="11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4" fillId="8" borderId="7" xfId="0" applyFont="1" applyFill="1" applyBorder="1" applyAlignment="1">
      <alignment horizontal="left" vertical="center" wrapText="1"/>
    </xf>
    <xf numFmtId="0" fontId="34" fillId="8" borderId="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BC8F00"/>
      <color rgb="FFC0504D"/>
      <color rgb="FFA03A7C"/>
      <color rgb="FFE2AC00"/>
      <color rgb="FFC09200"/>
      <color rgb="FFFFCF37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284</xdr:row>
      <xdr:rowOff>8625</xdr:rowOff>
    </xdr:from>
    <xdr:to>
      <xdr:col>1</xdr:col>
      <xdr:colOff>16642</xdr:colOff>
      <xdr:row>291</xdr:row>
      <xdr:rowOff>180542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6AF5-16CB-46F6-8C0B-036D27DF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6459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76497-E706-4056-AFDB-F71FDD2C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67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8626</xdr:rowOff>
    </xdr:from>
    <xdr:to>
      <xdr:col>1</xdr:col>
      <xdr:colOff>120158</xdr:colOff>
      <xdr:row>101</xdr:row>
      <xdr:rowOff>180543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1E49F-9E83-4383-B49A-F6B7BE9D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308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BCAAD-4787-4D5F-85FC-36AC3284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90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</xdr:col>
      <xdr:colOff>301313</xdr:colOff>
      <xdr:row>87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44A23-F054-4053-A330-0FC60AA8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1117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FD381-57CE-4086-B7DB-8242EA73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511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1</xdr:col>
      <xdr:colOff>301313</xdr:colOff>
      <xdr:row>96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778F5-A8EA-49AA-B3ED-DFFBE945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11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F5BE04-19D9-456E-9F2B-A6AA50F7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25878</xdr:rowOff>
    </xdr:from>
    <xdr:to>
      <xdr:col>1</xdr:col>
      <xdr:colOff>154664</xdr:colOff>
      <xdr:row>104</xdr:row>
      <xdr:rowOff>16640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76D92-8B8A-47D7-B00E-D1E5EDCC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799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908D3-53A1-4B5C-BE60-20A36375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25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</xdr:col>
      <xdr:colOff>85653</xdr:colOff>
      <xdr:row>65</xdr:row>
      <xdr:rowOff>171916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5EE8-A0FD-4223-A6AD-01B510B0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867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20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BE8A18-B155-4F68-9563-8DCDAE44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4770" y="0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581BB-9A5E-45B1-9EAD-C45CDF3A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6304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093234-B755-4DD1-859C-069A6EBB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808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1</xdr:col>
      <xdr:colOff>284060</xdr:colOff>
      <xdr:row>101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AF56A-C2ED-475B-B398-4607F8E3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2217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18BE5-409A-4B7C-B259-868CDC9F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2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284060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FEE2-53B0-4530-BECE-969E3CCF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6324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275434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37889-11AC-4A35-8C50-B922F967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921" y="0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5FA44-EA33-48F2-98A9-142B6368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1480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6516B-C276-431E-A98B-F9791DFB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301313</xdr:colOff>
      <xdr:row>99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EDFE4-0588-45FE-AA8D-2AA05A4C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849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3FD776-F8D2-4B78-A2BC-F866CB63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830" y="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1</xdr:col>
      <xdr:colOff>284060</xdr:colOff>
      <xdr:row>148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D393D-771E-4831-814B-23F9A8A0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1441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197797</xdr:colOff>
      <xdr:row>7</xdr:row>
      <xdr:rowOff>120158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4AD2ED-7D7A-4BFD-BA19-F73C084A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340" y="0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85653</xdr:colOff>
      <xdr:row>97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780F0-AF6E-4AA0-9B80-AB314521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716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8627</xdr:colOff>
      <xdr:row>0</xdr:row>
      <xdr:rowOff>77638</xdr:rowOff>
    </xdr:from>
    <xdr:to>
      <xdr:col>13</xdr:col>
      <xdr:colOff>206423</xdr:colOff>
      <xdr:row>8</xdr:row>
      <xdr:rowOff>8015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6B141-52C1-4729-A1BD-F11129F9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77638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</xdr:col>
      <xdr:colOff>301313</xdr:colOff>
      <xdr:row>93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3C87E-7160-4BD1-A2F6-199EE96C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293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B3D7C-DA16-43F4-AA43-78ADC81D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85653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9D1E3-FFFD-4962-975D-A502D0AA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539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18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F76343-3BC3-45CB-AD0B-79A1CB75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668" y="0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F9C63-94A9-486A-B2C4-0D84D86F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579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77026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22013-40B3-48C1-B388-34B19B8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85653</xdr:colOff>
      <xdr:row>113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893DB-D3DF-45EB-A743-498D3D90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8581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439336</xdr:colOff>
      <xdr:row>7</xdr:row>
      <xdr:rowOff>102906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05B636-499D-4895-ABF3-AB3188D7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064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1</xdr:col>
      <xdr:colOff>301313</xdr:colOff>
      <xdr:row>91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E76BE-C22E-4516-B53A-FB58FB9A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744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0FC88-77D7-46FD-8353-454F42E8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</xdr:col>
      <xdr:colOff>301313</xdr:colOff>
      <xdr:row>105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0FA6F-E20A-4D13-A716-A494DB959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99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108261-0354-4B86-A730-1A96878A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449" y="0"/>
          <a:ext cx="144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6F3-5F9B-4C94-9FC0-D2B3E82550E8}">
  <dimension ref="A1:K285"/>
  <sheetViews>
    <sheetView workbookViewId="0">
      <selection activeCell="M25" sqref="M25"/>
    </sheetView>
  </sheetViews>
  <sheetFormatPr defaultRowHeight="14.3" x14ac:dyDescent="0.25"/>
  <cols>
    <col min="1" max="1" width="20.625" customWidth="1"/>
    <col min="2" max="3" width="5.75" customWidth="1"/>
    <col min="4" max="4" width="20.625" customWidth="1"/>
    <col min="5" max="6" width="5.75" customWidth="1"/>
    <col min="7" max="7" width="17.125" bestFit="1" customWidth="1"/>
    <col min="8" max="10" width="5.75" customWidth="1"/>
    <col min="11" max="11" width="4.875" customWidth="1"/>
  </cols>
  <sheetData>
    <row r="1" spans="1:11" ht="14.95" customHeight="1" x14ac:dyDescent="0.25">
      <c r="A1" s="402" t="s">
        <v>778</v>
      </c>
      <c r="B1" s="402"/>
      <c r="C1" s="403"/>
    </row>
    <row r="2" spans="1:11" ht="14.95" customHeight="1" thickBot="1" x14ac:dyDescent="0.3">
      <c r="A2" s="229" t="s">
        <v>823</v>
      </c>
    </row>
    <row r="3" spans="1:11" ht="14.95" customHeight="1" thickBot="1" x14ac:dyDescent="0.3">
      <c r="A3" s="237" t="s">
        <v>0</v>
      </c>
      <c r="B3" s="238" t="s">
        <v>9</v>
      </c>
      <c r="C3" s="239" t="s">
        <v>9</v>
      </c>
      <c r="D3" s="232" t="s">
        <v>2</v>
      </c>
      <c r="E3" s="232" t="s">
        <v>9</v>
      </c>
      <c r="F3" s="233" t="s">
        <v>9</v>
      </c>
      <c r="G3" s="243" t="s">
        <v>29</v>
      </c>
      <c r="H3" s="243" t="s">
        <v>9</v>
      </c>
      <c r="I3" s="269" t="s">
        <v>25</v>
      </c>
      <c r="J3" s="269" t="s">
        <v>26</v>
      </c>
      <c r="K3" s="269" t="s">
        <v>6</v>
      </c>
    </row>
    <row r="4" spans="1:11" ht="14.95" customHeight="1" thickBot="1" x14ac:dyDescent="0.3">
      <c r="A4" s="240" t="s">
        <v>805</v>
      </c>
      <c r="B4" s="241" t="s">
        <v>330</v>
      </c>
      <c r="C4" s="242">
        <f>sorensenmcgeenzlwxvtries</f>
        <v>11</v>
      </c>
      <c r="D4" s="234" t="s">
        <v>805</v>
      </c>
      <c r="E4" s="235" t="s">
        <v>330</v>
      </c>
      <c r="F4" s="236">
        <f>sorensenmcgeenzlwxvpts</f>
        <v>69</v>
      </c>
      <c r="G4" s="240" t="s">
        <v>584</v>
      </c>
      <c r="H4" s="241" t="s">
        <v>20</v>
      </c>
      <c r="I4" s="228">
        <v>21</v>
      </c>
      <c r="J4" s="228">
        <v>26</v>
      </c>
      <c r="K4" s="244">
        <f>SUM(I4/J4)*100</f>
        <v>80.769230769230774</v>
      </c>
    </row>
    <row r="5" spans="1:11" ht="14.95" customHeight="1" thickBot="1" x14ac:dyDescent="0.3">
      <c r="A5" s="240" t="s">
        <v>210</v>
      </c>
      <c r="B5" s="241" t="s">
        <v>20</v>
      </c>
      <c r="C5" s="242">
        <f>breachengwxvtries</f>
        <v>6</v>
      </c>
      <c r="D5" s="234" t="s">
        <v>463</v>
      </c>
      <c r="E5" s="235" t="s">
        <v>330</v>
      </c>
      <c r="F5" s="236">
        <f>holmesnzlwxvpts</f>
        <v>64</v>
      </c>
      <c r="G5" s="240" t="s">
        <v>424</v>
      </c>
      <c r="H5" s="241" t="s">
        <v>20</v>
      </c>
      <c r="I5" s="228">
        <v>11</v>
      </c>
      <c r="J5" s="228">
        <v>14</v>
      </c>
      <c r="K5" s="244">
        <f>SUM(I5/J5)*100</f>
        <v>78.571428571428569</v>
      </c>
    </row>
    <row r="6" spans="1:11" ht="14.95" customHeight="1" thickBot="1" x14ac:dyDescent="0.3">
      <c r="A6" s="240" t="s">
        <v>432</v>
      </c>
      <c r="B6" s="241" t="s">
        <v>21</v>
      </c>
      <c r="C6" s="242">
        <f>mcghiescowxvtries</f>
        <v>6</v>
      </c>
      <c r="D6" s="234" t="s">
        <v>480</v>
      </c>
      <c r="E6" s="235" t="s">
        <v>332</v>
      </c>
      <c r="F6" s="236">
        <f>degoedecanwxvpts</f>
        <v>61</v>
      </c>
      <c r="G6" s="240" t="s">
        <v>411</v>
      </c>
      <c r="H6" s="241" t="s">
        <v>27</v>
      </c>
      <c r="I6" s="228">
        <v>12</v>
      </c>
      <c r="J6" s="228">
        <v>17</v>
      </c>
      <c r="K6" s="244">
        <f>SUM(I6/J6)*100</f>
        <v>70.588235294117652</v>
      </c>
    </row>
    <row r="7" spans="1:11" ht="14.95" customHeight="1" thickBot="1" x14ac:dyDescent="0.3">
      <c r="A7" s="240" t="s">
        <v>802</v>
      </c>
      <c r="B7" s="241" t="s">
        <v>332</v>
      </c>
      <c r="C7" s="242">
        <f>schellcanwxvtries</f>
        <v>6</v>
      </c>
      <c r="D7" s="234" t="s">
        <v>584</v>
      </c>
      <c r="E7" s="235" t="s">
        <v>20</v>
      </c>
      <c r="F7" s="236">
        <f>harrisonengwxvpts</f>
        <v>42</v>
      </c>
      <c r="G7" s="240" t="s">
        <v>805</v>
      </c>
      <c r="H7" s="241" t="s">
        <v>330</v>
      </c>
      <c r="I7" s="228">
        <v>7</v>
      </c>
      <c r="J7" s="228">
        <v>10</v>
      </c>
      <c r="K7" s="244">
        <f>SUM(I7/J7)*100</f>
        <v>70</v>
      </c>
    </row>
    <row r="8" spans="1:11" ht="14.95" customHeight="1" thickBot="1" x14ac:dyDescent="0.3">
      <c r="A8" s="240" t="s">
        <v>495</v>
      </c>
      <c r="B8" s="241" t="s">
        <v>333</v>
      </c>
      <c r="C8" s="242">
        <f>tafunausawxvtries</f>
        <v>6</v>
      </c>
      <c r="D8" s="234" t="s">
        <v>210</v>
      </c>
      <c r="E8" s="235" t="s">
        <v>20</v>
      </c>
      <c r="F8" s="236">
        <f>breachengwxvpts</f>
        <v>30</v>
      </c>
      <c r="G8" s="240" t="s">
        <v>480</v>
      </c>
      <c r="H8" s="241" t="s">
        <v>332</v>
      </c>
      <c r="I8" s="228">
        <v>22</v>
      </c>
      <c r="J8" s="228">
        <v>33</v>
      </c>
      <c r="K8" s="244">
        <f>SUM(I8/J8)*100</f>
        <v>66.666666666666657</v>
      </c>
    </row>
    <row r="9" spans="1:11" ht="14.95" customHeight="1" thickBot="1" x14ac:dyDescent="0.3">
      <c r="A9" s="240" t="s">
        <v>630</v>
      </c>
      <c r="B9" s="241" t="s">
        <v>331</v>
      </c>
      <c r="C9" s="242">
        <f>millerauswxvtries</f>
        <v>6</v>
      </c>
      <c r="D9" s="234" t="s">
        <v>432</v>
      </c>
      <c r="E9" s="235" t="s">
        <v>21</v>
      </c>
      <c r="F9" s="236">
        <f>mcghiescowxvpts</f>
        <v>30</v>
      </c>
      <c r="G9" s="240" t="s">
        <v>402</v>
      </c>
      <c r="H9" s="241" t="s">
        <v>19</v>
      </c>
      <c r="I9" s="228">
        <v>10</v>
      </c>
      <c r="J9" s="228">
        <v>15</v>
      </c>
      <c r="K9" s="244">
        <f>SUM(I9/J9)*100</f>
        <v>66.666666666666657</v>
      </c>
    </row>
    <row r="10" spans="1:11" ht="14.95" customHeight="1" thickBot="1" x14ac:dyDescent="0.3">
      <c r="A10" s="240" t="s">
        <v>770</v>
      </c>
      <c r="B10" s="241" t="s">
        <v>20</v>
      </c>
      <c r="C10" s="242">
        <f>cliffordengwxvtries</f>
        <v>5</v>
      </c>
      <c r="D10" s="234" t="s">
        <v>802</v>
      </c>
      <c r="E10" s="235" t="s">
        <v>332</v>
      </c>
      <c r="F10" s="236">
        <f>schellcanwxvpts</f>
        <v>30</v>
      </c>
      <c r="G10" s="240" t="s">
        <v>947</v>
      </c>
      <c r="H10" s="241" t="s">
        <v>331</v>
      </c>
      <c r="I10" s="228">
        <v>10</v>
      </c>
      <c r="J10" s="228">
        <v>15</v>
      </c>
      <c r="K10" s="244">
        <f>SUM(I10/J10)*100</f>
        <v>66.666666666666657</v>
      </c>
    </row>
    <row r="11" spans="1:11" ht="14.95" customHeight="1" thickBot="1" x14ac:dyDescent="0.3">
      <c r="A11" s="240" t="s">
        <v>421</v>
      </c>
      <c r="B11" s="241" t="s">
        <v>27</v>
      </c>
      <c r="C11" s="242">
        <f>boulardfrawxvtries</f>
        <v>5</v>
      </c>
      <c r="D11" s="234" t="s">
        <v>495</v>
      </c>
      <c r="E11" s="235" t="s">
        <v>333</v>
      </c>
      <c r="F11" s="236">
        <f>tafunausawxvpts</f>
        <v>30</v>
      </c>
      <c r="G11" s="240" t="s">
        <v>562</v>
      </c>
      <c r="H11" s="241" t="s">
        <v>542</v>
      </c>
      <c r="I11" s="228">
        <v>13</v>
      </c>
      <c r="J11" s="228">
        <v>20</v>
      </c>
      <c r="K11" s="244">
        <f>SUM(I11/J11)*100</f>
        <v>65</v>
      </c>
    </row>
    <row r="12" spans="1:11" ht="14.95" customHeight="1" thickBot="1" x14ac:dyDescent="0.3">
      <c r="A12" s="240" t="s">
        <v>216</v>
      </c>
      <c r="B12" s="241" t="s">
        <v>20</v>
      </c>
      <c r="C12" s="242">
        <f>kildunneengwxvtries</f>
        <v>5</v>
      </c>
      <c r="D12" s="234" t="s">
        <v>630</v>
      </c>
      <c r="E12" s="235" t="s">
        <v>331</v>
      </c>
      <c r="F12" s="236">
        <f>millerauswxvpts</f>
        <v>30</v>
      </c>
      <c r="G12" s="240" t="s">
        <v>463</v>
      </c>
      <c r="H12" s="241" t="s">
        <v>330</v>
      </c>
      <c r="I12" s="228">
        <v>21</v>
      </c>
      <c r="J12" s="228">
        <v>33</v>
      </c>
      <c r="K12" s="244">
        <f>SUM(I12/J12)*100</f>
        <v>63.636363636363633</v>
      </c>
    </row>
    <row r="13" spans="1:11" ht="14.95" customHeight="1" thickBot="1" x14ac:dyDescent="0.3">
      <c r="A13" s="240" t="s">
        <v>677</v>
      </c>
      <c r="B13" s="241" t="s">
        <v>332</v>
      </c>
      <c r="C13" s="242">
        <f>hoganrochestercanwxvtries</f>
        <v>5</v>
      </c>
      <c r="D13" s="234" t="s">
        <v>424</v>
      </c>
      <c r="E13" s="235" t="s">
        <v>20</v>
      </c>
      <c r="F13" s="236">
        <f>rowlandengwxvpts</f>
        <v>27</v>
      </c>
      <c r="G13" s="240" t="s">
        <v>198</v>
      </c>
      <c r="H13" s="241" t="s">
        <v>21</v>
      </c>
      <c r="I13" s="228">
        <v>9</v>
      </c>
      <c r="J13" s="228">
        <v>15</v>
      </c>
      <c r="K13" s="244">
        <f>SUM(I13/J13)*100</f>
        <v>60</v>
      </c>
    </row>
    <row r="14" spans="1:11" ht="14.95" customHeight="1" thickBot="1" x14ac:dyDescent="0.3">
      <c r="A14" s="240" t="s">
        <v>945</v>
      </c>
      <c r="B14" s="241" t="s">
        <v>331</v>
      </c>
      <c r="C14" s="242">
        <f>halseauswxvtries</f>
        <v>4</v>
      </c>
      <c r="D14" s="234" t="s">
        <v>562</v>
      </c>
      <c r="E14" s="235" t="s">
        <v>542</v>
      </c>
      <c r="F14" s="236">
        <f>dolfrsawxvpts</f>
        <v>27</v>
      </c>
      <c r="G14" s="240" t="s">
        <v>576</v>
      </c>
      <c r="H14" s="241" t="s">
        <v>27</v>
      </c>
      <c r="I14" s="228">
        <v>9</v>
      </c>
      <c r="J14" s="228">
        <v>18</v>
      </c>
      <c r="K14" s="244">
        <f>SUM(I14/J14)*100</f>
        <v>50</v>
      </c>
    </row>
    <row r="15" spans="1:11" ht="14.95" customHeight="1" thickBot="1" x14ac:dyDescent="0.3">
      <c r="A15" s="240" t="s">
        <v>541</v>
      </c>
      <c r="B15" s="241" t="s">
        <v>542</v>
      </c>
      <c r="C15" s="242">
        <f>helersawxvtries</f>
        <v>4</v>
      </c>
      <c r="D15" s="234" t="s">
        <v>411</v>
      </c>
      <c r="E15" s="235" t="s">
        <v>27</v>
      </c>
      <c r="F15" s="236">
        <f>bourgeoisfrawxvtpts</f>
        <v>27</v>
      </c>
      <c r="G15" s="240" t="s">
        <v>477</v>
      </c>
      <c r="H15" s="241" t="s">
        <v>331</v>
      </c>
      <c r="I15" s="228">
        <v>3</v>
      </c>
      <c r="J15" s="110">
        <v>3</v>
      </c>
      <c r="K15" s="244">
        <f>SUM(I15/J15)*100</f>
        <v>100</v>
      </c>
    </row>
    <row r="16" spans="1:11" ht="14.95" customHeight="1" thickBot="1" x14ac:dyDescent="0.3">
      <c r="A16" s="240" t="s">
        <v>960</v>
      </c>
      <c r="B16" s="241" t="s">
        <v>330</v>
      </c>
      <c r="C16" s="242">
        <f>millernzlwxvtries</f>
        <v>4</v>
      </c>
      <c r="D16" s="234" t="s">
        <v>402</v>
      </c>
      <c r="E16" s="235" t="s">
        <v>19</v>
      </c>
      <c r="F16" s="236">
        <f>obrienirewxvpts</f>
        <v>26</v>
      </c>
      <c r="G16" s="240" t="s">
        <v>957</v>
      </c>
      <c r="H16" s="241" t="s">
        <v>958</v>
      </c>
      <c r="I16" s="228">
        <v>3</v>
      </c>
      <c r="J16" s="110">
        <v>3</v>
      </c>
      <c r="K16" s="244">
        <f>SUM(I16/J16)*100</f>
        <v>100</v>
      </c>
    </row>
    <row r="17" spans="1:11" ht="14.95" customHeight="1" thickBot="1" x14ac:dyDescent="0.3">
      <c r="A17" s="240" t="s">
        <v>981</v>
      </c>
      <c r="B17" s="241" t="s">
        <v>22</v>
      </c>
      <c r="C17" s="242">
        <f>minuzziitawxvtries</f>
        <v>4</v>
      </c>
      <c r="D17" s="234" t="s">
        <v>770</v>
      </c>
      <c r="E17" s="235" t="s">
        <v>20</v>
      </c>
      <c r="F17" s="236">
        <f>cliffordengwxvpts</f>
        <v>25</v>
      </c>
      <c r="G17" s="240" t="s">
        <v>400</v>
      </c>
      <c r="H17" s="241" t="s">
        <v>27</v>
      </c>
      <c r="I17" s="228">
        <v>1</v>
      </c>
      <c r="J17" s="110">
        <v>1</v>
      </c>
      <c r="K17" s="244">
        <f>SUM(I17/J17)*100</f>
        <v>100</v>
      </c>
    </row>
    <row r="18" spans="1:11" ht="14.95" customHeight="1" thickBot="1" x14ac:dyDescent="0.3">
      <c r="A18" s="240" t="s">
        <v>605</v>
      </c>
      <c r="B18" s="241" t="s">
        <v>27</v>
      </c>
      <c r="C18" s="242">
        <f>grisezfrawxvtries</f>
        <v>4</v>
      </c>
      <c r="D18" s="234" t="s">
        <v>421</v>
      </c>
      <c r="E18" s="235" t="s">
        <v>27</v>
      </c>
      <c r="F18" s="236">
        <f>boulardfrawxvpts</f>
        <v>25</v>
      </c>
      <c r="G18" s="240" t="s">
        <v>776</v>
      </c>
      <c r="H18" s="241" t="s">
        <v>19</v>
      </c>
      <c r="I18" s="228">
        <v>1</v>
      </c>
      <c r="J18" s="110">
        <v>1</v>
      </c>
      <c r="K18" s="244">
        <f>SUM(I18/J18)*100</f>
        <v>100</v>
      </c>
    </row>
    <row r="19" spans="1:11" ht="14.95" customHeight="1" thickBot="1" x14ac:dyDescent="0.3">
      <c r="A19" s="240" t="s">
        <v>513</v>
      </c>
      <c r="B19" s="241" t="s">
        <v>332</v>
      </c>
      <c r="C19" s="242">
        <f>huntcanwxvtries</f>
        <v>4</v>
      </c>
      <c r="D19" s="234" t="s">
        <v>216</v>
      </c>
      <c r="E19" s="235" t="s">
        <v>20</v>
      </c>
      <c r="F19" s="236">
        <f>kildunneengwxvpts</f>
        <v>25</v>
      </c>
      <c r="G19" s="240" t="s">
        <v>976</v>
      </c>
      <c r="H19" s="241" t="s">
        <v>714</v>
      </c>
      <c r="I19" s="228">
        <v>1</v>
      </c>
      <c r="J19" s="110">
        <v>1</v>
      </c>
      <c r="K19" s="244">
        <f>SUM(I19/J19)*100</f>
        <v>100</v>
      </c>
    </row>
    <row r="20" spans="1:11" ht="14.95" customHeight="1" thickBot="1" x14ac:dyDescent="0.3">
      <c r="A20" s="240" t="s">
        <v>556</v>
      </c>
      <c r="B20" s="241" t="s">
        <v>21</v>
      </c>
      <c r="C20" s="242">
        <f>lloydscowxvtries</f>
        <v>4</v>
      </c>
      <c r="D20" s="234" t="s">
        <v>677</v>
      </c>
      <c r="E20" s="235" t="s">
        <v>332</v>
      </c>
      <c r="F20" s="236">
        <f>hoganrochestercanwxvpts</f>
        <v>25</v>
      </c>
      <c r="G20" s="240" t="s">
        <v>209</v>
      </c>
      <c r="H20" s="241" t="s">
        <v>20</v>
      </c>
      <c r="I20" s="228">
        <v>1</v>
      </c>
      <c r="J20" s="110">
        <v>1</v>
      </c>
      <c r="K20" s="244">
        <f>SUM(I20/J20)*100</f>
        <v>100</v>
      </c>
    </row>
    <row r="21" spans="1:11" ht="14.95" customHeight="1" thickBot="1" x14ac:dyDescent="0.3">
      <c r="A21" s="240" t="s">
        <v>815</v>
      </c>
      <c r="B21" s="241" t="s">
        <v>332</v>
      </c>
      <c r="C21" s="242">
        <f>corrigancanwxvtries</f>
        <v>4</v>
      </c>
      <c r="D21" s="234" t="s">
        <v>576</v>
      </c>
      <c r="E21" s="235" t="s">
        <v>27</v>
      </c>
      <c r="F21" s="236">
        <f>queyroifrawxvpts</f>
        <v>23</v>
      </c>
      <c r="G21" s="240" t="s">
        <v>728</v>
      </c>
      <c r="H21" s="241" t="s">
        <v>551</v>
      </c>
      <c r="I21" s="228">
        <v>1</v>
      </c>
      <c r="J21" s="110">
        <v>1</v>
      </c>
      <c r="K21" s="244">
        <f>SUM(I21/J21)*100</f>
        <v>100</v>
      </c>
    </row>
    <row r="22" spans="1:11" ht="14.95" customHeight="1" thickBot="1" x14ac:dyDescent="0.3">
      <c r="A22" s="240" t="s">
        <v>463</v>
      </c>
      <c r="B22" s="241" t="s">
        <v>330</v>
      </c>
      <c r="C22" s="242">
        <f>holmesnzlwxvtries</f>
        <v>4</v>
      </c>
      <c r="D22" s="234" t="s">
        <v>945</v>
      </c>
      <c r="E22" s="235" t="s">
        <v>331</v>
      </c>
      <c r="F22" s="236">
        <f>halseauswxvpts</f>
        <v>20</v>
      </c>
      <c r="G22" s="240" t="s">
        <v>1008</v>
      </c>
      <c r="H22" s="241" t="s">
        <v>536</v>
      </c>
      <c r="I22" s="228">
        <v>1</v>
      </c>
      <c r="J22" s="110">
        <v>1</v>
      </c>
      <c r="K22" s="244">
        <f>SUM(I22/J22)*100</f>
        <v>100</v>
      </c>
    </row>
    <row r="23" spans="1:11" ht="14.95" customHeight="1" thickBot="1" x14ac:dyDescent="0.3">
      <c r="A23" s="240" t="s">
        <v>593</v>
      </c>
      <c r="B23" s="241" t="s">
        <v>20</v>
      </c>
      <c r="C23" s="242">
        <f>cokayneengwxvtries</f>
        <v>4</v>
      </c>
      <c r="D23" s="234" t="s">
        <v>541</v>
      </c>
      <c r="E23" s="235" t="s">
        <v>542</v>
      </c>
      <c r="F23" s="236">
        <f>helersawxvpts</f>
        <v>20</v>
      </c>
      <c r="G23" s="240" t="s">
        <v>197</v>
      </c>
      <c r="H23" s="241" t="s">
        <v>20</v>
      </c>
      <c r="I23" s="228">
        <v>5</v>
      </c>
      <c r="J23" s="110">
        <v>6</v>
      </c>
      <c r="K23" s="244">
        <f>SUM(I23/J23)*100</f>
        <v>83.333333333333343</v>
      </c>
    </row>
    <row r="24" spans="1:11" ht="14.95" customHeight="1" thickBot="1" x14ac:dyDescent="0.3">
      <c r="A24" s="240" t="s">
        <v>518</v>
      </c>
      <c r="B24" s="241" t="s">
        <v>20</v>
      </c>
      <c r="C24" s="242">
        <f>atkindaviesengwxvtries</f>
        <v>3</v>
      </c>
      <c r="D24" s="234" t="s">
        <v>960</v>
      </c>
      <c r="E24" s="235" t="s">
        <v>330</v>
      </c>
      <c r="F24" s="236">
        <f>millernzlwxvpts</f>
        <v>20</v>
      </c>
      <c r="G24" s="240" t="s">
        <v>951</v>
      </c>
      <c r="H24" s="241" t="s">
        <v>679</v>
      </c>
      <c r="I24" s="228">
        <v>5</v>
      </c>
      <c r="J24" s="110">
        <v>6</v>
      </c>
      <c r="K24" s="244">
        <f>SUM(I24/J24)*100</f>
        <v>83.333333333333343</v>
      </c>
    </row>
    <row r="25" spans="1:11" ht="14.95" customHeight="1" thickBot="1" x14ac:dyDescent="0.3">
      <c r="A25" s="240" t="s">
        <v>534</v>
      </c>
      <c r="B25" s="241" t="s">
        <v>22</v>
      </c>
      <c r="C25" s="242">
        <f>granzottoitawxvtries</f>
        <v>3</v>
      </c>
      <c r="D25" s="234" t="s">
        <v>981</v>
      </c>
      <c r="E25" s="235" t="s">
        <v>22</v>
      </c>
      <c r="F25" s="236">
        <f>minuzziitawxvpts</f>
        <v>20</v>
      </c>
      <c r="G25" s="240" t="s">
        <v>450</v>
      </c>
      <c r="H25" s="241" t="s">
        <v>333</v>
      </c>
      <c r="I25" s="228">
        <v>5</v>
      </c>
      <c r="J25" s="110">
        <v>7</v>
      </c>
      <c r="K25" s="244">
        <f>SUM(I25/J25)*100</f>
        <v>71.428571428571431</v>
      </c>
    </row>
    <row r="26" spans="1:11" ht="14.95" customHeight="1" thickBot="1" x14ac:dyDescent="0.3">
      <c r="A26" s="240" t="s">
        <v>942</v>
      </c>
      <c r="B26" s="241" t="s">
        <v>333</v>
      </c>
      <c r="C26" s="242">
        <f>jarrellsearcyusawxvtries</f>
        <v>3</v>
      </c>
      <c r="D26" s="234" t="s">
        <v>947</v>
      </c>
      <c r="E26" s="235" t="s">
        <v>331</v>
      </c>
      <c r="F26" s="236">
        <f>wongauswxvpts</f>
        <v>20</v>
      </c>
      <c r="G26" s="240" t="s">
        <v>993</v>
      </c>
      <c r="H26" s="241" t="s">
        <v>27</v>
      </c>
      <c r="I26" s="228">
        <v>2</v>
      </c>
      <c r="J26" s="110">
        <v>3</v>
      </c>
      <c r="K26" s="244">
        <f>SUM(I26/J26)*100</f>
        <v>66.666666666666657</v>
      </c>
    </row>
    <row r="27" spans="1:11" ht="14.95" customHeight="1" thickBot="1" x14ac:dyDescent="0.3">
      <c r="A27" s="240" t="s">
        <v>391</v>
      </c>
      <c r="B27" s="241" t="s">
        <v>20</v>
      </c>
      <c r="C27" s="242">
        <f>kabeyaengWXVtries</f>
        <v>3</v>
      </c>
      <c r="D27" s="234" t="s">
        <v>605</v>
      </c>
      <c r="E27" s="235" t="s">
        <v>27</v>
      </c>
      <c r="F27" s="236">
        <f>grisezfrawxvpts</f>
        <v>20</v>
      </c>
      <c r="G27" s="240" t="s">
        <v>628</v>
      </c>
      <c r="H27" s="241" t="s">
        <v>332</v>
      </c>
      <c r="I27" s="228">
        <v>3</v>
      </c>
      <c r="J27" s="110">
        <v>5</v>
      </c>
      <c r="K27" s="244">
        <f>SUM(I27/J27)*100</f>
        <v>60</v>
      </c>
    </row>
    <row r="28" spans="1:11" ht="14.95" customHeight="1" thickBot="1" x14ac:dyDescent="0.3">
      <c r="A28" s="240" t="s">
        <v>701</v>
      </c>
      <c r="B28" s="241" t="s">
        <v>542</v>
      </c>
      <c r="C28" s="242">
        <f>malingarsawxvtries</f>
        <v>3</v>
      </c>
      <c r="D28" s="234" t="s">
        <v>513</v>
      </c>
      <c r="E28" s="235" t="s">
        <v>332</v>
      </c>
      <c r="F28" s="236">
        <f>huntcanwxvpts</f>
        <v>20</v>
      </c>
      <c r="G28" s="240" t="s">
        <v>718</v>
      </c>
      <c r="H28" s="241" t="s">
        <v>714</v>
      </c>
      <c r="I28" s="228">
        <v>4</v>
      </c>
      <c r="J28" s="110">
        <v>8</v>
      </c>
      <c r="K28" s="244">
        <f>SUM(I28/J28)*100</f>
        <v>50</v>
      </c>
    </row>
    <row r="29" spans="1:11" ht="14.95" customHeight="1" thickBot="1" x14ac:dyDescent="0.3">
      <c r="A29" s="240" t="s">
        <v>459</v>
      </c>
      <c r="B29" s="241" t="s">
        <v>333</v>
      </c>
      <c r="C29" s="242">
        <f>rogersusawxvtries</f>
        <v>3</v>
      </c>
      <c r="D29" s="234" t="s">
        <v>556</v>
      </c>
      <c r="E29" s="235" t="s">
        <v>21</v>
      </c>
      <c r="F29" s="236">
        <f>lloydscowxvpts</f>
        <v>20</v>
      </c>
      <c r="G29" s="240" t="s">
        <v>539</v>
      </c>
      <c r="H29" s="241" t="s">
        <v>536</v>
      </c>
      <c r="I29" s="228">
        <v>4</v>
      </c>
      <c r="J29" s="110">
        <v>8</v>
      </c>
      <c r="K29" s="244">
        <f>SUM(I29/J29)*100</f>
        <v>50</v>
      </c>
    </row>
    <row r="30" spans="1:11" ht="14.95" customHeight="1" thickBot="1" x14ac:dyDescent="0.3">
      <c r="A30" s="240" t="s">
        <v>702</v>
      </c>
      <c r="B30" s="241" t="s">
        <v>542</v>
      </c>
      <c r="C30" s="242">
        <f>roosrsawxvtries</f>
        <v>3</v>
      </c>
      <c r="D30" s="234" t="s">
        <v>815</v>
      </c>
      <c r="E30" s="235" t="s">
        <v>332</v>
      </c>
      <c r="F30" s="236">
        <f>corrigancanwxvpts</f>
        <v>20</v>
      </c>
      <c r="G30" s="240" t="s">
        <v>535</v>
      </c>
      <c r="H30" s="241" t="s">
        <v>22</v>
      </c>
      <c r="I30" s="228">
        <v>1</v>
      </c>
      <c r="J30" s="110">
        <v>2</v>
      </c>
      <c r="K30" s="244">
        <f>SUM(I30/J30)*100</f>
        <v>50</v>
      </c>
    </row>
    <row r="31" spans="1:11" ht="14.95" customHeight="1" thickBot="1" x14ac:dyDescent="0.3">
      <c r="A31" s="240" t="s">
        <v>474</v>
      </c>
      <c r="B31" s="241" t="s">
        <v>331</v>
      </c>
      <c r="C31" s="242">
        <f>talakaiauswxvtries</f>
        <v>3</v>
      </c>
      <c r="D31" s="234" t="s">
        <v>593</v>
      </c>
      <c r="E31" s="235" t="s">
        <v>20</v>
      </c>
      <c r="F31" s="236">
        <f>cokayneengwxvpts</f>
        <v>20</v>
      </c>
      <c r="G31" s="240" t="s">
        <v>202</v>
      </c>
      <c r="H31" s="241" t="s">
        <v>22</v>
      </c>
      <c r="I31" s="228">
        <v>1</v>
      </c>
      <c r="J31" s="110">
        <v>2</v>
      </c>
      <c r="K31" s="244">
        <f>SUM(I31/J31)*100</f>
        <v>50</v>
      </c>
    </row>
    <row r="32" spans="1:11" ht="14.95" customHeight="1" thickBot="1" x14ac:dyDescent="0.3">
      <c r="A32" s="240" t="s">
        <v>409</v>
      </c>
      <c r="B32" s="241" t="s">
        <v>27</v>
      </c>
      <c r="C32" s="242">
        <f>escuderofrawxtries</f>
        <v>3</v>
      </c>
      <c r="D32" s="234" t="s">
        <v>198</v>
      </c>
      <c r="E32" s="235" t="s">
        <v>21</v>
      </c>
      <c r="F32" s="236">
        <f>nelsonscowxvpts</f>
        <v>19</v>
      </c>
      <c r="G32" s="240" t="s">
        <v>451</v>
      </c>
      <c r="H32" s="241" t="s">
        <v>333</v>
      </c>
      <c r="I32" s="228">
        <v>4</v>
      </c>
      <c r="J32" s="110">
        <v>9</v>
      </c>
      <c r="K32" s="244">
        <f>SUM(I32/J32)*100</f>
        <v>44.444444444444443</v>
      </c>
    </row>
    <row r="33" spans="1:11" ht="14.95" customHeight="1" thickBot="1" x14ac:dyDescent="0.3">
      <c r="A33" s="240" t="s">
        <v>588</v>
      </c>
      <c r="B33" s="241" t="s">
        <v>27</v>
      </c>
      <c r="C33" s="242">
        <f>arbeyfrawxvtries</f>
        <v>3</v>
      </c>
      <c r="D33" s="234" t="s">
        <v>534</v>
      </c>
      <c r="E33" s="235" t="s">
        <v>22</v>
      </c>
      <c r="F33" s="236">
        <f>granzottoitawxvpts</f>
        <v>17</v>
      </c>
      <c r="G33" s="240" t="s">
        <v>534</v>
      </c>
      <c r="H33" s="241" t="s">
        <v>22</v>
      </c>
      <c r="I33" s="228">
        <v>1</v>
      </c>
      <c r="J33" s="110">
        <v>5</v>
      </c>
      <c r="K33" s="244">
        <f>SUM(I33/J33)*100</f>
        <v>20</v>
      </c>
    </row>
    <row r="34" spans="1:11" ht="14.95" customHeight="1" thickBot="1" x14ac:dyDescent="0.3">
      <c r="A34" s="240" t="s">
        <v>511</v>
      </c>
      <c r="B34" s="241" t="s">
        <v>20</v>
      </c>
      <c r="C34" s="242">
        <f>jonesengwxvtries</f>
        <v>3</v>
      </c>
      <c r="D34" s="234" t="s">
        <v>518</v>
      </c>
      <c r="E34" s="235" t="s">
        <v>20</v>
      </c>
      <c r="F34" s="236">
        <f>atkindaviesengwxvpts</f>
        <v>15</v>
      </c>
      <c r="G34" s="240" t="s">
        <v>206</v>
      </c>
      <c r="H34" s="241" t="s">
        <v>23</v>
      </c>
      <c r="I34" s="228">
        <v>1</v>
      </c>
      <c r="J34" s="110">
        <v>6</v>
      </c>
      <c r="K34" s="244">
        <f>SUM(I34/J34)*100</f>
        <v>16.666666666666664</v>
      </c>
    </row>
    <row r="35" spans="1:11" ht="14.95" customHeight="1" thickBot="1" x14ac:dyDescent="0.3">
      <c r="A35" s="240" t="s">
        <v>480</v>
      </c>
      <c r="B35" s="241" t="s">
        <v>332</v>
      </c>
      <c r="C35" s="242">
        <f>degoedecanwxvtries</f>
        <v>3</v>
      </c>
      <c r="D35" s="234" t="s">
        <v>942</v>
      </c>
      <c r="E35" s="235" t="s">
        <v>333</v>
      </c>
      <c r="F35" s="236">
        <f>jarrellsearcyusawxvpts</f>
        <v>15</v>
      </c>
      <c r="G35" s="240" t="s">
        <v>1018</v>
      </c>
      <c r="H35" s="241" t="s">
        <v>22</v>
      </c>
      <c r="I35" s="228">
        <v>1</v>
      </c>
      <c r="J35" s="110">
        <v>7</v>
      </c>
      <c r="K35" s="244">
        <f>SUM(I35/J35)*100</f>
        <v>14.285714285714285</v>
      </c>
    </row>
    <row r="36" spans="1:11" ht="14.95" customHeight="1" thickBot="1" x14ac:dyDescent="0.3">
      <c r="A36" s="240" t="s">
        <v>600</v>
      </c>
      <c r="B36" s="241" t="s">
        <v>27</v>
      </c>
      <c r="C36" s="242">
        <f>kondefrawxvtries</f>
        <v>3</v>
      </c>
      <c r="D36" s="234" t="s">
        <v>391</v>
      </c>
      <c r="E36" s="235" t="s">
        <v>20</v>
      </c>
      <c r="F36" s="236">
        <f>kabeyaengwxvpts</f>
        <v>15</v>
      </c>
      <c r="G36" s="240" t="s">
        <v>802</v>
      </c>
      <c r="H36" s="241" t="s">
        <v>332</v>
      </c>
      <c r="I36" s="228">
        <v>0</v>
      </c>
      <c r="J36" s="110">
        <v>2</v>
      </c>
      <c r="K36" s="244">
        <f>SUM(I36/J36)*100</f>
        <v>0</v>
      </c>
    </row>
    <row r="37" spans="1:11" ht="14.95" customHeight="1" thickBot="1" x14ac:dyDescent="0.3">
      <c r="A37" s="240" t="s">
        <v>583</v>
      </c>
      <c r="B37" s="241" t="s">
        <v>20</v>
      </c>
      <c r="C37" s="242">
        <f>wardrngwxvtries</f>
        <v>3</v>
      </c>
      <c r="D37" s="234" t="s">
        <v>701</v>
      </c>
      <c r="E37" s="235" t="s">
        <v>542</v>
      </c>
      <c r="F37" s="236">
        <f>malingarsawxvpts</f>
        <v>15</v>
      </c>
      <c r="G37" s="240" t="s">
        <v>970</v>
      </c>
      <c r="H37" s="241" t="s">
        <v>679</v>
      </c>
      <c r="I37" s="228">
        <v>0</v>
      </c>
      <c r="J37" s="110">
        <v>1</v>
      </c>
      <c r="K37" s="244">
        <f>SUM(I37/J37)*100</f>
        <v>0</v>
      </c>
    </row>
    <row r="38" spans="1:11" ht="14.95" customHeight="1" thickBot="1" x14ac:dyDescent="0.3">
      <c r="A38" s="240" t="s">
        <v>531</v>
      </c>
      <c r="B38" s="241" t="s">
        <v>20</v>
      </c>
      <c r="C38" s="242">
        <f>bernengwxvtries</f>
        <v>2</v>
      </c>
      <c r="D38" s="234" t="s">
        <v>459</v>
      </c>
      <c r="E38" s="235" t="s">
        <v>333</v>
      </c>
      <c r="F38" s="236">
        <f>rogersusawxvpts</f>
        <v>15</v>
      </c>
      <c r="G38" s="240" t="s">
        <v>527</v>
      </c>
      <c r="H38" s="241" t="s">
        <v>23</v>
      </c>
      <c r="I38" s="228">
        <v>0</v>
      </c>
      <c r="J38" s="110">
        <v>1</v>
      </c>
      <c r="K38" s="244">
        <f>SUM(I38/J38)*100</f>
        <v>0</v>
      </c>
    </row>
    <row r="39" spans="1:11" ht="14.95" customHeight="1" thickBot="1" x14ac:dyDescent="0.3">
      <c r="A39" s="240" t="s">
        <v>964</v>
      </c>
      <c r="B39" s="241" t="s">
        <v>714</v>
      </c>
      <c r="C39" s="242">
        <f>blancoespwxvtries</f>
        <v>2</v>
      </c>
      <c r="D39" s="234" t="s">
        <v>702</v>
      </c>
      <c r="E39" s="235" t="s">
        <v>542</v>
      </c>
      <c r="F39" s="236">
        <f>roosrsawxvpts</f>
        <v>15</v>
      </c>
      <c r="G39" s="240" t="s">
        <v>969</v>
      </c>
      <c r="H39" s="241" t="s">
        <v>679</v>
      </c>
      <c r="I39" s="228">
        <v>0</v>
      </c>
      <c r="J39" s="110">
        <v>1</v>
      </c>
      <c r="K39" s="244">
        <f>SUM(I39/J39)*100</f>
        <v>0</v>
      </c>
    </row>
    <row r="40" spans="1:11" ht="14.95" customHeight="1" thickBot="1" x14ac:dyDescent="0.3">
      <c r="A40" s="240" t="s">
        <v>1016</v>
      </c>
      <c r="B40" s="241" t="s">
        <v>22</v>
      </c>
      <c r="C40" s="242">
        <f>busoitawxvtries</f>
        <v>2</v>
      </c>
      <c r="D40" s="234" t="s">
        <v>474</v>
      </c>
      <c r="E40" s="235" t="s">
        <v>331</v>
      </c>
      <c r="F40" s="236">
        <f>talakaiauswxvpts</f>
        <v>15</v>
      </c>
      <c r="G40" s="240" t="s">
        <v>717</v>
      </c>
      <c r="H40" s="241" t="s">
        <v>714</v>
      </c>
      <c r="I40" s="228">
        <v>0</v>
      </c>
      <c r="J40" s="110">
        <v>1</v>
      </c>
      <c r="K40" s="244">
        <f>SUM(I40/J40)*100</f>
        <v>0</v>
      </c>
    </row>
    <row r="41" spans="1:11" ht="14.95" customHeight="1" thickBot="1" x14ac:dyDescent="0.3">
      <c r="A41" s="240" t="s">
        <v>393</v>
      </c>
      <c r="B41" s="241" t="s">
        <v>23</v>
      </c>
      <c r="C41" s="242">
        <f>callenderwalwxvtries</f>
        <v>2</v>
      </c>
      <c r="D41" s="234" t="s">
        <v>409</v>
      </c>
      <c r="E41" s="235" t="s">
        <v>27</v>
      </c>
      <c r="F41" s="236">
        <f>escuderofrawxpts</f>
        <v>15</v>
      </c>
      <c r="G41" s="240" t="s">
        <v>743</v>
      </c>
      <c r="H41" s="241" t="s">
        <v>20</v>
      </c>
      <c r="I41" s="228">
        <v>0</v>
      </c>
      <c r="J41" s="110">
        <v>1</v>
      </c>
      <c r="K41" s="244">
        <f>SUM(I41/J41)*100</f>
        <v>0</v>
      </c>
    </row>
    <row r="42" spans="1:11" ht="14.95" customHeight="1" thickBot="1" x14ac:dyDescent="0.3">
      <c r="A42" s="240" t="s">
        <v>689</v>
      </c>
      <c r="B42" s="241" t="s">
        <v>19</v>
      </c>
      <c r="C42" s="242">
        <f>costiganirewxvtries</f>
        <v>2</v>
      </c>
      <c r="D42" s="234" t="s">
        <v>197</v>
      </c>
      <c r="E42" s="235" t="s">
        <v>20</v>
      </c>
      <c r="F42" s="236">
        <f>aitchisonengwxvpts</f>
        <v>15</v>
      </c>
      <c r="G42" s="240" t="s">
        <v>995</v>
      </c>
      <c r="H42" s="241" t="s">
        <v>958</v>
      </c>
      <c r="I42" s="228">
        <v>0</v>
      </c>
      <c r="J42" s="110">
        <v>1</v>
      </c>
      <c r="K42" s="244">
        <f>SUM(I42/J42)*100</f>
        <v>0</v>
      </c>
    </row>
    <row r="43" spans="1:11" ht="14.95" customHeight="1" thickBot="1" x14ac:dyDescent="0.3">
      <c r="A43" s="240" t="s">
        <v>992</v>
      </c>
      <c r="B43" s="241" t="s">
        <v>27</v>
      </c>
      <c r="C43" s="242">
        <f>deshayefrawxvtries</f>
        <v>2</v>
      </c>
      <c r="D43" s="234" t="s">
        <v>588</v>
      </c>
      <c r="E43" s="235" t="s">
        <v>27</v>
      </c>
      <c r="F43" s="236">
        <f>arbeyfrawxvpts</f>
        <v>15</v>
      </c>
      <c r="G43" s="240" t="s">
        <v>545</v>
      </c>
      <c r="H43" s="241" t="s">
        <v>21</v>
      </c>
      <c r="I43" s="228">
        <v>0</v>
      </c>
      <c r="J43" s="110">
        <v>1</v>
      </c>
      <c r="K43" s="244">
        <f>SUM(I43/J43)*100</f>
        <v>0</v>
      </c>
    </row>
    <row r="44" spans="1:11" ht="14.95" customHeight="1" thickBot="1" x14ac:dyDescent="0.3">
      <c r="A44" s="240" t="s">
        <v>496</v>
      </c>
      <c r="B44" s="241" t="s">
        <v>21</v>
      </c>
      <c r="C44" s="242">
        <f>gallagherscowxvtries</f>
        <v>2</v>
      </c>
      <c r="D44" s="234" t="s">
        <v>511</v>
      </c>
      <c r="E44" s="235" t="s">
        <v>20</v>
      </c>
      <c r="F44" s="236">
        <f>jonesengwxvpts</f>
        <v>15</v>
      </c>
      <c r="G44" s="426" t="s">
        <v>986</v>
      </c>
      <c r="H44" s="427"/>
      <c r="I44" s="427"/>
      <c r="J44" s="427"/>
      <c r="K44" s="427"/>
    </row>
    <row r="45" spans="1:11" ht="14.95" customHeight="1" thickBot="1" x14ac:dyDescent="0.3">
      <c r="A45" s="240" t="s">
        <v>595</v>
      </c>
      <c r="B45" s="241" t="s">
        <v>19</v>
      </c>
      <c r="C45" s="242">
        <f>higginsirewxvtries</f>
        <v>2</v>
      </c>
      <c r="D45" s="234" t="s">
        <v>600</v>
      </c>
      <c r="E45" s="235" t="s">
        <v>27</v>
      </c>
      <c r="F45" s="236">
        <f>kondefrawxvpts</f>
        <v>15</v>
      </c>
    </row>
    <row r="46" spans="1:11" ht="14.95" customHeight="1" thickBot="1" x14ac:dyDescent="0.3">
      <c r="A46" s="240" t="s">
        <v>544</v>
      </c>
      <c r="B46" s="241" t="s">
        <v>542</v>
      </c>
      <c r="C46" s="242">
        <f>jansevanrensburgrsawxvtries</f>
        <v>2</v>
      </c>
      <c r="D46" s="234" t="s">
        <v>583</v>
      </c>
      <c r="E46" s="235" t="s">
        <v>20</v>
      </c>
      <c r="F46" s="236">
        <f>wardrngwxvpts</f>
        <v>15</v>
      </c>
    </row>
    <row r="47" spans="1:11" ht="14.95" customHeight="1" thickBot="1" x14ac:dyDescent="0.3">
      <c r="A47" s="240" t="s">
        <v>473</v>
      </c>
      <c r="B47" s="241" t="s">
        <v>331</v>
      </c>
      <c r="C47" s="242">
        <f>karpaniauswxvtries</f>
        <v>2</v>
      </c>
      <c r="D47" s="234" t="s">
        <v>681</v>
      </c>
      <c r="E47" s="235" t="s">
        <v>679</v>
      </c>
      <c r="F47" s="236">
        <f>tovefijwxvpts</f>
        <v>13</v>
      </c>
    </row>
    <row r="48" spans="1:11" ht="14.95" customHeight="1" thickBot="1" x14ac:dyDescent="0.3">
      <c r="A48" s="240" t="s">
        <v>966</v>
      </c>
      <c r="B48" s="241" t="s">
        <v>332</v>
      </c>
      <c r="C48" s="242">
        <f>kassilcanwxvtries</f>
        <v>2</v>
      </c>
      <c r="D48" s="234" t="s">
        <v>628</v>
      </c>
      <c r="E48" s="235" t="s">
        <v>332</v>
      </c>
      <c r="F48" s="236">
        <f>tessiercanwxvpts</f>
        <v>12</v>
      </c>
    </row>
    <row r="49" spans="1:6" ht="14.95" customHeight="1" thickBot="1" x14ac:dyDescent="0.3">
      <c r="A49" s="240" t="s">
        <v>695</v>
      </c>
      <c r="B49" s="241" t="s">
        <v>330</v>
      </c>
      <c r="C49" s="242">
        <f>letiiiganzlwxvtries</f>
        <v>2</v>
      </c>
      <c r="D49" s="234" t="s">
        <v>531</v>
      </c>
      <c r="E49" s="235" t="s">
        <v>20</v>
      </c>
      <c r="F49" s="236">
        <f>bernengwxvpts</f>
        <v>10</v>
      </c>
    </row>
    <row r="50" spans="1:6" ht="14.95" customHeight="1" thickBot="1" x14ac:dyDescent="0.3">
      <c r="A50" s="240" t="s">
        <v>758</v>
      </c>
      <c r="B50" s="241" t="s">
        <v>19</v>
      </c>
      <c r="C50" s="242">
        <f>mcgannirewxtries</f>
        <v>2</v>
      </c>
      <c r="D50" s="234" t="s">
        <v>964</v>
      </c>
      <c r="E50" s="235" t="s">
        <v>714</v>
      </c>
      <c r="F50" s="236">
        <f>blancoespwxvpts</f>
        <v>10</v>
      </c>
    </row>
    <row r="51" spans="1:6" ht="14.95" customHeight="1" thickBot="1" x14ac:dyDescent="0.3">
      <c r="A51" s="240" t="s">
        <v>89</v>
      </c>
      <c r="B51" s="241" t="s">
        <v>27</v>
      </c>
      <c r="C51" s="242">
        <f>menagerfrawxvtries</f>
        <v>2</v>
      </c>
      <c r="D51" s="234" t="s">
        <v>1016</v>
      </c>
      <c r="E51" s="235" t="s">
        <v>22</v>
      </c>
      <c r="F51" s="236">
        <f>busoitawxvpts</f>
        <v>10</v>
      </c>
    </row>
    <row r="52" spans="1:6" ht="14.95" customHeight="1" thickBot="1" x14ac:dyDescent="0.3">
      <c r="A52" s="240" t="s">
        <v>975</v>
      </c>
      <c r="B52" s="241" t="s">
        <v>19</v>
      </c>
      <c r="C52" s="242">
        <f>mooreirewxvtries</f>
        <v>2</v>
      </c>
      <c r="D52" s="234" t="s">
        <v>393</v>
      </c>
      <c r="E52" s="235" t="s">
        <v>23</v>
      </c>
      <c r="F52" s="236">
        <f>callenderwalwxvpts</f>
        <v>10</v>
      </c>
    </row>
    <row r="53" spans="1:6" ht="14.95" customHeight="1" thickBot="1" x14ac:dyDescent="0.3">
      <c r="A53" s="240" t="s">
        <v>1003</v>
      </c>
      <c r="B53" s="241" t="s">
        <v>679</v>
      </c>
      <c r="C53" s="242">
        <f>neihamufijwxvtries</f>
        <v>2</v>
      </c>
      <c r="D53" s="234" t="s">
        <v>450</v>
      </c>
      <c r="E53" s="235" t="s">
        <v>333</v>
      </c>
      <c r="F53" s="236">
        <f>cantornausawxvpts</f>
        <v>10</v>
      </c>
    </row>
    <row r="54" spans="1:6" ht="14.95" customHeight="1" thickBot="1" x14ac:dyDescent="0.3">
      <c r="A54" s="240" t="s">
        <v>747</v>
      </c>
      <c r="B54" s="241" t="s">
        <v>27</v>
      </c>
      <c r="C54" s="242">
        <f>okembafrawxvtries</f>
        <v>2</v>
      </c>
      <c r="D54" s="234" t="s">
        <v>689</v>
      </c>
      <c r="E54" s="235" t="s">
        <v>19</v>
      </c>
      <c r="F54" s="236">
        <f>costiganirewxvpts</f>
        <v>10</v>
      </c>
    </row>
    <row r="55" spans="1:6" ht="14.95" customHeight="1" thickBot="1" x14ac:dyDescent="0.3">
      <c r="A55" s="240" t="s">
        <v>573</v>
      </c>
      <c r="B55" s="241" t="s">
        <v>21</v>
      </c>
      <c r="C55" s="242">
        <f>orrscowxvtries</f>
        <v>2</v>
      </c>
      <c r="D55" s="234" t="s">
        <v>992</v>
      </c>
      <c r="E55" s="235" t="s">
        <v>27</v>
      </c>
      <c r="F55" s="236">
        <f>deshayefrawxvpts</f>
        <v>10</v>
      </c>
    </row>
    <row r="56" spans="1:6" ht="14.95" customHeight="1" thickBot="1" x14ac:dyDescent="0.3">
      <c r="A56" s="240" t="s">
        <v>452</v>
      </c>
      <c r="B56" s="241" t="s">
        <v>332</v>
      </c>
      <c r="C56" s="242">
        <f>tuttosicanwxvtries</f>
        <v>2</v>
      </c>
      <c r="D56" s="234" t="s">
        <v>496</v>
      </c>
      <c r="E56" s="235" t="s">
        <v>21</v>
      </c>
      <c r="F56" s="236">
        <f>gallagherscowxvpts</f>
        <v>10</v>
      </c>
    </row>
    <row r="57" spans="1:6" ht="14.95" customHeight="1" thickBot="1" x14ac:dyDescent="0.3">
      <c r="A57" s="240" t="s">
        <v>820</v>
      </c>
      <c r="B57" s="241" t="s">
        <v>330</v>
      </c>
      <c r="C57" s="242">
        <f>woodmanwickliffenzlwxvtries</f>
        <v>2</v>
      </c>
      <c r="D57" s="234" t="s">
        <v>595</v>
      </c>
      <c r="E57" s="235" t="s">
        <v>19</v>
      </c>
      <c r="F57" s="236">
        <f>higginsirewxvpts</f>
        <v>10</v>
      </c>
    </row>
    <row r="58" spans="1:6" ht="14.95" customHeight="1" thickBot="1" x14ac:dyDescent="0.3">
      <c r="A58" s="240" t="s">
        <v>196</v>
      </c>
      <c r="B58" s="241" t="s">
        <v>20</v>
      </c>
      <c r="C58" s="242">
        <f>dowengwxvtries</f>
        <v>2</v>
      </c>
      <c r="D58" s="234" t="s">
        <v>544</v>
      </c>
      <c r="E58" s="235" t="s">
        <v>542</v>
      </c>
      <c r="F58" s="236">
        <f>jansevanrensburgrsawxvpts</f>
        <v>10</v>
      </c>
    </row>
    <row r="59" spans="1:6" ht="14.95" customHeight="1" thickBot="1" x14ac:dyDescent="0.3">
      <c r="A59" s="240" t="s">
        <v>955</v>
      </c>
      <c r="B59" s="241" t="s">
        <v>542</v>
      </c>
      <c r="C59" s="242">
        <f>makuarsawxvtries</f>
        <v>2</v>
      </c>
      <c r="D59" s="234" t="s">
        <v>473</v>
      </c>
      <c r="E59" s="235" t="s">
        <v>331</v>
      </c>
      <c r="F59" s="236">
        <f>karpaniauswxvpts</f>
        <v>10</v>
      </c>
    </row>
    <row r="60" spans="1:6" ht="14.95" customHeight="1" thickBot="1" x14ac:dyDescent="0.3">
      <c r="A60" s="240" t="s">
        <v>956</v>
      </c>
      <c r="B60" s="241" t="s">
        <v>542</v>
      </c>
      <c r="C60" s="242">
        <f>ngwevursawxvtries</f>
        <v>2</v>
      </c>
      <c r="D60" s="234" t="s">
        <v>966</v>
      </c>
      <c r="E60" s="235" t="s">
        <v>332</v>
      </c>
      <c r="F60" s="236">
        <f>kassilcanwxvpts</f>
        <v>10</v>
      </c>
    </row>
    <row r="61" spans="1:6" ht="14.95" customHeight="1" thickBot="1" x14ac:dyDescent="0.3">
      <c r="A61" s="240" t="s">
        <v>818</v>
      </c>
      <c r="B61" s="241" t="s">
        <v>332</v>
      </c>
      <c r="C61" s="242">
        <f>paqyuincanwxvtries</f>
        <v>2</v>
      </c>
      <c r="D61" s="234" t="s">
        <v>695</v>
      </c>
      <c r="E61" s="235" t="s">
        <v>330</v>
      </c>
      <c r="F61" s="236">
        <f>letiiiganzlwxvpts</f>
        <v>10</v>
      </c>
    </row>
    <row r="62" spans="1:6" ht="14.95" customHeight="1" thickBot="1" x14ac:dyDescent="0.3">
      <c r="A62" s="240" t="s">
        <v>961</v>
      </c>
      <c r="B62" s="241" t="s">
        <v>330</v>
      </c>
      <c r="C62" s="242">
        <f>setefanonzlwxvtries</f>
        <v>2</v>
      </c>
      <c r="D62" s="234" t="s">
        <v>758</v>
      </c>
      <c r="E62" s="235" t="s">
        <v>19</v>
      </c>
      <c r="F62" s="236">
        <f>mcgannirewxpts</f>
        <v>10</v>
      </c>
    </row>
    <row r="63" spans="1:6" ht="14.95" customHeight="1" thickBot="1" x14ac:dyDescent="0.3">
      <c r="A63" s="240" t="s">
        <v>517</v>
      </c>
      <c r="B63" s="241" t="s">
        <v>330</v>
      </c>
      <c r="C63" s="242">
        <f>Vahaakolonzlwxvtries</f>
        <v>2</v>
      </c>
      <c r="D63" s="234" t="s">
        <v>89</v>
      </c>
      <c r="E63" s="235" t="s">
        <v>27</v>
      </c>
      <c r="F63" s="236">
        <f>menagerfrawxvpts</f>
        <v>10</v>
      </c>
    </row>
    <row r="64" spans="1:6" ht="14.95" customHeight="1" thickBot="1" x14ac:dyDescent="0.3">
      <c r="A64" s="240" t="s">
        <v>636</v>
      </c>
      <c r="B64" s="241" t="s">
        <v>330</v>
      </c>
      <c r="C64" s="242">
        <f>olsenbakernzlwxvtries</f>
        <v>2</v>
      </c>
      <c r="D64" s="234" t="s">
        <v>975</v>
      </c>
      <c r="E64" s="235" t="s">
        <v>19</v>
      </c>
      <c r="F64" s="236">
        <f>mooreirewxvpts</f>
        <v>10</v>
      </c>
    </row>
    <row r="65" spans="1:6" ht="14.95" customHeight="1" thickBot="1" x14ac:dyDescent="0.3">
      <c r="A65" s="240" t="s">
        <v>493</v>
      </c>
      <c r="B65" s="241" t="s">
        <v>330</v>
      </c>
      <c r="C65" s="242">
        <f>MikaeleTuunzlwxvtries</f>
        <v>2</v>
      </c>
      <c r="D65" s="234" t="s">
        <v>1003</v>
      </c>
      <c r="E65" s="235" t="s">
        <v>679</v>
      </c>
      <c r="F65" s="236">
        <f>neihamufijwxots</f>
        <v>10</v>
      </c>
    </row>
    <row r="66" spans="1:6" ht="14.95" customHeight="1" thickBot="1" x14ac:dyDescent="0.3">
      <c r="A66" s="240" t="s">
        <v>749</v>
      </c>
      <c r="B66" s="241" t="s">
        <v>27</v>
      </c>
      <c r="C66" s="242">
        <f>bourdonfrawxvtries</f>
        <v>2</v>
      </c>
      <c r="D66" s="234" t="s">
        <v>747</v>
      </c>
      <c r="E66" s="235" t="s">
        <v>27</v>
      </c>
      <c r="F66" s="236">
        <f>okembafrawxvpts</f>
        <v>10</v>
      </c>
    </row>
    <row r="67" spans="1:6" ht="14.95" customHeight="1" thickBot="1" x14ac:dyDescent="0.3">
      <c r="A67" s="240" t="s">
        <v>401</v>
      </c>
      <c r="B67" s="241" t="s">
        <v>27</v>
      </c>
      <c r="C67" s="242">
        <f>vernierfrawxvtries</f>
        <v>2</v>
      </c>
      <c r="D67" s="234" t="s">
        <v>573</v>
      </c>
      <c r="E67" s="235" t="s">
        <v>21</v>
      </c>
      <c r="F67" s="236">
        <f>orrscowxvpts</f>
        <v>10</v>
      </c>
    </row>
    <row r="68" spans="1:6" ht="14.95" customHeight="1" thickBot="1" x14ac:dyDescent="0.3">
      <c r="A68" s="240" t="s">
        <v>208</v>
      </c>
      <c r="B68" s="241" t="s">
        <v>20</v>
      </c>
      <c r="C68" s="242">
        <f>matthewsengwxvtries</f>
        <v>2</v>
      </c>
      <c r="D68" s="234" t="s">
        <v>452</v>
      </c>
      <c r="E68" s="235" t="s">
        <v>332</v>
      </c>
      <c r="F68" s="236">
        <f>tuttosicanwxvpts</f>
        <v>10</v>
      </c>
    </row>
    <row r="69" spans="1:6" ht="14.95" customHeight="1" thickBot="1" x14ac:dyDescent="0.3">
      <c r="A69" s="240" t="s">
        <v>721</v>
      </c>
      <c r="B69" s="241" t="s">
        <v>714</v>
      </c>
      <c r="C69" s="242">
        <f>alamedaespwxvtries</f>
        <v>1</v>
      </c>
      <c r="D69" s="234" t="s">
        <v>820</v>
      </c>
      <c r="E69" s="235" t="s">
        <v>330</v>
      </c>
      <c r="F69" s="236">
        <f>woodmanwickliffenzlwxvpts</f>
        <v>10</v>
      </c>
    </row>
    <row r="70" spans="1:6" ht="14.95" customHeight="1" thickBot="1" x14ac:dyDescent="0.3">
      <c r="A70" s="240" t="s">
        <v>944</v>
      </c>
      <c r="B70" s="241" t="s">
        <v>331</v>
      </c>
      <c r="C70" s="242">
        <f>amosaauswxvtries</f>
        <v>1</v>
      </c>
      <c r="D70" s="234" t="s">
        <v>196</v>
      </c>
      <c r="E70" s="235" t="s">
        <v>20</v>
      </c>
      <c r="F70" s="236">
        <f>dowengwxvpts</f>
        <v>10</v>
      </c>
    </row>
    <row r="71" spans="1:6" ht="14.95" customHeight="1" thickBot="1" x14ac:dyDescent="0.3">
      <c r="A71" s="240" t="s">
        <v>962</v>
      </c>
      <c r="B71" s="241" t="s">
        <v>714</v>
      </c>
      <c r="C71" s="242">
        <f>antolinezespwxvtries</f>
        <v>1</v>
      </c>
      <c r="D71" s="234" t="s">
        <v>955</v>
      </c>
      <c r="E71" s="235" t="s">
        <v>542</v>
      </c>
      <c r="F71" s="236">
        <f>makuarsawxvpts</f>
        <v>10</v>
      </c>
    </row>
    <row r="72" spans="1:6" ht="14.95" customHeight="1" thickBot="1" x14ac:dyDescent="0.3">
      <c r="A72" s="240" t="s">
        <v>997</v>
      </c>
      <c r="B72" s="241" t="s">
        <v>333</v>
      </c>
      <c r="C72" s="242">
        <f>bargellusawxtries</f>
        <v>1</v>
      </c>
      <c r="D72" s="234" t="s">
        <v>956</v>
      </c>
      <c r="E72" s="235" t="s">
        <v>542</v>
      </c>
      <c r="F72" s="236">
        <f>ngwevursawxvpts</f>
        <v>10</v>
      </c>
    </row>
    <row r="73" spans="1:6" ht="14.95" customHeight="1" thickBot="1" x14ac:dyDescent="0.3">
      <c r="A73" s="240" t="s">
        <v>458</v>
      </c>
      <c r="B73" s="241" t="s">
        <v>332</v>
      </c>
      <c r="C73" s="242">
        <f>boagcanwxvtries</f>
        <v>1</v>
      </c>
      <c r="D73" s="234" t="s">
        <v>818</v>
      </c>
      <c r="E73" s="235" t="s">
        <v>332</v>
      </c>
      <c r="F73" s="236">
        <f>paqyuincanwxvpts</f>
        <v>10</v>
      </c>
    </row>
    <row r="74" spans="1:6" ht="14.95" customHeight="1" thickBot="1" x14ac:dyDescent="0.3">
      <c r="A74" s="240" t="s">
        <v>416</v>
      </c>
      <c r="B74" s="241" t="s">
        <v>20</v>
      </c>
      <c r="C74" s="242">
        <f>bottermanengwxvtries</f>
        <v>1</v>
      </c>
      <c r="D74" s="234" t="s">
        <v>961</v>
      </c>
      <c r="E74" s="235" t="s">
        <v>330</v>
      </c>
      <c r="F74" s="236">
        <f>setefanonzlwxvpts</f>
        <v>10</v>
      </c>
    </row>
    <row r="75" spans="1:6" ht="14.95" customHeight="1" thickBot="1" x14ac:dyDescent="0.3">
      <c r="A75" s="240" t="s">
        <v>949</v>
      </c>
      <c r="B75" s="241" t="s">
        <v>21</v>
      </c>
      <c r="C75" s="242">
        <f>brebnerholdenscowxvtries</f>
        <v>1</v>
      </c>
      <c r="D75" s="234" t="s">
        <v>517</v>
      </c>
      <c r="E75" s="235" t="s">
        <v>330</v>
      </c>
      <c r="F75" s="236">
        <f>Vahaakolonzlwxvpts</f>
        <v>10</v>
      </c>
    </row>
    <row r="76" spans="1:6" ht="14.95" customHeight="1" thickBot="1" x14ac:dyDescent="0.3">
      <c r="A76" s="240" t="s">
        <v>776</v>
      </c>
      <c r="B76" s="241" t="s">
        <v>19</v>
      </c>
      <c r="C76" s="242">
        <f>breenirewxvtries</f>
        <v>1</v>
      </c>
      <c r="D76" s="234" t="s">
        <v>636</v>
      </c>
      <c r="E76" s="235" t="s">
        <v>330</v>
      </c>
      <c r="F76" s="236">
        <f>olsenbakernzlwxvpts</f>
        <v>10</v>
      </c>
    </row>
    <row r="77" spans="1:6" ht="14.95" customHeight="1" thickBot="1" x14ac:dyDescent="0.3">
      <c r="A77" s="240" t="s">
        <v>581</v>
      </c>
      <c r="B77" s="241" t="s">
        <v>20</v>
      </c>
      <c r="C77" s="242">
        <f>carsonengwxvtries</f>
        <v>1</v>
      </c>
      <c r="D77" s="234" t="s">
        <v>493</v>
      </c>
      <c r="E77" s="235" t="s">
        <v>330</v>
      </c>
      <c r="F77" s="236">
        <f>MikaeleTuunzlwxvpts</f>
        <v>10</v>
      </c>
    </row>
    <row r="78" spans="1:6" ht="14.95" customHeight="1" thickBot="1" x14ac:dyDescent="0.3">
      <c r="A78" s="240" t="s">
        <v>1010</v>
      </c>
      <c r="B78" s="241" t="s">
        <v>714</v>
      </c>
      <c r="C78" s="242">
        <f>casteloespwxvtries</f>
        <v>1</v>
      </c>
      <c r="D78" s="234" t="s">
        <v>749</v>
      </c>
      <c r="E78" s="235" t="s">
        <v>27</v>
      </c>
      <c r="F78" s="236">
        <f>bourdonfrawxvpts</f>
        <v>10</v>
      </c>
    </row>
    <row r="79" spans="1:6" ht="14.95" customHeight="1" thickBot="1" x14ac:dyDescent="0.3">
      <c r="A79" s="240" t="s">
        <v>773</v>
      </c>
      <c r="B79" s="241" t="s">
        <v>27</v>
      </c>
      <c r="C79" s="242">
        <f>chambonfrawxvtriescorrect</f>
        <v>1</v>
      </c>
      <c r="D79" s="234" t="s">
        <v>401</v>
      </c>
      <c r="E79" s="235" t="s">
        <v>27</v>
      </c>
      <c r="F79" s="236">
        <f>vernierfrawxvpts</f>
        <v>10</v>
      </c>
    </row>
    <row r="80" spans="1:6" ht="14.95" customHeight="1" thickBot="1" x14ac:dyDescent="0.3">
      <c r="A80" s="240" t="s">
        <v>946</v>
      </c>
      <c r="B80" s="241" t="s">
        <v>331</v>
      </c>
      <c r="C80" s="242">
        <f>chancellorauswxvtries</f>
        <v>1</v>
      </c>
      <c r="D80" s="234" t="s">
        <v>208</v>
      </c>
      <c r="E80" s="235" t="s">
        <v>20</v>
      </c>
      <c r="F80" s="236">
        <f>matthewsengwxvpts</f>
        <v>10</v>
      </c>
    </row>
    <row r="81" spans="1:6" ht="14.95" customHeight="1" thickBot="1" x14ac:dyDescent="0.3">
      <c r="A81" s="240" t="s">
        <v>1014</v>
      </c>
      <c r="B81" s="241" t="s">
        <v>22</v>
      </c>
      <c r="C81" s="242">
        <f>corradiniitawxvtries</f>
        <v>1</v>
      </c>
      <c r="D81" s="234" t="s">
        <v>718</v>
      </c>
      <c r="E81" s="235" t="s">
        <v>714</v>
      </c>
      <c r="F81" s="236">
        <f>argudoespwxvpts</f>
        <v>9</v>
      </c>
    </row>
    <row r="82" spans="1:6" ht="14.95" customHeight="1" thickBot="1" x14ac:dyDescent="0.3">
      <c r="A82" s="240" t="s">
        <v>999</v>
      </c>
      <c r="B82" s="241" t="s">
        <v>333</v>
      </c>
      <c r="C82" s="242">
        <f>coulibalyusawxtries</f>
        <v>1</v>
      </c>
      <c r="D82" s="234" t="s">
        <v>957</v>
      </c>
      <c r="E82" s="235" t="s">
        <v>958</v>
      </c>
      <c r="F82" s="236">
        <f>Kochhannbrawxvpts</f>
        <v>9</v>
      </c>
    </row>
    <row r="83" spans="1:6" ht="14.95" customHeight="1" thickBot="1" x14ac:dyDescent="0.3">
      <c r="A83" s="240" t="s">
        <v>1000</v>
      </c>
      <c r="B83" s="241" t="s">
        <v>23</v>
      </c>
      <c r="C83" s="242">
        <f>coxwalwxvtries</f>
        <v>1</v>
      </c>
      <c r="D83" s="234" t="s">
        <v>993</v>
      </c>
      <c r="E83" s="235" t="s">
        <v>27</v>
      </c>
      <c r="F83" s="236">
        <f>tuyfrawxvpts</f>
        <v>9</v>
      </c>
    </row>
    <row r="84" spans="1:6" ht="14.95" customHeight="1" thickBot="1" x14ac:dyDescent="0.3">
      <c r="A84" s="240" t="s">
        <v>950</v>
      </c>
      <c r="B84" s="241" t="s">
        <v>332</v>
      </c>
      <c r="C84" s="242">
        <f>crossleycanwxvtries</f>
        <v>1</v>
      </c>
      <c r="D84" s="234" t="s">
        <v>451</v>
      </c>
      <c r="E84" s="235" t="s">
        <v>333</v>
      </c>
      <c r="F84" s="236">
        <f>hawkinsusawxvpts</f>
        <v>8</v>
      </c>
    </row>
    <row r="85" spans="1:6" ht="14.95" customHeight="1" thickBot="1" x14ac:dyDescent="0.3">
      <c r="A85" s="240" t="s">
        <v>483</v>
      </c>
      <c r="B85" s="241" t="s">
        <v>332</v>
      </c>
      <c r="C85" s="242">
        <f>demerchantcanwxvtries</f>
        <v>1</v>
      </c>
      <c r="D85" s="234" t="s">
        <v>539</v>
      </c>
      <c r="E85" s="235" t="s">
        <v>536</v>
      </c>
      <c r="F85" s="236">
        <f>otsukapnwxvpts</f>
        <v>8</v>
      </c>
    </row>
    <row r="86" spans="1:6" ht="14.95" customHeight="1" thickBot="1" x14ac:dyDescent="0.3">
      <c r="A86" s="240" t="s">
        <v>604</v>
      </c>
      <c r="B86" s="241" t="s">
        <v>20</v>
      </c>
      <c r="C86" s="242">
        <f>feaunatiengwxvtries</f>
        <v>1</v>
      </c>
      <c r="D86" s="234" t="s">
        <v>776</v>
      </c>
      <c r="E86" s="235" t="s">
        <v>19</v>
      </c>
      <c r="F86" s="236">
        <f>breenirewxvpts</f>
        <v>7</v>
      </c>
    </row>
    <row r="87" spans="1:6" ht="14.95" customHeight="1" thickBot="1" x14ac:dyDescent="0.3">
      <c r="A87" s="240" t="s">
        <v>592</v>
      </c>
      <c r="B87" s="241" t="s">
        <v>22</v>
      </c>
      <c r="C87" s="242">
        <f>fedrighiitawxvtries</f>
        <v>1</v>
      </c>
      <c r="D87" s="234" t="s">
        <v>976</v>
      </c>
      <c r="E87" s="235" t="s">
        <v>714</v>
      </c>
      <c r="F87" s="236">
        <f>penaespwxvpts</f>
        <v>7</v>
      </c>
    </row>
    <row r="88" spans="1:6" ht="14.95" customHeight="1" thickBot="1" x14ac:dyDescent="0.3">
      <c r="A88" s="240" t="s">
        <v>1023</v>
      </c>
      <c r="B88" s="241" t="s">
        <v>27</v>
      </c>
      <c r="C88" s="242">
        <f>gerinfrawxvtries</f>
        <v>1</v>
      </c>
      <c r="D88" s="234" t="s">
        <v>212</v>
      </c>
      <c r="E88" s="235" t="s">
        <v>536</v>
      </c>
      <c r="F88" s="236">
        <f>penaltytriesjpnwxpts</f>
        <v>7</v>
      </c>
    </row>
    <row r="89" spans="1:6" ht="14.95" customHeight="1" thickBot="1" x14ac:dyDescent="0.3">
      <c r="A89" s="240" t="s">
        <v>987</v>
      </c>
      <c r="B89" s="241" t="s">
        <v>536</v>
      </c>
      <c r="C89" s="242">
        <f>hatadajpnwxvtries</f>
        <v>1</v>
      </c>
      <c r="D89" s="234" t="s">
        <v>212</v>
      </c>
      <c r="E89" s="235" t="s">
        <v>332</v>
      </c>
      <c r="F89" s="236">
        <f>penaltytriescanwxvpts</f>
        <v>7</v>
      </c>
    </row>
    <row r="90" spans="1:6" ht="14.95" customHeight="1" thickBot="1" x14ac:dyDescent="0.3">
      <c r="A90" s="240" t="s">
        <v>564</v>
      </c>
      <c r="B90" s="241" t="s">
        <v>536</v>
      </c>
      <c r="C90" s="242">
        <f>hirotsujpnwxvtries</f>
        <v>1</v>
      </c>
      <c r="D90" s="234" t="s">
        <v>477</v>
      </c>
      <c r="E90" s="235" t="s">
        <v>331</v>
      </c>
      <c r="F90" s="236">
        <f>cramerauswxvpts</f>
        <v>6</v>
      </c>
    </row>
    <row r="91" spans="1:6" ht="14.95" customHeight="1" thickBot="1" x14ac:dyDescent="0.3">
      <c r="A91" s="240" t="s">
        <v>1006</v>
      </c>
      <c r="B91" s="241" t="s">
        <v>536</v>
      </c>
      <c r="C91" s="242">
        <f>imakugijpnwxvtries</f>
        <v>1</v>
      </c>
      <c r="D91" s="234" t="s">
        <v>721</v>
      </c>
      <c r="E91" s="235" t="s">
        <v>714</v>
      </c>
      <c r="F91" s="236">
        <f>alamedaespwxvpts</f>
        <v>5</v>
      </c>
    </row>
    <row r="92" spans="1:6" ht="14.95" customHeight="1" thickBot="1" x14ac:dyDescent="0.3">
      <c r="A92" s="240" t="s">
        <v>590</v>
      </c>
      <c r="B92" s="241" t="s">
        <v>19</v>
      </c>
      <c r="C92" s="242">
        <f>jonesirewxvtries</f>
        <v>1</v>
      </c>
      <c r="D92" s="234" t="s">
        <v>944</v>
      </c>
      <c r="E92" s="235" t="s">
        <v>331</v>
      </c>
      <c r="F92" s="236">
        <f>amosaauswxvpts</f>
        <v>5</v>
      </c>
    </row>
    <row r="93" spans="1:6" ht="14.95" customHeight="1" thickBot="1" x14ac:dyDescent="0.3">
      <c r="A93" s="240" t="s">
        <v>1020</v>
      </c>
      <c r="B93" s="241" t="s">
        <v>330</v>
      </c>
      <c r="C93" s="242">
        <f>josephnzlwxvtries</f>
        <v>1</v>
      </c>
      <c r="D93" s="234" t="s">
        <v>962</v>
      </c>
      <c r="E93" s="235" t="s">
        <v>714</v>
      </c>
      <c r="F93" s="236">
        <f>antolinezespwxvpts</f>
        <v>5</v>
      </c>
    </row>
    <row r="94" spans="1:6" ht="14.95" customHeight="1" thickBot="1" x14ac:dyDescent="0.3">
      <c r="A94" s="240" t="s">
        <v>954</v>
      </c>
      <c r="B94" s="241" t="s">
        <v>536</v>
      </c>
      <c r="C94" s="242">
        <f>kawamurajpnwxvtries</f>
        <v>1</v>
      </c>
      <c r="D94" s="234" t="s">
        <v>997</v>
      </c>
      <c r="E94" s="235" t="s">
        <v>333</v>
      </c>
      <c r="F94" s="236">
        <f>bargellusawxvpts</f>
        <v>5</v>
      </c>
    </row>
    <row r="95" spans="1:6" ht="14.95" customHeight="1" thickBot="1" x14ac:dyDescent="0.3">
      <c r="A95" s="240" t="s">
        <v>598</v>
      </c>
      <c r="B95" s="241" t="s">
        <v>27</v>
      </c>
      <c r="C95" s="242">
        <f>khalfaouifrawxvtries</f>
        <v>1</v>
      </c>
      <c r="D95" s="234" t="s">
        <v>458</v>
      </c>
      <c r="E95" s="235" t="s">
        <v>332</v>
      </c>
      <c r="F95" s="236">
        <f>boagcanwxvpts</f>
        <v>5</v>
      </c>
    </row>
    <row r="96" spans="1:6" ht="14.95" customHeight="1" thickBot="1" x14ac:dyDescent="0.3">
      <c r="A96" s="240" t="s">
        <v>1005</v>
      </c>
      <c r="B96" s="241" t="s">
        <v>536</v>
      </c>
      <c r="C96" s="242">
        <f>kitanojpnwxvtries</f>
        <v>1</v>
      </c>
      <c r="D96" s="234" t="s">
        <v>416</v>
      </c>
      <c r="E96" s="235" t="s">
        <v>20</v>
      </c>
      <c r="F96" s="236">
        <f>bottermanengwxvpts</f>
        <v>5</v>
      </c>
    </row>
    <row r="97" spans="1:6" ht="14.95" customHeight="1" thickBot="1" x14ac:dyDescent="0.3">
      <c r="A97" s="240" t="s">
        <v>973</v>
      </c>
      <c r="B97" s="241" t="s">
        <v>679</v>
      </c>
      <c r="C97" s="242">
        <f>komaitaifijwxvtries</f>
        <v>1</v>
      </c>
      <c r="D97" s="234" t="s">
        <v>949</v>
      </c>
      <c r="E97" s="235" t="s">
        <v>21</v>
      </c>
      <c r="F97" s="236">
        <f>brebnerholdenscowxvpts</f>
        <v>5</v>
      </c>
    </row>
    <row r="98" spans="1:6" ht="14.95" customHeight="1" thickBot="1" x14ac:dyDescent="0.3">
      <c r="A98" s="240" t="s">
        <v>683</v>
      </c>
      <c r="B98" s="241" t="s">
        <v>679</v>
      </c>
      <c r="C98" s="242">
        <f>lomanifijwvtries</f>
        <v>1</v>
      </c>
      <c r="D98" s="234" t="s">
        <v>581</v>
      </c>
      <c r="E98" s="235" t="s">
        <v>20</v>
      </c>
      <c r="F98" s="236">
        <f>carsonengwxvpts</f>
        <v>5</v>
      </c>
    </row>
    <row r="99" spans="1:6" ht="14.95" customHeight="1" thickBot="1" x14ac:dyDescent="0.3">
      <c r="A99" s="240" t="s">
        <v>1021</v>
      </c>
      <c r="B99" s="241" t="s">
        <v>22</v>
      </c>
      <c r="C99" s="242">
        <f>mannianiitawxvtries</f>
        <v>1</v>
      </c>
      <c r="D99" s="234" t="s">
        <v>1010</v>
      </c>
      <c r="E99" s="235" t="s">
        <v>714</v>
      </c>
      <c r="F99" s="236">
        <f>casteloespwxvpts</f>
        <v>5</v>
      </c>
    </row>
    <row r="100" spans="1:6" ht="14.95" customHeight="1" thickBot="1" x14ac:dyDescent="0.3">
      <c r="A100" s="240" t="s">
        <v>710</v>
      </c>
      <c r="B100" s="241" t="s">
        <v>542</v>
      </c>
      <c r="C100" s="242">
        <f>mcatshulwarsawxvtries</f>
        <v>1</v>
      </c>
      <c r="D100" s="234" t="s">
        <v>773</v>
      </c>
      <c r="E100" s="235" t="s">
        <v>27</v>
      </c>
      <c r="F100" s="236">
        <f>chambonfrawxvptscorrect</f>
        <v>5</v>
      </c>
    </row>
    <row r="101" spans="1:6" ht="14.95" customHeight="1" thickBot="1" x14ac:dyDescent="0.3">
      <c r="A101" s="240" t="s">
        <v>971</v>
      </c>
      <c r="B101" s="241" t="s">
        <v>20</v>
      </c>
      <c r="C101" s="242">
        <f>macdonaldengwxvtries</f>
        <v>1</v>
      </c>
      <c r="D101" s="234" t="s">
        <v>946</v>
      </c>
      <c r="E101" s="235" t="s">
        <v>331</v>
      </c>
      <c r="F101" s="236">
        <f>chancellorauswxvpts</f>
        <v>5</v>
      </c>
    </row>
    <row r="102" spans="1:6" ht="14.95" customHeight="1" thickBot="1" x14ac:dyDescent="0.3">
      <c r="A102" s="240" t="s">
        <v>990</v>
      </c>
      <c r="B102" s="241" t="s">
        <v>27</v>
      </c>
      <c r="C102" s="242">
        <f>morlandfrawxvtries</f>
        <v>1</v>
      </c>
      <c r="D102" s="234" t="s">
        <v>1014</v>
      </c>
      <c r="E102" s="235" t="s">
        <v>22</v>
      </c>
      <c r="F102" s="236">
        <f>corradiniitawxvpts</f>
        <v>5</v>
      </c>
    </row>
    <row r="103" spans="1:6" ht="14.95" customHeight="1" thickBot="1" x14ac:dyDescent="0.3">
      <c r="A103" s="240" t="s">
        <v>417</v>
      </c>
      <c r="B103" s="241" t="s">
        <v>20</v>
      </c>
      <c r="C103" s="242">
        <f>muirengwxvtries</f>
        <v>1</v>
      </c>
      <c r="D103" s="234" t="s">
        <v>999</v>
      </c>
      <c r="E103" s="235" t="s">
        <v>333</v>
      </c>
      <c r="F103" s="236">
        <f>coulibalyusawxpts</f>
        <v>5</v>
      </c>
    </row>
    <row r="104" spans="1:6" ht="14.95" customHeight="1" thickBot="1" x14ac:dyDescent="0.3">
      <c r="A104" s="240" t="s">
        <v>358</v>
      </c>
      <c r="B104" s="241" t="s">
        <v>536</v>
      </c>
      <c r="C104" s="242">
        <f>nagataijpnwxvtries</f>
        <v>1</v>
      </c>
      <c r="D104" s="234" t="s">
        <v>1000</v>
      </c>
      <c r="E104" s="235" t="s">
        <v>23</v>
      </c>
      <c r="F104" s="236">
        <f>coxwalwxvtriespts</f>
        <v>5</v>
      </c>
    </row>
    <row r="105" spans="1:6" ht="14.95" customHeight="1" thickBot="1" x14ac:dyDescent="0.3">
      <c r="A105" s="240" t="s">
        <v>686</v>
      </c>
      <c r="B105" s="241" t="s">
        <v>679</v>
      </c>
      <c r="C105" s="242">
        <f>naisewafijwxvtries</f>
        <v>1</v>
      </c>
      <c r="D105" s="234" t="s">
        <v>950</v>
      </c>
      <c r="E105" s="235" t="s">
        <v>332</v>
      </c>
      <c r="F105" s="236">
        <f>crossleycanwxvpts</f>
        <v>5</v>
      </c>
    </row>
    <row r="106" spans="1:6" ht="14.95" customHeight="1" thickBot="1" x14ac:dyDescent="0.3">
      <c r="A106" s="240" t="s">
        <v>537</v>
      </c>
      <c r="B106" s="241" t="s">
        <v>536</v>
      </c>
      <c r="C106" s="242">
        <f>ndukajpnwxvtriescorrect</f>
        <v>1</v>
      </c>
      <c r="D106" s="234" t="s">
        <v>483</v>
      </c>
      <c r="E106" s="235" t="s">
        <v>332</v>
      </c>
      <c r="F106" s="236">
        <f>demerchantcanwxvpts</f>
        <v>5</v>
      </c>
    </row>
    <row r="107" spans="1:6" ht="14.95" customHeight="1" thickBot="1" x14ac:dyDescent="0.3">
      <c r="A107" s="240" t="s">
        <v>1002</v>
      </c>
      <c r="B107" s="241" t="s">
        <v>23</v>
      </c>
      <c r="C107" s="242">
        <f>neumannwalwxvtries</f>
        <v>1</v>
      </c>
      <c r="D107" s="234" t="s">
        <v>604</v>
      </c>
      <c r="E107" s="235" t="s">
        <v>20</v>
      </c>
      <c r="F107" s="236">
        <f>feaunatiengwxvpts</f>
        <v>5</v>
      </c>
    </row>
    <row r="108" spans="1:6" ht="14.95" customHeight="1" thickBot="1" x14ac:dyDescent="0.3">
      <c r="A108" s="240" t="s">
        <v>448</v>
      </c>
      <c r="B108" s="241" t="s">
        <v>536</v>
      </c>
      <c r="C108" s="242">
        <f>nishimurajpnwxvtries</f>
        <v>1</v>
      </c>
      <c r="D108" s="234" t="s">
        <v>592</v>
      </c>
      <c r="E108" s="235" t="s">
        <v>22</v>
      </c>
      <c r="F108" s="236">
        <f>fedrighiitawxvpts</f>
        <v>5</v>
      </c>
    </row>
    <row r="109" spans="1:6" ht="14.95" customHeight="1" thickBot="1" x14ac:dyDescent="0.3">
      <c r="A109" s="240" t="s">
        <v>402</v>
      </c>
      <c r="B109" s="241" t="s">
        <v>19</v>
      </c>
      <c r="C109" s="242">
        <f>obrienirewxvtries</f>
        <v>1</v>
      </c>
      <c r="D109" s="234" t="s">
        <v>1023</v>
      </c>
      <c r="E109" s="235" t="s">
        <v>27</v>
      </c>
      <c r="F109" s="236">
        <f>gerinfrawxvpts</f>
        <v>5</v>
      </c>
    </row>
    <row r="110" spans="1:6" ht="14.95" customHeight="1" thickBot="1" x14ac:dyDescent="0.3">
      <c r="A110" s="240" t="s">
        <v>998</v>
      </c>
      <c r="B110" s="241" t="s">
        <v>333</v>
      </c>
      <c r="C110" s="242">
        <f>ortizusawxvtries</f>
        <v>1</v>
      </c>
      <c r="D110" s="234" t="s">
        <v>987</v>
      </c>
      <c r="E110" s="235" t="s">
        <v>536</v>
      </c>
      <c r="F110" s="236">
        <f>hatadajpnwxvpts</f>
        <v>5</v>
      </c>
    </row>
    <row r="111" spans="1:6" ht="14.95" customHeight="1" thickBot="1" x14ac:dyDescent="0.3">
      <c r="A111" s="240" t="s">
        <v>63</v>
      </c>
      <c r="B111" s="241" t="s">
        <v>20</v>
      </c>
      <c r="C111" s="242">
        <f>packerlengwxvtries</f>
        <v>1</v>
      </c>
      <c r="D111" s="234" t="s">
        <v>564</v>
      </c>
      <c r="E111" s="235" t="s">
        <v>536</v>
      </c>
      <c r="F111" s="236">
        <f>hirotsujpnwxvpts</f>
        <v>5</v>
      </c>
    </row>
    <row r="112" spans="1:6" ht="14.95" customHeight="1" thickBot="1" x14ac:dyDescent="0.3">
      <c r="A112" s="240" t="s">
        <v>64</v>
      </c>
      <c r="B112" s="241" t="s">
        <v>20</v>
      </c>
      <c r="C112" s="242">
        <f>packermengwxvtries</f>
        <v>1</v>
      </c>
      <c r="D112" s="234" t="s">
        <v>1006</v>
      </c>
      <c r="E112" s="235" t="s">
        <v>536</v>
      </c>
      <c r="F112" s="236">
        <f>imakugijpnwxvpts</f>
        <v>5</v>
      </c>
    </row>
    <row r="113" spans="1:6" ht="14.95" customHeight="1" thickBot="1" x14ac:dyDescent="0.3">
      <c r="A113" s="240" t="s">
        <v>594</v>
      </c>
      <c r="B113" s="241" t="s">
        <v>19</v>
      </c>
      <c r="C113" s="242">
        <f>parsonsirewxvtries</f>
        <v>1</v>
      </c>
      <c r="D113" s="234" t="s">
        <v>590</v>
      </c>
      <c r="E113" s="235" t="s">
        <v>19</v>
      </c>
      <c r="F113" s="236">
        <f>jonesirewxvpts</f>
        <v>5</v>
      </c>
    </row>
    <row r="114" spans="1:6" ht="14.95" customHeight="1" thickBot="1" x14ac:dyDescent="0.3">
      <c r="A114" s="240" t="s">
        <v>976</v>
      </c>
      <c r="B114" s="241" t="s">
        <v>714</v>
      </c>
      <c r="C114" s="242">
        <f>penaespwxvtries</f>
        <v>1</v>
      </c>
      <c r="D114" s="234" t="s">
        <v>1020</v>
      </c>
      <c r="E114" s="235" t="s">
        <v>330</v>
      </c>
      <c r="F114" s="236">
        <f>josephnzlwxvpts</f>
        <v>5</v>
      </c>
    </row>
    <row r="115" spans="1:6" ht="14.95" customHeight="1" thickBot="1" x14ac:dyDescent="0.3">
      <c r="A115" s="240" t="s">
        <v>212</v>
      </c>
      <c r="B115" s="241" t="s">
        <v>536</v>
      </c>
      <c r="C115" s="242">
        <f>penaltytriesjpnwxtries</f>
        <v>1</v>
      </c>
      <c r="D115" s="234" t="s">
        <v>954</v>
      </c>
      <c r="E115" s="235" t="s">
        <v>536</v>
      </c>
      <c r="F115" s="236">
        <f>kawamurajpnwxvpts</f>
        <v>5</v>
      </c>
    </row>
    <row r="116" spans="1:6" ht="14.95" customHeight="1" thickBot="1" x14ac:dyDescent="0.3">
      <c r="A116" s="240" t="s">
        <v>212</v>
      </c>
      <c r="B116" s="241" t="s">
        <v>332</v>
      </c>
      <c r="C116" s="242">
        <f>penaltytriescanwxvtries</f>
        <v>1</v>
      </c>
      <c r="D116" s="234" t="s">
        <v>598</v>
      </c>
      <c r="E116" s="235" t="s">
        <v>27</v>
      </c>
      <c r="F116" s="236">
        <f>khalfaouifrawxvpts</f>
        <v>5</v>
      </c>
    </row>
    <row r="117" spans="1:6" ht="14.95" customHeight="1" thickBot="1" x14ac:dyDescent="0.3">
      <c r="A117" s="240" t="s">
        <v>921</v>
      </c>
      <c r="B117" s="241" t="s">
        <v>714</v>
      </c>
      <c r="C117" s="242">
        <f>perezcespwxvtries</f>
        <v>1</v>
      </c>
      <c r="D117" s="234" t="s">
        <v>1005</v>
      </c>
      <c r="E117" s="235" t="s">
        <v>536</v>
      </c>
      <c r="F117" s="236">
        <f>kitanojpnwxvpts</f>
        <v>5</v>
      </c>
    </row>
    <row r="118" spans="1:6" ht="14.95" customHeight="1" thickBot="1" x14ac:dyDescent="0.3">
      <c r="A118" s="240" t="s">
        <v>965</v>
      </c>
      <c r="B118" s="241" t="s">
        <v>332</v>
      </c>
      <c r="C118" s="242">
        <f>perrycanwxvtries</f>
        <v>1</v>
      </c>
      <c r="D118" s="234" t="s">
        <v>973</v>
      </c>
      <c r="E118" s="235" t="s">
        <v>679</v>
      </c>
      <c r="F118" s="236">
        <f>komaitaifijwxvpts</f>
        <v>5</v>
      </c>
    </row>
    <row r="119" spans="1:6" ht="14.95" thickBot="1" x14ac:dyDescent="0.3">
      <c r="A119" s="240" t="s">
        <v>635</v>
      </c>
      <c r="B119" s="241" t="s">
        <v>330</v>
      </c>
      <c r="C119" s="242">
        <f>ponsonbynzlwxvtries</f>
        <v>1</v>
      </c>
      <c r="D119" s="234" t="s">
        <v>683</v>
      </c>
      <c r="E119" s="235" t="s">
        <v>679</v>
      </c>
      <c r="F119" s="236">
        <f>lomanifijwvpts</f>
        <v>5</v>
      </c>
    </row>
    <row r="120" spans="1:6" ht="14.95" thickBot="1" x14ac:dyDescent="0.3">
      <c r="A120" s="240" t="s">
        <v>985</v>
      </c>
      <c r="B120" s="241" t="s">
        <v>330</v>
      </c>
      <c r="C120" s="242">
        <f>pourilanenzlwxvtries</f>
        <v>1</v>
      </c>
      <c r="D120" s="234" t="s">
        <v>1021</v>
      </c>
      <c r="E120" s="235" t="s">
        <v>22</v>
      </c>
      <c r="F120" s="236">
        <f>mannianiitawxvpts</f>
        <v>5</v>
      </c>
    </row>
    <row r="121" spans="1:6" ht="14.95" thickBot="1" x14ac:dyDescent="0.3">
      <c r="A121" s="240" t="s">
        <v>1001</v>
      </c>
      <c r="B121" s="241" t="s">
        <v>23</v>
      </c>
      <c r="C121" s="242">
        <f>powellwalwxvtries</f>
        <v>1</v>
      </c>
      <c r="D121" s="234" t="s">
        <v>710</v>
      </c>
      <c r="E121" s="235" t="s">
        <v>542</v>
      </c>
      <c r="F121" s="236">
        <f>mcatshulwarsawxvpts</f>
        <v>5</v>
      </c>
    </row>
    <row r="122" spans="1:6" ht="14.95" thickBot="1" x14ac:dyDescent="0.3">
      <c r="A122" s="240" t="s">
        <v>576</v>
      </c>
      <c r="B122" s="241" t="s">
        <v>27</v>
      </c>
      <c r="C122" s="242">
        <f>queyroifrawxvtries</f>
        <v>1</v>
      </c>
      <c r="D122" s="234" t="s">
        <v>971</v>
      </c>
      <c r="E122" s="235" t="s">
        <v>20</v>
      </c>
      <c r="F122" s="236">
        <f>macdonaldengwxvpts</f>
        <v>5</v>
      </c>
    </row>
    <row r="123" spans="1:6" ht="14.95" thickBot="1" x14ac:dyDescent="0.3">
      <c r="A123" s="240" t="s">
        <v>1004</v>
      </c>
      <c r="B123" s="241" t="s">
        <v>679</v>
      </c>
      <c r="C123" s="242">
        <f>railumufijwxvtries</f>
        <v>1</v>
      </c>
      <c r="D123" s="234" t="s">
        <v>990</v>
      </c>
      <c r="E123" s="235" t="s">
        <v>27</v>
      </c>
      <c r="F123" s="236">
        <f>morlandfrawxvpts</f>
        <v>5</v>
      </c>
    </row>
    <row r="124" spans="1:6" ht="14.95" thickBot="1" x14ac:dyDescent="0.3">
      <c r="A124" s="240" t="s">
        <v>977</v>
      </c>
      <c r="B124" s="241" t="s">
        <v>714</v>
      </c>
      <c r="C124" s="242">
        <f>romanespwxvtries</f>
        <v>1</v>
      </c>
      <c r="D124" s="234" t="s">
        <v>417</v>
      </c>
      <c r="E124" s="235" t="s">
        <v>20</v>
      </c>
      <c r="F124" s="236">
        <f>muirengwxvpts</f>
        <v>5</v>
      </c>
    </row>
    <row r="125" spans="1:6" ht="14.95" thickBot="1" x14ac:dyDescent="0.3">
      <c r="A125" s="240" t="s">
        <v>1011</v>
      </c>
      <c r="B125" s="241" t="s">
        <v>714</v>
      </c>
      <c r="C125" s="242">
        <f>rosellespwxvtries</f>
        <v>1</v>
      </c>
      <c r="D125" s="234" t="s">
        <v>358</v>
      </c>
      <c r="E125" s="235" t="s">
        <v>536</v>
      </c>
      <c r="F125" s="236">
        <f>nagataijpnwxvpts</f>
        <v>5</v>
      </c>
    </row>
    <row r="126" spans="1:6" ht="14.95" thickBot="1" x14ac:dyDescent="0.3">
      <c r="A126" s="240" t="s">
        <v>424</v>
      </c>
      <c r="B126" s="241" t="s">
        <v>20</v>
      </c>
      <c r="C126" s="242">
        <f>rowlandengwxvtries</f>
        <v>1</v>
      </c>
      <c r="D126" s="234" t="s">
        <v>686</v>
      </c>
      <c r="E126" s="235" t="s">
        <v>679</v>
      </c>
      <c r="F126" s="236">
        <f>naisewafijwxvpts</f>
        <v>5</v>
      </c>
    </row>
    <row r="127" spans="1:6" ht="14.95" thickBot="1" x14ac:dyDescent="0.3">
      <c r="A127" s="240" t="s">
        <v>974</v>
      </c>
      <c r="B127" s="241" t="s">
        <v>333</v>
      </c>
      <c r="C127" s="242">
        <f>sagapoluusawxvtries</f>
        <v>1</v>
      </c>
      <c r="D127" s="234" t="s">
        <v>537</v>
      </c>
      <c r="E127" s="235" t="s">
        <v>536</v>
      </c>
      <c r="F127" s="236">
        <f>ndukajpnwxvptscorrect</f>
        <v>5</v>
      </c>
    </row>
    <row r="128" spans="1:6" ht="14.95" thickBot="1" x14ac:dyDescent="0.3">
      <c r="A128" s="240" t="s">
        <v>972</v>
      </c>
      <c r="B128" s="241" t="s">
        <v>679</v>
      </c>
      <c r="C128" s="242">
        <f>senivutufijwxvtries</f>
        <v>1</v>
      </c>
      <c r="D128" s="234" t="s">
        <v>1002</v>
      </c>
      <c r="E128" s="235" t="s">
        <v>23</v>
      </c>
      <c r="F128" s="236">
        <f>neumannwalwxvpts</f>
        <v>5</v>
      </c>
    </row>
    <row r="129" spans="1:6" ht="14.95" thickBot="1" x14ac:dyDescent="0.3">
      <c r="A129" s="240" t="s">
        <v>978</v>
      </c>
      <c r="B129" s="241" t="s">
        <v>22</v>
      </c>
      <c r="C129" s="242">
        <f>seyeitawxvtries</f>
        <v>1</v>
      </c>
      <c r="D129" s="234" t="s">
        <v>448</v>
      </c>
      <c r="E129" s="235" t="s">
        <v>536</v>
      </c>
      <c r="F129" s="236">
        <f>nishimurajpnwxvpts</f>
        <v>5</v>
      </c>
    </row>
    <row r="130" spans="1:6" ht="14.95" thickBot="1" x14ac:dyDescent="0.3">
      <c r="A130" s="240" t="s">
        <v>742</v>
      </c>
      <c r="B130" s="241" t="s">
        <v>22</v>
      </c>
      <c r="C130" s="242">
        <f>sgorbiniitawxvtries</f>
        <v>1</v>
      </c>
      <c r="D130" s="234" t="s">
        <v>998</v>
      </c>
      <c r="E130" s="235" t="s">
        <v>333</v>
      </c>
      <c r="F130" s="236">
        <f>ortizusawxvpts</f>
        <v>5</v>
      </c>
    </row>
    <row r="131" spans="1:6" ht="14.95" thickBot="1" x14ac:dyDescent="0.3">
      <c r="A131" s="240" t="s">
        <v>994</v>
      </c>
      <c r="B131" s="241" t="s">
        <v>958</v>
      </c>
      <c r="C131" s="242">
        <f>Silvabrawxvtries</f>
        <v>1</v>
      </c>
      <c r="D131" s="234" t="s">
        <v>63</v>
      </c>
      <c r="E131" s="235" t="s">
        <v>20</v>
      </c>
      <c r="F131" s="236">
        <f>packerlengwxvpts</f>
        <v>5</v>
      </c>
    </row>
    <row r="132" spans="1:6" ht="14.95" thickBot="1" x14ac:dyDescent="0.3">
      <c r="A132" s="240" t="s">
        <v>476</v>
      </c>
      <c r="B132" s="241" t="s">
        <v>331</v>
      </c>
      <c r="C132" s="242">
        <f>smithauswxvtries</f>
        <v>1</v>
      </c>
      <c r="D132" s="234" t="s">
        <v>64</v>
      </c>
      <c r="E132" s="235" t="s">
        <v>20</v>
      </c>
      <c r="F132" s="236">
        <f>packermengwxvpts</f>
        <v>5</v>
      </c>
    </row>
    <row r="133" spans="1:6" ht="14.95" thickBot="1" x14ac:dyDescent="0.3">
      <c r="A133" s="240" t="s">
        <v>979</v>
      </c>
      <c r="B133" s="241" t="s">
        <v>542</v>
      </c>
      <c r="C133" s="242">
        <f>solontsirsawxvtries</f>
        <v>1</v>
      </c>
      <c r="D133" s="234" t="s">
        <v>594</v>
      </c>
      <c r="E133" s="235" t="s">
        <v>19</v>
      </c>
      <c r="F133" s="236">
        <f>parsonsirewxvpts</f>
        <v>5</v>
      </c>
    </row>
    <row r="134" spans="1:6" ht="14.95" thickBot="1" x14ac:dyDescent="0.3">
      <c r="A134" s="240" t="s">
        <v>419</v>
      </c>
      <c r="B134" s="241" t="s">
        <v>22</v>
      </c>
      <c r="C134" s="242">
        <f>stefanutawxvtries</f>
        <v>1</v>
      </c>
      <c r="D134" s="234" t="s">
        <v>921</v>
      </c>
      <c r="E134" s="235" t="s">
        <v>714</v>
      </c>
      <c r="F134" s="236">
        <f>perezcespwxvpts</f>
        <v>5</v>
      </c>
    </row>
    <row r="135" spans="1:6" ht="14.95" thickBot="1" x14ac:dyDescent="0.3">
      <c r="A135" s="240" t="s">
        <v>681</v>
      </c>
      <c r="B135" s="241" t="s">
        <v>679</v>
      </c>
      <c r="C135" s="242">
        <f>tovefijwxvtries</f>
        <v>1</v>
      </c>
      <c r="D135" s="234" t="s">
        <v>965</v>
      </c>
      <c r="E135" s="235" t="s">
        <v>332</v>
      </c>
      <c r="F135" s="236">
        <f>perrycanwxvpts</f>
        <v>5</v>
      </c>
    </row>
    <row r="136" spans="1:6" ht="14.95" thickBot="1" x14ac:dyDescent="0.3">
      <c r="A136" s="240" t="s">
        <v>988</v>
      </c>
      <c r="B136" s="241" t="s">
        <v>536</v>
      </c>
      <c r="C136" s="242">
        <f>tsukuijpnwxvtries</f>
        <v>1</v>
      </c>
      <c r="D136" s="234" t="s">
        <v>635</v>
      </c>
      <c r="E136" s="235" t="s">
        <v>330</v>
      </c>
      <c r="F136" s="236">
        <f>ponsonbynzlwxvpts</f>
        <v>5</v>
      </c>
    </row>
    <row r="137" spans="1:6" ht="14.95" thickBot="1" x14ac:dyDescent="0.3">
      <c r="A137" s="240" t="s">
        <v>394</v>
      </c>
      <c r="B137" s="241" t="s">
        <v>23</v>
      </c>
      <c r="C137" s="242">
        <f>tuipulotuwalwxvtries</f>
        <v>1</v>
      </c>
      <c r="D137" s="234" t="s">
        <v>985</v>
      </c>
      <c r="E137" s="235" t="s">
        <v>330</v>
      </c>
      <c r="F137" s="236">
        <f>pourilanenzlwxvpts</f>
        <v>5</v>
      </c>
    </row>
    <row r="138" spans="1:6" ht="14.95" thickBot="1" x14ac:dyDescent="0.3">
      <c r="A138" s="240" t="s">
        <v>953</v>
      </c>
      <c r="B138" s="241" t="s">
        <v>19</v>
      </c>
      <c r="C138" s="242">
        <f>tuiteirewxvtries</f>
        <v>1</v>
      </c>
      <c r="D138" s="234" t="s">
        <v>1001</v>
      </c>
      <c r="E138" s="235" t="s">
        <v>23</v>
      </c>
      <c r="F138" s="236">
        <f>powellwalwxvpts</f>
        <v>5</v>
      </c>
    </row>
    <row r="139" spans="1:6" ht="14.95" thickBot="1" x14ac:dyDescent="0.3">
      <c r="A139" s="240" t="s">
        <v>983</v>
      </c>
      <c r="B139" s="241" t="s">
        <v>330</v>
      </c>
      <c r="C139" s="242">
        <f>tukuafunzlwxvtries</f>
        <v>1</v>
      </c>
      <c r="D139" s="234" t="s">
        <v>1004</v>
      </c>
      <c r="E139" s="235" t="s">
        <v>679</v>
      </c>
      <c r="F139" s="236">
        <f>railumufijwxvpts</f>
        <v>5</v>
      </c>
    </row>
    <row r="140" spans="1:6" ht="14.95" thickBot="1" x14ac:dyDescent="0.3">
      <c r="A140" s="240" t="s">
        <v>993</v>
      </c>
      <c r="B140" s="241" t="s">
        <v>27</v>
      </c>
      <c r="C140" s="242">
        <f>tuyfrawxvtries</f>
        <v>1</v>
      </c>
      <c r="D140" s="234" t="s">
        <v>977</v>
      </c>
      <c r="E140" s="235" t="s">
        <v>714</v>
      </c>
      <c r="F140" s="236">
        <f>romanespwxvpts</f>
        <v>5</v>
      </c>
    </row>
    <row r="141" spans="1:6" ht="14.95" thickBot="1" x14ac:dyDescent="0.3">
      <c r="A141" s="240" t="s">
        <v>427</v>
      </c>
      <c r="B141" s="241" t="s">
        <v>22</v>
      </c>
      <c r="C141" s="242">
        <f>vecchiniitawxvtries</f>
        <v>1</v>
      </c>
      <c r="D141" s="234" t="s">
        <v>1011</v>
      </c>
      <c r="E141" s="235" t="s">
        <v>714</v>
      </c>
      <c r="F141" s="236">
        <f>rosellespwxvpts</f>
        <v>5</v>
      </c>
    </row>
    <row r="142" spans="1:6" ht="14.95" thickBot="1" x14ac:dyDescent="0.3">
      <c r="A142" s="240" t="s">
        <v>637</v>
      </c>
      <c r="B142" s="241" t="s">
        <v>330</v>
      </c>
      <c r="C142" s="242">
        <f>vilikonzlwxvtries</f>
        <v>1</v>
      </c>
      <c r="D142" s="234" t="s">
        <v>974</v>
      </c>
      <c r="E142" s="235" t="s">
        <v>333</v>
      </c>
      <c r="F142" s="236">
        <f>sagapoluusawxvpts</f>
        <v>5</v>
      </c>
    </row>
    <row r="143" spans="1:6" ht="14.95" thickBot="1" x14ac:dyDescent="0.3">
      <c r="A143" s="240" t="s">
        <v>822</v>
      </c>
      <c r="B143" s="241" t="s">
        <v>330</v>
      </c>
      <c r="C143" s="242">
        <f>waakanzlwxvtries</f>
        <v>1</v>
      </c>
      <c r="D143" s="234" t="s">
        <v>972</v>
      </c>
      <c r="E143" s="235" t="s">
        <v>679</v>
      </c>
      <c r="F143" s="236">
        <f>senivutufijwxvpts</f>
        <v>5</v>
      </c>
    </row>
    <row r="144" spans="1:6" ht="14.95" thickBot="1" x14ac:dyDescent="0.3">
      <c r="A144" s="240" t="s">
        <v>197</v>
      </c>
      <c r="B144" s="241" t="s">
        <v>20</v>
      </c>
      <c r="C144" s="242">
        <f>aitchisonengwxvtries</f>
        <v>1</v>
      </c>
      <c r="D144" s="234" t="s">
        <v>978</v>
      </c>
      <c r="E144" s="235" t="s">
        <v>22</v>
      </c>
      <c r="F144" s="236">
        <f>seyeitawxvpts</f>
        <v>5</v>
      </c>
    </row>
    <row r="145" spans="1:6" ht="14.95" thickBot="1" x14ac:dyDescent="0.3">
      <c r="A145" s="240" t="s">
        <v>1025</v>
      </c>
      <c r="B145" s="241" t="s">
        <v>19</v>
      </c>
      <c r="C145" s="242">
        <f>floodirewxvtries</f>
        <v>1</v>
      </c>
      <c r="D145" s="234" t="s">
        <v>742</v>
      </c>
      <c r="E145" s="235" t="s">
        <v>22</v>
      </c>
      <c r="F145" s="236">
        <f>sgorbiniitawxvpts</f>
        <v>5</v>
      </c>
    </row>
    <row r="146" spans="1:6" ht="14.95" thickBot="1" x14ac:dyDescent="0.3">
      <c r="A146" s="240" t="s">
        <v>760</v>
      </c>
      <c r="B146" s="241" t="s">
        <v>19</v>
      </c>
      <c r="C146" s="242">
        <f>djougangirewxvtries</f>
        <v>1</v>
      </c>
      <c r="D146" s="234" t="s">
        <v>994</v>
      </c>
      <c r="E146" s="235" t="s">
        <v>958</v>
      </c>
      <c r="F146" s="236">
        <f>Silvabrawxvpts</f>
        <v>5</v>
      </c>
    </row>
    <row r="147" spans="1:6" ht="14.95" thickBot="1" x14ac:dyDescent="0.3">
      <c r="A147" s="240" t="s">
        <v>482</v>
      </c>
      <c r="B147" s="241" t="s">
        <v>332</v>
      </c>
      <c r="C147" s="242">
        <f>fortezacanwxvtries</f>
        <v>1</v>
      </c>
      <c r="D147" s="234" t="s">
        <v>476</v>
      </c>
      <c r="E147" s="235" t="s">
        <v>331</v>
      </c>
      <c r="F147" s="236">
        <f>smithauswxvpts</f>
        <v>5</v>
      </c>
    </row>
    <row r="148" spans="1:6" ht="14.95" customHeight="1" thickBot="1" x14ac:dyDescent="0.3">
      <c r="A148" s="240" t="s">
        <v>561</v>
      </c>
      <c r="B148" s="241" t="s">
        <v>542</v>
      </c>
      <c r="C148" s="242">
        <f>LATSHARSAWXVTRIES</f>
        <v>1</v>
      </c>
      <c r="D148" s="234" t="s">
        <v>979</v>
      </c>
      <c r="E148" s="235" t="s">
        <v>542</v>
      </c>
      <c r="F148" s="236">
        <f>solontsirsawxvpts</f>
        <v>5</v>
      </c>
    </row>
    <row r="149" spans="1:6" ht="14.95" thickBot="1" x14ac:dyDescent="0.3">
      <c r="A149" s="240" t="s">
        <v>423</v>
      </c>
      <c r="B149" s="241" t="s">
        <v>20</v>
      </c>
      <c r="C149" s="242">
        <f>tallingengwxvtries</f>
        <v>1</v>
      </c>
      <c r="D149" s="234" t="s">
        <v>419</v>
      </c>
      <c r="E149" s="235" t="s">
        <v>22</v>
      </c>
      <c r="F149" s="236">
        <f>stefanutawxvpts</f>
        <v>5</v>
      </c>
    </row>
    <row r="150" spans="1:6" ht="14.95" thickBot="1" x14ac:dyDescent="0.3">
      <c r="A150" s="240" t="s">
        <v>696</v>
      </c>
      <c r="B150" s="241" t="s">
        <v>330</v>
      </c>
      <c r="C150" s="242">
        <f>kalouivalenzlwxvtries</f>
        <v>1</v>
      </c>
      <c r="D150" s="234" t="s">
        <v>988</v>
      </c>
      <c r="E150" s="235" t="s">
        <v>536</v>
      </c>
      <c r="F150" s="236">
        <f>tsukuijpnwxvpts</f>
        <v>5</v>
      </c>
    </row>
    <row r="151" spans="1:6" ht="14.95" thickBot="1" x14ac:dyDescent="0.3">
      <c r="A151" s="240" t="s">
        <v>678</v>
      </c>
      <c r="B151" s="241" t="s">
        <v>332</v>
      </c>
      <c r="C151" s="242">
        <f>pelletiercanwxvtries</f>
        <v>1</v>
      </c>
      <c r="D151" s="234" t="s">
        <v>394</v>
      </c>
      <c r="E151" s="235" t="s">
        <v>23</v>
      </c>
      <c r="F151" s="236">
        <f>tuipulotuwalwxvpts</f>
        <v>5</v>
      </c>
    </row>
    <row r="152" spans="1:6" ht="14.95" thickBot="1" x14ac:dyDescent="0.3">
      <c r="A152" s="240" t="s">
        <v>1026</v>
      </c>
      <c r="B152" s="241" t="s">
        <v>332</v>
      </c>
      <c r="C152" s="242">
        <f>symondscanwxvtries</f>
        <v>1</v>
      </c>
      <c r="D152" s="234" t="s">
        <v>953</v>
      </c>
      <c r="E152" s="235" t="s">
        <v>19</v>
      </c>
      <c r="F152" s="236">
        <f>tuiteirewxvpts</f>
        <v>5</v>
      </c>
    </row>
    <row r="153" spans="1:6" ht="14.95" thickBot="1" x14ac:dyDescent="0.3">
      <c r="A153" s="240" t="s">
        <v>628</v>
      </c>
      <c r="B153" s="241" t="s">
        <v>332</v>
      </c>
      <c r="C153" s="242">
        <f>tessiercanwxvtries</f>
        <v>1</v>
      </c>
      <c r="D153" s="234" t="s">
        <v>983</v>
      </c>
      <c r="E153" s="235" t="s">
        <v>330</v>
      </c>
      <c r="F153" s="236">
        <f>tukuafunzlwxvpts</f>
        <v>5</v>
      </c>
    </row>
    <row r="154" spans="1:6" ht="14.95" thickBot="1" x14ac:dyDescent="0.3">
      <c r="A154" s="240" t="s">
        <v>1028</v>
      </c>
      <c r="B154" s="241" t="s">
        <v>330</v>
      </c>
      <c r="C154" s="242">
        <f>bayfieldnzlwxvtries</f>
        <v>1</v>
      </c>
      <c r="D154" s="234" t="s">
        <v>427</v>
      </c>
      <c r="E154" s="235" t="s">
        <v>22</v>
      </c>
      <c r="F154" s="236">
        <f>vecchiniitawxvpts</f>
        <v>5</v>
      </c>
    </row>
    <row r="155" spans="1:6" ht="14.95" thickBot="1" x14ac:dyDescent="0.3">
      <c r="A155" s="240" t="s">
        <v>464</v>
      </c>
      <c r="B155" s="241" t="s">
        <v>330</v>
      </c>
      <c r="C155" s="242">
        <f>bruntnzlwxvtries</f>
        <v>1</v>
      </c>
      <c r="D155" s="234" t="s">
        <v>637</v>
      </c>
      <c r="E155" s="235" t="s">
        <v>330</v>
      </c>
      <c r="F155" s="236">
        <f>vilikonzlwxvpts</f>
        <v>5</v>
      </c>
    </row>
    <row r="156" spans="1:6" ht="14.95" thickBot="1" x14ac:dyDescent="0.3">
      <c r="A156" s="240" t="s">
        <v>768</v>
      </c>
      <c r="B156" s="241" t="s">
        <v>27</v>
      </c>
      <c r="C156" s="242">
        <f>champonfrawxvtries</f>
        <v>1</v>
      </c>
      <c r="D156" s="234" t="s">
        <v>822</v>
      </c>
      <c r="E156" s="235" t="s">
        <v>330</v>
      </c>
      <c r="F156" s="236">
        <f>waakanzlwxvpts</f>
        <v>5</v>
      </c>
    </row>
    <row r="157" spans="1:6" ht="14.95" thickBot="1" x14ac:dyDescent="0.3">
      <c r="A157" s="240" t="s">
        <v>485</v>
      </c>
      <c r="B157" s="241" t="s">
        <v>330</v>
      </c>
      <c r="C157" s="242">
        <f>demantnzlwxvtries</f>
        <v>1</v>
      </c>
      <c r="D157" s="234" t="s">
        <v>760</v>
      </c>
      <c r="E157" s="235" t="s">
        <v>19</v>
      </c>
      <c r="F157" s="236">
        <f>djougangirewxvpts</f>
        <v>5</v>
      </c>
    </row>
    <row r="158" spans="1:6" ht="14.95" thickBot="1" x14ac:dyDescent="0.3">
      <c r="A158" s="240" t="s">
        <v>730</v>
      </c>
      <c r="B158" s="241" t="s">
        <v>551</v>
      </c>
      <c r="C158" s="242">
        <v>0</v>
      </c>
      <c r="D158" s="234" t="s">
        <v>1028</v>
      </c>
      <c r="E158" s="235" t="s">
        <v>330</v>
      </c>
      <c r="F158" s="236">
        <f>bayfieldnzlwxvpts</f>
        <v>5</v>
      </c>
    </row>
    <row r="159" spans="1:6" ht="14.95" thickBot="1" x14ac:dyDescent="0.3">
      <c r="A159" s="240" t="s">
        <v>433</v>
      </c>
      <c r="B159" s="241" t="s">
        <v>20</v>
      </c>
      <c r="C159" s="242">
        <f>aldcroftengwxvtries</f>
        <v>0</v>
      </c>
      <c r="D159" s="234" t="s">
        <v>1025</v>
      </c>
      <c r="E159" s="235" t="s">
        <v>19</v>
      </c>
      <c r="F159" s="236">
        <f>floodirewxvpts</f>
        <v>5</v>
      </c>
    </row>
    <row r="160" spans="1:6" ht="14.95" thickBot="1" x14ac:dyDescent="0.3">
      <c r="A160" s="240" t="s">
        <v>565</v>
      </c>
      <c r="B160" s="241" t="s">
        <v>536</v>
      </c>
      <c r="C160" s="242">
        <v>0</v>
      </c>
      <c r="D160" s="234" t="s">
        <v>482</v>
      </c>
      <c r="E160" s="235" t="s">
        <v>332</v>
      </c>
      <c r="F160" s="236">
        <f>fortezacanwxvpts</f>
        <v>5</v>
      </c>
    </row>
    <row r="161" spans="1:6" ht="14.95" thickBot="1" x14ac:dyDescent="0.3">
      <c r="A161" s="240" t="s">
        <v>718</v>
      </c>
      <c r="B161" s="241" t="s">
        <v>714</v>
      </c>
      <c r="C161" s="242">
        <f>argudoespwxvtries</f>
        <v>0</v>
      </c>
      <c r="D161" s="234" t="s">
        <v>561</v>
      </c>
      <c r="E161" s="235" t="s">
        <v>542</v>
      </c>
      <c r="F161" s="236">
        <f>LATSHARSAWXVPTS</f>
        <v>5</v>
      </c>
    </row>
    <row r="162" spans="1:6" ht="14.95" thickBot="1" x14ac:dyDescent="0.3">
      <c r="A162" s="240" t="s">
        <v>425</v>
      </c>
      <c r="B162" s="241" t="s">
        <v>21</v>
      </c>
      <c r="C162" s="242">
        <f>bartlettscowxvtries</f>
        <v>0</v>
      </c>
      <c r="D162" s="234" t="s">
        <v>423</v>
      </c>
      <c r="E162" s="235" t="s">
        <v>20</v>
      </c>
      <c r="F162" s="236">
        <f>tallingengwxvpts</f>
        <v>5</v>
      </c>
    </row>
    <row r="163" spans="1:6" ht="14.95" thickBot="1" x14ac:dyDescent="0.3">
      <c r="A163" s="240" t="s">
        <v>454</v>
      </c>
      <c r="B163" s="241" t="s">
        <v>332</v>
      </c>
      <c r="C163" s="242">
        <v>0</v>
      </c>
      <c r="D163" s="234" t="s">
        <v>696</v>
      </c>
      <c r="E163" s="235" t="s">
        <v>330</v>
      </c>
      <c r="F163" s="236">
        <f>kalouivalenzlwxvpts</f>
        <v>5</v>
      </c>
    </row>
    <row r="164" spans="1:6" ht="14.95" thickBot="1" x14ac:dyDescent="0.3">
      <c r="A164" s="240" t="s">
        <v>206</v>
      </c>
      <c r="B164" s="241" t="s">
        <v>23</v>
      </c>
      <c r="C164" s="242">
        <f>bevanwalwxvtries</f>
        <v>0</v>
      </c>
      <c r="D164" s="234" t="s">
        <v>1026</v>
      </c>
      <c r="E164" s="235" t="s">
        <v>332</v>
      </c>
      <c r="F164" s="236">
        <f>symondscanwxvpts</f>
        <v>5</v>
      </c>
    </row>
    <row r="165" spans="1:6" ht="14.95" thickBot="1" x14ac:dyDescent="0.3">
      <c r="A165" s="240" t="s">
        <v>1018</v>
      </c>
      <c r="B165" s="241" t="s">
        <v>22</v>
      </c>
      <c r="C165" s="242">
        <f>bitonciitawxvtries</f>
        <v>0</v>
      </c>
      <c r="D165" s="234" t="s">
        <v>678</v>
      </c>
      <c r="E165" s="235" t="s">
        <v>332</v>
      </c>
      <c r="F165" s="236">
        <f>pelletiercanwxvpts</f>
        <v>5</v>
      </c>
    </row>
    <row r="166" spans="1:6" ht="14.95" thickBot="1" x14ac:dyDescent="0.3">
      <c r="A166" s="240" t="s">
        <v>726</v>
      </c>
      <c r="B166" s="241" t="s">
        <v>551</v>
      </c>
      <c r="C166" s="242">
        <v>0</v>
      </c>
      <c r="D166" s="234" t="s">
        <v>464</v>
      </c>
      <c r="E166" s="235" t="s">
        <v>330</v>
      </c>
      <c r="F166" s="236">
        <f>bruntnzlwxvpts</f>
        <v>5</v>
      </c>
    </row>
    <row r="167" spans="1:6" ht="14.95" thickBot="1" x14ac:dyDescent="0.3">
      <c r="A167" s="240" t="s">
        <v>713</v>
      </c>
      <c r="B167" s="241" t="s">
        <v>23</v>
      </c>
      <c r="C167" s="242">
        <v>0</v>
      </c>
      <c r="D167" s="234" t="s">
        <v>768</v>
      </c>
      <c r="E167" s="235" t="s">
        <v>27</v>
      </c>
      <c r="F167" s="236">
        <f>champonfrawxvpts</f>
        <v>5</v>
      </c>
    </row>
    <row r="168" spans="1:6" ht="14.95" thickBot="1" x14ac:dyDescent="0.3">
      <c r="A168" s="240" t="s">
        <v>574</v>
      </c>
      <c r="B168" s="241" t="s">
        <v>21</v>
      </c>
      <c r="C168" s="242">
        <v>0</v>
      </c>
      <c r="D168" s="234" t="s">
        <v>485</v>
      </c>
      <c r="E168" s="235" t="s">
        <v>330</v>
      </c>
      <c r="F168" s="236">
        <f>demantnzlwxvpts</f>
        <v>5</v>
      </c>
    </row>
    <row r="169" spans="1:6" ht="14.95" thickBot="1" x14ac:dyDescent="0.3">
      <c r="A169" s="240" t="s">
        <v>543</v>
      </c>
      <c r="B169" s="241" t="s">
        <v>542</v>
      </c>
      <c r="C169" s="242">
        <v>0</v>
      </c>
      <c r="D169" s="234" t="s">
        <v>206</v>
      </c>
      <c r="E169" s="235" t="s">
        <v>23</v>
      </c>
      <c r="F169" s="236">
        <f>bevanwalwxvpts</f>
        <v>3</v>
      </c>
    </row>
    <row r="170" spans="1:6" ht="14.95" thickBot="1" x14ac:dyDescent="0.3">
      <c r="A170" s="240" t="s">
        <v>411</v>
      </c>
      <c r="B170" s="241" t="s">
        <v>27</v>
      </c>
      <c r="C170" s="242">
        <f>bourgeoisfrawxvtries</f>
        <v>0</v>
      </c>
      <c r="D170" s="234" t="s">
        <v>728</v>
      </c>
      <c r="E170" s="235" t="s">
        <v>551</v>
      </c>
      <c r="F170" s="236">
        <f>vatausamwxvpts</f>
        <v>3</v>
      </c>
    </row>
    <row r="171" spans="1:6" ht="14.95" thickBot="1" x14ac:dyDescent="0.3">
      <c r="A171" s="240" t="s">
        <v>364</v>
      </c>
      <c r="B171" s="241" t="s">
        <v>330</v>
      </c>
      <c r="C171" s="242">
        <v>0</v>
      </c>
      <c r="D171" s="234" t="s">
        <v>1018</v>
      </c>
      <c r="E171" s="235" t="s">
        <v>22</v>
      </c>
      <c r="F171" s="236">
        <f>bitonciitawxvpts</f>
        <v>2</v>
      </c>
    </row>
    <row r="172" spans="1:6" ht="14.95" thickBot="1" x14ac:dyDescent="0.3">
      <c r="A172" s="240" t="s">
        <v>669</v>
      </c>
      <c r="B172" s="241" t="s">
        <v>20</v>
      </c>
      <c r="C172" s="242">
        <f>brockengwxvtries</f>
        <v>0</v>
      </c>
      <c r="D172" s="234" t="s">
        <v>535</v>
      </c>
      <c r="E172" s="235" t="s">
        <v>22</v>
      </c>
      <c r="F172" s="236">
        <f>rigoniitawxvpts</f>
        <v>2</v>
      </c>
    </row>
    <row r="173" spans="1:6" ht="14.95" thickBot="1" x14ac:dyDescent="0.3">
      <c r="A173" s="240" t="s">
        <v>570</v>
      </c>
      <c r="B173" s="241" t="s">
        <v>333</v>
      </c>
      <c r="C173" s="242">
        <v>0</v>
      </c>
      <c r="D173" s="234" t="s">
        <v>202</v>
      </c>
      <c r="E173" s="235" t="s">
        <v>22</v>
      </c>
      <c r="F173" s="236">
        <f>sillariitawxvpts</f>
        <v>2</v>
      </c>
    </row>
    <row r="174" spans="1:6" ht="14.95" thickBot="1" x14ac:dyDescent="0.3">
      <c r="A174" s="240" t="s">
        <v>450</v>
      </c>
      <c r="B174" s="241" t="s">
        <v>333</v>
      </c>
      <c r="C174" s="242">
        <f>cantornausawxvtries</f>
        <v>0</v>
      </c>
      <c r="D174" s="234" t="s">
        <v>209</v>
      </c>
      <c r="E174" s="235" t="s">
        <v>20</v>
      </c>
      <c r="F174" s="236">
        <f>singengwxvpts</f>
        <v>2</v>
      </c>
    </row>
    <row r="175" spans="1:6" ht="14.95" thickBot="1" x14ac:dyDescent="0.3">
      <c r="A175" s="240" t="s">
        <v>722</v>
      </c>
      <c r="B175" s="241" t="s">
        <v>714</v>
      </c>
      <c r="C175" s="242">
        <v>0</v>
      </c>
      <c r="D175" s="234" t="s">
        <v>951</v>
      </c>
      <c r="E175" s="235" t="s">
        <v>679</v>
      </c>
      <c r="F175" s="236">
        <f>vuetifijwvpts</f>
        <v>2</v>
      </c>
    </row>
    <row r="176" spans="1:6" ht="14.95" thickBot="1" x14ac:dyDescent="0.3">
      <c r="A176" s="240" t="s">
        <v>560</v>
      </c>
      <c r="B176" s="241" t="s">
        <v>22</v>
      </c>
      <c r="C176" s="242">
        <v>0</v>
      </c>
      <c r="D176" s="234" t="s">
        <v>1008</v>
      </c>
      <c r="E176" s="235" t="s">
        <v>536</v>
      </c>
      <c r="F176" s="236">
        <f>yamamotoajpnwxvpts</f>
        <v>2</v>
      </c>
    </row>
    <row r="177" spans="1:6" ht="14.95" thickBot="1" x14ac:dyDescent="0.3">
      <c r="A177" s="240" t="s">
        <v>400</v>
      </c>
      <c r="B177" s="241" t="s">
        <v>27</v>
      </c>
      <c r="C177" s="242">
        <f>arbezfrawxtries</f>
        <v>0</v>
      </c>
      <c r="D177" s="234" t="s">
        <v>400</v>
      </c>
      <c r="E177" s="235" t="s">
        <v>27</v>
      </c>
      <c r="F177" s="236">
        <f>arbezfrawxpts</f>
        <v>2</v>
      </c>
    </row>
    <row r="178" spans="1:6" ht="14.95" thickBot="1" x14ac:dyDescent="0.3">
      <c r="A178" s="240" t="s">
        <v>719</v>
      </c>
      <c r="B178" s="241" t="s">
        <v>714</v>
      </c>
      <c r="C178" s="242">
        <v>0</v>
      </c>
      <c r="D178" s="234" t="s">
        <v>730</v>
      </c>
      <c r="E178" s="235" t="s">
        <v>551</v>
      </c>
      <c r="F178" s="236">
        <v>0</v>
      </c>
    </row>
    <row r="179" spans="1:6" ht="14.95" thickBot="1" x14ac:dyDescent="0.3">
      <c r="A179" s="240" t="s">
        <v>707</v>
      </c>
      <c r="B179" s="241" t="s">
        <v>542</v>
      </c>
      <c r="C179" s="242">
        <v>0</v>
      </c>
      <c r="D179" s="234" t="s">
        <v>433</v>
      </c>
      <c r="E179" s="235" t="s">
        <v>20</v>
      </c>
      <c r="F179" s="236">
        <f>aldcroftengwxvpts</f>
        <v>0</v>
      </c>
    </row>
    <row r="180" spans="1:6" ht="14.95" thickBot="1" x14ac:dyDescent="0.3">
      <c r="A180" s="240" t="s">
        <v>704</v>
      </c>
      <c r="B180" s="241" t="s">
        <v>542</v>
      </c>
      <c r="C180" s="242">
        <v>0</v>
      </c>
      <c r="D180" s="234" t="s">
        <v>565</v>
      </c>
      <c r="E180" s="235" t="s">
        <v>536</v>
      </c>
      <c r="F180" s="236">
        <v>0</v>
      </c>
    </row>
    <row r="181" spans="1:6" ht="14.95" thickBot="1" x14ac:dyDescent="0.3">
      <c r="A181" s="240" t="s">
        <v>716</v>
      </c>
      <c r="B181" s="241" t="s">
        <v>714</v>
      </c>
      <c r="C181" s="242">
        <v>0</v>
      </c>
      <c r="D181" s="234" t="s">
        <v>425</v>
      </c>
      <c r="E181" s="235" t="s">
        <v>21</v>
      </c>
      <c r="F181" s="236">
        <f>bartlettscowxvpts</f>
        <v>0</v>
      </c>
    </row>
    <row r="182" spans="1:6" ht="14.95" thickBot="1" x14ac:dyDescent="0.3">
      <c r="A182" s="240" t="s">
        <v>460</v>
      </c>
      <c r="B182" s="241" t="s">
        <v>333</v>
      </c>
      <c r="C182" s="242">
        <v>0</v>
      </c>
      <c r="D182" s="234" t="s">
        <v>454</v>
      </c>
      <c r="E182" s="235" t="s">
        <v>332</v>
      </c>
      <c r="F182" s="236">
        <v>0</v>
      </c>
    </row>
    <row r="183" spans="1:6" ht="14.95" thickBot="1" x14ac:dyDescent="0.3">
      <c r="A183" s="240" t="s">
        <v>477</v>
      </c>
      <c r="B183" s="241" t="s">
        <v>331</v>
      </c>
      <c r="C183" s="242">
        <f>cramerauswxvtries</f>
        <v>0</v>
      </c>
      <c r="D183" s="234" t="s">
        <v>726</v>
      </c>
      <c r="E183" s="235" t="s">
        <v>551</v>
      </c>
      <c r="F183" s="236">
        <v>0</v>
      </c>
    </row>
    <row r="184" spans="1:6" ht="14.95" thickBot="1" x14ac:dyDescent="0.3">
      <c r="A184" s="240" t="s">
        <v>397</v>
      </c>
      <c r="B184" s="241" t="s">
        <v>22</v>
      </c>
      <c r="C184" s="242">
        <v>0</v>
      </c>
      <c r="D184" s="234" t="s">
        <v>713</v>
      </c>
      <c r="E184" s="235" t="s">
        <v>23</v>
      </c>
      <c r="F184" s="236">
        <v>0</v>
      </c>
    </row>
    <row r="185" spans="1:6" ht="14.95" thickBot="1" x14ac:dyDescent="0.3">
      <c r="A185" s="240" t="s">
        <v>562</v>
      </c>
      <c r="B185" s="241" t="s">
        <v>542</v>
      </c>
      <c r="C185" s="242">
        <f>dolfrsawxvtries</f>
        <v>0</v>
      </c>
      <c r="D185" s="234" t="s">
        <v>574</v>
      </c>
      <c r="E185" s="235" t="s">
        <v>21</v>
      </c>
      <c r="F185" s="236">
        <v>0</v>
      </c>
    </row>
    <row r="186" spans="1:6" ht="14.95" thickBot="1" x14ac:dyDescent="0.3">
      <c r="A186" s="240" t="s">
        <v>486</v>
      </c>
      <c r="B186" s="241" t="s">
        <v>330</v>
      </c>
      <c r="C186" s="242">
        <v>0</v>
      </c>
      <c r="D186" s="234" t="s">
        <v>543</v>
      </c>
      <c r="E186" s="235" t="s">
        <v>542</v>
      </c>
      <c r="F186" s="236">
        <v>0</v>
      </c>
    </row>
    <row r="187" spans="1:6" ht="14.95" thickBot="1" x14ac:dyDescent="0.3">
      <c r="A187" s="240" t="s">
        <v>571</v>
      </c>
      <c r="B187" s="241" t="s">
        <v>22</v>
      </c>
      <c r="C187" s="242">
        <v>0</v>
      </c>
      <c r="D187" s="234" t="s">
        <v>364</v>
      </c>
      <c r="E187" s="235" t="s">
        <v>330</v>
      </c>
      <c r="F187" s="236">
        <v>0</v>
      </c>
    </row>
    <row r="188" spans="1:6" ht="14.95" thickBot="1" x14ac:dyDescent="0.3">
      <c r="A188" s="240" t="s">
        <v>567</v>
      </c>
      <c r="B188" s="241" t="s">
        <v>542</v>
      </c>
      <c r="C188" s="242">
        <v>0</v>
      </c>
      <c r="D188" s="234" t="s">
        <v>669</v>
      </c>
      <c r="E188" s="235" t="s">
        <v>20</v>
      </c>
      <c r="F188" s="236">
        <f>brockengwxvpts</f>
        <v>0</v>
      </c>
    </row>
    <row r="189" spans="1:6" ht="14.95" thickBot="1" x14ac:dyDescent="0.3">
      <c r="A189" s="240" t="s">
        <v>429</v>
      </c>
      <c r="B189" s="241" t="s">
        <v>23</v>
      </c>
      <c r="C189" s="242">
        <v>0</v>
      </c>
      <c r="D189" s="234" t="s">
        <v>570</v>
      </c>
      <c r="E189" s="235" t="s">
        <v>333</v>
      </c>
      <c r="F189" s="236">
        <v>0</v>
      </c>
    </row>
    <row r="190" spans="1:6" ht="14.95" thickBot="1" x14ac:dyDescent="0.3">
      <c r="A190" s="240" t="s">
        <v>729</v>
      </c>
      <c r="B190" s="241" t="s">
        <v>551</v>
      </c>
      <c r="C190" s="242">
        <v>0</v>
      </c>
      <c r="D190" s="234" t="s">
        <v>722</v>
      </c>
      <c r="E190" s="235" t="s">
        <v>714</v>
      </c>
      <c r="F190" s="236">
        <v>0</v>
      </c>
    </row>
    <row r="191" spans="1:6" ht="14.95" thickBot="1" x14ac:dyDescent="0.3">
      <c r="A191" s="240" t="s">
        <v>519</v>
      </c>
      <c r="B191" s="241" t="s">
        <v>332</v>
      </c>
      <c r="C191" s="242">
        <v>0</v>
      </c>
      <c r="D191" s="234" t="s">
        <v>560</v>
      </c>
      <c r="E191" s="235" t="s">
        <v>22</v>
      </c>
      <c r="F191" s="236">
        <v>0</v>
      </c>
    </row>
    <row r="192" spans="1:6" ht="14.95" thickBot="1" x14ac:dyDescent="0.3">
      <c r="A192" s="240" t="s">
        <v>688</v>
      </c>
      <c r="B192" s="241" t="s">
        <v>27</v>
      </c>
      <c r="C192" s="242">
        <v>0</v>
      </c>
      <c r="D192" s="234" t="s">
        <v>719</v>
      </c>
      <c r="E192" s="235" t="s">
        <v>714</v>
      </c>
      <c r="F192" s="236">
        <v>0</v>
      </c>
    </row>
    <row r="193" spans="1:6" ht="14.95" thickBot="1" x14ac:dyDescent="0.3">
      <c r="A193" s="240" t="s">
        <v>720</v>
      </c>
      <c r="B193" s="241" t="s">
        <v>714</v>
      </c>
      <c r="C193" s="242">
        <v>0</v>
      </c>
      <c r="D193" s="234" t="s">
        <v>707</v>
      </c>
      <c r="E193" s="235" t="s">
        <v>542</v>
      </c>
      <c r="F193" s="236">
        <v>0</v>
      </c>
    </row>
    <row r="194" spans="1:6" ht="14.95" thickBot="1" x14ac:dyDescent="0.3">
      <c r="A194" s="240" t="s">
        <v>548</v>
      </c>
      <c r="B194" s="241" t="s">
        <v>333</v>
      </c>
      <c r="C194" s="242">
        <v>0</v>
      </c>
      <c r="D194" s="234" t="s">
        <v>704</v>
      </c>
      <c r="E194" s="235" t="s">
        <v>542</v>
      </c>
      <c r="F194" s="236">
        <v>0</v>
      </c>
    </row>
    <row r="195" spans="1:6" ht="14.95" thickBot="1" x14ac:dyDescent="0.3">
      <c r="A195" s="240" t="s">
        <v>724</v>
      </c>
      <c r="B195" s="241" t="s">
        <v>551</v>
      </c>
      <c r="C195" s="242">
        <v>0</v>
      </c>
      <c r="D195" s="234" t="s">
        <v>716</v>
      </c>
      <c r="E195" s="235" t="s">
        <v>714</v>
      </c>
      <c r="F195" s="236">
        <v>0</v>
      </c>
    </row>
    <row r="196" spans="1:6" ht="14.95" thickBot="1" x14ac:dyDescent="0.3">
      <c r="A196" s="240" t="s">
        <v>522</v>
      </c>
      <c r="B196" s="241" t="s">
        <v>23</v>
      </c>
      <c r="C196" s="242">
        <v>0</v>
      </c>
      <c r="D196" s="234" t="s">
        <v>460</v>
      </c>
      <c r="E196" s="235" t="s">
        <v>333</v>
      </c>
      <c r="F196" s="236">
        <v>0</v>
      </c>
    </row>
    <row r="197" spans="1:6" ht="14.95" thickBot="1" x14ac:dyDescent="0.3">
      <c r="A197" s="240" t="s">
        <v>471</v>
      </c>
      <c r="B197" s="241" t="s">
        <v>331</v>
      </c>
      <c r="C197" s="242">
        <v>0</v>
      </c>
      <c r="D197" s="234" t="s">
        <v>397</v>
      </c>
      <c r="E197" s="235" t="s">
        <v>22</v>
      </c>
      <c r="F197" s="236">
        <v>0</v>
      </c>
    </row>
    <row r="198" spans="1:6" ht="14.95" thickBot="1" x14ac:dyDescent="0.3">
      <c r="A198" s="240" t="s">
        <v>496</v>
      </c>
      <c r="B198" s="241" t="s">
        <v>332</v>
      </c>
      <c r="C198" s="242">
        <v>0</v>
      </c>
      <c r="D198" s="234" t="s">
        <v>486</v>
      </c>
      <c r="E198" s="235" t="s">
        <v>330</v>
      </c>
      <c r="F198" s="236">
        <v>0</v>
      </c>
    </row>
    <row r="199" spans="1:6" ht="14.95" thickBot="1" x14ac:dyDescent="0.3">
      <c r="A199" s="240" t="s">
        <v>572</v>
      </c>
      <c r="B199" s="241" t="s">
        <v>22</v>
      </c>
      <c r="C199" s="242">
        <f>giordanoitawxvtries</f>
        <v>0</v>
      </c>
      <c r="D199" s="234" t="s">
        <v>571</v>
      </c>
      <c r="E199" s="235" t="s">
        <v>22</v>
      </c>
      <c r="F199" s="236">
        <v>0</v>
      </c>
    </row>
    <row r="200" spans="1:6" ht="14.95" thickBot="1" x14ac:dyDescent="0.3">
      <c r="A200" s="240" t="s">
        <v>412</v>
      </c>
      <c r="B200" s="241" t="s">
        <v>21</v>
      </c>
      <c r="C200" s="242">
        <f>grantscowxvtries</f>
        <v>0</v>
      </c>
      <c r="D200" s="234" t="s">
        <v>567</v>
      </c>
      <c r="E200" s="235" t="s">
        <v>542</v>
      </c>
      <c r="F200" s="236">
        <v>0</v>
      </c>
    </row>
    <row r="201" spans="1:6" ht="14.95" thickBot="1" x14ac:dyDescent="0.3">
      <c r="A201" s="240" t="s">
        <v>514</v>
      </c>
      <c r="B201" s="241" t="s">
        <v>332</v>
      </c>
      <c r="C201" s="242">
        <v>0</v>
      </c>
      <c r="D201" s="234" t="s">
        <v>429</v>
      </c>
      <c r="E201" s="235" t="s">
        <v>23</v>
      </c>
      <c r="F201" s="236">
        <v>0</v>
      </c>
    </row>
    <row r="202" spans="1:6" ht="14.95" thickBot="1" x14ac:dyDescent="0.3">
      <c r="A202" s="240" t="s">
        <v>200</v>
      </c>
      <c r="B202" s="241" t="s">
        <v>27</v>
      </c>
      <c r="C202" s="242">
        <v>0</v>
      </c>
      <c r="D202" s="234" t="s">
        <v>729</v>
      </c>
      <c r="E202" s="235" t="s">
        <v>551</v>
      </c>
      <c r="F202" s="236">
        <v>0</v>
      </c>
    </row>
    <row r="203" spans="1:6" ht="14.95" thickBot="1" x14ac:dyDescent="0.3">
      <c r="A203" s="240" t="s">
        <v>708</v>
      </c>
      <c r="B203" s="241" t="s">
        <v>542</v>
      </c>
      <c r="C203" s="242">
        <v>0</v>
      </c>
      <c r="D203" s="234" t="s">
        <v>519</v>
      </c>
      <c r="E203" s="235" t="s">
        <v>332</v>
      </c>
      <c r="F203" s="236">
        <v>0</v>
      </c>
    </row>
    <row r="204" spans="1:6" ht="14.95" thickBot="1" x14ac:dyDescent="0.3">
      <c r="A204" s="240" t="s">
        <v>584</v>
      </c>
      <c r="B204" s="241" t="s">
        <v>20</v>
      </c>
      <c r="C204" s="242">
        <f>harrisonengwxvtries</f>
        <v>0</v>
      </c>
      <c r="D204" s="234" t="s">
        <v>688</v>
      </c>
      <c r="E204" s="235" t="s">
        <v>27</v>
      </c>
      <c r="F204" s="236">
        <v>0</v>
      </c>
    </row>
    <row r="205" spans="1:6" ht="14.95" thickBot="1" x14ac:dyDescent="0.3">
      <c r="A205" s="240" t="s">
        <v>451</v>
      </c>
      <c r="B205" s="241" t="s">
        <v>333</v>
      </c>
      <c r="C205" s="242">
        <f>hawkinsusawxvtries</f>
        <v>0</v>
      </c>
      <c r="D205" s="234" t="s">
        <v>720</v>
      </c>
      <c r="E205" s="235" t="s">
        <v>714</v>
      </c>
      <c r="F205" s="236">
        <v>0</v>
      </c>
    </row>
    <row r="206" spans="1:6" ht="14.95" thickBot="1" x14ac:dyDescent="0.3">
      <c r="A206" s="240" t="s">
        <v>550</v>
      </c>
      <c r="B206" s="241" t="s">
        <v>333</v>
      </c>
      <c r="C206" s="242">
        <v>0</v>
      </c>
      <c r="D206" s="234" t="s">
        <v>548</v>
      </c>
      <c r="E206" s="235" t="s">
        <v>333</v>
      </c>
      <c r="F206" s="236">
        <v>0</v>
      </c>
    </row>
    <row r="207" spans="1:6" ht="14.95" thickBot="1" x14ac:dyDescent="0.3">
      <c r="A207" s="240" t="s">
        <v>602</v>
      </c>
      <c r="B207" s="241" t="s">
        <v>20</v>
      </c>
      <c r="C207" s="242">
        <v>0</v>
      </c>
      <c r="D207" s="234" t="s">
        <v>724</v>
      </c>
      <c r="E207" s="235" t="s">
        <v>551</v>
      </c>
      <c r="F207" s="236">
        <v>0</v>
      </c>
    </row>
    <row r="208" spans="1:6" ht="14.95" thickBot="1" x14ac:dyDescent="0.3">
      <c r="A208" s="240" t="s">
        <v>566</v>
      </c>
      <c r="B208" s="241" t="s">
        <v>542</v>
      </c>
      <c r="C208" s="242">
        <v>0</v>
      </c>
      <c r="D208" s="234" t="s">
        <v>522</v>
      </c>
      <c r="E208" s="235" t="s">
        <v>23</v>
      </c>
      <c r="F208" s="236">
        <v>0</v>
      </c>
    </row>
    <row r="209" spans="1:6" ht="14.95" thickBot="1" x14ac:dyDescent="0.3">
      <c r="A209" s="240" t="s">
        <v>555</v>
      </c>
      <c r="B209" s="241" t="s">
        <v>333</v>
      </c>
      <c r="C209" s="242">
        <v>0</v>
      </c>
      <c r="D209" s="234" t="s">
        <v>471</v>
      </c>
      <c r="E209" s="235" t="s">
        <v>331</v>
      </c>
      <c r="F209" s="236">
        <v>0</v>
      </c>
    </row>
    <row r="210" spans="1:6" ht="14.95" thickBot="1" x14ac:dyDescent="0.3">
      <c r="A210" s="240" t="s">
        <v>687</v>
      </c>
      <c r="B210" s="241" t="s">
        <v>27</v>
      </c>
      <c r="C210" s="242">
        <v>0</v>
      </c>
      <c r="D210" s="234" t="s">
        <v>496</v>
      </c>
      <c r="E210" s="235" t="s">
        <v>332</v>
      </c>
      <c r="F210" s="236">
        <v>0</v>
      </c>
    </row>
    <row r="211" spans="1:6" ht="14.95" thickBot="1" x14ac:dyDescent="0.3">
      <c r="A211" s="240" t="s">
        <v>311</v>
      </c>
      <c r="B211" s="241" t="s">
        <v>333</v>
      </c>
      <c r="C211" s="242">
        <v>0</v>
      </c>
      <c r="D211" s="234" t="s">
        <v>572</v>
      </c>
      <c r="E211" s="235" t="s">
        <v>22</v>
      </c>
      <c r="F211" s="236">
        <f>giordanoitawxvpts</f>
        <v>0</v>
      </c>
    </row>
    <row r="212" spans="1:6" ht="14.95" thickBot="1" x14ac:dyDescent="0.3">
      <c r="A212" s="240" t="s">
        <v>176</v>
      </c>
      <c r="B212" s="241" t="s">
        <v>23</v>
      </c>
      <c r="C212" s="242">
        <v>0</v>
      </c>
      <c r="D212" s="234" t="s">
        <v>412</v>
      </c>
      <c r="E212" s="235" t="s">
        <v>21</v>
      </c>
      <c r="F212" s="236">
        <f>grantscowxvpts</f>
        <v>0</v>
      </c>
    </row>
    <row r="213" spans="1:6" ht="14.95" thickBot="1" x14ac:dyDescent="0.3">
      <c r="A213" s="240" t="s">
        <v>663</v>
      </c>
      <c r="B213" s="241" t="s">
        <v>23</v>
      </c>
      <c r="C213" s="242">
        <v>0</v>
      </c>
      <c r="D213" s="234" t="s">
        <v>514</v>
      </c>
      <c r="E213" s="235" t="s">
        <v>332</v>
      </c>
      <c r="F213" s="236">
        <v>0</v>
      </c>
    </row>
    <row r="214" spans="1:6" ht="14.95" thickBot="1" x14ac:dyDescent="0.3">
      <c r="A214" s="240" t="s">
        <v>711</v>
      </c>
      <c r="B214" s="241" t="s">
        <v>333</v>
      </c>
      <c r="C214" s="242">
        <v>0</v>
      </c>
      <c r="D214" s="234" t="s">
        <v>200</v>
      </c>
      <c r="E214" s="235" t="s">
        <v>27</v>
      </c>
      <c r="F214" s="236">
        <v>0</v>
      </c>
    </row>
    <row r="215" spans="1:6" ht="14.95" thickBot="1" x14ac:dyDescent="0.3">
      <c r="A215" s="240" t="s">
        <v>617</v>
      </c>
      <c r="B215" s="241" t="s">
        <v>330</v>
      </c>
      <c r="C215" s="242">
        <v>0</v>
      </c>
      <c r="D215" s="234" t="s">
        <v>708</v>
      </c>
      <c r="E215" s="235" t="s">
        <v>542</v>
      </c>
      <c r="F215" s="236">
        <v>0</v>
      </c>
    </row>
    <row r="216" spans="1:6" ht="14.95" thickBot="1" x14ac:dyDescent="0.3">
      <c r="A216" s="240" t="s">
        <v>957</v>
      </c>
      <c r="B216" s="241" t="s">
        <v>958</v>
      </c>
      <c r="C216" s="242">
        <f>Kochhannbrawxvtries</f>
        <v>0</v>
      </c>
      <c r="D216" s="234" t="s">
        <v>550</v>
      </c>
      <c r="E216" s="235" t="s">
        <v>333</v>
      </c>
      <c r="F216" s="236">
        <v>0</v>
      </c>
    </row>
    <row r="217" spans="1:6" ht="14.95" thickBot="1" x14ac:dyDescent="0.3">
      <c r="A217" s="240" t="s">
        <v>684</v>
      </c>
      <c r="B217" s="241" t="s">
        <v>679</v>
      </c>
      <c r="C217" s="242">
        <v>0</v>
      </c>
      <c r="D217" s="234" t="s">
        <v>602</v>
      </c>
      <c r="E217" s="235" t="s">
        <v>20</v>
      </c>
      <c r="F217" s="236">
        <v>0</v>
      </c>
    </row>
    <row r="218" spans="1:6" ht="14.95" thickBot="1" x14ac:dyDescent="0.3">
      <c r="A218" s="240" t="s">
        <v>455</v>
      </c>
      <c r="B218" s="241" t="s">
        <v>332</v>
      </c>
      <c r="C218" s="242">
        <v>0</v>
      </c>
      <c r="D218" s="234" t="s">
        <v>566</v>
      </c>
      <c r="E218" s="235" t="s">
        <v>542</v>
      </c>
      <c r="F218" s="236">
        <v>0</v>
      </c>
    </row>
    <row r="219" spans="1:6" ht="14.95" thickBot="1" x14ac:dyDescent="0.3">
      <c r="A219" s="240" t="s">
        <v>203</v>
      </c>
      <c r="B219" s="241" t="s">
        <v>27</v>
      </c>
      <c r="C219" s="242">
        <v>0</v>
      </c>
      <c r="D219" s="234" t="s">
        <v>555</v>
      </c>
      <c r="E219" s="235" t="s">
        <v>333</v>
      </c>
      <c r="F219" s="236">
        <v>0</v>
      </c>
    </row>
    <row r="220" spans="1:6" ht="14.95" thickBot="1" x14ac:dyDescent="0.3">
      <c r="A220" s="240" t="s">
        <v>431</v>
      </c>
      <c r="B220" s="241" t="s">
        <v>21</v>
      </c>
      <c r="C220" s="242">
        <v>0</v>
      </c>
      <c r="D220" s="234" t="s">
        <v>687</v>
      </c>
      <c r="E220" s="235" t="s">
        <v>27</v>
      </c>
      <c r="F220" s="236">
        <v>0</v>
      </c>
    </row>
    <row r="221" spans="1:6" ht="14.95" thickBot="1" x14ac:dyDescent="0.3">
      <c r="A221" s="240" t="s">
        <v>725</v>
      </c>
      <c r="B221" s="241" t="s">
        <v>551</v>
      </c>
      <c r="C221" s="242">
        <v>0</v>
      </c>
      <c r="D221" s="234" t="s">
        <v>311</v>
      </c>
      <c r="E221" s="235" t="s">
        <v>333</v>
      </c>
      <c r="F221" s="236">
        <v>0</v>
      </c>
    </row>
    <row r="222" spans="1:6" ht="14.95" thickBot="1" x14ac:dyDescent="0.3">
      <c r="A222" s="240" t="s">
        <v>498</v>
      </c>
      <c r="B222" s="241" t="s">
        <v>331</v>
      </c>
      <c r="C222" s="242">
        <v>0</v>
      </c>
      <c r="D222" s="234" t="s">
        <v>176</v>
      </c>
      <c r="E222" s="235" t="s">
        <v>23</v>
      </c>
      <c r="F222" s="236">
        <v>0</v>
      </c>
    </row>
    <row r="223" spans="1:6" ht="14.95" thickBot="1" x14ac:dyDescent="0.3">
      <c r="A223" s="240" t="s">
        <v>538</v>
      </c>
      <c r="B223" s="241" t="s">
        <v>536</v>
      </c>
      <c r="C223" s="242">
        <v>0</v>
      </c>
      <c r="D223" s="234" t="s">
        <v>663</v>
      </c>
      <c r="E223" s="235" t="s">
        <v>23</v>
      </c>
      <c r="F223" s="236">
        <v>0</v>
      </c>
    </row>
    <row r="224" spans="1:6" ht="14.95" thickBot="1" x14ac:dyDescent="0.3">
      <c r="A224" s="240" t="s">
        <v>526</v>
      </c>
      <c r="B224" s="241" t="s">
        <v>331</v>
      </c>
      <c r="C224" s="242">
        <v>0</v>
      </c>
      <c r="D224" s="234" t="s">
        <v>711</v>
      </c>
      <c r="E224" s="235" t="s">
        <v>333</v>
      </c>
      <c r="F224" s="236">
        <v>0</v>
      </c>
    </row>
    <row r="225" spans="1:6" ht="14.95" thickBot="1" x14ac:dyDescent="0.3">
      <c r="A225" s="240" t="s">
        <v>88</v>
      </c>
      <c r="B225" s="241" t="s">
        <v>27</v>
      </c>
      <c r="C225" s="242">
        <v>0</v>
      </c>
      <c r="D225" s="234" t="s">
        <v>617</v>
      </c>
      <c r="E225" s="235" t="s">
        <v>330</v>
      </c>
      <c r="F225" s="236">
        <v>0</v>
      </c>
    </row>
    <row r="226" spans="1:6" ht="14.95" thickBot="1" x14ac:dyDescent="0.3">
      <c r="A226" s="240" t="s">
        <v>967</v>
      </c>
      <c r="B226" s="241" t="s">
        <v>23</v>
      </c>
      <c r="C226" s="242">
        <v>0</v>
      </c>
      <c r="D226" s="234" t="s">
        <v>684</v>
      </c>
      <c r="E226" s="235" t="s">
        <v>679</v>
      </c>
      <c r="F226" s="236">
        <v>0</v>
      </c>
    </row>
    <row r="227" spans="1:6" ht="14.95" thickBot="1" x14ac:dyDescent="0.3">
      <c r="A227" s="240" t="s">
        <v>682</v>
      </c>
      <c r="B227" s="241" t="s">
        <v>679</v>
      </c>
      <c r="C227" s="242">
        <v>0</v>
      </c>
      <c r="D227" s="234" t="s">
        <v>455</v>
      </c>
      <c r="E227" s="235" t="s">
        <v>332</v>
      </c>
      <c r="F227" s="236">
        <v>0</v>
      </c>
    </row>
    <row r="228" spans="1:6" ht="14.95" thickBot="1" x14ac:dyDescent="0.3">
      <c r="A228" s="240" t="s">
        <v>672</v>
      </c>
      <c r="B228" s="241" t="s">
        <v>331</v>
      </c>
      <c r="C228" s="242">
        <v>0</v>
      </c>
      <c r="D228" s="234" t="s">
        <v>203</v>
      </c>
      <c r="E228" s="235" t="s">
        <v>27</v>
      </c>
      <c r="F228" s="236">
        <v>0</v>
      </c>
    </row>
    <row r="229" spans="1:6" ht="14.95" thickBot="1" x14ac:dyDescent="0.3">
      <c r="A229" s="240" t="s">
        <v>675</v>
      </c>
      <c r="B229" s="241" t="s">
        <v>331</v>
      </c>
      <c r="C229" s="242">
        <v>0</v>
      </c>
      <c r="D229" s="234" t="s">
        <v>431</v>
      </c>
      <c r="E229" s="235" t="s">
        <v>21</v>
      </c>
      <c r="F229" s="236">
        <v>0</v>
      </c>
    </row>
    <row r="230" spans="1:6" ht="14.95" thickBot="1" x14ac:dyDescent="0.3">
      <c r="A230" s="240" t="s">
        <v>703</v>
      </c>
      <c r="B230" s="241" t="s">
        <v>542</v>
      </c>
      <c r="C230" s="242">
        <v>0</v>
      </c>
      <c r="D230" s="234" t="s">
        <v>725</v>
      </c>
      <c r="E230" s="235" t="s">
        <v>551</v>
      </c>
      <c r="F230" s="236">
        <v>0</v>
      </c>
    </row>
    <row r="231" spans="1:6" ht="14.95" thickBot="1" x14ac:dyDescent="0.3">
      <c r="A231" s="240" t="s">
        <v>533</v>
      </c>
      <c r="B231" s="241" t="s">
        <v>22</v>
      </c>
      <c r="C231" s="242">
        <v>0</v>
      </c>
      <c r="D231" s="234" t="s">
        <v>498</v>
      </c>
      <c r="E231" s="235" t="s">
        <v>331</v>
      </c>
      <c r="F231" s="236">
        <v>0</v>
      </c>
    </row>
    <row r="232" spans="1:6" ht="14.95" thickBot="1" x14ac:dyDescent="0.3">
      <c r="A232" s="240" t="s">
        <v>198</v>
      </c>
      <c r="B232" s="241" t="s">
        <v>21</v>
      </c>
      <c r="C232" s="242">
        <v>0</v>
      </c>
      <c r="D232" s="234" t="s">
        <v>538</v>
      </c>
      <c r="E232" s="235" t="s">
        <v>536</v>
      </c>
      <c r="F232" s="236">
        <v>0</v>
      </c>
    </row>
    <row r="233" spans="1:6" ht="14.95" thickBot="1" x14ac:dyDescent="0.3">
      <c r="A233" s="240" t="s">
        <v>731</v>
      </c>
      <c r="B233" s="241" t="s">
        <v>551</v>
      </c>
      <c r="C233" s="242">
        <v>0</v>
      </c>
      <c r="D233" s="234" t="s">
        <v>526</v>
      </c>
      <c r="E233" s="235" t="s">
        <v>331</v>
      </c>
      <c r="F233" s="236">
        <v>0</v>
      </c>
    </row>
    <row r="234" spans="1:6" ht="14.95" thickBot="1" x14ac:dyDescent="0.3">
      <c r="A234" s="240" t="s">
        <v>801</v>
      </c>
      <c r="B234" s="241" t="s">
        <v>332</v>
      </c>
      <c r="C234" s="242">
        <v>0</v>
      </c>
      <c r="D234" s="234" t="s">
        <v>88</v>
      </c>
      <c r="E234" s="235" t="s">
        <v>27</v>
      </c>
      <c r="F234" s="236">
        <v>0</v>
      </c>
    </row>
    <row r="235" spans="1:6" ht="14.95" thickBot="1" x14ac:dyDescent="0.3">
      <c r="A235" s="240" t="s">
        <v>614</v>
      </c>
      <c r="B235" s="241" t="s">
        <v>332</v>
      </c>
      <c r="C235" s="242">
        <v>0</v>
      </c>
      <c r="D235" s="234" t="s">
        <v>967</v>
      </c>
      <c r="E235" s="235" t="s">
        <v>23</v>
      </c>
      <c r="F235" s="236">
        <v>0</v>
      </c>
    </row>
    <row r="236" spans="1:6" ht="14.95" thickBot="1" x14ac:dyDescent="0.3">
      <c r="A236" s="240" t="s">
        <v>539</v>
      </c>
      <c r="B236" s="241" t="s">
        <v>536</v>
      </c>
      <c r="C236" s="242">
        <f>otsukajpnwxvtries</f>
        <v>0</v>
      </c>
      <c r="D236" s="234" t="s">
        <v>682</v>
      </c>
      <c r="E236" s="235" t="s">
        <v>679</v>
      </c>
      <c r="F236" s="236">
        <v>0</v>
      </c>
    </row>
    <row r="237" spans="1:6" ht="14.95" thickBot="1" x14ac:dyDescent="0.3">
      <c r="A237" s="240" t="s">
        <v>673</v>
      </c>
      <c r="B237" s="241" t="s">
        <v>331</v>
      </c>
      <c r="C237" s="242">
        <v>0</v>
      </c>
      <c r="D237" s="234" t="s">
        <v>672</v>
      </c>
      <c r="E237" s="235" t="s">
        <v>331</v>
      </c>
      <c r="F237" s="236">
        <v>0</v>
      </c>
    </row>
    <row r="238" spans="1:6" ht="14.95" thickBot="1" x14ac:dyDescent="0.3">
      <c r="A238" s="240" t="s">
        <v>212</v>
      </c>
      <c r="B238" s="241" t="s">
        <v>19</v>
      </c>
      <c r="C238" s="242">
        <v>0</v>
      </c>
      <c r="D238" s="234" t="s">
        <v>675</v>
      </c>
      <c r="E238" s="235" t="s">
        <v>331</v>
      </c>
      <c r="F238" s="236">
        <v>0</v>
      </c>
    </row>
    <row r="239" spans="1:6" ht="14.95" thickBot="1" x14ac:dyDescent="0.3">
      <c r="A239" s="240" t="s">
        <v>212</v>
      </c>
      <c r="B239" s="241" t="s">
        <v>21</v>
      </c>
      <c r="C239" s="242">
        <v>0</v>
      </c>
      <c r="D239" s="234" t="s">
        <v>703</v>
      </c>
      <c r="E239" s="235" t="s">
        <v>542</v>
      </c>
      <c r="F239" s="236">
        <v>0</v>
      </c>
    </row>
    <row r="240" spans="1:6" ht="14.95" thickBot="1" x14ac:dyDescent="0.3">
      <c r="A240" s="240" t="s">
        <v>212</v>
      </c>
      <c r="B240" s="241" t="s">
        <v>23</v>
      </c>
      <c r="C240" s="242">
        <v>0</v>
      </c>
      <c r="D240" s="234" t="s">
        <v>533</v>
      </c>
      <c r="E240" s="235" t="s">
        <v>22</v>
      </c>
      <c r="F240" s="236">
        <v>0</v>
      </c>
    </row>
    <row r="241" spans="1:6" ht="14.95" thickBot="1" x14ac:dyDescent="0.3">
      <c r="A241" s="240" t="s">
        <v>717</v>
      </c>
      <c r="B241" s="241" t="s">
        <v>714</v>
      </c>
      <c r="C241" s="242">
        <v>0</v>
      </c>
      <c r="D241" s="234" t="s">
        <v>731</v>
      </c>
      <c r="E241" s="235" t="s">
        <v>551</v>
      </c>
      <c r="F241" s="236">
        <v>0</v>
      </c>
    </row>
    <row r="242" spans="1:6" ht="14.95" thickBot="1" x14ac:dyDescent="0.3">
      <c r="A242" s="240" t="s">
        <v>515</v>
      </c>
      <c r="B242" s="241" t="s">
        <v>23</v>
      </c>
      <c r="C242" s="242">
        <v>0</v>
      </c>
      <c r="D242" s="234" t="s">
        <v>801</v>
      </c>
      <c r="E242" s="235" t="s">
        <v>332</v>
      </c>
      <c r="F242" s="236">
        <v>0</v>
      </c>
    </row>
    <row r="243" spans="1:6" ht="14.95" thickBot="1" x14ac:dyDescent="0.3">
      <c r="A243" s="240" t="s">
        <v>715</v>
      </c>
      <c r="B243" s="241" t="s">
        <v>714</v>
      </c>
      <c r="C243" s="242">
        <v>0</v>
      </c>
      <c r="D243" s="234" t="s">
        <v>614</v>
      </c>
      <c r="E243" s="235" t="s">
        <v>332</v>
      </c>
      <c r="F243" s="236">
        <v>0</v>
      </c>
    </row>
    <row r="244" spans="1:6" ht="14.95" thickBot="1" x14ac:dyDescent="0.3">
      <c r="A244" s="240" t="s">
        <v>384</v>
      </c>
      <c r="B244" s="241" t="s">
        <v>542</v>
      </c>
      <c r="C244" s="242">
        <v>0</v>
      </c>
      <c r="D244" s="234" t="s">
        <v>673</v>
      </c>
      <c r="E244" s="235" t="s">
        <v>331</v>
      </c>
      <c r="F244" s="236">
        <v>0</v>
      </c>
    </row>
    <row r="245" spans="1:6" ht="14.95" thickBot="1" x14ac:dyDescent="0.3">
      <c r="A245" s="240" t="s">
        <v>559</v>
      </c>
      <c r="B245" s="241" t="s">
        <v>22</v>
      </c>
      <c r="C245" s="242">
        <v>0</v>
      </c>
      <c r="D245" s="234" t="s">
        <v>212</v>
      </c>
      <c r="E245" s="235" t="s">
        <v>19</v>
      </c>
      <c r="F245" s="236">
        <v>0</v>
      </c>
    </row>
    <row r="246" spans="1:6" ht="14.95" thickBot="1" x14ac:dyDescent="0.3">
      <c r="A246" s="240" t="s">
        <v>525</v>
      </c>
      <c r="B246" s="241" t="s">
        <v>27</v>
      </c>
      <c r="C246" s="242">
        <v>0</v>
      </c>
      <c r="D246" s="234" t="s">
        <v>212</v>
      </c>
      <c r="E246" s="235" t="s">
        <v>21</v>
      </c>
      <c r="F246" s="236">
        <v>0</v>
      </c>
    </row>
    <row r="247" spans="1:6" ht="14.95" thickBot="1" x14ac:dyDescent="0.3">
      <c r="A247" s="240" t="s">
        <v>535</v>
      </c>
      <c r="B247" s="241" t="s">
        <v>22</v>
      </c>
      <c r="C247" s="242">
        <v>0</v>
      </c>
      <c r="D247" s="234" t="s">
        <v>212</v>
      </c>
      <c r="E247" s="235" t="s">
        <v>23</v>
      </c>
      <c r="F247" s="236">
        <v>0</v>
      </c>
    </row>
    <row r="248" spans="1:6" ht="14.95" thickBot="1" x14ac:dyDescent="0.3">
      <c r="A248" s="240" t="s">
        <v>195</v>
      </c>
      <c r="B248" s="241" t="s">
        <v>21</v>
      </c>
      <c r="C248" s="242">
        <f>rolliescowxvtries</f>
        <v>0</v>
      </c>
      <c r="D248" s="234" t="s">
        <v>717</v>
      </c>
      <c r="E248" s="235" t="s">
        <v>714</v>
      </c>
      <c r="F248" s="236">
        <v>0</v>
      </c>
    </row>
    <row r="249" spans="1:6" ht="14.95" thickBot="1" x14ac:dyDescent="0.3">
      <c r="A249" s="240" t="s">
        <v>697</v>
      </c>
      <c r="B249" s="241" t="s">
        <v>330</v>
      </c>
      <c r="C249" s="242">
        <v>0</v>
      </c>
      <c r="D249" s="234" t="s">
        <v>515</v>
      </c>
      <c r="E249" s="235" t="s">
        <v>23</v>
      </c>
      <c r="F249" s="236">
        <v>0</v>
      </c>
    </row>
    <row r="250" spans="1:6" ht="14.95" thickBot="1" x14ac:dyDescent="0.3">
      <c r="A250" s="240" t="s">
        <v>612</v>
      </c>
      <c r="B250" s="241" t="s">
        <v>332</v>
      </c>
      <c r="C250" s="242">
        <v>0</v>
      </c>
      <c r="D250" s="234" t="s">
        <v>715</v>
      </c>
      <c r="E250" s="235" t="s">
        <v>714</v>
      </c>
      <c r="F250" s="236">
        <v>0</v>
      </c>
    </row>
    <row r="251" spans="1:6" ht="14.95" thickBot="1" x14ac:dyDescent="0.3">
      <c r="A251" s="240" t="s">
        <v>693</v>
      </c>
      <c r="B251" s="241" t="s">
        <v>536</v>
      </c>
      <c r="C251" s="242">
        <v>0</v>
      </c>
      <c r="D251" s="234" t="s">
        <v>384</v>
      </c>
      <c r="E251" s="235" t="s">
        <v>542</v>
      </c>
      <c r="F251" s="236">
        <v>0</v>
      </c>
    </row>
    <row r="252" spans="1:6" ht="14.95" thickBot="1" x14ac:dyDescent="0.3">
      <c r="A252" s="240" t="s">
        <v>727</v>
      </c>
      <c r="B252" s="241" t="s">
        <v>551</v>
      </c>
      <c r="C252" s="242">
        <v>0</v>
      </c>
      <c r="D252" s="234" t="s">
        <v>559</v>
      </c>
      <c r="E252" s="235" t="s">
        <v>22</v>
      </c>
      <c r="F252" s="236">
        <v>0</v>
      </c>
    </row>
    <row r="253" spans="1:6" ht="14.95" thickBot="1" x14ac:dyDescent="0.3">
      <c r="A253" s="240" t="s">
        <v>552</v>
      </c>
      <c r="B253" s="241" t="s">
        <v>551</v>
      </c>
      <c r="C253" s="242">
        <v>0</v>
      </c>
      <c r="D253" s="234" t="s">
        <v>525</v>
      </c>
      <c r="E253" s="235" t="s">
        <v>27</v>
      </c>
      <c r="F253" s="236">
        <v>0</v>
      </c>
    </row>
    <row r="254" spans="1:6" ht="14.95" thickBot="1" x14ac:dyDescent="0.3">
      <c r="A254" s="240" t="s">
        <v>202</v>
      </c>
      <c r="B254" s="241" t="s">
        <v>22</v>
      </c>
      <c r="C254" s="242">
        <f>sillariitawxvtries</f>
        <v>0</v>
      </c>
      <c r="D254" s="234" t="s">
        <v>195</v>
      </c>
      <c r="E254" s="235" t="s">
        <v>21</v>
      </c>
      <c r="F254" s="236">
        <f>rolliescowxvpts</f>
        <v>0</v>
      </c>
    </row>
    <row r="255" spans="1:6" ht="14.95" thickBot="1" x14ac:dyDescent="0.3">
      <c r="A255" s="240" t="s">
        <v>532</v>
      </c>
      <c r="B255" s="241" t="s">
        <v>330</v>
      </c>
      <c r="C255" s="242">
        <v>0</v>
      </c>
      <c r="D255" s="234" t="s">
        <v>697</v>
      </c>
      <c r="E255" s="235" t="s">
        <v>330</v>
      </c>
      <c r="F255" s="236">
        <v>0</v>
      </c>
    </row>
    <row r="256" spans="1:6" ht="14.95" thickBot="1" x14ac:dyDescent="0.3">
      <c r="A256" s="240" t="s">
        <v>209</v>
      </c>
      <c r="B256" s="241" t="s">
        <v>20</v>
      </c>
      <c r="C256" s="242">
        <f>singengwxvtries</f>
        <v>0</v>
      </c>
      <c r="D256" s="234" t="s">
        <v>612</v>
      </c>
      <c r="E256" s="235" t="s">
        <v>332</v>
      </c>
      <c r="F256" s="236">
        <v>0</v>
      </c>
    </row>
    <row r="257" spans="1:6" ht="14.95" thickBot="1" x14ac:dyDescent="0.3">
      <c r="A257" s="240" t="s">
        <v>723</v>
      </c>
      <c r="B257" s="241" t="s">
        <v>551</v>
      </c>
      <c r="C257" s="242">
        <v>0</v>
      </c>
      <c r="D257" s="234" t="s">
        <v>693</v>
      </c>
      <c r="E257" s="235" t="s">
        <v>536</v>
      </c>
      <c r="F257" s="236">
        <v>0</v>
      </c>
    </row>
    <row r="258" spans="1:6" ht="14.95" thickBot="1" x14ac:dyDescent="0.3">
      <c r="A258" s="240" t="s">
        <v>207</v>
      </c>
      <c r="B258" s="241" t="s">
        <v>21</v>
      </c>
      <c r="C258" s="242">
        <f>skeldonscowxvtries</f>
        <v>0</v>
      </c>
      <c r="D258" s="234" t="s">
        <v>727</v>
      </c>
      <c r="E258" s="235" t="s">
        <v>551</v>
      </c>
      <c r="F258" s="236">
        <v>0</v>
      </c>
    </row>
    <row r="259" spans="1:6" ht="14.95" thickBot="1" x14ac:dyDescent="0.3">
      <c r="A259" s="240" t="s">
        <v>31</v>
      </c>
      <c r="B259" s="241" t="s">
        <v>21</v>
      </c>
      <c r="C259" s="242">
        <v>0</v>
      </c>
      <c r="D259" s="234" t="s">
        <v>552</v>
      </c>
      <c r="E259" s="235" t="s">
        <v>551</v>
      </c>
      <c r="F259" s="236">
        <v>0</v>
      </c>
    </row>
    <row r="260" spans="1:6" ht="14.95" thickBot="1" x14ac:dyDescent="0.3">
      <c r="A260" s="240" t="s">
        <v>554</v>
      </c>
      <c r="B260" s="241" t="s">
        <v>333</v>
      </c>
      <c r="C260" s="242">
        <v>0</v>
      </c>
      <c r="D260" s="234" t="s">
        <v>532</v>
      </c>
      <c r="E260" s="235" t="s">
        <v>330</v>
      </c>
      <c r="F260" s="236">
        <v>0</v>
      </c>
    </row>
    <row r="261" spans="1:6" ht="14.95" thickBot="1" x14ac:dyDescent="0.3">
      <c r="A261" s="240" t="s">
        <v>699</v>
      </c>
      <c r="B261" s="241" t="s">
        <v>21</v>
      </c>
      <c r="C261" s="242">
        <v>0</v>
      </c>
      <c r="D261" s="234" t="s">
        <v>723</v>
      </c>
      <c r="E261" s="235" t="s">
        <v>551</v>
      </c>
      <c r="F261" s="236">
        <v>0</v>
      </c>
    </row>
    <row r="262" spans="1:6" ht="14.95" thickBot="1" x14ac:dyDescent="0.3">
      <c r="A262" s="240" t="s">
        <v>475</v>
      </c>
      <c r="B262" s="241" t="s">
        <v>331</v>
      </c>
      <c r="C262" s="242">
        <v>0</v>
      </c>
      <c r="D262" s="234" t="s">
        <v>207</v>
      </c>
      <c r="E262" s="235" t="s">
        <v>21</v>
      </c>
      <c r="F262" s="236">
        <f>skeldonscowxvpts</f>
        <v>0</v>
      </c>
    </row>
    <row r="263" spans="1:6" ht="14.95" thickBot="1" x14ac:dyDescent="0.3">
      <c r="A263" s="240" t="s">
        <v>692</v>
      </c>
      <c r="B263" s="241" t="s">
        <v>536</v>
      </c>
      <c r="C263" s="242">
        <v>0</v>
      </c>
      <c r="D263" s="234" t="s">
        <v>31</v>
      </c>
      <c r="E263" s="235" t="s">
        <v>21</v>
      </c>
      <c r="F263" s="236">
        <f>smithmscowxvpts</f>
        <v>0</v>
      </c>
    </row>
    <row r="264" spans="1:6" ht="14.95" thickBot="1" x14ac:dyDescent="0.3">
      <c r="A264" s="240" t="s">
        <v>549</v>
      </c>
      <c r="B264" s="241" t="s">
        <v>333</v>
      </c>
      <c r="C264" s="242">
        <v>0</v>
      </c>
      <c r="D264" s="234" t="s">
        <v>554</v>
      </c>
      <c r="E264" s="235" t="s">
        <v>333</v>
      </c>
      <c r="F264" s="236">
        <v>0</v>
      </c>
    </row>
    <row r="265" spans="1:6" ht="14.95" thickBot="1" x14ac:dyDescent="0.3">
      <c r="A265" s="240" t="s">
        <v>545</v>
      </c>
      <c r="B265" s="241" t="s">
        <v>21</v>
      </c>
      <c r="C265" s="242">
        <v>0</v>
      </c>
      <c r="D265" s="234" t="s">
        <v>699</v>
      </c>
      <c r="E265" s="235" t="s">
        <v>21</v>
      </c>
      <c r="F265" s="236">
        <v>0</v>
      </c>
    </row>
    <row r="266" spans="1:6" ht="14.95" thickBot="1" x14ac:dyDescent="0.3">
      <c r="A266" s="240" t="s">
        <v>680</v>
      </c>
      <c r="B266" s="241" t="s">
        <v>679</v>
      </c>
      <c r="C266" s="242">
        <v>0</v>
      </c>
      <c r="D266" s="234" t="s">
        <v>475</v>
      </c>
      <c r="E266" s="235" t="s">
        <v>331</v>
      </c>
      <c r="F266" s="236">
        <v>0</v>
      </c>
    </row>
    <row r="267" spans="1:6" ht="14.95" thickBot="1" x14ac:dyDescent="0.3">
      <c r="A267" s="240" t="s">
        <v>706</v>
      </c>
      <c r="B267" s="241" t="s">
        <v>542</v>
      </c>
      <c r="C267" s="242">
        <v>0</v>
      </c>
      <c r="D267" s="234" t="s">
        <v>692</v>
      </c>
      <c r="E267" s="235" t="s">
        <v>536</v>
      </c>
      <c r="F267" s="236">
        <v>0</v>
      </c>
    </row>
    <row r="268" spans="1:6" ht="14.95" thickBot="1" x14ac:dyDescent="0.3">
      <c r="A268" s="240" t="s">
        <v>691</v>
      </c>
      <c r="B268" s="241" t="s">
        <v>22</v>
      </c>
      <c r="C268" s="242">
        <f>turaniitawxvtries</f>
        <v>0</v>
      </c>
      <c r="D268" s="234" t="s">
        <v>549</v>
      </c>
      <c r="E268" s="235" t="s">
        <v>333</v>
      </c>
      <c r="F268" s="236">
        <v>0</v>
      </c>
    </row>
    <row r="269" spans="1:6" ht="14.95" thickBot="1" x14ac:dyDescent="0.3">
      <c r="A269" s="240" t="s">
        <v>709</v>
      </c>
      <c r="B269" s="241" t="s">
        <v>542</v>
      </c>
      <c r="C269" s="242">
        <v>0</v>
      </c>
      <c r="D269" s="234" t="s">
        <v>545</v>
      </c>
      <c r="E269" s="235" t="s">
        <v>21</v>
      </c>
      <c r="F269" s="236">
        <v>0</v>
      </c>
    </row>
    <row r="270" spans="1:6" ht="14.95" thickBot="1" x14ac:dyDescent="0.3">
      <c r="A270" s="240" t="s">
        <v>619</v>
      </c>
      <c r="B270" s="241" t="s">
        <v>330</v>
      </c>
      <c r="C270" s="242">
        <v>0</v>
      </c>
      <c r="D270" s="234" t="s">
        <v>680</v>
      </c>
      <c r="E270" s="235" t="s">
        <v>679</v>
      </c>
      <c r="F270" s="236">
        <v>0</v>
      </c>
    </row>
    <row r="271" spans="1:6" ht="14.95" thickBot="1" x14ac:dyDescent="0.3">
      <c r="A271" s="240" t="s">
        <v>728</v>
      </c>
      <c r="B271" s="241" t="s">
        <v>551</v>
      </c>
      <c r="C271" s="242">
        <f>vatausamwxvtries</f>
        <v>0</v>
      </c>
      <c r="D271" s="234" t="s">
        <v>706</v>
      </c>
      <c r="E271" s="235" t="s">
        <v>542</v>
      </c>
      <c r="F271" s="236">
        <v>0</v>
      </c>
    </row>
    <row r="272" spans="1:6" ht="14.95" thickBot="1" x14ac:dyDescent="0.3">
      <c r="A272" s="240" t="s">
        <v>951</v>
      </c>
      <c r="B272" s="241" t="s">
        <v>679</v>
      </c>
      <c r="C272" s="242">
        <f>vuetifijwvtries</f>
        <v>0</v>
      </c>
      <c r="D272" s="234" t="s">
        <v>691</v>
      </c>
      <c r="E272" s="235" t="s">
        <v>22</v>
      </c>
      <c r="F272" s="236">
        <f>turaniitawxvpts</f>
        <v>0</v>
      </c>
    </row>
    <row r="273" spans="1:6" ht="14.95" thickBot="1" x14ac:dyDescent="0.3">
      <c r="A273" s="240" t="s">
        <v>577</v>
      </c>
      <c r="B273" s="241" t="s">
        <v>19</v>
      </c>
      <c r="C273" s="242">
        <v>0</v>
      </c>
      <c r="D273" s="234" t="s">
        <v>709</v>
      </c>
      <c r="E273" s="235" t="s">
        <v>542</v>
      </c>
      <c r="F273" s="236">
        <v>0</v>
      </c>
    </row>
    <row r="274" spans="1:6" ht="14.95" thickBot="1" x14ac:dyDescent="0.3">
      <c r="A274" s="240" t="s">
        <v>685</v>
      </c>
      <c r="B274" s="241" t="s">
        <v>679</v>
      </c>
      <c r="C274" s="242">
        <v>0</v>
      </c>
      <c r="D274" s="234" t="s">
        <v>619</v>
      </c>
      <c r="E274" s="235" t="s">
        <v>330</v>
      </c>
      <c r="F274" s="236">
        <v>0</v>
      </c>
    </row>
    <row r="275" spans="1:6" ht="14.95" thickBot="1" x14ac:dyDescent="0.3">
      <c r="A275" s="240" t="s">
        <v>557</v>
      </c>
      <c r="B275" s="241" t="s">
        <v>21</v>
      </c>
      <c r="C275" s="242">
        <v>0</v>
      </c>
      <c r="D275" s="234" t="s">
        <v>577</v>
      </c>
      <c r="E275" s="235" t="s">
        <v>19</v>
      </c>
      <c r="F275" s="236">
        <v>0</v>
      </c>
    </row>
    <row r="276" spans="1:6" ht="14.95" thickBot="1" x14ac:dyDescent="0.3">
      <c r="A276" s="240" t="s">
        <v>671</v>
      </c>
      <c r="B276" s="241" t="s">
        <v>20</v>
      </c>
      <c r="C276" s="242">
        <f>westcombeevansengtries</f>
        <v>0</v>
      </c>
      <c r="D276" s="234" t="s">
        <v>685</v>
      </c>
      <c r="E276" s="235" t="s">
        <v>679</v>
      </c>
      <c r="F276" s="236">
        <v>0</v>
      </c>
    </row>
    <row r="277" spans="1:6" ht="14.95" thickBot="1" x14ac:dyDescent="0.3">
      <c r="A277" s="240" t="s">
        <v>523</v>
      </c>
      <c r="B277" s="241" t="s">
        <v>23</v>
      </c>
      <c r="C277" s="242">
        <v>0</v>
      </c>
      <c r="D277" s="234" t="s">
        <v>557</v>
      </c>
      <c r="E277" s="235" t="s">
        <v>21</v>
      </c>
      <c r="F277" s="236">
        <v>0</v>
      </c>
    </row>
    <row r="278" spans="1:6" ht="14.95" thickBot="1" x14ac:dyDescent="0.3">
      <c r="A278" s="240" t="s">
        <v>947</v>
      </c>
      <c r="B278" s="241" t="s">
        <v>331</v>
      </c>
      <c r="C278" s="242">
        <f>wongauswxvtries</f>
        <v>0</v>
      </c>
      <c r="D278" s="234" t="s">
        <v>671</v>
      </c>
      <c r="E278" s="235" t="s">
        <v>20</v>
      </c>
      <c r="F278" s="236">
        <f>westcombeevansengpts</f>
        <v>0</v>
      </c>
    </row>
    <row r="279" spans="1:6" ht="14.95" thickBot="1" x14ac:dyDescent="0.3">
      <c r="A279" s="240" t="s">
        <v>553</v>
      </c>
      <c r="B279" s="241" t="s">
        <v>551</v>
      </c>
      <c r="C279" s="242">
        <v>0</v>
      </c>
      <c r="D279" s="234" t="s">
        <v>523</v>
      </c>
      <c r="E279" s="235" t="s">
        <v>23</v>
      </c>
      <c r="F279" s="236">
        <v>0</v>
      </c>
    </row>
    <row r="280" spans="1:6" ht="14.95" thickBot="1" x14ac:dyDescent="0.3">
      <c r="A280" s="240" t="s">
        <v>510</v>
      </c>
      <c r="B280" s="241" t="s">
        <v>20</v>
      </c>
      <c r="C280" s="242">
        <f>wyrwasengwxvtries</f>
        <v>0</v>
      </c>
      <c r="D280" s="234" t="s">
        <v>553</v>
      </c>
      <c r="E280" s="235" t="s">
        <v>551</v>
      </c>
      <c r="F280" s="236">
        <v>0</v>
      </c>
    </row>
    <row r="281" spans="1:6" ht="14.95" thickBot="1" x14ac:dyDescent="0.3">
      <c r="A281" s="240" t="s">
        <v>1008</v>
      </c>
      <c r="B281" s="241" t="s">
        <v>536</v>
      </c>
      <c r="C281" s="242">
        <f>yamamotoajpnwxvtries</f>
        <v>0</v>
      </c>
      <c r="D281" s="234" t="s">
        <v>510</v>
      </c>
      <c r="E281" s="235" t="s">
        <v>20</v>
      </c>
      <c r="F281" s="236">
        <f>wyrwasengwxvpts</f>
        <v>0</v>
      </c>
    </row>
    <row r="282" spans="1:6" ht="14.95" thickBot="1" x14ac:dyDescent="0.3">
      <c r="A282" s="240" t="s">
        <v>698</v>
      </c>
      <c r="B282" s="241" t="s">
        <v>21</v>
      </c>
      <c r="C282" s="242">
        <v>0</v>
      </c>
      <c r="D282" s="234" t="s">
        <v>698</v>
      </c>
      <c r="E282" s="235" t="s">
        <v>21</v>
      </c>
      <c r="F282" s="236">
        <v>0</v>
      </c>
    </row>
    <row r="283" spans="1:6" ht="14.95" thickBot="1" x14ac:dyDescent="0.3">
      <c r="A283" s="240" t="s">
        <v>547</v>
      </c>
      <c r="B283" s="241" t="s">
        <v>333</v>
      </c>
      <c r="C283" s="242">
        <v>0</v>
      </c>
      <c r="D283" s="234" t="s">
        <v>547</v>
      </c>
      <c r="E283" s="235" t="s">
        <v>333</v>
      </c>
      <c r="F283" s="236">
        <v>0</v>
      </c>
    </row>
    <row r="284" spans="1:6" ht="16.3" x14ac:dyDescent="0.3">
      <c r="A284" s="425" t="s">
        <v>10</v>
      </c>
      <c r="C284">
        <f>SUM(C4:C283)</f>
        <v>294</v>
      </c>
      <c r="F284">
        <f>SUM(F4:F283)</f>
        <v>1879</v>
      </c>
    </row>
    <row r="285" spans="1:6" x14ac:dyDescent="0.25">
      <c r="A285" s="422"/>
    </row>
  </sheetData>
  <sortState xmlns:xlrd2="http://schemas.microsoft.com/office/spreadsheetml/2017/richdata2" ref="G4:K43">
    <sortCondition sortBy="fontColor" ref="J4:J43" dxfId="1"/>
    <sortCondition descending="1" ref="K4:K43"/>
    <sortCondition descending="1" ref="J4:J43"/>
    <sortCondition ref="G4:G43"/>
  </sortState>
  <mergeCells count="1">
    <mergeCell ref="G44:K4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workbookViewId="0">
      <selection activeCell="A94" sqref="A94:D94"/>
    </sheetView>
  </sheetViews>
  <sheetFormatPr defaultRowHeight="14.3" x14ac:dyDescent="0.25"/>
  <cols>
    <col min="1" max="1" width="19.125" customWidth="1"/>
    <col min="2" max="2" width="4.5" customWidth="1"/>
    <col min="3" max="3" width="4.875" customWidth="1"/>
    <col min="4" max="4" width="4.5" customWidth="1"/>
    <col min="5" max="5" width="4.75" customWidth="1"/>
    <col min="6" max="6" width="19.125" customWidth="1"/>
    <col min="7" max="7" width="5.25" customWidth="1"/>
    <col min="8" max="8" width="4.875" customWidth="1"/>
    <col min="9" max="10" width="5.25" customWidth="1"/>
    <col min="11" max="11" width="15.25" customWidth="1"/>
    <col min="12" max="26" width="5.5" customWidth="1"/>
    <col min="28" max="30" width="5.625" customWidth="1"/>
  </cols>
  <sheetData>
    <row r="1" spans="1:30" ht="14.95" customHeight="1" thickBot="1" x14ac:dyDescent="0.3">
      <c r="A1" s="514" t="s">
        <v>733</v>
      </c>
      <c r="B1" s="515"/>
      <c r="C1" s="515"/>
      <c r="D1" s="515"/>
      <c r="E1" s="515"/>
      <c r="F1" s="515"/>
      <c r="G1" s="515"/>
      <c r="H1" s="515"/>
      <c r="I1" s="515"/>
      <c r="J1" s="516"/>
      <c r="K1" s="517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Y1" s="519"/>
      <c r="Z1" s="519"/>
      <c r="AA1" s="519"/>
      <c r="AB1" s="447">
        <v>2022</v>
      </c>
      <c r="AC1" s="448"/>
      <c r="AD1" s="449"/>
    </row>
    <row r="2" spans="1:30" ht="14.95" customHeight="1" thickBot="1" x14ac:dyDescent="0.3">
      <c r="A2" s="81" t="s">
        <v>0</v>
      </c>
      <c r="B2" s="284" t="s">
        <v>14</v>
      </c>
      <c r="C2" s="104" t="s">
        <v>734</v>
      </c>
      <c r="D2" s="267" t="s">
        <v>11</v>
      </c>
      <c r="E2" s="82" t="s">
        <v>1</v>
      </c>
      <c r="F2" s="71" t="s">
        <v>2</v>
      </c>
      <c r="G2" s="286" t="s">
        <v>14</v>
      </c>
      <c r="H2" s="106" t="s">
        <v>734</v>
      </c>
      <c r="I2" s="46" t="s">
        <v>11</v>
      </c>
      <c r="J2" s="72" t="s">
        <v>1</v>
      </c>
      <c r="K2" s="518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Y2" s="519"/>
      <c r="Z2" s="519"/>
      <c r="AA2" s="519"/>
      <c r="AB2" s="450"/>
      <c r="AC2" s="451"/>
      <c r="AD2" s="452"/>
    </row>
    <row r="3" spans="1:30" ht="14.95" customHeight="1" thickBot="1" x14ac:dyDescent="0.3">
      <c r="A3" s="47" t="s">
        <v>118</v>
      </c>
      <c r="B3" s="285">
        <v>0</v>
      </c>
      <c r="C3" s="105">
        <v>0</v>
      </c>
      <c r="D3" s="268">
        <v>0</v>
      </c>
      <c r="E3" s="30">
        <f t="shared" ref="E3:E45" si="0">SUM(B3:D3)</f>
        <v>0</v>
      </c>
      <c r="F3" s="13" t="s">
        <v>118</v>
      </c>
      <c r="G3" s="287">
        <v>0</v>
      </c>
      <c r="H3" s="107">
        <v>0</v>
      </c>
      <c r="I3" s="19">
        <v>0</v>
      </c>
      <c r="J3" s="15">
        <f t="shared" ref="J3:J45" si="1">SUM(G3:I3)</f>
        <v>0</v>
      </c>
      <c r="K3" s="249"/>
      <c r="L3" s="1" t="s">
        <v>17</v>
      </c>
      <c r="M3" s="1" t="s">
        <v>5</v>
      </c>
      <c r="N3" s="1" t="s">
        <v>6</v>
      </c>
      <c r="O3" s="74" t="s">
        <v>17</v>
      </c>
      <c r="P3" s="1" t="s">
        <v>5</v>
      </c>
      <c r="Q3" s="1" t="s">
        <v>6</v>
      </c>
      <c r="R3" s="1"/>
      <c r="S3" s="61" t="s">
        <v>17</v>
      </c>
      <c r="T3" s="61" t="s">
        <v>5</v>
      </c>
      <c r="U3" s="61" t="s">
        <v>6</v>
      </c>
      <c r="V3" s="271" t="s">
        <v>17</v>
      </c>
      <c r="W3" s="61" t="s">
        <v>5</v>
      </c>
      <c r="X3" s="61" t="s">
        <v>6</v>
      </c>
      <c r="Y3" s="24"/>
      <c r="Z3" s="24"/>
      <c r="AA3" s="24"/>
      <c r="AB3" s="271" t="s">
        <v>17</v>
      </c>
      <c r="AC3" s="61" t="s">
        <v>5</v>
      </c>
      <c r="AD3" s="61" t="s">
        <v>6</v>
      </c>
    </row>
    <row r="4" spans="1:30" ht="14.95" customHeight="1" thickBot="1" x14ac:dyDescent="0.3">
      <c r="A4" s="47" t="s">
        <v>98</v>
      </c>
      <c r="B4" s="285">
        <v>0</v>
      </c>
      <c r="C4" s="105">
        <v>0</v>
      </c>
      <c r="D4" s="268">
        <v>0</v>
      </c>
      <c r="E4" s="30">
        <f t="shared" si="0"/>
        <v>0</v>
      </c>
      <c r="F4" s="13" t="s">
        <v>98</v>
      </c>
      <c r="G4" s="287">
        <v>0</v>
      </c>
      <c r="H4" s="107">
        <v>0</v>
      </c>
      <c r="I4" s="19">
        <v>0</v>
      </c>
      <c r="J4" s="15">
        <f t="shared" si="1"/>
        <v>0</v>
      </c>
      <c r="K4" s="94" t="s">
        <v>113</v>
      </c>
      <c r="L4" s="30">
        <v>3</v>
      </c>
      <c r="M4" s="30">
        <v>6</v>
      </c>
      <c r="N4" s="31">
        <f>SUM(L4/M4)*100</f>
        <v>50</v>
      </c>
      <c r="O4" s="30" t="s">
        <v>8</v>
      </c>
      <c r="P4" s="30" t="s">
        <v>8</v>
      </c>
      <c r="Q4" s="31" t="s">
        <v>8</v>
      </c>
      <c r="R4" s="30">
        <v>1</v>
      </c>
      <c r="S4" s="61">
        <v>2</v>
      </c>
      <c r="T4" s="61">
        <v>3</v>
      </c>
      <c r="U4" s="120">
        <f>SUM(S4/T4)*100</f>
        <v>66.666666666666657</v>
      </c>
      <c r="V4" s="271" t="s">
        <v>8</v>
      </c>
      <c r="W4" s="61" t="s">
        <v>8</v>
      </c>
      <c r="X4" s="120" t="s">
        <v>8</v>
      </c>
      <c r="Y4" s="24"/>
      <c r="Z4" s="24"/>
      <c r="AA4" s="25"/>
      <c r="AB4" s="271">
        <v>1</v>
      </c>
      <c r="AC4" s="61">
        <v>2</v>
      </c>
      <c r="AD4" s="120">
        <f>SUM(AB4/AC4)*100</f>
        <v>50</v>
      </c>
    </row>
    <row r="5" spans="1:30" ht="14.95" customHeight="1" thickBot="1" x14ac:dyDescent="0.3">
      <c r="A5" s="47" t="s">
        <v>113</v>
      </c>
      <c r="B5" s="285">
        <v>0</v>
      </c>
      <c r="C5" s="105">
        <v>1</v>
      </c>
      <c r="D5" s="268">
        <v>0</v>
      </c>
      <c r="E5" s="30">
        <f t="shared" si="0"/>
        <v>1</v>
      </c>
      <c r="F5" s="13" t="s">
        <v>113</v>
      </c>
      <c r="G5" s="287">
        <v>4</v>
      </c>
      <c r="H5" s="107">
        <v>7</v>
      </c>
      <c r="I5" s="19">
        <v>0</v>
      </c>
      <c r="J5" s="15">
        <f t="shared" si="1"/>
        <v>11</v>
      </c>
      <c r="K5" s="94" t="s">
        <v>111</v>
      </c>
      <c r="L5" s="30" t="s">
        <v>8</v>
      </c>
      <c r="M5" s="30" t="s">
        <v>8</v>
      </c>
      <c r="N5" s="31" t="s">
        <v>8</v>
      </c>
      <c r="O5" s="30" t="s">
        <v>8</v>
      </c>
      <c r="P5" s="30" t="s">
        <v>8</v>
      </c>
      <c r="Q5" s="31" t="s">
        <v>8</v>
      </c>
      <c r="R5" s="30">
        <v>-3</v>
      </c>
      <c r="S5" s="61" t="s">
        <v>8</v>
      </c>
      <c r="T5" s="61" t="s">
        <v>8</v>
      </c>
      <c r="U5" s="120" t="s">
        <v>8</v>
      </c>
      <c r="V5" s="271" t="s">
        <v>8</v>
      </c>
      <c r="W5" s="61" t="s">
        <v>8</v>
      </c>
      <c r="X5" s="120" t="s">
        <v>8</v>
      </c>
      <c r="Y5" s="24"/>
      <c r="Z5" s="24"/>
      <c r="AA5" s="25"/>
      <c r="AB5" s="271">
        <v>3</v>
      </c>
      <c r="AC5" s="61">
        <v>9</v>
      </c>
      <c r="AD5" s="120">
        <f>SUM(AB5/AC5)*100</f>
        <v>33.333333333333329</v>
      </c>
    </row>
    <row r="6" spans="1:30" ht="14.95" customHeight="1" thickBot="1" x14ac:dyDescent="0.3">
      <c r="A6" s="47" t="s">
        <v>112</v>
      </c>
      <c r="B6" s="285">
        <v>0</v>
      </c>
      <c r="C6" s="105">
        <v>0</v>
      </c>
      <c r="D6" s="268">
        <v>0</v>
      </c>
      <c r="E6" s="30">
        <f t="shared" si="0"/>
        <v>0</v>
      </c>
      <c r="F6" s="13" t="s">
        <v>112</v>
      </c>
      <c r="G6" s="287">
        <v>0</v>
      </c>
      <c r="H6" s="107">
        <v>0</v>
      </c>
      <c r="I6" s="19">
        <v>0</v>
      </c>
      <c r="J6" s="15">
        <f>SUM(G6:I6)</f>
        <v>0</v>
      </c>
      <c r="K6" s="94" t="s">
        <v>280</v>
      </c>
      <c r="L6" s="30" t="s">
        <v>8</v>
      </c>
      <c r="M6" s="30" t="s">
        <v>8</v>
      </c>
      <c r="N6" s="31" t="s">
        <v>8</v>
      </c>
      <c r="O6" s="30" t="s">
        <v>8</v>
      </c>
      <c r="P6" s="30" t="s">
        <v>8</v>
      </c>
      <c r="Q6" s="31" t="s">
        <v>8</v>
      </c>
      <c r="R6" s="30">
        <v>2</v>
      </c>
      <c r="S6" s="61" t="s">
        <v>8</v>
      </c>
      <c r="T6" s="61" t="s">
        <v>8</v>
      </c>
      <c r="U6" s="120" t="s">
        <v>8</v>
      </c>
      <c r="V6" s="271">
        <v>2</v>
      </c>
      <c r="W6" s="61">
        <v>2</v>
      </c>
      <c r="X6" s="120">
        <f>SUM(V6/W6)*100</f>
        <v>100</v>
      </c>
      <c r="Y6" s="24"/>
      <c r="Z6" s="24"/>
      <c r="AA6" s="25"/>
      <c r="AB6" s="271" t="s">
        <v>8</v>
      </c>
      <c r="AC6" s="61" t="s">
        <v>8</v>
      </c>
      <c r="AD6" s="120" t="s">
        <v>8</v>
      </c>
    </row>
    <row r="7" spans="1:30" ht="14.95" customHeight="1" thickBot="1" x14ac:dyDescent="0.3">
      <c r="A7" s="47" t="s">
        <v>659</v>
      </c>
      <c r="B7" s="285">
        <v>0</v>
      </c>
      <c r="C7" s="105">
        <v>0</v>
      </c>
      <c r="D7" s="268">
        <v>0</v>
      </c>
      <c r="E7" s="30">
        <f t="shared" si="0"/>
        <v>0</v>
      </c>
      <c r="F7" s="13" t="s">
        <v>659</v>
      </c>
      <c r="G7" s="287">
        <v>0</v>
      </c>
      <c r="H7" s="107">
        <v>0</v>
      </c>
      <c r="I7" s="19">
        <v>0</v>
      </c>
      <c r="J7" s="15">
        <f t="shared" si="1"/>
        <v>0</v>
      </c>
      <c r="K7" s="94" t="s">
        <v>579</v>
      </c>
      <c r="L7" s="30" t="s">
        <v>8</v>
      </c>
      <c r="M7" s="30" t="s">
        <v>8</v>
      </c>
      <c r="N7" s="31" t="s">
        <v>8</v>
      </c>
      <c r="O7" s="30" t="s">
        <v>8</v>
      </c>
      <c r="P7" s="30" t="s">
        <v>8</v>
      </c>
      <c r="Q7" s="31" t="s">
        <v>8</v>
      </c>
      <c r="R7" s="30">
        <v>3</v>
      </c>
      <c r="S7" s="61">
        <v>2</v>
      </c>
      <c r="T7" s="61">
        <v>2</v>
      </c>
      <c r="U7" s="120">
        <f>SUM(S7/T7)*100</f>
        <v>100</v>
      </c>
      <c r="V7" s="271">
        <v>6</v>
      </c>
      <c r="W7" s="61">
        <v>8</v>
      </c>
      <c r="X7" s="120">
        <f>SUM(V7/W7)*100</f>
        <v>75</v>
      </c>
      <c r="Y7" s="24"/>
      <c r="Z7" s="24"/>
      <c r="AA7" s="25"/>
      <c r="AB7" s="271" t="s">
        <v>8</v>
      </c>
      <c r="AC7" s="61" t="s">
        <v>8</v>
      </c>
      <c r="AD7" s="120" t="s">
        <v>8</v>
      </c>
    </row>
    <row r="8" spans="1:30" ht="14.95" customHeight="1" thickBot="1" x14ac:dyDescent="0.3">
      <c r="A8" s="47" t="s">
        <v>315</v>
      </c>
      <c r="B8" s="285">
        <v>0</v>
      </c>
      <c r="C8" s="105">
        <v>0</v>
      </c>
      <c r="D8" s="268">
        <v>0</v>
      </c>
      <c r="E8" s="30">
        <f t="shared" si="0"/>
        <v>0</v>
      </c>
      <c r="F8" s="14" t="s">
        <v>315</v>
      </c>
      <c r="G8" s="287">
        <v>0</v>
      </c>
      <c r="H8" s="107">
        <v>0</v>
      </c>
      <c r="I8" s="19">
        <v>0</v>
      </c>
      <c r="J8" s="15">
        <f t="shared" si="1"/>
        <v>0</v>
      </c>
      <c r="K8" s="94" t="s">
        <v>281</v>
      </c>
      <c r="L8" s="30">
        <v>26</v>
      </c>
      <c r="M8" s="30">
        <v>40</v>
      </c>
      <c r="N8" s="31">
        <f>SUM(L8/M8)*100</f>
        <v>65</v>
      </c>
      <c r="O8" s="30">
        <v>1</v>
      </c>
      <c r="P8" s="30">
        <v>3</v>
      </c>
      <c r="Q8" s="31">
        <f>SUM(O8/P8)*100</f>
        <v>33.333333333333329</v>
      </c>
      <c r="R8" s="30">
        <v>1</v>
      </c>
      <c r="S8" s="61">
        <v>17</v>
      </c>
      <c r="T8" s="61">
        <v>26</v>
      </c>
      <c r="U8" s="120">
        <f>SUM(S8/T8)*100</f>
        <v>65.384615384615387</v>
      </c>
      <c r="V8" s="271">
        <v>16</v>
      </c>
      <c r="W8" s="61">
        <v>24</v>
      </c>
      <c r="X8" s="120">
        <f>SUM(V8/W8)*100</f>
        <v>66.666666666666657</v>
      </c>
      <c r="Y8" s="24"/>
      <c r="Z8" s="24"/>
      <c r="AA8" s="25"/>
      <c r="AB8" s="271">
        <v>6</v>
      </c>
      <c r="AC8" s="61">
        <v>11</v>
      </c>
      <c r="AD8" s="120">
        <f>SUM(AB8/AC8)*100</f>
        <v>54.54545454545454</v>
      </c>
    </row>
    <row r="9" spans="1:30" ht="14.95" customHeight="1" thickBot="1" x14ac:dyDescent="0.3">
      <c r="A9" s="47" t="s">
        <v>690</v>
      </c>
      <c r="B9" s="285">
        <v>3</v>
      </c>
      <c r="C9" s="105">
        <v>2</v>
      </c>
      <c r="D9" s="268">
        <v>0</v>
      </c>
      <c r="E9" s="30">
        <f t="shared" si="0"/>
        <v>5</v>
      </c>
      <c r="F9" s="14" t="s">
        <v>690</v>
      </c>
      <c r="G9" s="287">
        <v>15</v>
      </c>
      <c r="H9" s="107">
        <v>10</v>
      </c>
      <c r="I9" s="19">
        <v>0</v>
      </c>
      <c r="J9" s="15">
        <f t="shared" ref="J9" si="2">SUM(G9:I9)</f>
        <v>25</v>
      </c>
      <c r="K9" s="94" t="s">
        <v>217</v>
      </c>
      <c r="L9" s="30" t="s">
        <v>8</v>
      </c>
      <c r="M9" s="30" t="s">
        <v>8</v>
      </c>
      <c r="N9" s="31" t="s">
        <v>8</v>
      </c>
      <c r="O9" s="30" t="s">
        <v>8</v>
      </c>
      <c r="P9" s="30" t="s">
        <v>8</v>
      </c>
      <c r="Q9" s="31" t="s">
        <v>8</v>
      </c>
      <c r="R9" s="30">
        <v>-1</v>
      </c>
      <c r="S9" s="61" t="s">
        <v>8</v>
      </c>
      <c r="T9" s="61" t="s">
        <v>8</v>
      </c>
      <c r="U9" s="120" t="s">
        <v>8</v>
      </c>
      <c r="V9" s="271" t="s">
        <v>8</v>
      </c>
      <c r="W9" s="61" t="s">
        <v>8</v>
      </c>
      <c r="X9" s="120" t="s">
        <v>8</v>
      </c>
      <c r="Y9" s="24"/>
      <c r="Z9" s="24"/>
      <c r="AA9" s="25"/>
      <c r="AB9" s="271">
        <v>1</v>
      </c>
      <c r="AC9" s="61">
        <v>2</v>
      </c>
      <c r="AD9" s="120">
        <f>SUM(AB9/AC9)*100</f>
        <v>50</v>
      </c>
    </row>
    <row r="10" spans="1:30" ht="14.95" customHeight="1" thickBot="1" x14ac:dyDescent="0.3">
      <c r="A10" s="47" t="s">
        <v>199</v>
      </c>
      <c r="B10" s="285">
        <v>0</v>
      </c>
      <c r="C10" s="105">
        <v>0</v>
      </c>
      <c r="D10" s="268">
        <v>0</v>
      </c>
      <c r="E10" s="30">
        <f t="shared" si="0"/>
        <v>0</v>
      </c>
      <c r="F10" s="14" t="s">
        <v>199</v>
      </c>
      <c r="G10" s="287">
        <v>0</v>
      </c>
      <c r="H10" s="107">
        <v>0</v>
      </c>
      <c r="I10" s="19">
        <v>0</v>
      </c>
      <c r="J10" s="15">
        <f t="shared" si="1"/>
        <v>0</v>
      </c>
      <c r="S10" s="58"/>
      <c r="T10" s="58"/>
      <c r="U10" s="58"/>
      <c r="V10" s="58"/>
      <c r="W10" s="58"/>
    </row>
    <row r="11" spans="1:30" ht="14.95" customHeight="1" thickBot="1" x14ac:dyDescent="0.3">
      <c r="A11" s="47" t="s">
        <v>279</v>
      </c>
      <c r="B11" s="285">
        <v>1</v>
      </c>
      <c r="C11" s="105">
        <v>0</v>
      </c>
      <c r="D11" s="268">
        <v>0</v>
      </c>
      <c r="E11" s="30">
        <f t="shared" si="0"/>
        <v>1</v>
      </c>
      <c r="F11" s="14" t="s">
        <v>279</v>
      </c>
      <c r="G11" s="287">
        <v>5</v>
      </c>
      <c r="H11" s="107">
        <v>0</v>
      </c>
      <c r="I11" s="19">
        <v>0</v>
      </c>
      <c r="J11" s="15">
        <f t="shared" si="1"/>
        <v>5</v>
      </c>
      <c r="K11" s="494" t="s">
        <v>13</v>
      </c>
      <c r="L11" s="433">
        <v>2025</v>
      </c>
      <c r="M11" s="434"/>
      <c r="N11" s="435"/>
      <c r="O11" s="447">
        <v>2024</v>
      </c>
      <c r="P11" s="448"/>
      <c r="Q11" s="449"/>
      <c r="R11" s="447">
        <v>2023</v>
      </c>
      <c r="S11" s="448"/>
      <c r="T11" s="449"/>
      <c r="U11" s="447">
        <v>2022</v>
      </c>
      <c r="V11" s="448"/>
      <c r="W11" s="449"/>
      <c r="X11" s="58"/>
      <c r="Y11" s="58"/>
      <c r="Z11" s="58"/>
      <c r="AA11" s="58"/>
      <c r="AB11" s="58"/>
      <c r="AC11" s="58"/>
    </row>
    <row r="12" spans="1:30" ht="14.95" customHeight="1" thickBot="1" x14ac:dyDescent="0.3">
      <c r="A12" s="47" t="s">
        <v>280</v>
      </c>
      <c r="B12" s="285">
        <v>0</v>
      </c>
      <c r="C12" s="105">
        <v>0</v>
      </c>
      <c r="D12" s="268">
        <v>1</v>
      </c>
      <c r="E12" s="30">
        <f t="shared" si="0"/>
        <v>1</v>
      </c>
      <c r="F12" s="14" t="s">
        <v>280</v>
      </c>
      <c r="G12" s="287">
        <v>0</v>
      </c>
      <c r="H12" s="107">
        <v>0</v>
      </c>
      <c r="I12" s="19">
        <v>5</v>
      </c>
      <c r="J12" s="15">
        <f>SUM(G12:I12)</f>
        <v>5</v>
      </c>
      <c r="K12" s="495"/>
      <c r="L12" s="436"/>
      <c r="M12" s="437"/>
      <c r="N12" s="438"/>
      <c r="O12" s="450"/>
      <c r="P12" s="451"/>
      <c r="Q12" s="452"/>
      <c r="R12" s="450"/>
      <c r="S12" s="451"/>
      <c r="T12" s="452"/>
      <c r="U12" s="450"/>
      <c r="V12" s="451"/>
      <c r="W12" s="452"/>
      <c r="X12" s="58"/>
      <c r="Y12" s="58"/>
      <c r="Z12" s="58"/>
      <c r="AA12" s="58"/>
      <c r="AB12" s="58"/>
      <c r="AC12" s="58"/>
    </row>
    <row r="13" spans="1:30" ht="14.95" customHeight="1" thickBot="1" x14ac:dyDescent="0.3">
      <c r="A13" s="47" t="s">
        <v>96</v>
      </c>
      <c r="B13" s="285">
        <v>4</v>
      </c>
      <c r="C13" s="105">
        <v>1</v>
      </c>
      <c r="D13" s="268">
        <v>0</v>
      </c>
      <c r="E13" s="30">
        <f t="shared" si="0"/>
        <v>5</v>
      </c>
      <c r="F13" s="14" t="s">
        <v>96</v>
      </c>
      <c r="G13" s="287">
        <v>20</v>
      </c>
      <c r="H13" s="107">
        <v>5</v>
      </c>
      <c r="I13" s="19">
        <v>0</v>
      </c>
      <c r="J13" s="15">
        <f t="shared" si="1"/>
        <v>25</v>
      </c>
      <c r="K13" s="288" t="s">
        <v>9</v>
      </c>
      <c r="L13" s="1" t="s">
        <v>17</v>
      </c>
      <c r="M13" s="1" t="s">
        <v>5</v>
      </c>
      <c r="N13" s="1" t="s">
        <v>6</v>
      </c>
      <c r="O13" s="61" t="s">
        <v>17</v>
      </c>
      <c r="P13" s="61" t="s">
        <v>5</v>
      </c>
      <c r="Q13" s="61" t="s">
        <v>6</v>
      </c>
      <c r="R13" s="61" t="s">
        <v>17</v>
      </c>
      <c r="S13" s="61" t="s">
        <v>5</v>
      </c>
      <c r="T13" s="61" t="s">
        <v>6</v>
      </c>
      <c r="U13" s="61" t="s">
        <v>17</v>
      </c>
      <c r="V13" s="61" t="s">
        <v>5</v>
      </c>
      <c r="W13" s="61" t="s">
        <v>6</v>
      </c>
      <c r="X13" s="58"/>
      <c r="Y13" s="58"/>
      <c r="Z13" s="58"/>
      <c r="AA13" s="58"/>
      <c r="AB13" s="58"/>
      <c r="AC13" s="58"/>
    </row>
    <row r="14" spans="1:30" ht="14.95" customHeight="1" thickBot="1" x14ac:dyDescent="0.3">
      <c r="A14" s="47" t="s">
        <v>117</v>
      </c>
      <c r="B14" s="285">
        <v>0</v>
      </c>
      <c r="C14" s="105">
        <v>0</v>
      </c>
      <c r="D14" s="268">
        <v>0</v>
      </c>
      <c r="E14" s="30">
        <f t="shared" si="0"/>
        <v>0</v>
      </c>
      <c r="F14" s="14" t="s">
        <v>117</v>
      </c>
      <c r="G14" s="287">
        <v>0</v>
      </c>
      <c r="H14" s="107">
        <v>0</v>
      </c>
      <c r="I14" s="19">
        <v>0</v>
      </c>
      <c r="J14" s="15">
        <f t="shared" si="1"/>
        <v>0</v>
      </c>
      <c r="K14" s="94" t="s">
        <v>113</v>
      </c>
      <c r="L14" s="30">
        <v>2</v>
      </c>
      <c r="M14" s="30">
        <v>3</v>
      </c>
      <c r="N14" s="31">
        <f>SUM(L14/M14)*100</f>
        <v>66.666666666666657</v>
      </c>
      <c r="O14" s="61" t="s">
        <v>8</v>
      </c>
      <c r="P14" s="61" t="s">
        <v>8</v>
      </c>
      <c r="Q14" s="120" t="s">
        <v>8</v>
      </c>
      <c r="R14" s="61" t="s">
        <v>8</v>
      </c>
      <c r="S14" s="61" t="s">
        <v>8</v>
      </c>
      <c r="T14" s="120" t="s">
        <v>8</v>
      </c>
      <c r="U14" s="61">
        <v>1</v>
      </c>
      <c r="V14" s="61">
        <v>2</v>
      </c>
      <c r="W14" s="120">
        <f>SUM(U14/V14)*100</f>
        <v>50</v>
      </c>
      <c r="X14" s="58"/>
      <c r="Y14" s="58"/>
      <c r="Z14" s="58"/>
      <c r="AA14" s="58"/>
      <c r="AB14" s="58"/>
      <c r="AC14" s="58"/>
    </row>
    <row r="15" spans="1:30" ht="14.95" customHeight="1" thickBot="1" x14ac:dyDescent="0.3">
      <c r="A15" s="47" t="s">
        <v>1024</v>
      </c>
      <c r="B15" s="285">
        <v>0</v>
      </c>
      <c r="C15" s="105">
        <v>1</v>
      </c>
      <c r="D15" s="268">
        <v>0</v>
      </c>
      <c r="E15" s="30">
        <f t="shared" si="0"/>
        <v>1</v>
      </c>
      <c r="F15" s="14" t="s">
        <v>1024</v>
      </c>
      <c r="G15" s="287">
        <v>0</v>
      </c>
      <c r="H15" s="107">
        <v>5</v>
      </c>
      <c r="I15" s="19">
        <v>0</v>
      </c>
      <c r="J15" s="15">
        <f t="shared" si="1"/>
        <v>5</v>
      </c>
      <c r="K15" s="94" t="s">
        <v>111</v>
      </c>
      <c r="L15" s="30" t="s">
        <v>8</v>
      </c>
      <c r="M15" s="30" t="s">
        <v>8</v>
      </c>
      <c r="N15" s="31" t="s">
        <v>8</v>
      </c>
      <c r="O15" s="61" t="s">
        <v>8</v>
      </c>
      <c r="P15" s="61" t="s">
        <v>8</v>
      </c>
      <c r="Q15" s="120" t="s">
        <v>8</v>
      </c>
      <c r="R15" s="61" t="s">
        <v>8</v>
      </c>
      <c r="S15" s="61" t="s">
        <v>8</v>
      </c>
      <c r="T15" s="120" t="s">
        <v>8</v>
      </c>
      <c r="U15" s="61">
        <v>3</v>
      </c>
      <c r="V15" s="61">
        <v>9</v>
      </c>
      <c r="W15" s="120">
        <f>SUM(U15/V15)*100</f>
        <v>33.333333333333329</v>
      </c>
      <c r="X15" s="58"/>
      <c r="Y15" s="58"/>
      <c r="Z15" s="58"/>
      <c r="AA15" s="58"/>
    </row>
    <row r="16" spans="1:30" ht="14.95" customHeight="1" thickBot="1" x14ac:dyDescent="0.3">
      <c r="A16" s="47" t="s">
        <v>101</v>
      </c>
      <c r="B16" s="285">
        <v>0</v>
      </c>
      <c r="C16" s="105">
        <v>0</v>
      </c>
      <c r="D16" s="268">
        <v>0</v>
      </c>
      <c r="E16" s="30">
        <f t="shared" si="0"/>
        <v>0</v>
      </c>
      <c r="F16" s="14" t="s">
        <v>101</v>
      </c>
      <c r="G16" s="287">
        <v>0</v>
      </c>
      <c r="H16" s="107">
        <v>0</v>
      </c>
      <c r="I16" s="19">
        <v>0</v>
      </c>
      <c r="J16" s="15">
        <f t="shared" si="1"/>
        <v>0</v>
      </c>
      <c r="K16" s="94" t="s">
        <v>579</v>
      </c>
      <c r="L16" s="30" t="s">
        <v>8</v>
      </c>
      <c r="M16" s="30" t="s">
        <v>8</v>
      </c>
      <c r="N16" s="31" t="s">
        <v>8</v>
      </c>
      <c r="O16" s="61">
        <v>1</v>
      </c>
      <c r="P16" s="61">
        <v>1</v>
      </c>
      <c r="Q16" s="120">
        <f>SUM(O16/P16)*100</f>
        <v>100</v>
      </c>
      <c r="R16" s="61" t="s">
        <v>8</v>
      </c>
      <c r="S16" s="61" t="s">
        <v>8</v>
      </c>
      <c r="T16" s="120" t="s">
        <v>8</v>
      </c>
      <c r="U16" s="61" t="s">
        <v>8</v>
      </c>
      <c r="V16" s="61" t="s">
        <v>8</v>
      </c>
      <c r="W16" s="120" t="s">
        <v>8</v>
      </c>
      <c r="X16" s="58"/>
      <c r="Y16" s="58"/>
      <c r="Z16" s="58"/>
      <c r="AA16" s="58"/>
    </row>
    <row r="17" spans="1:27" ht="14.95" customHeight="1" thickBot="1" x14ac:dyDescent="0.3">
      <c r="A17" s="47" t="s">
        <v>97</v>
      </c>
      <c r="B17" s="285">
        <v>0</v>
      </c>
      <c r="C17" s="105">
        <v>0</v>
      </c>
      <c r="D17" s="268">
        <v>0</v>
      </c>
      <c r="E17" s="30">
        <f t="shared" si="0"/>
        <v>0</v>
      </c>
      <c r="F17" s="14" t="s">
        <v>97</v>
      </c>
      <c r="G17" s="287">
        <v>0</v>
      </c>
      <c r="H17" s="107">
        <v>0</v>
      </c>
      <c r="I17" s="19">
        <v>0</v>
      </c>
      <c r="J17" s="15">
        <f t="shared" si="1"/>
        <v>0</v>
      </c>
      <c r="K17" s="94" t="s">
        <v>281</v>
      </c>
      <c r="L17" s="30">
        <v>12</v>
      </c>
      <c r="M17" s="30">
        <v>18</v>
      </c>
      <c r="N17" s="31">
        <f>SUM(L17/M17)*100</f>
        <v>66.666666666666657</v>
      </c>
      <c r="O17" s="61">
        <v>12</v>
      </c>
      <c r="P17" s="61">
        <v>14</v>
      </c>
      <c r="Q17" s="120">
        <f>SUM(O17/P17)*100</f>
        <v>85.714285714285708</v>
      </c>
      <c r="R17" s="61">
        <v>3</v>
      </c>
      <c r="S17" s="61">
        <v>4</v>
      </c>
      <c r="T17" s="120">
        <f>SUM(R17/S17)*100</f>
        <v>75</v>
      </c>
      <c r="U17" s="61" t="s">
        <v>8</v>
      </c>
      <c r="V17" s="61" t="s">
        <v>8</v>
      </c>
      <c r="W17" s="120" t="s">
        <v>8</v>
      </c>
      <c r="X17" s="58"/>
      <c r="Y17" s="58"/>
      <c r="Z17" s="58"/>
      <c r="AA17" s="58"/>
    </row>
    <row r="18" spans="1:27" ht="14.95" customHeight="1" thickBot="1" x14ac:dyDescent="0.3">
      <c r="A18" s="47" t="s">
        <v>114</v>
      </c>
      <c r="B18" s="285">
        <v>0</v>
      </c>
      <c r="C18" s="105">
        <v>2</v>
      </c>
      <c r="D18" s="268">
        <v>0</v>
      </c>
      <c r="E18" s="30">
        <f t="shared" si="0"/>
        <v>2</v>
      </c>
      <c r="F18" s="14" t="s">
        <v>114</v>
      </c>
      <c r="G18" s="287">
        <v>0</v>
      </c>
      <c r="H18" s="107">
        <v>10</v>
      </c>
      <c r="I18" s="19">
        <v>0</v>
      </c>
      <c r="J18" s="15">
        <f t="shared" si="1"/>
        <v>10</v>
      </c>
      <c r="K18" s="94" t="s">
        <v>217</v>
      </c>
      <c r="L18" s="30" t="s">
        <v>8</v>
      </c>
      <c r="M18" s="30" t="s">
        <v>8</v>
      </c>
      <c r="N18" s="31" t="s">
        <v>8</v>
      </c>
      <c r="O18" s="61" t="s">
        <v>8</v>
      </c>
      <c r="P18" s="61" t="s">
        <v>8</v>
      </c>
      <c r="Q18" s="120" t="s">
        <v>8</v>
      </c>
      <c r="R18" s="61" t="s">
        <v>8</v>
      </c>
      <c r="S18" s="61" t="s">
        <v>8</v>
      </c>
      <c r="T18" s="120" t="s">
        <v>8</v>
      </c>
      <c r="U18" s="61">
        <v>1</v>
      </c>
      <c r="V18" s="61">
        <v>2</v>
      </c>
      <c r="W18" s="120">
        <f>SUM(U18/V18)*100</f>
        <v>50</v>
      </c>
      <c r="X18" s="58"/>
      <c r="Y18" s="58"/>
      <c r="Z18" s="58"/>
      <c r="AA18" s="58"/>
    </row>
    <row r="19" spans="1:27" ht="14.95" customHeight="1" thickBot="1" x14ac:dyDescent="0.3">
      <c r="A19" s="47" t="s">
        <v>107</v>
      </c>
      <c r="B19" s="285">
        <v>1</v>
      </c>
      <c r="C19" s="105">
        <v>0</v>
      </c>
      <c r="D19" s="268">
        <v>0</v>
      </c>
      <c r="E19" s="30">
        <f t="shared" si="0"/>
        <v>1</v>
      </c>
      <c r="F19" s="14" t="s">
        <v>107</v>
      </c>
      <c r="G19" s="287">
        <v>5</v>
      </c>
      <c r="H19" s="107">
        <v>0</v>
      </c>
      <c r="I19" s="19">
        <v>0</v>
      </c>
      <c r="J19" s="15">
        <f t="shared" si="1"/>
        <v>5</v>
      </c>
      <c r="O19" s="58"/>
      <c r="P19" s="58"/>
      <c r="Q19" s="58"/>
      <c r="R19" s="58"/>
      <c r="S19" s="9"/>
      <c r="T19" s="9"/>
    </row>
    <row r="20" spans="1:27" ht="14.95" customHeight="1" thickBot="1" x14ac:dyDescent="0.3">
      <c r="A20" s="47" t="s">
        <v>99</v>
      </c>
      <c r="B20" s="285">
        <v>0</v>
      </c>
      <c r="C20" s="105">
        <v>0</v>
      </c>
      <c r="D20" s="268">
        <v>0</v>
      </c>
      <c r="E20" s="30">
        <f t="shared" si="0"/>
        <v>0</v>
      </c>
      <c r="F20" s="14" t="s">
        <v>99</v>
      </c>
      <c r="G20" s="287">
        <v>0</v>
      </c>
      <c r="H20" s="107">
        <v>0</v>
      </c>
      <c r="I20" s="19">
        <v>0</v>
      </c>
      <c r="J20" s="15">
        <f>SUM(G20:I20)</f>
        <v>0</v>
      </c>
      <c r="K20" s="459" t="s">
        <v>351</v>
      </c>
      <c r="L20" s="433">
        <v>2025</v>
      </c>
      <c r="M20" s="434"/>
      <c r="N20" s="435"/>
      <c r="O20" s="58"/>
      <c r="P20" s="58"/>
      <c r="Q20" s="58"/>
      <c r="R20" s="58"/>
      <c r="S20" s="9"/>
      <c r="T20" s="9"/>
    </row>
    <row r="21" spans="1:27" ht="14.95" customHeight="1" thickBot="1" x14ac:dyDescent="0.3">
      <c r="A21" s="47" t="s">
        <v>110</v>
      </c>
      <c r="B21" s="285">
        <v>0</v>
      </c>
      <c r="C21" s="105">
        <v>0</v>
      </c>
      <c r="D21" s="268">
        <v>0</v>
      </c>
      <c r="E21" s="30">
        <f t="shared" si="0"/>
        <v>0</v>
      </c>
      <c r="F21" s="14" t="s">
        <v>110</v>
      </c>
      <c r="G21" s="287">
        <v>0</v>
      </c>
      <c r="H21" s="107">
        <v>0</v>
      </c>
      <c r="I21" s="19">
        <v>0</v>
      </c>
      <c r="J21" s="15">
        <f t="shared" si="1"/>
        <v>0</v>
      </c>
      <c r="K21" s="460"/>
      <c r="L21" s="436"/>
      <c r="M21" s="437"/>
      <c r="N21" s="438"/>
      <c r="O21" s="58"/>
      <c r="P21" s="58"/>
      <c r="Q21" s="58"/>
      <c r="R21" s="58"/>
      <c r="S21" s="9"/>
      <c r="T21" s="9"/>
    </row>
    <row r="22" spans="1:27" ht="14.95" customHeight="1" thickBot="1" x14ac:dyDescent="0.3">
      <c r="A22" s="47" t="s">
        <v>120</v>
      </c>
      <c r="B22" s="285">
        <v>0</v>
      </c>
      <c r="C22" s="105">
        <v>0</v>
      </c>
      <c r="D22" s="268">
        <v>0</v>
      </c>
      <c r="E22" s="30">
        <f t="shared" si="0"/>
        <v>0</v>
      </c>
      <c r="F22" s="14" t="s">
        <v>120</v>
      </c>
      <c r="G22" s="287">
        <v>0</v>
      </c>
      <c r="H22" s="107">
        <v>0</v>
      </c>
      <c r="I22" s="19">
        <v>0</v>
      </c>
      <c r="J22" s="15">
        <f t="shared" si="1"/>
        <v>0</v>
      </c>
      <c r="K22" s="317"/>
      <c r="L22" s="1" t="s">
        <v>17</v>
      </c>
      <c r="M22" s="1" t="s">
        <v>5</v>
      </c>
      <c r="N22" s="1" t="s">
        <v>6</v>
      </c>
      <c r="O22" s="58"/>
      <c r="P22" s="58"/>
      <c r="Q22" s="58"/>
      <c r="R22" s="58"/>
      <c r="S22" s="9"/>
      <c r="T22" s="9"/>
    </row>
    <row r="23" spans="1:27" ht="14.95" thickBot="1" x14ac:dyDescent="0.3">
      <c r="A23" s="47" t="s">
        <v>100</v>
      </c>
      <c r="B23" s="285">
        <v>1</v>
      </c>
      <c r="C23" s="105">
        <v>1</v>
      </c>
      <c r="D23" s="268">
        <v>0</v>
      </c>
      <c r="E23" s="30">
        <f t="shared" si="0"/>
        <v>2</v>
      </c>
      <c r="F23" s="14" t="s">
        <v>100</v>
      </c>
      <c r="G23" s="287">
        <v>5</v>
      </c>
      <c r="H23" s="107">
        <v>5</v>
      </c>
      <c r="I23" s="19">
        <v>0</v>
      </c>
      <c r="J23" s="15">
        <f t="shared" si="1"/>
        <v>10</v>
      </c>
      <c r="K23" s="94" t="s">
        <v>113</v>
      </c>
      <c r="L23" s="30">
        <v>1</v>
      </c>
      <c r="M23" s="30">
        <v>1</v>
      </c>
      <c r="N23" s="31">
        <f>SUM(L23/M23)*100</f>
        <v>100</v>
      </c>
      <c r="O23" s="58"/>
      <c r="P23" s="58"/>
      <c r="Q23" s="58"/>
      <c r="R23" s="58"/>
      <c r="S23" s="9"/>
      <c r="T23" s="9"/>
    </row>
    <row r="24" spans="1:27" ht="14.95" thickBot="1" x14ac:dyDescent="0.3">
      <c r="A24" s="47" t="s">
        <v>616</v>
      </c>
      <c r="B24" s="285">
        <v>0</v>
      </c>
      <c r="C24" s="105">
        <v>0</v>
      </c>
      <c r="D24" s="268">
        <v>0</v>
      </c>
      <c r="E24" s="30">
        <f t="shared" si="0"/>
        <v>0</v>
      </c>
      <c r="F24" s="14" t="s">
        <v>616</v>
      </c>
      <c r="G24" s="287">
        <v>0</v>
      </c>
      <c r="H24" s="107">
        <v>0</v>
      </c>
      <c r="I24" s="19">
        <v>0</v>
      </c>
      <c r="J24" s="15">
        <f t="shared" si="1"/>
        <v>0</v>
      </c>
      <c r="K24" s="94" t="s">
        <v>281</v>
      </c>
      <c r="L24" s="30">
        <v>10</v>
      </c>
      <c r="M24" s="30">
        <v>15</v>
      </c>
      <c r="N24" s="31">
        <f>SUM(L24/M24)*100</f>
        <v>66.666666666666657</v>
      </c>
      <c r="O24" s="58"/>
      <c r="P24" s="58"/>
      <c r="Q24" s="58"/>
      <c r="R24" s="58"/>
      <c r="S24" s="9"/>
      <c r="T24" s="9"/>
    </row>
    <row r="25" spans="1:27" ht="14.95" thickBot="1" x14ac:dyDescent="0.3">
      <c r="A25" s="47" t="s">
        <v>786</v>
      </c>
      <c r="B25" s="285">
        <v>1</v>
      </c>
      <c r="C25" s="105">
        <v>0</v>
      </c>
      <c r="D25" s="268">
        <v>0</v>
      </c>
      <c r="E25" s="30">
        <f t="shared" si="0"/>
        <v>1</v>
      </c>
      <c r="F25" s="14" t="s">
        <v>786</v>
      </c>
      <c r="G25" s="287">
        <v>5</v>
      </c>
      <c r="H25" s="107">
        <v>0</v>
      </c>
      <c r="I25" s="19">
        <v>0</v>
      </c>
      <c r="J25" s="15">
        <f t="shared" si="1"/>
        <v>5</v>
      </c>
      <c r="O25" s="58"/>
      <c r="P25" s="58"/>
      <c r="Q25" s="58"/>
      <c r="R25" s="58"/>
      <c r="S25" s="9"/>
      <c r="T25" s="9"/>
    </row>
    <row r="26" spans="1:27" ht="14.95" thickBot="1" x14ac:dyDescent="0.3">
      <c r="A26" s="47" t="s">
        <v>103</v>
      </c>
      <c r="B26" s="285">
        <v>3</v>
      </c>
      <c r="C26" s="105">
        <v>2</v>
      </c>
      <c r="D26" s="268">
        <v>2</v>
      </c>
      <c r="E26" s="30">
        <f t="shared" si="0"/>
        <v>7</v>
      </c>
      <c r="F26" s="14" t="s">
        <v>103</v>
      </c>
      <c r="G26" s="287">
        <v>15</v>
      </c>
      <c r="H26" s="107">
        <v>10</v>
      </c>
      <c r="I26" s="19">
        <v>10</v>
      </c>
      <c r="J26" s="15">
        <f t="shared" si="1"/>
        <v>35</v>
      </c>
      <c r="K26" s="512" t="s">
        <v>509</v>
      </c>
      <c r="L26" s="447">
        <v>2024</v>
      </c>
      <c r="M26" s="448"/>
      <c r="N26" s="449"/>
      <c r="O26" s="441">
        <v>2023</v>
      </c>
      <c r="P26" s="442"/>
      <c r="Q26" s="443"/>
      <c r="R26" s="58"/>
      <c r="S26" s="58"/>
      <c r="T26" s="58"/>
    </row>
    <row r="27" spans="1:27" ht="14.95" thickBot="1" x14ac:dyDescent="0.3">
      <c r="A27" s="47" t="s">
        <v>911</v>
      </c>
      <c r="B27" s="285">
        <v>0</v>
      </c>
      <c r="C27" s="105">
        <v>0</v>
      </c>
      <c r="D27" s="268">
        <v>1</v>
      </c>
      <c r="E27" s="30">
        <f t="shared" si="0"/>
        <v>1</v>
      </c>
      <c r="F27" s="14" t="s">
        <v>911</v>
      </c>
      <c r="G27" s="287">
        <v>0</v>
      </c>
      <c r="H27" s="107">
        <v>0</v>
      </c>
      <c r="I27" s="19">
        <v>5</v>
      </c>
      <c r="J27" s="15">
        <f t="shared" si="1"/>
        <v>5</v>
      </c>
      <c r="K27" s="513"/>
      <c r="L27" s="450"/>
      <c r="M27" s="451"/>
      <c r="N27" s="452"/>
      <c r="O27" s="444"/>
      <c r="P27" s="445"/>
      <c r="Q27" s="446"/>
      <c r="R27" s="58"/>
      <c r="S27" s="58"/>
      <c r="T27" s="58"/>
    </row>
    <row r="28" spans="1:27" ht="14.95" customHeight="1" thickBot="1" x14ac:dyDescent="0.3">
      <c r="A28" s="47" t="s">
        <v>910</v>
      </c>
      <c r="B28" s="285">
        <v>0</v>
      </c>
      <c r="C28" s="105">
        <v>0</v>
      </c>
      <c r="D28" s="268">
        <v>1</v>
      </c>
      <c r="E28" s="30">
        <f t="shared" si="0"/>
        <v>1</v>
      </c>
      <c r="F28" s="14" t="s">
        <v>910</v>
      </c>
      <c r="G28" s="287">
        <v>0</v>
      </c>
      <c r="H28" s="107">
        <v>0</v>
      </c>
      <c r="I28" s="19">
        <v>5</v>
      </c>
      <c r="J28" s="15">
        <f t="shared" si="1"/>
        <v>5</v>
      </c>
      <c r="K28" s="231" t="s">
        <v>9</v>
      </c>
      <c r="L28" s="61" t="s">
        <v>17</v>
      </c>
      <c r="M28" s="61" t="s">
        <v>5</v>
      </c>
      <c r="N28" s="61" t="s">
        <v>6</v>
      </c>
      <c r="O28" s="227" t="s">
        <v>17</v>
      </c>
      <c r="P28" s="227" t="s">
        <v>5</v>
      </c>
      <c r="Q28" s="227" t="s">
        <v>6</v>
      </c>
      <c r="R28" s="58"/>
      <c r="S28" s="58"/>
      <c r="T28" s="58"/>
    </row>
    <row r="29" spans="1:27" ht="14.95" customHeight="1" thickBot="1" x14ac:dyDescent="0.3">
      <c r="A29" s="47" t="s">
        <v>891</v>
      </c>
      <c r="B29" s="285">
        <v>0</v>
      </c>
      <c r="C29" s="105">
        <v>0</v>
      </c>
      <c r="D29" s="268">
        <v>0</v>
      </c>
      <c r="E29" s="30">
        <f t="shared" si="0"/>
        <v>0</v>
      </c>
      <c r="F29" s="14" t="s">
        <v>891</v>
      </c>
      <c r="G29" s="287">
        <v>0</v>
      </c>
      <c r="H29" s="107">
        <v>0</v>
      </c>
      <c r="I29" s="19">
        <v>0</v>
      </c>
      <c r="J29" s="15">
        <f t="shared" si="1"/>
        <v>0</v>
      </c>
      <c r="K29" s="94" t="s">
        <v>280</v>
      </c>
      <c r="L29" s="61"/>
      <c r="M29" s="61"/>
      <c r="N29" s="120"/>
      <c r="O29" s="61">
        <v>2</v>
      </c>
      <c r="P29" s="61">
        <v>2</v>
      </c>
      <c r="Q29" s="120">
        <f>SUM(O29/P29)*100</f>
        <v>100</v>
      </c>
      <c r="S29" s="58"/>
      <c r="T29" s="58"/>
    </row>
    <row r="30" spans="1:27" ht="14.95" thickBot="1" x14ac:dyDescent="0.3">
      <c r="A30" s="47" t="s">
        <v>102</v>
      </c>
      <c r="B30" s="285">
        <v>0</v>
      </c>
      <c r="C30" s="105">
        <v>0</v>
      </c>
      <c r="D30" s="268">
        <v>0</v>
      </c>
      <c r="E30" s="30">
        <f t="shared" si="0"/>
        <v>0</v>
      </c>
      <c r="F30" s="14" t="s">
        <v>102</v>
      </c>
      <c r="G30" s="287">
        <v>0</v>
      </c>
      <c r="H30" s="107">
        <v>0</v>
      </c>
      <c r="I30" s="19">
        <v>0</v>
      </c>
      <c r="J30" s="15">
        <f t="shared" si="1"/>
        <v>0</v>
      </c>
      <c r="K30" s="94" t="s">
        <v>579</v>
      </c>
      <c r="L30" s="61">
        <v>1</v>
      </c>
      <c r="M30" s="61">
        <v>1</v>
      </c>
      <c r="N30" s="120">
        <f>SUM(L30/M30)*100</f>
        <v>100</v>
      </c>
      <c r="O30" s="61">
        <v>6</v>
      </c>
      <c r="P30" s="61">
        <v>8</v>
      </c>
      <c r="Q30" s="120">
        <f>SUM(O30/P30)*100</f>
        <v>75</v>
      </c>
      <c r="S30" s="58"/>
      <c r="T30" s="58"/>
    </row>
    <row r="31" spans="1:27" ht="14.95" thickBot="1" x14ac:dyDescent="0.3">
      <c r="A31" s="47" t="s">
        <v>104</v>
      </c>
      <c r="B31" s="285">
        <v>0</v>
      </c>
      <c r="C31" s="105">
        <v>2</v>
      </c>
      <c r="D31" s="268">
        <v>0</v>
      </c>
      <c r="E31" s="30">
        <f t="shared" si="0"/>
        <v>2</v>
      </c>
      <c r="F31" s="14" t="s">
        <v>104</v>
      </c>
      <c r="G31" s="287">
        <v>0</v>
      </c>
      <c r="H31" s="107">
        <v>10</v>
      </c>
      <c r="I31" s="19">
        <v>0</v>
      </c>
      <c r="J31" s="15">
        <f t="shared" si="1"/>
        <v>10</v>
      </c>
      <c r="K31" s="94" t="s">
        <v>281</v>
      </c>
      <c r="L31" s="61">
        <v>4</v>
      </c>
      <c r="M31" s="61">
        <v>9</v>
      </c>
      <c r="N31" s="120">
        <f t="shared" ref="N31" si="3">SUM(L31/M31)*100</f>
        <v>44.444444444444443</v>
      </c>
      <c r="O31" s="61">
        <v>13</v>
      </c>
      <c r="P31" s="61">
        <v>20</v>
      </c>
      <c r="Q31" s="120">
        <f>SUM(O31/P31)*100</f>
        <v>65</v>
      </c>
      <c r="S31" s="58"/>
      <c r="T31" s="58"/>
    </row>
    <row r="32" spans="1:27" ht="14.95" thickBot="1" x14ac:dyDescent="0.3">
      <c r="A32" s="47" t="s">
        <v>115</v>
      </c>
      <c r="B32" s="285">
        <v>0</v>
      </c>
      <c r="C32" s="105">
        <v>0</v>
      </c>
      <c r="D32" s="268">
        <v>0</v>
      </c>
      <c r="E32" s="30">
        <f t="shared" si="0"/>
        <v>0</v>
      </c>
      <c r="F32" s="14" t="s">
        <v>115</v>
      </c>
      <c r="G32" s="287">
        <v>0</v>
      </c>
      <c r="H32" s="107">
        <v>0</v>
      </c>
      <c r="I32" s="19">
        <v>0</v>
      </c>
      <c r="J32" s="15">
        <f t="shared" si="1"/>
        <v>0</v>
      </c>
      <c r="S32" s="58"/>
      <c r="T32" s="58"/>
    </row>
    <row r="33" spans="1:20" ht="14.95" thickBot="1" x14ac:dyDescent="0.3">
      <c r="A33" s="47" t="s">
        <v>913</v>
      </c>
      <c r="B33" s="285">
        <v>0</v>
      </c>
      <c r="C33" s="105">
        <v>0</v>
      </c>
      <c r="D33" s="268">
        <v>1</v>
      </c>
      <c r="E33" s="30">
        <f t="shared" si="0"/>
        <v>1</v>
      </c>
      <c r="F33" s="14" t="s">
        <v>913</v>
      </c>
      <c r="G33" s="287">
        <v>0</v>
      </c>
      <c r="H33" s="107">
        <v>0</v>
      </c>
      <c r="I33" s="19">
        <v>5</v>
      </c>
      <c r="J33" s="15">
        <f t="shared" si="1"/>
        <v>5</v>
      </c>
      <c r="S33" s="58"/>
      <c r="T33" s="58"/>
    </row>
    <row r="34" spans="1:20" ht="14.95" thickBot="1" x14ac:dyDescent="0.3">
      <c r="A34" s="47" t="s">
        <v>281</v>
      </c>
      <c r="B34" s="285">
        <v>0</v>
      </c>
      <c r="C34" s="105">
        <v>1</v>
      </c>
      <c r="D34" s="268">
        <v>0</v>
      </c>
      <c r="E34" s="30">
        <f t="shared" si="0"/>
        <v>1</v>
      </c>
      <c r="F34" s="14" t="s">
        <v>281</v>
      </c>
      <c r="G34" s="287">
        <v>24</v>
      </c>
      <c r="H34" s="107">
        <v>26</v>
      </c>
      <c r="I34" s="19">
        <v>8</v>
      </c>
      <c r="J34" s="15">
        <f t="shared" si="1"/>
        <v>58</v>
      </c>
    </row>
    <row r="35" spans="1:20" ht="14.95" thickBot="1" x14ac:dyDescent="0.3">
      <c r="A35" s="47" t="s">
        <v>912</v>
      </c>
      <c r="B35" s="285">
        <v>0</v>
      </c>
      <c r="C35" s="105">
        <v>0</v>
      </c>
      <c r="D35" s="268">
        <v>1</v>
      </c>
      <c r="E35" s="30">
        <f t="shared" si="0"/>
        <v>1</v>
      </c>
      <c r="F35" s="14" t="s">
        <v>912</v>
      </c>
      <c r="G35" s="287">
        <v>0</v>
      </c>
      <c r="H35" s="107">
        <v>0</v>
      </c>
      <c r="I35" s="19">
        <v>5</v>
      </c>
      <c r="J35" s="15">
        <f t="shared" si="1"/>
        <v>5</v>
      </c>
      <c r="O35" s="21"/>
      <c r="P35" s="21"/>
      <c r="Q35" s="21"/>
    </row>
    <row r="36" spans="1:20" ht="14.95" thickBot="1" x14ac:dyDescent="0.3">
      <c r="A36" s="47" t="s">
        <v>108</v>
      </c>
      <c r="B36" s="285">
        <v>0</v>
      </c>
      <c r="C36" s="105">
        <v>0</v>
      </c>
      <c r="D36" s="268">
        <v>0</v>
      </c>
      <c r="E36" s="30">
        <f t="shared" si="0"/>
        <v>0</v>
      </c>
      <c r="F36" s="14" t="s">
        <v>108</v>
      </c>
      <c r="G36" s="287">
        <v>0</v>
      </c>
      <c r="H36" s="107">
        <v>0</v>
      </c>
      <c r="I36" s="19">
        <v>0</v>
      </c>
      <c r="J36" s="15">
        <f t="shared" si="1"/>
        <v>0</v>
      </c>
      <c r="O36" s="21"/>
      <c r="P36" s="21"/>
      <c r="Q36" s="12"/>
    </row>
    <row r="37" spans="1:20" ht="14.95" thickBot="1" x14ac:dyDescent="0.3">
      <c r="A37" s="47" t="s">
        <v>94</v>
      </c>
      <c r="B37" s="285">
        <v>0</v>
      </c>
      <c r="C37" s="105">
        <v>0</v>
      </c>
      <c r="D37" s="268">
        <v>0</v>
      </c>
      <c r="E37" s="30">
        <f t="shared" si="0"/>
        <v>0</v>
      </c>
      <c r="F37" s="14" t="s">
        <v>94</v>
      </c>
      <c r="G37" s="287">
        <v>0</v>
      </c>
      <c r="H37" s="107">
        <v>0</v>
      </c>
      <c r="I37" s="19">
        <v>0</v>
      </c>
      <c r="J37" s="15">
        <f t="shared" si="1"/>
        <v>0</v>
      </c>
      <c r="O37" s="21"/>
      <c r="P37" s="21"/>
      <c r="Q37" s="12"/>
    </row>
    <row r="38" spans="1:20" ht="14.95" thickBot="1" x14ac:dyDescent="0.3">
      <c r="A38" s="47" t="s">
        <v>116</v>
      </c>
      <c r="B38" s="285">
        <v>0</v>
      </c>
      <c r="C38" s="105">
        <v>1</v>
      </c>
      <c r="D38" s="268">
        <v>2</v>
      </c>
      <c r="E38" s="30">
        <f t="shared" si="0"/>
        <v>3</v>
      </c>
      <c r="F38" s="14" t="s">
        <v>116</v>
      </c>
      <c r="G38" s="287">
        <v>0</v>
      </c>
      <c r="H38" s="107">
        <v>5</v>
      </c>
      <c r="I38" s="19">
        <v>10</v>
      </c>
      <c r="J38" s="15">
        <f t="shared" si="1"/>
        <v>15</v>
      </c>
      <c r="O38" s="21"/>
      <c r="P38" s="21"/>
      <c r="Q38" s="21"/>
    </row>
    <row r="39" spans="1:20" ht="14.95" thickBot="1" x14ac:dyDescent="0.3">
      <c r="A39" s="47" t="s">
        <v>95</v>
      </c>
      <c r="B39" s="285">
        <v>0</v>
      </c>
      <c r="C39" s="105">
        <v>0</v>
      </c>
      <c r="D39" s="268">
        <v>0</v>
      </c>
      <c r="E39" s="30">
        <f t="shared" si="0"/>
        <v>0</v>
      </c>
      <c r="F39" s="14" t="s">
        <v>95</v>
      </c>
      <c r="G39" s="287">
        <v>0</v>
      </c>
      <c r="H39" s="107">
        <v>0</v>
      </c>
      <c r="I39" s="19">
        <v>0</v>
      </c>
      <c r="J39" s="15">
        <f t="shared" si="1"/>
        <v>0</v>
      </c>
      <c r="O39" s="21"/>
      <c r="P39" s="21"/>
      <c r="Q39" s="21"/>
    </row>
    <row r="40" spans="1:20" ht="14.95" thickBot="1" x14ac:dyDescent="0.3">
      <c r="A40" s="47" t="s">
        <v>212</v>
      </c>
      <c r="B40" s="285">
        <v>0</v>
      </c>
      <c r="C40" s="105">
        <v>0</v>
      </c>
      <c r="D40" s="268">
        <v>0</v>
      </c>
      <c r="E40" s="30">
        <f t="shared" si="0"/>
        <v>0</v>
      </c>
      <c r="F40" s="14" t="s">
        <v>212</v>
      </c>
      <c r="G40" s="287">
        <v>0</v>
      </c>
      <c r="H40" s="107">
        <v>0</v>
      </c>
      <c r="I40" s="19">
        <v>0</v>
      </c>
      <c r="J40" s="15">
        <f t="shared" si="1"/>
        <v>0</v>
      </c>
      <c r="O40" s="21"/>
      <c r="P40" s="21"/>
      <c r="Q40" s="21"/>
    </row>
    <row r="41" spans="1:20" ht="14.95" thickBot="1" x14ac:dyDescent="0.3">
      <c r="A41" s="47" t="s">
        <v>109</v>
      </c>
      <c r="B41" s="285">
        <v>0</v>
      </c>
      <c r="C41" s="105">
        <v>0</v>
      </c>
      <c r="D41" s="268">
        <v>0</v>
      </c>
      <c r="E41" s="30">
        <f t="shared" si="0"/>
        <v>0</v>
      </c>
      <c r="F41" s="14" t="s">
        <v>109</v>
      </c>
      <c r="G41" s="287">
        <v>0</v>
      </c>
      <c r="H41" s="107">
        <v>0</v>
      </c>
      <c r="I41" s="19">
        <v>0</v>
      </c>
      <c r="J41" s="15">
        <f t="shared" si="1"/>
        <v>0</v>
      </c>
    </row>
    <row r="42" spans="1:20" ht="14.95" customHeight="1" thickBot="1" x14ac:dyDescent="0.3">
      <c r="A42" s="47" t="s">
        <v>119</v>
      </c>
      <c r="B42" s="285">
        <v>0</v>
      </c>
      <c r="C42" s="105">
        <v>0</v>
      </c>
      <c r="D42" s="268">
        <v>0</v>
      </c>
      <c r="E42" s="30">
        <f t="shared" si="0"/>
        <v>0</v>
      </c>
      <c r="F42" s="14" t="s">
        <v>119</v>
      </c>
      <c r="G42" s="287">
        <v>0</v>
      </c>
      <c r="H42" s="107">
        <v>0</v>
      </c>
      <c r="I42" s="19">
        <v>0</v>
      </c>
      <c r="J42" s="15">
        <f t="shared" si="1"/>
        <v>0</v>
      </c>
    </row>
    <row r="43" spans="1:20" ht="14.95" thickBot="1" x14ac:dyDescent="0.3">
      <c r="A43" s="47" t="s">
        <v>952</v>
      </c>
      <c r="B43" s="285">
        <v>0</v>
      </c>
      <c r="C43" s="105">
        <v>1</v>
      </c>
      <c r="D43" s="268">
        <v>0</v>
      </c>
      <c r="E43" s="30">
        <f t="shared" si="0"/>
        <v>1</v>
      </c>
      <c r="F43" s="14" t="s">
        <v>952</v>
      </c>
      <c r="G43" s="287">
        <v>0</v>
      </c>
      <c r="H43" s="107">
        <v>5</v>
      </c>
      <c r="I43" s="19">
        <v>0</v>
      </c>
      <c r="J43" s="15">
        <f t="shared" si="1"/>
        <v>5</v>
      </c>
    </row>
    <row r="44" spans="1:20" ht="14.95" thickBot="1" x14ac:dyDescent="0.3">
      <c r="A44" s="47" t="s">
        <v>106</v>
      </c>
      <c r="B44" s="285">
        <v>4</v>
      </c>
      <c r="C44" s="105">
        <v>0</v>
      </c>
      <c r="D44" s="268">
        <v>0</v>
      </c>
      <c r="E44" s="30">
        <f t="shared" si="0"/>
        <v>4</v>
      </c>
      <c r="F44" s="14" t="s">
        <v>106</v>
      </c>
      <c r="G44" s="287">
        <v>20</v>
      </c>
      <c r="H44" s="107">
        <v>0</v>
      </c>
      <c r="I44" s="19">
        <v>0</v>
      </c>
      <c r="J44" s="15">
        <f t="shared" si="1"/>
        <v>20</v>
      </c>
    </row>
    <row r="45" spans="1:20" ht="14.95" thickBot="1" x14ac:dyDescent="0.3">
      <c r="A45" s="47" t="s">
        <v>105</v>
      </c>
      <c r="B45" s="285">
        <v>3</v>
      </c>
      <c r="C45" s="105">
        <v>0</v>
      </c>
      <c r="D45" s="268">
        <v>0</v>
      </c>
      <c r="E45" s="30">
        <f t="shared" si="0"/>
        <v>3</v>
      </c>
      <c r="F45" s="14" t="s">
        <v>105</v>
      </c>
      <c r="G45" s="287">
        <v>15</v>
      </c>
      <c r="H45" s="107">
        <v>0</v>
      </c>
      <c r="I45" s="19">
        <v>0</v>
      </c>
      <c r="J45" s="15">
        <f t="shared" si="1"/>
        <v>15</v>
      </c>
    </row>
    <row r="46" spans="1:20" ht="14.95" thickBot="1" x14ac:dyDescent="0.3">
      <c r="A46" s="47" t="s">
        <v>3</v>
      </c>
      <c r="B46" s="285">
        <f>SUM(B3:B45)</f>
        <v>21</v>
      </c>
      <c r="C46" s="105">
        <f>SUM(C3:C45)</f>
        <v>15</v>
      </c>
      <c r="D46" s="268">
        <f>SUM(D3:D45)</f>
        <v>9</v>
      </c>
      <c r="E46" s="30">
        <f>SUM(E3:E45)</f>
        <v>45</v>
      </c>
      <c r="F46" s="13" t="s">
        <v>3</v>
      </c>
      <c r="G46" s="287">
        <f>SUM(G3:G45)</f>
        <v>133</v>
      </c>
      <c r="H46" s="107">
        <f>SUM(H3:H45)</f>
        <v>98</v>
      </c>
      <c r="I46" s="19">
        <f>SUM(I3:I45)</f>
        <v>53</v>
      </c>
      <c r="J46" s="15">
        <f>SUM(J3:J45)</f>
        <v>284</v>
      </c>
    </row>
    <row r="47" spans="1:20" x14ac:dyDescent="0.25">
      <c r="A47" s="2"/>
      <c r="B47" s="2"/>
      <c r="C47" s="2"/>
      <c r="D47" s="2"/>
      <c r="E47" s="2"/>
      <c r="F47" s="7"/>
      <c r="G47" s="7"/>
      <c r="H47" s="7"/>
      <c r="I47" s="7"/>
      <c r="J47" s="7"/>
    </row>
    <row r="48" spans="1:20" ht="14.95" thickBot="1" x14ac:dyDescent="0.3">
      <c r="A48" t="s">
        <v>7</v>
      </c>
      <c r="F48" s="6"/>
      <c r="G48" s="6"/>
      <c r="H48" s="6"/>
      <c r="I48" s="6"/>
      <c r="J48" s="6"/>
    </row>
    <row r="49" spans="1:10" ht="14.95" thickBot="1" x14ac:dyDescent="0.3">
      <c r="A49" s="81" t="s">
        <v>0</v>
      </c>
      <c r="B49" s="284" t="s">
        <v>14</v>
      </c>
      <c r="C49" s="104" t="s">
        <v>734</v>
      </c>
      <c r="D49" s="267" t="s">
        <v>11</v>
      </c>
      <c r="E49" s="82" t="s">
        <v>1</v>
      </c>
      <c r="F49" s="71" t="s">
        <v>2</v>
      </c>
      <c r="G49" s="286" t="s">
        <v>14</v>
      </c>
      <c r="H49" s="106" t="s">
        <v>734</v>
      </c>
      <c r="I49" s="46" t="s">
        <v>11</v>
      </c>
      <c r="J49" s="72" t="s">
        <v>1</v>
      </c>
    </row>
    <row r="50" spans="1:10" ht="14.95" thickBot="1" x14ac:dyDescent="0.3">
      <c r="A50" s="47" t="s">
        <v>103</v>
      </c>
      <c r="B50" s="285">
        <v>3</v>
      </c>
      <c r="C50" s="105">
        <v>2</v>
      </c>
      <c r="D50" s="268">
        <v>2</v>
      </c>
      <c r="E50" s="30">
        <f t="shared" ref="E50:E92" si="4">SUM(B50:D50)</f>
        <v>7</v>
      </c>
      <c r="F50" s="13" t="s">
        <v>281</v>
      </c>
      <c r="G50" s="287">
        <v>24</v>
      </c>
      <c r="H50" s="107">
        <v>26</v>
      </c>
      <c r="I50" s="19">
        <v>8</v>
      </c>
      <c r="J50" s="15">
        <f t="shared" ref="J50:J92" si="5">SUM(G50:I50)</f>
        <v>58</v>
      </c>
    </row>
    <row r="51" spans="1:10" ht="14.95" thickBot="1" x14ac:dyDescent="0.3">
      <c r="A51" s="47" t="s">
        <v>690</v>
      </c>
      <c r="B51" s="285">
        <v>3</v>
      </c>
      <c r="C51" s="105">
        <v>2</v>
      </c>
      <c r="D51" s="268">
        <v>0</v>
      </c>
      <c r="E51" s="30">
        <f t="shared" si="4"/>
        <v>5</v>
      </c>
      <c r="F51" s="13" t="s">
        <v>103</v>
      </c>
      <c r="G51" s="287">
        <v>15</v>
      </c>
      <c r="H51" s="107">
        <v>10</v>
      </c>
      <c r="I51" s="19">
        <v>10</v>
      </c>
      <c r="J51" s="15">
        <f t="shared" si="5"/>
        <v>35</v>
      </c>
    </row>
    <row r="52" spans="1:10" ht="14.95" thickBot="1" x14ac:dyDescent="0.3">
      <c r="A52" s="47" t="s">
        <v>96</v>
      </c>
      <c r="B52" s="285">
        <v>4</v>
      </c>
      <c r="C52" s="105">
        <v>1</v>
      </c>
      <c r="D52" s="268">
        <v>0</v>
      </c>
      <c r="E52" s="30">
        <f t="shared" si="4"/>
        <v>5</v>
      </c>
      <c r="F52" s="13" t="s">
        <v>690</v>
      </c>
      <c r="G52" s="287">
        <v>15</v>
      </c>
      <c r="H52" s="107">
        <v>10</v>
      </c>
      <c r="I52" s="19">
        <v>0</v>
      </c>
      <c r="J52" s="15">
        <f t="shared" si="5"/>
        <v>25</v>
      </c>
    </row>
    <row r="53" spans="1:10" ht="14.95" thickBot="1" x14ac:dyDescent="0.3">
      <c r="A53" s="47" t="s">
        <v>106</v>
      </c>
      <c r="B53" s="285">
        <v>4</v>
      </c>
      <c r="C53" s="105">
        <v>0</v>
      </c>
      <c r="D53" s="268">
        <v>0</v>
      </c>
      <c r="E53" s="30">
        <f t="shared" si="4"/>
        <v>4</v>
      </c>
      <c r="F53" s="13" t="s">
        <v>96</v>
      </c>
      <c r="G53" s="287">
        <v>20</v>
      </c>
      <c r="H53" s="107">
        <v>5</v>
      </c>
      <c r="I53" s="19">
        <v>0</v>
      </c>
      <c r="J53" s="15">
        <f t="shared" si="5"/>
        <v>25</v>
      </c>
    </row>
    <row r="54" spans="1:10" ht="14.95" thickBot="1" x14ac:dyDescent="0.3">
      <c r="A54" s="47" t="s">
        <v>116</v>
      </c>
      <c r="B54" s="285">
        <v>0</v>
      </c>
      <c r="C54" s="105">
        <v>1</v>
      </c>
      <c r="D54" s="268">
        <v>2</v>
      </c>
      <c r="E54" s="30">
        <f t="shared" si="4"/>
        <v>3</v>
      </c>
      <c r="F54" s="13" t="s">
        <v>106</v>
      </c>
      <c r="G54" s="287">
        <v>20</v>
      </c>
      <c r="H54" s="107">
        <v>0</v>
      </c>
      <c r="I54" s="19">
        <v>0</v>
      </c>
      <c r="J54" s="15">
        <f t="shared" si="5"/>
        <v>20</v>
      </c>
    </row>
    <row r="55" spans="1:10" ht="14.95" thickBot="1" x14ac:dyDescent="0.3">
      <c r="A55" s="47" t="s">
        <v>105</v>
      </c>
      <c r="B55" s="285">
        <v>3</v>
      </c>
      <c r="C55" s="105">
        <v>0</v>
      </c>
      <c r="D55" s="268">
        <v>0</v>
      </c>
      <c r="E55" s="30">
        <f t="shared" si="4"/>
        <v>3</v>
      </c>
      <c r="F55" s="14" t="s">
        <v>116</v>
      </c>
      <c r="G55" s="287">
        <v>0</v>
      </c>
      <c r="H55" s="107">
        <v>5</v>
      </c>
      <c r="I55" s="19">
        <v>10</v>
      </c>
      <c r="J55" s="15">
        <f t="shared" si="5"/>
        <v>15</v>
      </c>
    </row>
    <row r="56" spans="1:10" ht="14.95" thickBot="1" x14ac:dyDescent="0.3">
      <c r="A56" s="47" t="s">
        <v>114</v>
      </c>
      <c r="B56" s="285">
        <v>0</v>
      </c>
      <c r="C56" s="105">
        <v>2</v>
      </c>
      <c r="D56" s="268">
        <v>0</v>
      </c>
      <c r="E56" s="30">
        <f t="shared" si="4"/>
        <v>2</v>
      </c>
      <c r="F56" s="14" t="s">
        <v>105</v>
      </c>
      <c r="G56" s="287">
        <v>15</v>
      </c>
      <c r="H56" s="107">
        <v>0</v>
      </c>
      <c r="I56" s="19">
        <v>0</v>
      </c>
      <c r="J56" s="15">
        <f t="shared" si="5"/>
        <v>15</v>
      </c>
    </row>
    <row r="57" spans="1:10" ht="14.95" thickBot="1" x14ac:dyDescent="0.3">
      <c r="A57" s="47" t="s">
        <v>100</v>
      </c>
      <c r="B57" s="285">
        <v>1</v>
      </c>
      <c r="C57" s="105">
        <v>1</v>
      </c>
      <c r="D57" s="268">
        <v>0</v>
      </c>
      <c r="E57" s="30">
        <f t="shared" si="4"/>
        <v>2</v>
      </c>
      <c r="F57" s="14" t="s">
        <v>113</v>
      </c>
      <c r="G57" s="287">
        <v>4</v>
      </c>
      <c r="H57" s="107">
        <v>7</v>
      </c>
      <c r="I57" s="19">
        <v>0</v>
      </c>
      <c r="J57" s="15">
        <f t="shared" si="5"/>
        <v>11</v>
      </c>
    </row>
    <row r="58" spans="1:10" ht="14.95" thickBot="1" x14ac:dyDescent="0.3">
      <c r="A58" s="47" t="s">
        <v>104</v>
      </c>
      <c r="B58" s="285">
        <v>0</v>
      </c>
      <c r="C58" s="105">
        <v>2</v>
      </c>
      <c r="D58" s="268">
        <v>0</v>
      </c>
      <c r="E58" s="30">
        <f t="shared" si="4"/>
        <v>2</v>
      </c>
      <c r="F58" s="14" t="s">
        <v>114</v>
      </c>
      <c r="G58" s="287">
        <v>0</v>
      </c>
      <c r="H58" s="107">
        <v>10</v>
      </c>
      <c r="I58" s="19">
        <v>0</v>
      </c>
      <c r="J58" s="15">
        <f t="shared" si="5"/>
        <v>10</v>
      </c>
    </row>
    <row r="59" spans="1:10" ht="14.95" thickBot="1" x14ac:dyDescent="0.3">
      <c r="A59" s="47" t="s">
        <v>113</v>
      </c>
      <c r="B59" s="285">
        <v>0</v>
      </c>
      <c r="C59" s="105">
        <v>1</v>
      </c>
      <c r="D59" s="268">
        <v>0</v>
      </c>
      <c r="E59" s="30">
        <f t="shared" si="4"/>
        <v>1</v>
      </c>
      <c r="F59" s="14" t="s">
        <v>100</v>
      </c>
      <c r="G59" s="287">
        <v>5</v>
      </c>
      <c r="H59" s="107">
        <v>5</v>
      </c>
      <c r="I59" s="19">
        <v>0</v>
      </c>
      <c r="J59" s="15">
        <f t="shared" si="5"/>
        <v>10</v>
      </c>
    </row>
    <row r="60" spans="1:10" ht="14.95" thickBot="1" x14ac:dyDescent="0.3">
      <c r="A60" s="47" t="s">
        <v>279</v>
      </c>
      <c r="B60" s="285">
        <v>1</v>
      </c>
      <c r="C60" s="105">
        <v>0</v>
      </c>
      <c r="D60" s="268">
        <v>0</v>
      </c>
      <c r="E60" s="30">
        <f t="shared" si="4"/>
        <v>1</v>
      </c>
      <c r="F60" s="14" t="s">
        <v>104</v>
      </c>
      <c r="G60" s="287">
        <v>0</v>
      </c>
      <c r="H60" s="107">
        <v>10</v>
      </c>
      <c r="I60" s="19">
        <v>0</v>
      </c>
      <c r="J60" s="15">
        <f t="shared" si="5"/>
        <v>10</v>
      </c>
    </row>
    <row r="61" spans="1:10" ht="14.95" thickBot="1" x14ac:dyDescent="0.3">
      <c r="A61" s="47" t="s">
        <v>280</v>
      </c>
      <c r="B61" s="285">
        <v>0</v>
      </c>
      <c r="C61" s="105">
        <v>0</v>
      </c>
      <c r="D61" s="268">
        <v>1</v>
      </c>
      <c r="E61" s="30">
        <f t="shared" si="4"/>
        <v>1</v>
      </c>
      <c r="F61" s="14" t="s">
        <v>279</v>
      </c>
      <c r="G61" s="287">
        <v>5</v>
      </c>
      <c r="H61" s="107">
        <v>0</v>
      </c>
      <c r="I61" s="19">
        <v>0</v>
      </c>
      <c r="J61" s="15">
        <f t="shared" si="5"/>
        <v>5</v>
      </c>
    </row>
    <row r="62" spans="1:10" ht="14.95" thickBot="1" x14ac:dyDescent="0.3">
      <c r="A62" s="47" t="s">
        <v>1024</v>
      </c>
      <c r="B62" s="285">
        <v>0</v>
      </c>
      <c r="C62" s="105">
        <v>1</v>
      </c>
      <c r="D62" s="268">
        <v>0</v>
      </c>
      <c r="E62" s="30">
        <f t="shared" si="4"/>
        <v>1</v>
      </c>
      <c r="F62" s="14" t="s">
        <v>280</v>
      </c>
      <c r="G62" s="287">
        <v>0</v>
      </c>
      <c r="H62" s="107">
        <v>0</v>
      </c>
      <c r="I62" s="19">
        <v>5</v>
      </c>
      <c r="J62" s="15">
        <f t="shared" si="5"/>
        <v>5</v>
      </c>
    </row>
    <row r="63" spans="1:10" ht="14.95" thickBot="1" x14ac:dyDescent="0.3">
      <c r="A63" s="47" t="s">
        <v>107</v>
      </c>
      <c r="B63" s="285">
        <v>1</v>
      </c>
      <c r="C63" s="105">
        <v>0</v>
      </c>
      <c r="D63" s="268">
        <v>0</v>
      </c>
      <c r="E63" s="30">
        <f t="shared" si="4"/>
        <v>1</v>
      </c>
      <c r="F63" s="14" t="s">
        <v>1024</v>
      </c>
      <c r="G63" s="287">
        <v>0</v>
      </c>
      <c r="H63" s="107">
        <v>5</v>
      </c>
      <c r="I63" s="19">
        <v>0</v>
      </c>
      <c r="J63" s="15">
        <f t="shared" si="5"/>
        <v>5</v>
      </c>
    </row>
    <row r="64" spans="1:10" ht="14.95" thickBot="1" x14ac:dyDescent="0.3">
      <c r="A64" s="47" t="s">
        <v>786</v>
      </c>
      <c r="B64" s="285">
        <v>1</v>
      </c>
      <c r="C64" s="105">
        <v>0</v>
      </c>
      <c r="D64" s="268">
        <v>0</v>
      </c>
      <c r="E64" s="30">
        <f t="shared" si="4"/>
        <v>1</v>
      </c>
      <c r="F64" s="14" t="s">
        <v>107</v>
      </c>
      <c r="G64" s="287">
        <v>5</v>
      </c>
      <c r="H64" s="107">
        <v>0</v>
      </c>
      <c r="I64" s="19">
        <v>0</v>
      </c>
      <c r="J64" s="15">
        <f t="shared" si="5"/>
        <v>5</v>
      </c>
    </row>
    <row r="65" spans="1:10" ht="14.95" thickBot="1" x14ac:dyDescent="0.3">
      <c r="A65" s="47" t="s">
        <v>911</v>
      </c>
      <c r="B65" s="285">
        <v>0</v>
      </c>
      <c r="C65" s="105">
        <v>0</v>
      </c>
      <c r="D65" s="268">
        <v>1</v>
      </c>
      <c r="E65" s="30">
        <f t="shared" si="4"/>
        <v>1</v>
      </c>
      <c r="F65" s="14" t="s">
        <v>786</v>
      </c>
      <c r="G65" s="287">
        <v>5</v>
      </c>
      <c r="H65" s="107">
        <v>0</v>
      </c>
      <c r="I65" s="19">
        <v>0</v>
      </c>
      <c r="J65" s="15">
        <f t="shared" si="5"/>
        <v>5</v>
      </c>
    </row>
    <row r="66" spans="1:10" ht="14.95" thickBot="1" x14ac:dyDescent="0.3">
      <c r="A66" s="47" t="s">
        <v>910</v>
      </c>
      <c r="B66" s="285">
        <v>0</v>
      </c>
      <c r="C66" s="105">
        <v>0</v>
      </c>
      <c r="D66" s="268">
        <v>1</v>
      </c>
      <c r="E66" s="30">
        <f t="shared" si="4"/>
        <v>1</v>
      </c>
      <c r="F66" s="14" t="s">
        <v>911</v>
      </c>
      <c r="G66" s="287">
        <v>0</v>
      </c>
      <c r="H66" s="107">
        <v>0</v>
      </c>
      <c r="I66" s="19">
        <v>5</v>
      </c>
      <c r="J66" s="15">
        <f t="shared" si="5"/>
        <v>5</v>
      </c>
    </row>
    <row r="67" spans="1:10" ht="14.95" thickBot="1" x14ac:dyDescent="0.3">
      <c r="A67" s="47" t="s">
        <v>913</v>
      </c>
      <c r="B67" s="285">
        <v>0</v>
      </c>
      <c r="C67" s="105">
        <v>0</v>
      </c>
      <c r="D67" s="268">
        <v>1</v>
      </c>
      <c r="E67" s="30">
        <f t="shared" si="4"/>
        <v>1</v>
      </c>
      <c r="F67" s="14" t="s">
        <v>910</v>
      </c>
      <c r="G67" s="287">
        <v>0</v>
      </c>
      <c r="H67" s="107">
        <v>0</v>
      </c>
      <c r="I67" s="19">
        <v>5</v>
      </c>
      <c r="J67" s="15">
        <f t="shared" si="5"/>
        <v>5</v>
      </c>
    </row>
    <row r="68" spans="1:10" ht="14.95" thickBot="1" x14ac:dyDescent="0.3">
      <c r="A68" s="47" t="s">
        <v>281</v>
      </c>
      <c r="B68" s="285">
        <v>0</v>
      </c>
      <c r="C68" s="105">
        <v>1</v>
      </c>
      <c r="D68" s="268">
        <v>0</v>
      </c>
      <c r="E68" s="30">
        <f t="shared" si="4"/>
        <v>1</v>
      </c>
      <c r="F68" s="14" t="s">
        <v>913</v>
      </c>
      <c r="G68" s="287">
        <v>0</v>
      </c>
      <c r="H68" s="107">
        <v>0</v>
      </c>
      <c r="I68" s="19">
        <v>5</v>
      </c>
      <c r="J68" s="15">
        <f t="shared" si="5"/>
        <v>5</v>
      </c>
    </row>
    <row r="69" spans="1:10" ht="14.95" thickBot="1" x14ac:dyDescent="0.3">
      <c r="A69" s="47" t="s">
        <v>912</v>
      </c>
      <c r="B69" s="285">
        <v>0</v>
      </c>
      <c r="C69" s="105">
        <v>0</v>
      </c>
      <c r="D69" s="268">
        <v>1</v>
      </c>
      <c r="E69" s="30">
        <f t="shared" si="4"/>
        <v>1</v>
      </c>
      <c r="F69" s="14" t="s">
        <v>912</v>
      </c>
      <c r="G69" s="287">
        <v>0</v>
      </c>
      <c r="H69" s="107">
        <v>0</v>
      </c>
      <c r="I69" s="19">
        <v>5</v>
      </c>
      <c r="J69" s="15">
        <f t="shared" si="5"/>
        <v>5</v>
      </c>
    </row>
    <row r="70" spans="1:10" ht="14.95" thickBot="1" x14ac:dyDescent="0.3">
      <c r="A70" s="47" t="s">
        <v>952</v>
      </c>
      <c r="B70" s="285">
        <v>0</v>
      </c>
      <c r="C70" s="105">
        <v>1</v>
      </c>
      <c r="D70" s="268">
        <v>0</v>
      </c>
      <c r="E70" s="30">
        <f t="shared" si="4"/>
        <v>1</v>
      </c>
      <c r="F70" s="14" t="s">
        <v>952</v>
      </c>
      <c r="G70" s="287">
        <v>0</v>
      </c>
      <c r="H70" s="107">
        <v>5</v>
      </c>
      <c r="I70" s="19">
        <v>0</v>
      </c>
      <c r="J70" s="15">
        <f t="shared" si="5"/>
        <v>5</v>
      </c>
    </row>
    <row r="71" spans="1:10" ht="14.95" thickBot="1" x14ac:dyDescent="0.3">
      <c r="A71" s="47" t="s">
        <v>118</v>
      </c>
      <c r="B71" s="285">
        <v>0</v>
      </c>
      <c r="C71" s="105">
        <v>0</v>
      </c>
      <c r="D71" s="268">
        <v>0</v>
      </c>
      <c r="E71" s="30">
        <f t="shared" si="4"/>
        <v>0</v>
      </c>
      <c r="F71" s="14" t="s">
        <v>118</v>
      </c>
      <c r="G71" s="287">
        <v>0</v>
      </c>
      <c r="H71" s="107">
        <v>0</v>
      </c>
      <c r="I71" s="19">
        <v>0</v>
      </c>
      <c r="J71" s="15">
        <f t="shared" si="5"/>
        <v>0</v>
      </c>
    </row>
    <row r="72" spans="1:10" ht="14.95" thickBot="1" x14ac:dyDescent="0.3">
      <c r="A72" s="47" t="s">
        <v>98</v>
      </c>
      <c r="B72" s="285">
        <v>0</v>
      </c>
      <c r="C72" s="105">
        <v>0</v>
      </c>
      <c r="D72" s="268">
        <v>0</v>
      </c>
      <c r="E72" s="30">
        <f t="shared" si="4"/>
        <v>0</v>
      </c>
      <c r="F72" s="14" t="s">
        <v>98</v>
      </c>
      <c r="G72" s="287">
        <v>0</v>
      </c>
      <c r="H72" s="107">
        <v>0</v>
      </c>
      <c r="I72" s="19">
        <v>0</v>
      </c>
      <c r="J72" s="15">
        <f t="shared" si="5"/>
        <v>0</v>
      </c>
    </row>
    <row r="73" spans="1:10" ht="14.95" thickBot="1" x14ac:dyDescent="0.3">
      <c r="A73" s="47" t="s">
        <v>112</v>
      </c>
      <c r="B73" s="285">
        <v>0</v>
      </c>
      <c r="C73" s="105">
        <v>0</v>
      </c>
      <c r="D73" s="268">
        <v>0</v>
      </c>
      <c r="E73" s="30">
        <f t="shared" si="4"/>
        <v>0</v>
      </c>
      <c r="F73" s="14" t="s">
        <v>112</v>
      </c>
      <c r="G73" s="287">
        <v>0</v>
      </c>
      <c r="H73" s="107">
        <v>0</v>
      </c>
      <c r="I73" s="19">
        <v>0</v>
      </c>
      <c r="J73" s="15">
        <f t="shared" si="5"/>
        <v>0</v>
      </c>
    </row>
    <row r="74" spans="1:10" ht="14.95" thickBot="1" x14ac:dyDescent="0.3">
      <c r="A74" s="47" t="s">
        <v>659</v>
      </c>
      <c r="B74" s="285">
        <v>0</v>
      </c>
      <c r="C74" s="105">
        <v>0</v>
      </c>
      <c r="D74" s="268">
        <v>0</v>
      </c>
      <c r="E74" s="30">
        <f t="shared" si="4"/>
        <v>0</v>
      </c>
      <c r="F74" s="14" t="s">
        <v>659</v>
      </c>
      <c r="G74" s="287">
        <v>0</v>
      </c>
      <c r="H74" s="107">
        <v>0</v>
      </c>
      <c r="I74" s="19">
        <v>0</v>
      </c>
      <c r="J74" s="15">
        <f t="shared" si="5"/>
        <v>0</v>
      </c>
    </row>
    <row r="75" spans="1:10" ht="14.95" thickBot="1" x14ac:dyDescent="0.3">
      <c r="A75" s="47" t="s">
        <v>315</v>
      </c>
      <c r="B75" s="285">
        <v>0</v>
      </c>
      <c r="C75" s="105">
        <v>0</v>
      </c>
      <c r="D75" s="268">
        <v>0</v>
      </c>
      <c r="E75" s="30">
        <f t="shared" si="4"/>
        <v>0</v>
      </c>
      <c r="F75" s="14" t="s">
        <v>315</v>
      </c>
      <c r="G75" s="287">
        <v>0</v>
      </c>
      <c r="H75" s="107">
        <v>0</v>
      </c>
      <c r="I75" s="19">
        <v>0</v>
      </c>
      <c r="J75" s="15">
        <f t="shared" si="5"/>
        <v>0</v>
      </c>
    </row>
    <row r="76" spans="1:10" ht="14.95" thickBot="1" x14ac:dyDescent="0.3">
      <c r="A76" s="47" t="s">
        <v>199</v>
      </c>
      <c r="B76" s="285">
        <v>0</v>
      </c>
      <c r="C76" s="105">
        <v>0</v>
      </c>
      <c r="D76" s="268">
        <v>0</v>
      </c>
      <c r="E76" s="30">
        <f t="shared" si="4"/>
        <v>0</v>
      </c>
      <c r="F76" s="14" t="s">
        <v>199</v>
      </c>
      <c r="G76" s="287">
        <v>0</v>
      </c>
      <c r="H76" s="107">
        <v>0</v>
      </c>
      <c r="I76" s="19">
        <v>0</v>
      </c>
      <c r="J76" s="15">
        <f t="shared" si="5"/>
        <v>0</v>
      </c>
    </row>
    <row r="77" spans="1:10" ht="14.95" thickBot="1" x14ac:dyDescent="0.3">
      <c r="A77" s="47" t="s">
        <v>117</v>
      </c>
      <c r="B77" s="285">
        <v>0</v>
      </c>
      <c r="C77" s="105">
        <v>0</v>
      </c>
      <c r="D77" s="268">
        <v>0</v>
      </c>
      <c r="E77" s="30">
        <f t="shared" si="4"/>
        <v>0</v>
      </c>
      <c r="F77" s="14" t="s">
        <v>117</v>
      </c>
      <c r="G77" s="287">
        <v>0</v>
      </c>
      <c r="H77" s="107">
        <v>0</v>
      </c>
      <c r="I77" s="19">
        <v>0</v>
      </c>
      <c r="J77" s="15">
        <f t="shared" si="5"/>
        <v>0</v>
      </c>
    </row>
    <row r="78" spans="1:10" ht="14.95" thickBot="1" x14ac:dyDescent="0.3">
      <c r="A78" s="47" t="s">
        <v>101</v>
      </c>
      <c r="B78" s="285">
        <v>0</v>
      </c>
      <c r="C78" s="105">
        <v>0</v>
      </c>
      <c r="D78" s="268">
        <v>0</v>
      </c>
      <c r="E78" s="30">
        <f t="shared" si="4"/>
        <v>0</v>
      </c>
      <c r="F78" s="14" t="s">
        <v>101</v>
      </c>
      <c r="G78" s="287">
        <v>0</v>
      </c>
      <c r="H78" s="107">
        <v>0</v>
      </c>
      <c r="I78" s="19">
        <v>0</v>
      </c>
      <c r="J78" s="15">
        <f t="shared" si="5"/>
        <v>0</v>
      </c>
    </row>
    <row r="79" spans="1:10" ht="14.95" thickBot="1" x14ac:dyDescent="0.3">
      <c r="A79" s="47" t="s">
        <v>97</v>
      </c>
      <c r="B79" s="285">
        <v>0</v>
      </c>
      <c r="C79" s="105">
        <v>0</v>
      </c>
      <c r="D79" s="268">
        <v>0</v>
      </c>
      <c r="E79" s="30">
        <f t="shared" si="4"/>
        <v>0</v>
      </c>
      <c r="F79" s="14" t="s">
        <v>97</v>
      </c>
      <c r="G79" s="287">
        <v>0</v>
      </c>
      <c r="H79" s="107">
        <v>0</v>
      </c>
      <c r="I79" s="19">
        <v>0</v>
      </c>
      <c r="J79" s="15">
        <f t="shared" si="5"/>
        <v>0</v>
      </c>
    </row>
    <row r="80" spans="1:10" ht="14.95" thickBot="1" x14ac:dyDescent="0.3">
      <c r="A80" s="47" t="s">
        <v>99</v>
      </c>
      <c r="B80" s="285">
        <v>0</v>
      </c>
      <c r="C80" s="105">
        <v>0</v>
      </c>
      <c r="D80" s="268">
        <v>0</v>
      </c>
      <c r="E80" s="30">
        <f t="shared" si="4"/>
        <v>0</v>
      </c>
      <c r="F80" s="14" t="s">
        <v>99</v>
      </c>
      <c r="G80" s="287">
        <v>0</v>
      </c>
      <c r="H80" s="107">
        <v>0</v>
      </c>
      <c r="I80" s="19">
        <v>0</v>
      </c>
      <c r="J80" s="15">
        <f t="shared" si="5"/>
        <v>0</v>
      </c>
    </row>
    <row r="81" spans="1:10" ht="14.95" thickBot="1" x14ac:dyDescent="0.3">
      <c r="A81" s="47" t="s">
        <v>110</v>
      </c>
      <c r="B81" s="285">
        <v>0</v>
      </c>
      <c r="C81" s="105">
        <v>0</v>
      </c>
      <c r="D81" s="268">
        <v>0</v>
      </c>
      <c r="E81" s="30">
        <f t="shared" si="4"/>
        <v>0</v>
      </c>
      <c r="F81" s="14" t="s">
        <v>110</v>
      </c>
      <c r="G81" s="287">
        <v>0</v>
      </c>
      <c r="H81" s="107">
        <v>0</v>
      </c>
      <c r="I81" s="19">
        <v>0</v>
      </c>
      <c r="J81" s="15">
        <f t="shared" si="5"/>
        <v>0</v>
      </c>
    </row>
    <row r="82" spans="1:10" ht="14.95" thickBot="1" x14ac:dyDescent="0.3">
      <c r="A82" s="47" t="s">
        <v>120</v>
      </c>
      <c r="B82" s="285">
        <v>0</v>
      </c>
      <c r="C82" s="105">
        <v>0</v>
      </c>
      <c r="D82" s="268">
        <v>0</v>
      </c>
      <c r="E82" s="30">
        <f t="shared" si="4"/>
        <v>0</v>
      </c>
      <c r="F82" s="14" t="s">
        <v>120</v>
      </c>
      <c r="G82" s="287">
        <v>0</v>
      </c>
      <c r="H82" s="107">
        <v>0</v>
      </c>
      <c r="I82" s="19">
        <v>0</v>
      </c>
      <c r="J82" s="15">
        <f t="shared" si="5"/>
        <v>0</v>
      </c>
    </row>
    <row r="83" spans="1:10" ht="14.95" thickBot="1" x14ac:dyDescent="0.3">
      <c r="A83" s="47" t="s">
        <v>616</v>
      </c>
      <c r="B83" s="285">
        <v>0</v>
      </c>
      <c r="C83" s="105">
        <v>0</v>
      </c>
      <c r="D83" s="268">
        <v>0</v>
      </c>
      <c r="E83" s="30">
        <f t="shared" si="4"/>
        <v>0</v>
      </c>
      <c r="F83" s="14" t="s">
        <v>616</v>
      </c>
      <c r="G83" s="287">
        <v>0</v>
      </c>
      <c r="H83" s="107">
        <v>0</v>
      </c>
      <c r="I83" s="19">
        <v>0</v>
      </c>
      <c r="J83" s="15">
        <f t="shared" si="5"/>
        <v>0</v>
      </c>
    </row>
    <row r="84" spans="1:10" ht="14.95" thickBot="1" x14ac:dyDescent="0.3">
      <c r="A84" s="47" t="s">
        <v>891</v>
      </c>
      <c r="B84" s="285">
        <v>0</v>
      </c>
      <c r="C84" s="105">
        <v>0</v>
      </c>
      <c r="D84" s="268">
        <v>0</v>
      </c>
      <c r="E84" s="30">
        <f t="shared" si="4"/>
        <v>0</v>
      </c>
      <c r="F84" s="14" t="s">
        <v>891</v>
      </c>
      <c r="G84" s="287">
        <v>0</v>
      </c>
      <c r="H84" s="107">
        <v>0</v>
      </c>
      <c r="I84" s="19">
        <v>0</v>
      </c>
      <c r="J84" s="15">
        <f t="shared" si="5"/>
        <v>0</v>
      </c>
    </row>
    <row r="85" spans="1:10" ht="14.95" thickBot="1" x14ac:dyDescent="0.3">
      <c r="A85" s="47" t="s">
        <v>102</v>
      </c>
      <c r="B85" s="285">
        <v>0</v>
      </c>
      <c r="C85" s="105">
        <v>0</v>
      </c>
      <c r="D85" s="268">
        <v>0</v>
      </c>
      <c r="E85" s="30">
        <f t="shared" si="4"/>
        <v>0</v>
      </c>
      <c r="F85" s="14" t="s">
        <v>102</v>
      </c>
      <c r="G85" s="287">
        <v>0</v>
      </c>
      <c r="H85" s="107">
        <v>0</v>
      </c>
      <c r="I85" s="19">
        <v>0</v>
      </c>
      <c r="J85" s="15">
        <f t="shared" si="5"/>
        <v>0</v>
      </c>
    </row>
    <row r="86" spans="1:10" ht="14.95" thickBot="1" x14ac:dyDescent="0.3">
      <c r="A86" s="47" t="s">
        <v>115</v>
      </c>
      <c r="B86" s="285">
        <v>0</v>
      </c>
      <c r="C86" s="105">
        <v>0</v>
      </c>
      <c r="D86" s="268">
        <v>0</v>
      </c>
      <c r="E86" s="30">
        <f t="shared" si="4"/>
        <v>0</v>
      </c>
      <c r="F86" s="14" t="s">
        <v>115</v>
      </c>
      <c r="G86" s="287">
        <v>0</v>
      </c>
      <c r="H86" s="107">
        <v>0</v>
      </c>
      <c r="I86" s="19">
        <v>0</v>
      </c>
      <c r="J86" s="15">
        <f t="shared" si="5"/>
        <v>0</v>
      </c>
    </row>
    <row r="87" spans="1:10" ht="14.95" thickBot="1" x14ac:dyDescent="0.3">
      <c r="A87" s="47" t="s">
        <v>108</v>
      </c>
      <c r="B87" s="285">
        <v>0</v>
      </c>
      <c r="C87" s="105">
        <v>0</v>
      </c>
      <c r="D87" s="268">
        <v>0</v>
      </c>
      <c r="E87" s="30">
        <f t="shared" si="4"/>
        <v>0</v>
      </c>
      <c r="F87" s="14" t="s">
        <v>108</v>
      </c>
      <c r="G87" s="287">
        <v>0</v>
      </c>
      <c r="H87" s="107">
        <v>0</v>
      </c>
      <c r="I87" s="19">
        <v>0</v>
      </c>
      <c r="J87" s="15">
        <f t="shared" si="5"/>
        <v>0</v>
      </c>
    </row>
    <row r="88" spans="1:10" ht="14.95" thickBot="1" x14ac:dyDescent="0.3">
      <c r="A88" s="47" t="s">
        <v>94</v>
      </c>
      <c r="B88" s="285">
        <v>0</v>
      </c>
      <c r="C88" s="105">
        <v>0</v>
      </c>
      <c r="D88" s="268">
        <v>0</v>
      </c>
      <c r="E88" s="30">
        <f t="shared" si="4"/>
        <v>0</v>
      </c>
      <c r="F88" s="14" t="s">
        <v>94</v>
      </c>
      <c r="G88" s="287">
        <v>0</v>
      </c>
      <c r="H88" s="107">
        <v>0</v>
      </c>
      <c r="I88" s="19">
        <v>0</v>
      </c>
      <c r="J88" s="15">
        <f t="shared" si="5"/>
        <v>0</v>
      </c>
    </row>
    <row r="89" spans="1:10" ht="14.95" thickBot="1" x14ac:dyDescent="0.3">
      <c r="A89" s="47" t="s">
        <v>95</v>
      </c>
      <c r="B89" s="285">
        <v>0</v>
      </c>
      <c r="C89" s="105">
        <v>0</v>
      </c>
      <c r="D89" s="268">
        <v>0</v>
      </c>
      <c r="E89" s="30">
        <f t="shared" si="4"/>
        <v>0</v>
      </c>
      <c r="F89" s="14" t="s">
        <v>95</v>
      </c>
      <c r="G89" s="287">
        <v>0</v>
      </c>
      <c r="H89" s="107">
        <v>0</v>
      </c>
      <c r="I89" s="19">
        <v>0</v>
      </c>
      <c r="J89" s="15">
        <f t="shared" si="5"/>
        <v>0</v>
      </c>
    </row>
    <row r="90" spans="1:10" ht="14.95" thickBot="1" x14ac:dyDescent="0.3">
      <c r="A90" s="47" t="s">
        <v>212</v>
      </c>
      <c r="B90" s="285">
        <v>0</v>
      </c>
      <c r="C90" s="105">
        <v>0</v>
      </c>
      <c r="D90" s="268">
        <v>0</v>
      </c>
      <c r="E90" s="30">
        <f t="shared" si="4"/>
        <v>0</v>
      </c>
      <c r="F90" s="14" t="s">
        <v>212</v>
      </c>
      <c r="G90" s="287">
        <v>0</v>
      </c>
      <c r="H90" s="107">
        <v>0</v>
      </c>
      <c r="I90" s="19">
        <v>0</v>
      </c>
      <c r="J90" s="15">
        <f t="shared" si="5"/>
        <v>0</v>
      </c>
    </row>
    <row r="91" spans="1:10" ht="14.95" thickBot="1" x14ac:dyDescent="0.3">
      <c r="A91" s="47" t="s">
        <v>109</v>
      </c>
      <c r="B91" s="285">
        <v>0</v>
      </c>
      <c r="C91" s="105">
        <v>0</v>
      </c>
      <c r="D91" s="268">
        <v>0</v>
      </c>
      <c r="E91" s="30">
        <f t="shared" si="4"/>
        <v>0</v>
      </c>
      <c r="F91" s="14" t="s">
        <v>109</v>
      </c>
      <c r="G91" s="287">
        <v>0</v>
      </c>
      <c r="H91" s="107">
        <v>0</v>
      </c>
      <c r="I91" s="19">
        <v>0</v>
      </c>
      <c r="J91" s="15">
        <f t="shared" si="5"/>
        <v>0</v>
      </c>
    </row>
    <row r="92" spans="1:10" ht="14.95" thickBot="1" x14ac:dyDescent="0.3">
      <c r="A92" s="47" t="s">
        <v>119</v>
      </c>
      <c r="B92" s="285">
        <v>0</v>
      </c>
      <c r="C92" s="105">
        <v>0</v>
      </c>
      <c r="D92" s="268">
        <v>0</v>
      </c>
      <c r="E92" s="30">
        <f t="shared" si="4"/>
        <v>0</v>
      </c>
      <c r="F92" s="14" t="s">
        <v>119</v>
      </c>
      <c r="G92" s="287">
        <v>0</v>
      </c>
      <c r="H92" s="107">
        <v>0</v>
      </c>
      <c r="I92" s="19">
        <v>0</v>
      </c>
      <c r="J92" s="15">
        <f t="shared" si="5"/>
        <v>0</v>
      </c>
    </row>
    <row r="93" spans="1:10" ht="14.95" thickBot="1" x14ac:dyDescent="0.3">
      <c r="A93" s="47" t="s">
        <v>3</v>
      </c>
      <c r="B93" s="285">
        <f>SUM(B50:B92)</f>
        <v>21</v>
      </c>
      <c r="C93" s="105">
        <f>SUM(C50:C92)</f>
        <v>15</v>
      </c>
      <c r="D93" s="268">
        <f>SUM(D50:D92)</f>
        <v>9</v>
      </c>
      <c r="E93" s="30">
        <f>SUM(E50:E92)</f>
        <v>45</v>
      </c>
      <c r="F93" s="13" t="s">
        <v>3</v>
      </c>
      <c r="G93" s="287">
        <f>SUM(G50:G92)</f>
        <v>133</v>
      </c>
      <c r="H93" s="107">
        <f>SUM(H50:H92)</f>
        <v>98</v>
      </c>
      <c r="I93" s="19">
        <f>SUM(I50:I92)</f>
        <v>53</v>
      </c>
      <c r="J93" s="15">
        <f>SUM(J50:J92)</f>
        <v>284</v>
      </c>
    </row>
    <row r="94" spans="1:10" ht="16.3" x14ac:dyDescent="0.3">
      <c r="A94" s="455" t="s">
        <v>10</v>
      </c>
      <c r="B94" s="455"/>
      <c r="C94" s="455"/>
      <c r="D94" s="456"/>
    </row>
  </sheetData>
  <sortState xmlns:xlrd2="http://schemas.microsoft.com/office/spreadsheetml/2017/richdata2" ref="F50:J92">
    <sortCondition descending="1" ref="J50:J92"/>
  </sortState>
  <mergeCells count="20">
    <mergeCell ref="AB1:AD2"/>
    <mergeCell ref="O11:Q12"/>
    <mergeCell ref="A1:J1"/>
    <mergeCell ref="K1:K2"/>
    <mergeCell ref="L1:N2"/>
    <mergeCell ref="Y1:AA2"/>
    <mergeCell ref="K11:K12"/>
    <mergeCell ref="L11:N12"/>
    <mergeCell ref="U11:W12"/>
    <mergeCell ref="V1:X2"/>
    <mergeCell ref="R11:T12"/>
    <mergeCell ref="R1:R2"/>
    <mergeCell ref="O1:Q2"/>
    <mergeCell ref="K20:K21"/>
    <mergeCell ref="L20:N21"/>
    <mergeCell ref="O26:Q27"/>
    <mergeCell ref="S1:U2"/>
    <mergeCell ref="A94:D94"/>
    <mergeCell ref="K26:K27"/>
    <mergeCell ref="L26:N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80"/>
  <sheetViews>
    <sheetView zoomScaleNormal="100" workbookViewId="0">
      <selection activeCell="A80" sqref="A80:D80"/>
    </sheetView>
  </sheetViews>
  <sheetFormatPr defaultRowHeight="14.3" x14ac:dyDescent="0.25"/>
  <cols>
    <col min="1" max="1" width="16.5" customWidth="1"/>
    <col min="2" max="2" width="4.5" customWidth="1"/>
    <col min="3" max="3" width="5" customWidth="1"/>
    <col min="4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29" width="5.5" customWidth="1"/>
  </cols>
  <sheetData>
    <row r="1" spans="1:29" ht="14.95" customHeight="1" thickBot="1" x14ac:dyDescent="0.3">
      <c r="A1" s="520" t="s">
        <v>740</v>
      </c>
      <c r="B1" s="521"/>
      <c r="C1" s="521"/>
      <c r="D1" s="521"/>
      <c r="E1" s="521"/>
      <c r="F1" s="521"/>
      <c r="G1" s="521"/>
      <c r="H1" s="521"/>
      <c r="I1" s="521"/>
      <c r="J1" s="522"/>
      <c r="K1" s="523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Y1" s="58"/>
      <c r="Z1" s="58"/>
      <c r="AA1" s="447">
        <v>2022</v>
      </c>
      <c r="AB1" s="448"/>
      <c r="AC1" s="449"/>
    </row>
    <row r="2" spans="1:29" ht="14.95" customHeight="1" thickBot="1" x14ac:dyDescent="0.3">
      <c r="A2" s="84" t="s">
        <v>0</v>
      </c>
      <c r="B2" s="295" t="s">
        <v>14</v>
      </c>
      <c r="C2" s="102" t="s">
        <v>734</v>
      </c>
      <c r="D2" s="247" t="s">
        <v>11</v>
      </c>
      <c r="E2" s="180" t="s">
        <v>1</v>
      </c>
      <c r="F2" s="297" t="s">
        <v>2</v>
      </c>
      <c r="G2" s="291" t="s">
        <v>14</v>
      </c>
      <c r="H2" s="153" t="s">
        <v>734</v>
      </c>
      <c r="I2" s="121" t="s">
        <v>11</v>
      </c>
      <c r="J2" s="182" t="s">
        <v>1</v>
      </c>
      <c r="K2" s="524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Y2" s="58"/>
      <c r="Z2" s="58"/>
      <c r="AA2" s="450"/>
      <c r="AB2" s="451"/>
      <c r="AC2" s="452"/>
    </row>
    <row r="3" spans="1:29" ht="14.95" customHeight="1" thickBot="1" x14ac:dyDescent="0.3">
      <c r="A3" s="32" t="s">
        <v>121</v>
      </c>
      <c r="B3" s="296">
        <v>0</v>
      </c>
      <c r="C3" s="417">
        <v>0</v>
      </c>
      <c r="D3" s="416">
        <v>0</v>
      </c>
      <c r="E3" s="33">
        <f t="shared" ref="E3:E39" si="0">SUM(B3:D3)</f>
        <v>0</v>
      </c>
      <c r="F3" s="298" t="s">
        <v>121</v>
      </c>
      <c r="G3" s="292">
        <v>0</v>
      </c>
      <c r="H3" s="154">
        <v>0</v>
      </c>
      <c r="I3" s="29">
        <v>0</v>
      </c>
      <c r="J3" s="183">
        <f t="shared" ref="J3:J39" si="1">SUM(G3:I3)</f>
        <v>0</v>
      </c>
      <c r="K3" s="4"/>
      <c r="L3" s="1" t="s">
        <v>17</v>
      </c>
      <c r="M3" s="1" t="s">
        <v>5</v>
      </c>
      <c r="N3" s="1" t="s">
        <v>6</v>
      </c>
      <c r="O3" s="74" t="s">
        <v>17</v>
      </c>
      <c r="P3" s="1" t="s">
        <v>5</v>
      </c>
      <c r="Q3" s="1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Y3" s="58"/>
      <c r="Z3" s="58"/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32" t="s">
        <v>122</v>
      </c>
      <c r="B4" s="296">
        <v>0</v>
      </c>
      <c r="C4" s="417">
        <v>0</v>
      </c>
      <c r="D4" s="416">
        <v>0</v>
      </c>
      <c r="E4" s="33">
        <f t="shared" si="0"/>
        <v>0</v>
      </c>
      <c r="F4" s="298" t="s">
        <v>122</v>
      </c>
      <c r="G4" s="292">
        <v>0</v>
      </c>
      <c r="H4" s="154">
        <v>0</v>
      </c>
      <c r="I4" s="29">
        <v>0</v>
      </c>
      <c r="J4" s="183">
        <f t="shared" si="1"/>
        <v>0</v>
      </c>
      <c r="K4" s="32" t="s">
        <v>1017</v>
      </c>
      <c r="L4" s="33">
        <v>1</v>
      </c>
      <c r="M4" s="33">
        <v>7</v>
      </c>
      <c r="N4" s="34">
        <f t="shared" ref="N4" si="2">SUM(L4/M4)*100</f>
        <v>14.285714285714285</v>
      </c>
      <c r="O4" s="33">
        <v>1</v>
      </c>
      <c r="P4" s="33">
        <v>7</v>
      </c>
      <c r="Q4" s="34">
        <f t="shared" ref="Q4" si="3">SUM(O4/P4)*100</f>
        <v>14.285714285714285</v>
      </c>
      <c r="R4" s="33">
        <v>-1</v>
      </c>
      <c r="S4" s="61" t="s">
        <v>8</v>
      </c>
      <c r="T4" s="61" t="s">
        <v>8</v>
      </c>
      <c r="U4" s="120" t="s">
        <v>8</v>
      </c>
      <c r="V4" s="61" t="s">
        <v>8</v>
      </c>
      <c r="W4" s="61" t="s">
        <v>8</v>
      </c>
      <c r="X4" s="120" t="s">
        <v>8</v>
      </c>
      <c r="Y4" s="58"/>
      <c r="Z4" s="58"/>
      <c r="AA4" s="271" t="s">
        <v>8</v>
      </c>
      <c r="AB4" s="61" t="s">
        <v>8</v>
      </c>
      <c r="AC4" s="120" t="s">
        <v>8</v>
      </c>
    </row>
    <row r="5" spans="1:29" ht="14.95" customHeight="1" thickBot="1" x14ac:dyDescent="0.3">
      <c r="A5" s="32" t="s">
        <v>1017</v>
      </c>
      <c r="B5" s="296">
        <v>0</v>
      </c>
      <c r="C5" s="417">
        <v>0</v>
      </c>
      <c r="D5" s="416">
        <v>0</v>
      </c>
      <c r="E5" s="33">
        <f t="shared" si="0"/>
        <v>0</v>
      </c>
      <c r="F5" s="298" t="s">
        <v>1017</v>
      </c>
      <c r="G5" s="292">
        <v>0</v>
      </c>
      <c r="H5" s="154">
        <v>2</v>
      </c>
      <c r="I5" s="29">
        <v>0</v>
      </c>
      <c r="J5" s="183">
        <f t="shared" si="1"/>
        <v>2</v>
      </c>
      <c r="K5" s="32" t="s">
        <v>213</v>
      </c>
      <c r="L5" s="33" t="s">
        <v>8</v>
      </c>
      <c r="M5" s="33" t="s">
        <v>8</v>
      </c>
      <c r="N5" s="34" t="s">
        <v>8</v>
      </c>
      <c r="O5" s="33" t="s">
        <v>8</v>
      </c>
      <c r="P5" s="33" t="s">
        <v>8</v>
      </c>
      <c r="Q5" s="34" t="s">
        <v>8</v>
      </c>
      <c r="R5" s="33">
        <v>-1</v>
      </c>
      <c r="S5" s="61">
        <v>0</v>
      </c>
      <c r="T5" s="61">
        <v>1</v>
      </c>
      <c r="U5" s="120">
        <f>SUM(S5/T5)*100</f>
        <v>0</v>
      </c>
      <c r="V5" s="61">
        <v>6</v>
      </c>
      <c r="W5" s="61">
        <v>7</v>
      </c>
      <c r="X5" s="120">
        <f>SUM(V5/W5)*100</f>
        <v>85.714285714285708</v>
      </c>
      <c r="Y5" s="58"/>
      <c r="Z5" s="58"/>
      <c r="AA5" s="271" t="s">
        <v>8</v>
      </c>
      <c r="AB5" s="61" t="s">
        <v>8</v>
      </c>
      <c r="AC5" s="120" t="s">
        <v>8</v>
      </c>
    </row>
    <row r="6" spans="1:29" ht="14.95" customHeight="1" thickBot="1" x14ac:dyDescent="0.3">
      <c r="A6" s="32" t="s">
        <v>1015</v>
      </c>
      <c r="B6" s="296">
        <v>0</v>
      </c>
      <c r="C6" s="417">
        <v>2</v>
      </c>
      <c r="D6" s="416">
        <v>0</v>
      </c>
      <c r="E6" s="33">
        <f t="shared" si="0"/>
        <v>2</v>
      </c>
      <c r="F6" s="298" t="s">
        <v>1015</v>
      </c>
      <c r="G6" s="292">
        <v>0</v>
      </c>
      <c r="H6" s="154">
        <v>10</v>
      </c>
      <c r="I6" s="29">
        <v>0</v>
      </c>
      <c r="J6" s="183">
        <f t="shared" si="1"/>
        <v>10</v>
      </c>
      <c r="K6" s="32" t="s">
        <v>130</v>
      </c>
      <c r="L6" s="33">
        <v>1</v>
      </c>
      <c r="M6" s="33">
        <v>5</v>
      </c>
      <c r="N6" s="34">
        <f t="shared" ref="N6" si="4">SUM(L6/M6)*100</f>
        <v>20</v>
      </c>
      <c r="O6" s="33">
        <v>1</v>
      </c>
      <c r="P6" s="33">
        <v>5</v>
      </c>
      <c r="Q6" s="34">
        <f t="shared" ref="Q6" si="5">SUM(O6/P6)*100</f>
        <v>20</v>
      </c>
      <c r="R6" s="33">
        <v>-1</v>
      </c>
      <c r="S6" s="61" t="s">
        <v>8</v>
      </c>
      <c r="T6" s="61" t="s">
        <v>8</v>
      </c>
      <c r="U6" s="120" t="s">
        <v>8</v>
      </c>
      <c r="V6" s="61">
        <v>1</v>
      </c>
      <c r="W6" s="61">
        <v>3</v>
      </c>
      <c r="X6" s="120">
        <f>SUM(V6/W6)*100</f>
        <v>33.333333333333329</v>
      </c>
      <c r="Y6" s="58"/>
      <c r="Z6" s="58"/>
      <c r="AA6" s="271" t="s">
        <v>8</v>
      </c>
      <c r="AB6" s="61" t="s">
        <v>8</v>
      </c>
      <c r="AC6" s="120" t="s">
        <v>8</v>
      </c>
    </row>
    <row r="7" spans="1:29" ht="14.95" customHeight="1" thickBot="1" x14ac:dyDescent="0.3">
      <c r="A7" s="32" t="s">
        <v>213</v>
      </c>
      <c r="B7" s="296">
        <v>0</v>
      </c>
      <c r="C7" s="417">
        <v>0</v>
      </c>
      <c r="D7" s="416">
        <v>0</v>
      </c>
      <c r="E7" s="33">
        <f t="shared" si="0"/>
        <v>0</v>
      </c>
      <c r="F7" s="298" t="s">
        <v>213</v>
      </c>
      <c r="G7" s="292">
        <v>0</v>
      </c>
      <c r="H7" s="154">
        <v>0</v>
      </c>
      <c r="I7" s="29">
        <v>0</v>
      </c>
      <c r="J7" s="183">
        <f t="shared" si="1"/>
        <v>0</v>
      </c>
      <c r="K7" s="32" t="s">
        <v>135</v>
      </c>
      <c r="L7" s="33">
        <v>0</v>
      </c>
      <c r="M7" s="33">
        <v>1</v>
      </c>
      <c r="N7" s="34">
        <f>SUM(L7/M7)*100</f>
        <v>0</v>
      </c>
      <c r="O7" s="33" t="s">
        <v>8</v>
      </c>
      <c r="P7" s="33" t="s">
        <v>8</v>
      </c>
      <c r="Q7" s="34" t="s">
        <v>8</v>
      </c>
      <c r="R7" s="33">
        <v>-1</v>
      </c>
      <c r="S7" s="61" t="s">
        <v>8</v>
      </c>
      <c r="T7" s="61" t="s">
        <v>8</v>
      </c>
      <c r="U7" s="120" t="s">
        <v>8</v>
      </c>
      <c r="V7" s="61" t="s">
        <v>8</v>
      </c>
      <c r="W7" s="61" t="s">
        <v>8</v>
      </c>
      <c r="X7" s="120" t="s">
        <v>8</v>
      </c>
      <c r="Y7" s="58"/>
      <c r="Z7" s="58"/>
      <c r="AA7" s="195" t="s">
        <v>8</v>
      </c>
      <c r="AB7" s="61" t="s">
        <v>8</v>
      </c>
      <c r="AC7" s="120" t="s">
        <v>8</v>
      </c>
    </row>
    <row r="8" spans="1:29" ht="14.95" customHeight="1" thickBot="1" x14ac:dyDescent="0.3">
      <c r="A8" s="32" t="s">
        <v>1013</v>
      </c>
      <c r="B8" s="296">
        <v>0</v>
      </c>
      <c r="C8" s="417">
        <v>1</v>
      </c>
      <c r="D8" s="416">
        <v>0</v>
      </c>
      <c r="E8" s="33">
        <f t="shared" si="0"/>
        <v>1</v>
      </c>
      <c r="F8" s="298" t="s">
        <v>1013</v>
      </c>
      <c r="G8" s="292">
        <v>0</v>
      </c>
      <c r="H8" s="154">
        <v>5</v>
      </c>
      <c r="I8" s="29">
        <v>0</v>
      </c>
      <c r="J8" s="183">
        <f t="shared" si="1"/>
        <v>5</v>
      </c>
      <c r="K8" s="32" t="s">
        <v>136</v>
      </c>
      <c r="L8" s="33">
        <v>6</v>
      </c>
      <c r="M8" s="33">
        <v>12</v>
      </c>
      <c r="N8" s="34">
        <f>SUM(L8/M8)*100</f>
        <v>50</v>
      </c>
      <c r="O8" s="33" t="s">
        <v>8</v>
      </c>
      <c r="P8" s="33" t="s">
        <v>8</v>
      </c>
      <c r="Q8" s="34" t="s">
        <v>8</v>
      </c>
      <c r="R8" s="33">
        <v>1</v>
      </c>
      <c r="S8" s="61">
        <v>14</v>
      </c>
      <c r="T8" s="61">
        <v>21</v>
      </c>
      <c r="U8" s="120">
        <f>SUM(S8/T8)*100</f>
        <v>66.666666666666657</v>
      </c>
      <c r="V8" s="61" t="s">
        <v>8</v>
      </c>
      <c r="W8" s="61" t="s">
        <v>8</v>
      </c>
      <c r="X8" s="120" t="s">
        <v>8</v>
      </c>
      <c r="Y8" s="58"/>
      <c r="Z8" s="58"/>
      <c r="AA8" s="271">
        <v>3</v>
      </c>
      <c r="AB8" s="61">
        <v>5</v>
      </c>
      <c r="AC8" s="120">
        <f>SUM(AA8/AB8)*100</f>
        <v>60</v>
      </c>
    </row>
    <row r="9" spans="1:29" ht="14.95" customHeight="1" thickBot="1" x14ac:dyDescent="0.3">
      <c r="A9" s="32" t="s">
        <v>396</v>
      </c>
      <c r="B9" s="296">
        <v>1</v>
      </c>
      <c r="C9" s="417">
        <v>0</v>
      </c>
      <c r="D9" s="416">
        <v>4</v>
      </c>
      <c r="E9" s="33">
        <f t="shared" si="0"/>
        <v>5</v>
      </c>
      <c r="F9" s="298" t="s">
        <v>396</v>
      </c>
      <c r="G9" s="292">
        <v>5</v>
      </c>
      <c r="H9" s="154">
        <v>0</v>
      </c>
      <c r="I9" s="29">
        <v>20</v>
      </c>
      <c r="J9" s="183">
        <f t="shared" si="1"/>
        <v>25</v>
      </c>
      <c r="K9" s="32" t="s">
        <v>139</v>
      </c>
      <c r="L9" s="33">
        <v>12</v>
      </c>
      <c r="M9" s="33">
        <v>21</v>
      </c>
      <c r="N9" s="34">
        <f>SUM(L9/M9)*100</f>
        <v>57.142857142857139</v>
      </c>
      <c r="O9" s="33" t="s">
        <v>8</v>
      </c>
      <c r="P9" s="33" t="s">
        <v>8</v>
      </c>
      <c r="Q9" s="34" t="s">
        <v>8</v>
      </c>
      <c r="R9" s="33">
        <v>1</v>
      </c>
      <c r="S9" s="61">
        <v>1</v>
      </c>
      <c r="T9" s="61">
        <v>3</v>
      </c>
      <c r="U9" s="120">
        <f>SUM(S9/T9)*100</f>
        <v>33.333333333333329</v>
      </c>
      <c r="V9" s="61">
        <v>17</v>
      </c>
      <c r="W9" s="61">
        <v>27</v>
      </c>
      <c r="X9" s="120">
        <f>SUM(V9/W9)*100</f>
        <v>62.962962962962962</v>
      </c>
      <c r="Y9" s="58"/>
      <c r="Z9" s="58"/>
      <c r="AA9" s="271">
        <v>17</v>
      </c>
      <c r="AB9" s="61">
        <v>24</v>
      </c>
      <c r="AC9" s="120">
        <f>SUM(AA9/AB9)*100</f>
        <v>70.833333333333343</v>
      </c>
    </row>
    <row r="10" spans="1:29" ht="14.95" customHeight="1" thickBot="1" x14ac:dyDescent="0.3">
      <c r="A10" s="32" t="s">
        <v>123</v>
      </c>
      <c r="B10" s="296">
        <v>0</v>
      </c>
      <c r="C10" s="417">
        <v>0</v>
      </c>
      <c r="D10" s="416">
        <v>0</v>
      </c>
      <c r="E10" s="33">
        <f t="shared" si="0"/>
        <v>0</v>
      </c>
      <c r="F10" s="298" t="s">
        <v>123</v>
      </c>
      <c r="G10" s="292">
        <v>0</v>
      </c>
      <c r="H10" s="154">
        <v>0</v>
      </c>
      <c r="I10" s="29">
        <v>0</v>
      </c>
      <c r="J10" s="183">
        <f t="shared" si="1"/>
        <v>0</v>
      </c>
      <c r="R10" s="7"/>
      <c r="S10" s="58"/>
      <c r="T10" s="58"/>
      <c r="U10" s="58"/>
      <c r="V10" s="58"/>
      <c r="W10" s="58"/>
    </row>
    <row r="11" spans="1:29" ht="14.95" customHeight="1" thickBot="1" x14ac:dyDescent="0.3">
      <c r="A11" s="32" t="s">
        <v>124</v>
      </c>
      <c r="B11" s="296">
        <v>0</v>
      </c>
      <c r="C11" s="417">
        <v>1</v>
      </c>
      <c r="D11" s="416">
        <v>1</v>
      </c>
      <c r="E11" s="33">
        <f t="shared" si="0"/>
        <v>2</v>
      </c>
      <c r="F11" s="298" t="s">
        <v>124</v>
      </c>
      <c r="G11" s="292">
        <v>0</v>
      </c>
      <c r="H11" s="154">
        <v>5</v>
      </c>
      <c r="I11" s="29">
        <v>5</v>
      </c>
      <c r="J11" s="183">
        <f t="shared" si="1"/>
        <v>10</v>
      </c>
      <c r="K11" s="494" t="s">
        <v>13</v>
      </c>
      <c r="L11" s="433">
        <v>2025</v>
      </c>
      <c r="M11" s="434"/>
      <c r="N11" s="435"/>
      <c r="O11" s="447">
        <v>2024</v>
      </c>
      <c r="P11" s="448"/>
      <c r="Q11" s="449"/>
      <c r="R11" s="447">
        <v>2023</v>
      </c>
      <c r="S11" s="448"/>
      <c r="T11" s="449"/>
      <c r="U11" s="447">
        <v>2022</v>
      </c>
      <c r="V11" s="448"/>
      <c r="W11" s="449"/>
      <c r="X11" s="58"/>
      <c r="Y11" s="58"/>
      <c r="Z11" s="58"/>
      <c r="AA11" s="58"/>
    </row>
    <row r="12" spans="1:29" ht="14.95" thickBot="1" x14ac:dyDescent="0.3">
      <c r="A12" s="32" t="s">
        <v>125</v>
      </c>
      <c r="B12" s="296">
        <v>0</v>
      </c>
      <c r="C12" s="417">
        <v>0</v>
      </c>
      <c r="D12" s="416">
        <v>0</v>
      </c>
      <c r="E12" s="33">
        <f t="shared" si="0"/>
        <v>0</v>
      </c>
      <c r="F12" s="298" t="s">
        <v>125</v>
      </c>
      <c r="G12" s="292">
        <v>0</v>
      </c>
      <c r="H12" s="154">
        <v>0</v>
      </c>
      <c r="I12" s="29">
        <v>0</v>
      </c>
      <c r="J12" s="183">
        <f t="shared" si="1"/>
        <v>0</v>
      </c>
      <c r="K12" s="495"/>
      <c r="L12" s="436"/>
      <c r="M12" s="437"/>
      <c r="N12" s="438"/>
      <c r="O12" s="450"/>
      <c r="P12" s="451"/>
      <c r="Q12" s="452"/>
      <c r="R12" s="450"/>
      <c r="S12" s="451"/>
      <c r="T12" s="452"/>
      <c r="U12" s="450"/>
      <c r="V12" s="451"/>
      <c r="W12" s="452"/>
      <c r="X12" s="58"/>
      <c r="Y12" s="58"/>
      <c r="Z12" s="58"/>
      <c r="AA12" s="58"/>
    </row>
    <row r="13" spans="1:29" ht="14.95" customHeight="1" thickBot="1" x14ac:dyDescent="0.3">
      <c r="A13" s="32" t="s">
        <v>126</v>
      </c>
      <c r="B13" s="296">
        <v>0</v>
      </c>
      <c r="C13" s="417">
        <v>0</v>
      </c>
      <c r="D13" s="416">
        <v>0</v>
      </c>
      <c r="E13" s="33">
        <f t="shared" si="0"/>
        <v>0</v>
      </c>
      <c r="F13" s="298" t="s">
        <v>126</v>
      </c>
      <c r="G13" s="292">
        <v>0</v>
      </c>
      <c r="H13" s="154">
        <v>0</v>
      </c>
      <c r="I13" s="29">
        <v>0</v>
      </c>
      <c r="J13" s="183">
        <f t="shared" si="1"/>
        <v>0</v>
      </c>
      <c r="K13" s="288"/>
      <c r="L13" s="1" t="s">
        <v>17</v>
      </c>
      <c r="M13" s="1" t="s">
        <v>5</v>
      </c>
      <c r="N13" s="1" t="s">
        <v>6</v>
      </c>
      <c r="O13" s="61" t="s">
        <v>17</v>
      </c>
      <c r="P13" s="61" t="s">
        <v>5</v>
      </c>
      <c r="Q13" s="61" t="s">
        <v>6</v>
      </c>
      <c r="R13" s="61" t="s">
        <v>17</v>
      </c>
      <c r="S13" s="61" t="s">
        <v>5</v>
      </c>
      <c r="T13" s="61" t="s">
        <v>6</v>
      </c>
      <c r="U13" s="61" t="s">
        <v>17</v>
      </c>
      <c r="V13" s="61" t="s">
        <v>5</v>
      </c>
      <c r="W13" s="61" t="s">
        <v>6</v>
      </c>
      <c r="X13" s="58"/>
      <c r="Y13" s="60"/>
      <c r="Z13" s="60"/>
    </row>
    <row r="14" spans="1:29" ht="14.95" thickBot="1" x14ac:dyDescent="0.3">
      <c r="A14" s="32" t="s">
        <v>127</v>
      </c>
      <c r="B14" s="296">
        <v>0</v>
      </c>
      <c r="C14" s="417">
        <v>0</v>
      </c>
      <c r="D14" s="416">
        <v>0</v>
      </c>
      <c r="E14" s="33">
        <f t="shared" si="0"/>
        <v>0</v>
      </c>
      <c r="F14" s="298" t="s">
        <v>127</v>
      </c>
      <c r="G14" s="292">
        <v>0</v>
      </c>
      <c r="H14" s="154">
        <v>0</v>
      </c>
      <c r="I14" s="29">
        <v>0</v>
      </c>
      <c r="J14" s="183">
        <f t="shared" si="1"/>
        <v>0</v>
      </c>
      <c r="K14" s="32" t="s">
        <v>213</v>
      </c>
      <c r="L14" s="33" t="s">
        <v>8</v>
      </c>
      <c r="M14" s="33" t="s">
        <v>8</v>
      </c>
      <c r="N14" s="34" t="s">
        <v>8</v>
      </c>
      <c r="O14" s="61">
        <v>0</v>
      </c>
      <c r="P14" s="61">
        <v>1</v>
      </c>
      <c r="Q14" s="61">
        <f>SUM(O14/P14)*100</f>
        <v>0</v>
      </c>
      <c r="R14" s="61" t="s">
        <v>8</v>
      </c>
      <c r="S14" s="61" t="s">
        <v>8</v>
      </c>
      <c r="T14" s="120" t="s">
        <v>8</v>
      </c>
      <c r="U14" s="61" t="s">
        <v>8</v>
      </c>
      <c r="V14" s="61" t="s">
        <v>8</v>
      </c>
      <c r="W14" s="120" t="s">
        <v>8</v>
      </c>
      <c r="X14" s="58"/>
      <c r="Y14" s="60"/>
      <c r="Z14" s="60"/>
    </row>
    <row r="15" spans="1:29" ht="14.95" customHeight="1" thickBot="1" x14ac:dyDescent="0.3">
      <c r="A15" s="32" t="s">
        <v>128</v>
      </c>
      <c r="B15" s="296">
        <v>0</v>
      </c>
      <c r="C15" s="417">
        <v>0</v>
      </c>
      <c r="D15" s="416">
        <v>0</v>
      </c>
      <c r="E15" s="33">
        <f t="shared" si="0"/>
        <v>0</v>
      </c>
      <c r="F15" s="298" t="s">
        <v>128</v>
      </c>
      <c r="G15" s="292">
        <v>0</v>
      </c>
      <c r="H15" s="154">
        <v>0</v>
      </c>
      <c r="I15" s="29">
        <v>0</v>
      </c>
      <c r="J15" s="183">
        <f t="shared" si="1"/>
        <v>0</v>
      </c>
      <c r="K15" s="32" t="s">
        <v>136</v>
      </c>
      <c r="L15" s="33">
        <v>1</v>
      </c>
      <c r="M15" s="33">
        <v>5</v>
      </c>
      <c r="N15" s="34">
        <f>SUM(L15/M15)*100</f>
        <v>20</v>
      </c>
      <c r="O15" s="61">
        <v>9</v>
      </c>
      <c r="P15" s="61">
        <v>13</v>
      </c>
      <c r="Q15" s="120">
        <f>SUM(O15/P15)*100</f>
        <v>69.230769230769226</v>
      </c>
      <c r="R15" s="61" t="s">
        <v>8</v>
      </c>
      <c r="S15" s="61" t="s">
        <v>8</v>
      </c>
      <c r="T15" s="120" t="s">
        <v>8</v>
      </c>
      <c r="U15" s="61">
        <v>1</v>
      </c>
      <c r="V15" s="61">
        <v>2</v>
      </c>
      <c r="W15" s="120">
        <f>SUM(U15/V15)*100</f>
        <v>50</v>
      </c>
      <c r="X15" s="58"/>
      <c r="Y15" s="58"/>
      <c r="Z15" s="58"/>
    </row>
    <row r="16" spans="1:29" ht="14.95" customHeight="1" thickBot="1" x14ac:dyDescent="0.3">
      <c r="A16" s="32" t="s">
        <v>129</v>
      </c>
      <c r="B16" s="296">
        <v>0</v>
      </c>
      <c r="C16" s="417">
        <v>0</v>
      </c>
      <c r="D16" s="416">
        <v>0</v>
      </c>
      <c r="E16" s="33">
        <f t="shared" si="0"/>
        <v>0</v>
      </c>
      <c r="F16" s="298" t="s">
        <v>129</v>
      </c>
      <c r="G16" s="292">
        <v>0</v>
      </c>
      <c r="H16" s="154">
        <v>0</v>
      </c>
      <c r="I16" s="29">
        <v>0</v>
      </c>
      <c r="J16" s="183">
        <f t="shared" si="1"/>
        <v>0</v>
      </c>
      <c r="K16" s="32" t="s">
        <v>139</v>
      </c>
      <c r="L16" s="33">
        <v>9</v>
      </c>
      <c r="M16" s="33">
        <v>14</v>
      </c>
      <c r="N16" s="34">
        <f>SUM(L16/M16)*100</f>
        <v>64.285714285714292</v>
      </c>
      <c r="O16" s="61" t="s">
        <v>8</v>
      </c>
      <c r="P16" s="61" t="s">
        <v>8</v>
      </c>
      <c r="Q16" s="120" t="s">
        <v>8</v>
      </c>
      <c r="R16" s="61">
        <v>10</v>
      </c>
      <c r="S16" s="61">
        <v>12</v>
      </c>
      <c r="T16" s="120">
        <v>100</v>
      </c>
      <c r="U16" s="61">
        <v>8</v>
      </c>
      <c r="V16" s="61">
        <v>8</v>
      </c>
      <c r="W16" s="120">
        <f>SUM(U16/V16)*100</f>
        <v>100</v>
      </c>
      <c r="X16" s="58"/>
      <c r="Y16" s="58"/>
      <c r="Z16" s="58"/>
    </row>
    <row r="17" spans="1:23" ht="14.95" customHeight="1" thickBot="1" x14ac:dyDescent="0.3">
      <c r="A17" s="32" t="s">
        <v>130</v>
      </c>
      <c r="B17" s="296">
        <v>2</v>
      </c>
      <c r="C17" s="417">
        <v>3</v>
      </c>
      <c r="D17" s="416">
        <v>1</v>
      </c>
      <c r="E17" s="33">
        <f t="shared" si="0"/>
        <v>6</v>
      </c>
      <c r="F17" s="298" t="s">
        <v>130</v>
      </c>
      <c r="G17" s="292">
        <v>10</v>
      </c>
      <c r="H17" s="154">
        <v>17</v>
      </c>
      <c r="I17" s="29">
        <v>5</v>
      </c>
      <c r="J17" s="183">
        <f t="shared" si="1"/>
        <v>32</v>
      </c>
      <c r="N17" s="7"/>
      <c r="O17" s="58"/>
      <c r="P17" s="58"/>
      <c r="Q17" s="58"/>
      <c r="R17" s="58"/>
      <c r="S17" s="58"/>
      <c r="T17" s="58"/>
    </row>
    <row r="18" spans="1:23" ht="14.95" customHeight="1" thickBot="1" x14ac:dyDescent="0.3">
      <c r="A18" s="32" t="s">
        <v>923</v>
      </c>
      <c r="B18" s="296">
        <v>0</v>
      </c>
      <c r="C18" s="417">
        <v>0</v>
      </c>
      <c r="D18" s="416">
        <v>1</v>
      </c>
      <c r="E18" s="33">
        <f t="shared" si="0"/>
        <v>1</v>
      </c>
      <c r="F18" s="298" t="s">
        <v>923</v>
      </c>
      <c r="G18" s="292">
        <v>0</v>
      </c>
      <c r="H18" s="154">
        <v>0</v>
      </c>
      <c r="I18" s="29">
        <v>5</v>
      </c>
      <c r="J18" s="183">
        <f t="shared" si="1"/>
        <v>5</v>
      </c>
      <c r="K18" s="459" t="s">
        <v>351</v>
      </c>
      <c r="L18" s="433">
        <v>2025</v>
      </c>
      <c r="M18" s="434"/>
      <c r="N18" s="435"/>
      <c r="O18" s="447">
        <v>2022</v>
      </c>
      <c r="P18" s="448"/>
      <c r="Q18" s="449"/>
      <c r="R18" s="58"/>
      <c r="S18" s="58"/>
      <c r="T18" s="58"/>
      <c r="U18" s="58"/>
      <c r="V18" s="58"/>
      <c r="W18" s="58"/>
    </row>
    <row r="19" spans="1:23" ht="14.95" thickBot="1" x14ac:dyDescent="0.3">
      <c r="A19" s="32" t="s">
        <v>131</v>
      </c>
      <c r="B19" s="296">
        <v>0</v>
      </c>
      <c r="C19" s="417">
        <v>0</v>
      </c>
      <c r="D19" s="416">
        <v>0</v>
      </c>
      <c r="E19" s="33">
        <f t="shared" si="0"/>
        <v>0</v>
      </c>
      <c r="F19" s="298" t="s">
        <v>131</v>
      </c>
      <c r="G19" s="292">
        <v>0</v>
      </c>
      <c r="H19" s="154">
        <v>0</v>
      </c>
      <c r="I19" s="29">
        <v>0</v>
      </c>
      <c r="J19" s="183">
        <f t="shared" si="1"/>
        <v>0</v>
      </c>
      <c r="K19" s="460"/>
      <c r="L19" s="436"/>
      <c r="M19" s="437"/>
      <c r="N19" s="438"/>
      <c r="O19" s="450"/>
      <c r="P19" s="451"/>
      <c r="Q19" s="452"/>
      <c r="R19" s="58"/>
      <c r="S19" s="58"/>
      <c r="T19" s="58"/>
      <c r="U19" s="58"/>
      <c r="V19" s="58"/>
      <c r="W19" s="58"/>
    </row>
    <row r="20" spans="1:23" ht="14.95" thickBot="1" x14ac:dyDescent="0.3">
      <c r="A20" s="32" t="s">
        <v>1012</v>
      </c>
      <c r="B20" s="296">
        <v>0</v>
      </c>
      <c r="C20" s="417">
        <v>1</v>
      </c>
      <c r="D20" s="416">
        <v>0</v>
      </c>
      <c r="E20" s="33">
        <f t="shared" si="0"/>
        <v>1</v>
      </c>
      <c r="F20" s="298" t="s">
        <v>1012</v>
      </c>
      <c r="G20" s="292">
        <v>0</v>
      </c>
      <c r="H20" s="154">
        <v>5</v>
      </c>
      <c r="I20" s="29">
        <v>0</v>
      </c>
      <c r="J20" s="183">
        <f t="shared" si="1"/>
        <v>5</v>
      </c>
      <c r="K20" s="317"/>
      <c r="L20" s="1" t="s">
        <v>17</v>
      </c>
      <c r="M20" s="1" t="s">
        <v>5</v>
      </c>
      <c r="N20" s="1" t="s">
        <v>6</v>
      </c>
      <c r="O20" s="61" t="s">
        <v>17</v>
      </c>
      <c r="P20" s="61" t="s">
        <v>5</v>
      </c>
      <c r="Q20" s="61" t="s">
        <v>6</v>
      </c>
      <c r="V20" s="58"/>
      <c r="W20" s="58"/>
    </row>
    <row r="21" spans="1:23" ht="14.95" thickBot="1" x14ac:dyDescent="0.3">
      <c r="A21" s="32" t="s">
        <v>132</v>
      </c>
      <c r="B21" s="296">
        <v>0</v>
      </c>
      <c r="C21" s="417">
        <v>0</v>
      </c>
      <c r="D21" s="416">
        <v>0</v>
      </c>
      <c r="E21" s="33">
        <f t="shared" si="0"/>
        <v>0</v>
      </c>
      <c r="F21" s="298" t="s">
        <v>132</v>
      </c>
      <c r="G21" s="292">
        <v>0</v>
      </c>
      <c r="H21" s="154">
        <v>0</v>
      </c>
      <c r="I21" s="29">
        <v>0</v>
      </c>
      <c r="J21" s="183">
        <f t="shared" si="1"/>
        <v>0</v>
      </c>
      <c r="K21" s="32" t="s">
        <v>1017</v>
      </c>
      <c r="L21" s="33">
        <v>1</v>
      </c>
      <c r="M21" s="33">
        <v>7</v>
      </c>
      <c r="N21" s="34">
        <f t="shared" ref="N21" si="6">SUM(L21/M21)*100</f>
        <v>14.285714285714285</v>
      </c>
      <c r="O21" s="61" t="s">
        <v>8</v>
      </c>
      <c r="P21" s="61" t="s">
        <v>8</v>
      </c>
      <c r="Q21" s="120" t="s">
        <v>8</v>
      </c>
      <c r="V21" s="58"/>
      <c r="W21" s="58"/>
    </row>
    <row r="22" spans="1:23" ht="14.95" thickBot="1" x14ac:dyDescent="0.3">
      <c r="A22" s="32" t="s">
        <v>133</v>
      </c>
      <c r="B22" s="296">
        <v>0</v>
      </c>
      <c r="C22" s="417">
        <v>0</v>
      </c>
      <c r="D22" s="416">
        <v>0</v>
      </c>
      <c r="E22" s="33">
        <f t="shared" si="0"/>
        <v>0</v>
      </c>
      <c r="F22" s="298" t="s">
        <v>133</v>
      </c>
      <c r="G22" s="292">
        <v>0</v>
      </c>
      <c r="H22" s="154">
        <v>0</v>
      </c>
      <c r="I22" s="29">
        <v>0</v>
      </c>
      <c r="J22" s="183">
        <f t="shared" si="1"/>
        <v>0</v>
      </c>
      <c r="K22" s="32" t="s">
        <v>130</v>
      </c>
      <c r="L22" s="33">
        <v>1</v>
      </c>
      <c r="M22" s="33">
        <v>5</v>
      </c>
      <c r="N22" s="33">
        <f t="shared" ref="N22" si="7">SUM(L22/M22)*100</f>
        <v>20</v>
      </c>
      <c r="O22" s="61" t="s">
        <v>8</v>
      </c>
      <c r="P22" s="61" t="s">
        <v>8</v>
      </c>
      <c r="Q22" s="120" t="s">
        <v>8</v>
      </c>
      <c r="V22" s="58"/>
      <c r="W22" s="58"/>
    </row>
    <row r="23" spans="1:23" ht="14.95" customHeight="1" thickBot="1" x14ac:dyDescent="0.3">
      <c r="A23" s="32" t="s">
        <v>134</v>
      </c>
      <c r="B23" s="296">
        <v>0</v>
      </c>
      <c r="C23" s="417">
        <v>0</v>
      </c>
      <c r="D23" s="416">
        <v>0</v>
      </c>
      <c r="E23" s="33">
        <f t="shared" si="0"/>
        <v>0</v>
      </c>
      <c r="F23" s="298" t="s">
        <v>134</v>
      </c>
      <c r="G23" s="292">
        <v>0</v>
      </c>
      <c r="H23" s="154">
        <v>0</v>
      </c>
      <c r="I23" s="29">
        <v>0</v>
      </c>
      <c r="J23" s="183">
        <f t="shared" si="1"/>
        <v>0</v>
      </c>
      <c r="K23" s="32" t="s">
        <v>136</v>
      </c>
      <c r="L23" s="33">
        <v>1</v>
      </c>
      <c r="M23" s="33">
        <v>2</v>
      </c>
      <c r="N23" s="34">
        <f t="shared" ref="N23:N24" si="8">SUM(L23/M23)*100</f>
        <v>50</v>
      </c>
      <c r="O23" s="61" t="s">
        <v>8</v>
      </c>
      <c r="P23" s="61" t="s">
        <v>8</v>
      </c>
      <c r="Q23" s="120" t="s">
        <v>8</v>
      </c>
      <c r="V23" s="58"/>
      <c r="W23" s="58"/>
    </row>
    <row r="24" spans="1:23" ht="14.95" thickBot="1" x14ac:dyDescent="0.3">
      <c r="A24" s="32" t="s">
        <v>980</v>
      </c>
      <c r="B24" s="296">
        <v>2</v>
      </c>
      <c r="C24" s="417">
        <v>4</v>
      </c>
      <c r="D24" s="416">
        <v>0</v>
      </c>
      <c r="E24" s="33">
        <f t="shared" si="0"/>
        <v>6</v>
      </c>
      <c r="F24" s="298" t="s">
        <v>980</v>
      </c>
      <c r="G24" s="292">
        <v>10</v>
      </c>
      <c r="H24" s="154">
        <v>20</v>
      </c>
      <c r="I24" s="29">
        <v>0</v>
      </c>
      <c r="J24" s="183">
        <f t="shared" si="1"/>
        <v>30</v>
      </c>
      <c r="K24" s="32" t="s">
        <v>139</v>
      </c>
      <c r="L24" s="33">
        <v>1</v>
      </c>
      <c r="M24" s="33">
        <v>2</v>
      </c>
      <c r="N24" s="34">
        <f t="shared" si="8"/>
        <v>50</v>
      </c>
      <c r="O24" s="61">
        <v>7</v>
      </c>
      <c r="P24" s="61">
        <v>12</v>
      </c>
      <c r="Q24" s="120">
        <v>58</v>
      </c>
      <c r="V24" s="58"/>
      <c r="W24" s="58"/>
    </row>
    <row r="25" spans="1:23" ht="14.95" thickBot="1" x14ac:dyDescent="0.3">
      <c r="A25" s="32" t="s">
        <v>135</v>
      </c>
      <c r="B25" s="296">
        <v>4</v>
      </c>
      <c r="C25" s="417">
        <v>0</v>
      </c>
      <c r="D25" s="416">
        <v>1</v>
      </c>
      <c r="E25" s="33">
        <f t="shared" si="0"/>
        <v>5</v>
      </c>
      <c r="F25" s="298" t="s">
        <v>135</v>
      </c>
      <c r="G25" s="292">
        <v>20</v>
      </c>
      <c r="H25" s="154">
        <v>0</v>
      </c>
      <c r="I25" s="29">
        <v>5</v>
      </c>
      <c r="J25" s="183">
        <f t="shared" si="1"/>
        <v>25</v>
      </c>
    </row>
    <row r="26" spans="1:23" ht="14.95" thickBot="1" x14ac:dyDescent="0.3">
      <c r="A26" s="32" t="s">
        <v>558</v>
      </c>
      <c r="B26" s="296">
        <v>0</v>
      </c>
      <c r="C26" s="417">
        <v>0</v>
      </c>
      <c r="D26" s="416">
        <v>1</v>
      </c>
      <c r="E26" s="33">
        <f t="shared" si="0"/>
        <v>1</v>
      </c>
      <c r="F26" s="298" t="s">
        <v>558</v>
      </c>
      <c r="G26" s="292">
        <v>0</v>
      </c>
      <c r="H26" s="154">
        <v>0</v>
      </c>
      <c r="I26" s="29">
        <v>5</v>
      </c>
      <c r="J26" s="183">
        <f t="shared" si="1"/>
        <v>5</v>
      </c>
      <c r="K26" s="477" t="s">
        <v>509</v>
      </c>
      <c r="L26" s="447">
        <v>2024</v>
      </c>
      <c r="M26" s="448"/>
      <c r="N26" s="449"/>
      <c r="O26" s="447">
        <v>2023</v>
      </c>
      <c r="P26" s="448"/>
      <c r="Q26" s="449"/>
      <c r="R26" s="6"/>
    </row>
    <row r="27" spans="1:23" ht="14.95" thickBot="1" x14ac:dyDescent="0.3">
      <c r="A27" s="32" t="s">
        <v>136</v>
      </c>
      <c r="B27" s="296">
        <v>1</v>
      </c>
      <c r="C27" s="417">
        <v>0</v>
      </c>
      <c r="D27" s="416">
        <v>1</v>
      </c>
      <c r="E27" s="33">
        <f t="shared" si="0"/>
        <v>2</v>
      </c>
      <c r="F27" s="298" t="s">
        <v>136</v>
      </c>
      <c r="G27" s="292">
        <v>7</v>
      </c>
      <c r="H27" s="154">
        <v>2</v>
      </c>
      <c r="I27" s="29">
        <v>13</v>
      </c>
      <c r="J27" s="183">
        <f t="shared" si="1"/>
        <v>22</v>
      </c>
      <c r="K27" s="478"/>
      <c r="L27" s="450"/>
      <c r="M27" s="451"/>
      <c r="N27" s="452"/>
      <c r="O27" s="450"/>
      <c r="P27" s="451"/>
      <c r="Q27" s="452"/>
      <c r="R27" s="6"/>
    </row>
    <row r="28" spans="1:23" ht="14.95" thickBot="1" x14ac:dyDescent="0.3">
      <c r="A28" s="32" t="s">
        <v>137</v>
      </c>
      <c r="B28" s="296">
        <v>0</v>
      </c>
      <c r="C28" s="417">
        <v>0</v>
      </c>
      <c r="D28" s="416">
        <v>0</v>
      </c>
      <c r="E28" s="33">
        <f t="shared" si="0"/>
        <v>0</v>
      </c>
      <c r="F28" s="298" t="s">
        <v>137</v>
      </c>
      <c r="G28" s="292">
        <v>0</v>
      </c>
      <c r="H28" s="154">
        <v>0</v>
      </c>
      <c r="I28" s="29">
        <v>0</v>
      </c>
      <c r="J28" s="183">
        <f t="shared" si="1"/>
        <v>0</v>
      </c>
      <c r="K28" s="231"/>
      <c r="L28" s="61" t="s">
        <v>17</v>
      </c>
      <c r="M28" s="61" t="s">
        <v>5</v>
      </c>
      <c r="N28" s="61" t="s">
        <v>6</v>
      </c>
      <c r="O28" s="61" t="s">
        <v>17</v>
      </c>
      <c r="P28" s="61" t="s">
        <v>5</v>
      </c>
      <c r="Q28" s="61" t="s">
        <v>6</v>
      </c>
      <c r="R28" s="6"/>
    </row>
    <row r="29" spans="1:23" ht="14.95" thickBot="1" x14ac:dyDescent="0.3">
      <c r="A29" s="32" t="s">
        <v>138</v>
      </c>
      <c r="B29" s="296">
        <v>0</v>
      </c>
      <c r="C29" s="417">
        <v>1</v>
      </c>
      <c r="D29" s="416">
        <v>0</v>
      </c>
      <c r="E29" s="33">
        <f t="shared" si="0"/>
        <v>1</v>
      </c>
      <c r="F29" s="298" t="s">
        <v>138</v>
      </c>
      <c r="G29" s="292">
        <v>0</v>
      </c>
      <c r="H29" s="154">
        <v>5</v>
      </c>
      <c r="I29" s="29">
        <v>0</v>
      </c>
      <c r="J29" s="183">
        <f t="shared" si="1"/>
        <v>5</v>
      </c>
      <c r="K29" s="32" t="s">
        <v>213</v>
      </c>
      <c r="L29" s="61" t="s">
        <v>8</v>
      </c>
      <c r="M29" s="61" t="s">
        <v>8</v>
      </c>
      <c r="N29" s="120" t="s">
        <v>8</v>
      </c>
      <c r="O29" s="61">
        <v>5</v>
      </c>
      <c r="P29" s="61">
        <v>6</v>
      </c>
      <c r="Q29" s="120">
        <f>SUM(O29/P29)*100</f>
        <v>83.333333333333343</v>
      </c>
      <c r="R29" s="6"/>
    </row>
    <row r="30" spans="1:23" ht="14.95" thickBot="1" x14ac:dyDescent="0.3">
      <c r="A30" s="32" t="s">
        <v>741</v>
      </c>
      <c r="B30" s="296">
        <v>2</v>
      </c>
      <c r="C30" s="417">
        <v>1</v>
      </c>
      <c r="D30" s="416">
        <v>0</v>
      </c>
      <c r="E30" s="33">
        <f t="shared" si="0"/>
        <v>3</v>
      </c>
      <c r="F30" s="298" t="s">
        <v>741</v>
      </c>
      <c r="G30" s="292">
        <v>10</v>
      </c>
      <c r="H30" s="154">
        <v>5</v>
      </c>
      <c r="I30" s="29">
        <v>0</v>
      </c>
      <c r="J30" s="183">
        <f t="shared" si="1"/>
        <v>15</v>
      </c>
      <c r="K30" s="32" t="s">
        <v>136</v>
      </c>
      <c r="L30" s="61">
        <v>3</v>
      </c>
      <c r="M30" s="61">
        <v>4</v>
      </c>
      <c r="N30" s="120">
        <f>SUM(L30/M30)*100</f>
        <v>75</v>
      </c>
      <c r="O30" s="61">
        <v>6</v>
      </c>
      <c r="P30" s="61">
        <v>10</v>
      </c>
      <c r="Q30" s="120">
        <f>SUM(O30/P30)*100</f>
        <v>60</v>
      </c>
      <c r="R30" s="6"/>
    </row>
    <row r="31" spans="1:23" ht="14.95" thickBot="1" x14ac:dyDescent="0.3">
      <c r="A31" s="32" t="s">
        <v>139</v>
      </c>
      <c r="B31" s="296">
        <v>0</v>
      </c>
      <c r="C31" s="417">
        <v>0</v>
      </c>
      <c r="D31" s="416">
        <v>0</v>
      </c>
      <c r="E31" s="33">
        <f t="shared" si="0"/>
        <v>0</v>
      </c>
      <c r="F31" s="298" t="s">
        <v>139</v>
      </c>
      <c r="G31" s="292">
        <v>20</v>
      </c>
      <c r="H31" s="154">
        <v>2</v>
      </c>
      <c r="I31" s="29">
        <v>4</v>
      </c>
      <c r="J31" s="183">
        <f t="shared" si="1"/>
        <v>26</v>
      </c>
      <c r="K31" s="32" t="s">
        <v>139</v>
      </c>
      <c r="L31" s="61">
        <v>1</v>
      </c>
      <c r="M31" s="61">
        <v>3</v>
      </c>
      <c r="N31" s="120">
        <f>SUM(L31/M31)*100</f>
        <v>33.333333333333329</v>
      </c>
      <c r="O31" s="61">
        <v>6</v>
      </c>
      <c r="P31" s="61">
        <v>10</v>
      </c>
      <c r="Q31" s="120">
        <f>SUM(O31/P31)*100</f>
        <v>60</v>
      </c>
      <c r="R31" s="6"/>
    </row>
    <row r="32" spans="1:23" ht="14.95" thickBot="1" x14ac:dyDescent="0.3">
      <c r="A32" s="32" t="s">
        <v>140</v>
      </c>
      <c r="B32" s="296">
        <v>0</v>
      </c>
      <c r="C32" s="417">
        <v>0</v>
      </c>
      <c r="D32" s="416">
        <v>0</v>
      </c>
      <c r="E32" s="33">
        <f t="shared" si="0"/>
        <v>0</v>
      </c>
      <c r="F32" s="298" t="s">
        <v>140</v>
      </c>
      <c r="G32" s="292">
        <v>0</v>
      </c>
      <c r="H32" s="154">
        <v>0</v>
      </c>
      <c r="I32" s="29">
        <v>0</v>
      </c>
      <c r="J32" s="183">
        <f t="shared" si="1"/>
        <v>0</v>
      </c>
      <c r="O32" s="27"/>
      <c r="P32" s="27"/>
      <c r="Q32" s="28"/>
      <c r="R32" s="6"/>
    </row>
    <row r="33" spans="1:18" ht="14.95" thickBot="1" x14ac:dyDescent="0.3">
      <c r="A33" s="32" t="s">
        <v>141</v>
      </c>
      <c r="B33" s="296">
        <v>2</v>
      </c>
      <c r="C33" s="417">
        <v>1</v>
      </c>
      <c r="D33" s="416">
        <v>0</v>
      </c>
      <c r="E33" s="33">
        <f t="shared" si="0"/>
        <v>3</v>
      </c>
      <c r="F33" s="298" t="s">
        <v>141</v>
      </c>
      <c r="G33" s="292">
        <v>10</v>
      </c>
      <c r="H33" s="154">
        <v>5</v>
      </c>
      <c r="I33" s="29">
        <v>0</v>
      </c>
      <c r="J33" s="183">
        <f t="shared" si="1"/>
        <v>15</v>
      </c>
      <c r="O33" s="27"/>
      <c r="P33" s="27"/>
      <c r="Q33" s="28"/>
      <c r="R33" s="6"/>
    </row>
    <row r="34" spans="1:18" ht="14.95" thickBot="1" x14ac:dyDescent="0.3">
      <c r="A34" s="32" t="s">
        <v>144</v>
      </c>
      <c r="B34" s="296">
        <v>0</v>
      </c>
      <c r="C34" s="417">
        <v>0</v>
      </c>
      <c r="D34" s="416">
        <v>0</v>
      </c>
      <c r="E34" s="33">
        <f t="shared" si="0"/>
        <v>0</v>
      </c>
      <c r="F34" s="298" t="s">
        <v>144</v>
      </c>
      <c r="G34" s="292">
        <v>0</v>
      </c>
      <c r="H34" s="154">
        <v>0</v>
      </c>
      <c r="I34" s="29">
        <v>0</v>
      </c>
      <c r="J34" s="183">
        <f t="shared" si="1"/>
        <v>0</v>
      </c>
      <c r="O34" s="27"/>
      <c r="P34" s="27"/>
      <c r="Q34" s="28"/>
      <c r="R34" s="6"/>
    </row>
    <row r="35" spans="1:18" ht="14.95" thickBot="1" x14ac:dyDescent="0.3">
      <c r="A35" s="32" t="s">
        <v>142</v>
      </c>
      <c r="B35" s="296">
        <v>0</v>
      </c>
      <c r="C35" s="417">
        <v>0</v>
      </c>
      <c r="D35" s="416">
        <v>0</v>
      </c>
      <c r="E35" s="33">
        <f t="shared" si="0"/>
        <v>0</v>
      </c>
      <c r="F35" s="298" t="s">
        <v>142</v>
      </c>
      <c r="G35" s="292">
        <v>0</v>
      </c>
      <c r="H35" s="154">
        <v>0</v>
      </c>
      <c r="I35" s="29">
        <v>0</v>
      </c>
      <c r="J35" s="183">
        <f t="shared" si="1"/>
        <v>0</v>
      </c>
      <c r="O35" s="27"/>
      <c r="P35" s="27"/>
      <c r="Q35" s="28"/>
      <c r="R35" s="6"/>
    </row>
    <row r="36" spans="1:18" ht="14.95" thickBot="1" x14ac:dyDescent="0.3">
      <c r="A36" s="32" t="s">
        <v>143</v>
      </c>
      <c r="B36" s="296">
        <v>2</v>
      </c>
      <c r="C36" s="417">
        <v>0</v>
      </c>
      <c r="D36" s="416">
        <v>0</v>
      </c>
      <c r="E36" s="33">
        <f t="shared" si="0"/>
        <v>2</v>
      </c>
      <c r="F36" s="298" t="s">
        <v>143</v>
      </c>
      <c r="G36" s="292">
        <v>10</v>
      </c>
      <c r="H36" s="154">
        <v>0</v>
      </c>
      <c r="I36" s="29">
        <v>0</v>
      </c>
      <c r="J36" s="183">
        <f t="shared" si="1"/>
        <v>10</v>
      </c>
      <c r="O36" s="27"/>
      <c r="P36" s="27"/>
      <c r="Q36" s="28"/>
      <c r="R36" s="6"/>
    </row>
    <row r="37" spans="1:18" ht="14.95" thickBot="1" x14ac:dyDescent="0.3">
      <c r="A37" s="32" t="s">
        <v>145</v>
      </c>
      <c r="B37" s="296">
        <v>1</v>
      </c>
      <c r="C37" s="417">
        <v>1</v>
      </c>
      <c r="D37" s="416">
        <v>1</v>
      </c>
      <c r="E37" s="33">
        <f t="shared" si="0"/>
        <v>3</v>
      </c>
      <c r="F37" s="298" t="s">
        <v>145</v>
      </c>
      <c r="G37" s="292">
        <v>5</v>
      </c>
      <c r="H37" s="154">
        <v>5</v>
      </c>
      <c r="I37" s="29">
        <v>5</v>
      </c>
      <c r="J37" s="183">
        <f t="shared" si="1"/>
        <v>15</v>
      </c>
      <c r="O37" s="27"/>
      <c r="P37" s="27"/>
      <c r="Q37" s="28"/>
      <c r="R37" s="6"/>
    </row>
    <row r="38" spans="1:18" ht="14.95" thickBot="1" x14ac:dyDescent="0.3">
      <c r="A38" s="32" t="s">
        <v>146</v>
      </c>
      <c r="B38" s="296">
        <v>0</v>
      </c>
      <c r="C38" s="417">
        <v>0</v>
      </c>
      <c r="D38" s="416">
        <v>0</v>
      </c>
      <c r="E38" s="33">
        <f t="shared" si="0"/>
        <v>0</v>
      </c>
      <c r="F38" s="298" t="s">
        <v>146</v>
      </c>
      <c r="G38" s="292">
        <v>0</v>
      </c>
      <c r="H38" s="154">
        <v>0</v>
      </c>
      <c r="I38" s="29">
        <v>0</v>
      </c>
      <c r="J38" s="183">
        <f t="shared" si="1"/>
        <v>0</v>
      </c>
      <c r="O38" s="27"/>
      <c r="P38" s="27"/>
      <c r="Q38" s="28"/>
      <c r="R38" s="6"/>
    </row>
    <row r="39" spans="1:18" ht="14.95" thickBot="1" x14ac:dyDescent="0.3">
      <c r="A39" s="84" t="s">
        <v>3</v>
      </c>
      <c r="B39" s="295">
        <f>SUM(B2:B38)</f>
        <v>17</v>
      </c>
      <c r="C39" s="102">
        <f>SUM(C2:C38)</f>
        <v>16</v>
      </c>
      <c r="D39" s="247">
        <f>SUM(D2:D38)</f>
        <v>11</v>
      </c>
      <c r="E39" s="180">
        <f t="shared" si="0"/>
        <v>44</v>
      </c>
      <c r="F39" s="297" t="s">
        <v>3</v>
      </c>
      <c r="G39" s="291">
        <f>SUM(G2:G38)</f>
        <v>107</v>
      </c>
      <c r="H39" s="153">
        <f>SUM(H2:H38)</f>
        <v>88</v>
      </c>
      <c r="I39" s="121">
        <f>SUM(I2:I38)</f>
        <v>67</v>
      </c>
      <c r="J39" s="182">
        <f t="shared" si="1"/>
        <v>262</v>
      </c>
      <c r="O39" s="27"/>
      <c r="P39" s="27"/>
      <c r="Q39" s="28"/>
    </row>
    <row r="40" spans="1:18" x14ac:dyDescent="0.25">
      <c r="A40" s="22"/>
      <c r="B40" s="114"/>
      <c r="C40" s="114"/>
      <c r="D40" s="115"/>
      <c r="E40" s="21"/>
      <c r="F40" s="22"/>
      <c r="G40" s="114"/>
      <c r="H40" s="114"/>
      <c r="I40" s="116"/>
      <c r="J40" s="21"/>
    </row>
    <row r="41" spans="1:18" ht="17" thickBot="1" x14ac:dyDescent="0.3">
      <c r="A41" s="117" t="s">
        <v>7</v>
      </c>
      <c r="B41" s="112"/>
      <c r="C41" s="112"/>
      <c r="D41" s="112"/>
      <c r="E41" s="112"/>
      <c r="F41" s="112"/>
      <c r="G41" s="112"/>
      <c r="H41" s="112"/>
      <c r="I41" s="113"/>
      <c r="J41" s="112"/>
    </row>
    <row r="42" spans="1:18" ht="14.95" thickBot="1" x14ac:dyDescent="0.3">
      <c r="A42" s="84" t="s">
        <v>0</v>
      </c>
      <c r="B42" s="295" t="s">
        <v>14</v>
      </c>
      <c r="C42" s="102" t="s">
        <v>734</v>
      </c>
      <c r="D42" s="247" t="s">
        <v>11</v>
      </c>
      <c r="E42" s="180" t="s">
        <v>1</v>
      </c>
      <c r="F42" s="297" t="s">
        <v>2</v>
      </c>
      <c r="G42" s="291" t="s">
        <v>14</v>
      </c>
      <c r="H42" s="153" t="s">
        <v>734</v>
      </c>
      <c r="I42" s="121" t="s">
        <v>11</v>
      </c>
      <c r="J42" s="182" t="s">
        <v>1</v>
      </c>
    </row>
    <row r="43" spans="1:18" ht="14.95" thickBot="1" x14ac:dyDescent="0.3">
      <c r="A43" s="32" t="s">
        <v>130</v>
      </c>
      <c r="B43" s="296">
        <v>2</v>
      </c>
      <c r="C43" s="417">
        <v>3</v>
      </c>
      <c r="D43" s="416">
        <v>1</v>
      </c>
      <c r="E43" s="33">
        <f t="shared" ref="E43:E78" si="9">SUM(B43:D43)</f>
        <v>6</v>
      </c>
      <c r="F43" s="298" t="s">
        <v>130</v>
      </c>
      <c r="G43" s="292">
        <v>10</v>
      </c>
      <c r="H43" s="154">
        <v>17</v>
      </c>
      <c r="I43" s="29">
        <v>5</v>
      </c>
      <c r="J43" s="183">
        <f t="shared" ref="J43:J78" si="10">SUM(G43:I43)</f>
        <v>32</v>
      </c>
    </row>
    <row r="44" spans="1:18" ht="14.95" thickBot="1" x14ac:dyDescent="0.3">
      <c r="A44" s="32" t="s">
        <v>980</v>
      </c>
      <c r="B44" s="296">
        <v>2</v>
      </c>
      <c r="C44" s="417">
        <v>4</v>
      </c>
      <c r="D44" s="416">
        <v>0</v>
      </c>
      <c r="E44" s="33">
        <f t="shared" si="9"/>
        <v>6</v>
      </c>
      <c r="F44" s="298" t="s">
        <v>980</v>
      </c>
      <c r="G44" s="292">
        <v>10</v>
      </c>
      <c r="H44" s="154">
        <v>20</v>
      </c>
      <c r="I44" s="29">
        <v>0</v>
      </c>
      <c r="J44" s="183">
        <f t="shared" si="10"/>
        <v>30</v>
      </c>
    </row>
    <row r="45" spans="1:18" ht="14.95" thickBot="1" x14ac:dyDescent="0.3">
      <c r="A45" s="32" t="s">
        <v>396</v>
      </c>
      <c r="B45" s="296">
        <v>1</v>
      </c>
      <c r="C45" s="417">
        <v>0</v>
      </c>
      <c r="D45" s="416">
        <v>4</v>
      </c>
      <c r="E45" s="33">
        <f t="shared" si="9"/>
        <v>5</v>
      </c>
      <c r="F45" s="298" t="s">
        <v>139</v>
      </c>
      <c r="G45" s="292">
        <v>20</v>
      </c>
      <c r="H45" s="154">
        <v>2</v>
      </c>
      <c r="I45" s="29">
        <v>4</v>
      </c>
      <c r="J45" s="183">
        <f t="shared" si="10"/>
        <v>26</v>
      </c>
    </row>
    <row r="46" spans="1:18" ht="14.95" thickBot="1" x14ac:dyDescent="0.3">
      <c r="A46" s="32" t="s">
        <v>135</v>
      </c>
      <c r="B46" s="296">
        <v>4</v>
      </c>
      <c r="C46" s="417">
        <v>0</v>
      </c>
      <c r="D46" s="416">
        <v>1</v>
      </c>
      <c r="E46" s="33">
        <f t="shared" si="9"/>
        <v>5</v>
      </c>
      <c r="F46" s="298" t="s">
        <v>396</v>
      </c>
      <c r="G46" s="292">
        <v>5</v>
      </c>
      <c r="H46" s="154">
        <v>0</v>
      </c>
      <c r="I46" s="29">
        <v>20</v>
      </c>
      <c r="J46" s="183">
        <f t="shared" si="10"/>
        <v>25</v>
      </c>
    </row>
    <row r="47" spans="1:18" ht="14.95" thickBot="1" x14ac:dyDescent="0.3">
      <c r="A47" s="32" t="s">
        <v>741</v>
      </c>
      <c r="B47" s="296">
        <v>2</v>
      </c>
      <c r="C47" s="417">
        <v>1</v>
      </c>
      <c r="D47" s="416">
        <v>0</v>
      </c>
      <c r="E47" s="33">
        <f t="shared" si="9"/>
        <v>3</v>
      </c>
      <c r="F47" s="298" t="s">
        <v>135</v>
      </c>
      <c r="G47" s="292">
        <v>20</v>
      </c>
      <c r="H47" s="154">
        <v>0</v>
      </c>
      <c r="I47" s="29">
        <v>5</v>
      </c>
      <c r="J47" s="183">
        <f t="shared" si="10"/>
        <v>25</v>
      </c>
    </row>
    <row r="48" spans="1:18" ht="14.95" thickBot="1" x14ac:dyDescent="0.3">
      <c r="A48" s="32" t="s">
        <v>141</v>
      </c>
      <c r="B48" s="296">
        <v>2</v>
      </c>
      <c r="C48" s="417">
        <v>1</v>
      </c>
      <c r="D48" s="416">
        <v>0</v>
      </c>
      <c r="E48" s="33">
        <f t="shared" si="9"/>
        <v>3</v>
      </c>
      <c r="F48" s="298" t="s">
        <v>136</v>
      </c>
      <c r="G48" s="292">
        <v>7</v>
      </c>
      <c r="H48" s="154">
        <v>2</v>
      </c>
      <c r="I48" s="29">
        <v>13</v>
      </c>
      <c r="J48" s="183">
        <f t="shared" si="10"/>
        <v>22</v>
      </c>
    </row>
    <row r="49" spans="1:10" ht="14.95" thickBot="1" x14ac:dyDescent="0.3">
      <c r="A49" s="32" t="s">
        <v>145</v>
      </c>
      <c r="B49" s="296">
        <v>1</v>
      </c>
      <c r="C49" s="417">
        <v>1</v>
      </c>
      <c r="D49" s="416">
        <v>1</v>
      </c>
      <c r="E49" s="33">
        <f t="shared" si="9"/>
        <v>3</v>
      </c>
      <c r="F49" s="298" t="s">
        <v>741</v>
      </c>
      <c r="G49" s="292">
        <v>10</v>
      </c>
      <c r="H49" s="154">
        <v>5</v>
      </c>
      <c r="I49" s="29">
        <v>0</v>
      </c>
      <c r="J49" s="183">
        <f t="shared" si="10"/>
        <v>15</v>
      </c>
    </row>
    <row r="50" spans="1:10" ht="14.95" thickBot="1" x14ac:dyDescent="0.3">
      <c r="A50" s="32" t="s">
        <v>1015</v>
      </c>
      <c r="B50" s="296">
        <v>0</v>
      </c>
      <c r="C50" s="417">
        <v>2</v>
      </c>
      <c r="D50" s="416">
        <v>0</v>
      </c>
      <c r="E50" s="33">
        <f t="shared" si="9"/>
        <v>2</v>
      </c>
      <c r="F50" s="298" t="s">
        <v>141</v>
      </c>
      <c r="G50" s="292">
        <v>10</v>
      </c>
      <c r="H50" s="154">
        <v>5</v>
      </c>
      <c r="I50" s="29">
        <v>0</v>
      </c>
      <c r="J50" s="183">
        <f t="shared" si="10"/>
        <v>15</v>
      </c>
    </row>
    <row r="51" spans="1:10" ht="14.95" thickBot="1" x14ac:dyDescent="0.3">
      <c r="A51" s="32" t="s">
        <v>124</v>
      </c>
      <c r="B51" s="296">
        <v>0</v>
      </c>
      <c r="C51" s="417">
        <v>1</v>
      </c>
      <c r="D51" s="416">
        <v>1</v>
      </c>
      <c r="E51" s="33">
        <f t="shared" si="9"/>
        <v>2</v>
      </c>
      <c r="F51" s="298" t="s">
        <v>145</v>
      </c>
      <c r="G51" s="292">
        <v>5</v>
      </c>
      <c r="H51" s="154">
        <v>5</v>
      </c>
      <c r="I51" s="29">
        <v>5</v>
      </c>
      <c r="J51" s="183">
        <f t="shared" si="10"/>
        <v>15</v>
      </c>
    </row>
    <row r="52" spans="1:10" ht="14.95" thickBot="1" x14ac:dyDescent="0.3">
      <c r="A52" s="32" t="s">
        <v>136</v>
      </c>
      <c r="B52" s="296">
        <v>1</v>
      </c>
      <c r="C52" s="417">
        <v>0</v>
      </c>
      <c r="D52" s="416">
        <v>1</v>
      </c>
      <c r="E52" s="33">
        <f t="shared" si="9"/>
        <v>2</v>
      </c>
      <c r="F52" s="298" t="s">
        <v>1015</v>
      </c>
      <c r="G52" s="292">
        <v>0</v>
      </c>
      <c r="H52" s="154">
        <v>10</v>
      </c>
      <c r="I52" s="29">
        <v>0</v>
      </c>
      <c r="J52" s="183">
        <f t="shared" si="10"/>
        <v>10</v>
      </c>
    </row>
    <row r="53" spans="1:10" ht="14.95" thickBot="1" x14ac:dyDescent="0.3">
      <c r="A53" s="32" t="s">
        <v>143</v>
      </c>
      <c r="B53" s="296">
        <v>2</v>
      </c>
      <c r="C53" s="417">
        <v>0</v>
      </c>
      <c r="D53" s="416">
        <v>0</v>
      </c>
      <c r="E53" s="33">
        <f t="shared" si="9"/>
        <v>2</v>
      </c>
      <c r="F53" s="298" t="s">
        <v>124</v>
      </c>
      <c r="G53" s="292">
        <v>0</v>
      </c>
      <c r="H53" s="154">
        <v>5</v>
      </c>
      <c r="I53" s="29">
        <v>5</v>
      </c>
      <c r="J53" s="183">
        <f t="shared" si="10"/>
        <v>10</v>
      </c>
    </row>
    <row r="54" spans="1:10" ht="14.95" thickBot="1" x14ac:dyDescent="0.3">
      <c r="A54" s="32" t="s">
        <v>1013</v>
      </c>
      <c r="B54" s="296">
        <v>0</v>
      </c>
      <c r="C54" s="417">
        <v>1</v>
      </c>
      <c r="D54" s="416">
        <v>0</v>
      </c>
      <c r="E54" s="33">
        <f t="shared" si="9"/>
        <v>1</v>
      </c>
      <c r="F54" s="298" t="s">
        <v>143</v>
      </c>
      <c r="G54" s="292">
        <v>10</v>
      </c>
      <c r="H54" s="154">
        <v>0</v>
      </c>
      <c r="I54" s="29">
        <v>0</v>
      </c>
      <c r="J54" s="183">
        <f t="shared" si="10"/>
        <v>10</v>
      </c>
    </row>
    <row r="55" spans="1:10" ht="14.95" thickBot="1" x14ac:dyDescent="0.3">
      <c r="A55" s="32" t="s">
        <v>923</v>
      </c>
      <c r="B55" s="296">
        <v>0</v>
      </c>
      <c r="C55" s="417">
        <v>0</v>
      </c>
      <c r="D55" s="416">
        <v>1</v>
      </c>
      <c r="E55" s="33">
        <f t="shared" si="9"/>
        <v>1</v>
      </c>
      <c r="F55" s="298" t="s">
        <v>1013</v>
      </c>
      <c r="G55" s="292">
        <v>0</v>
      </c>
      <c r="H55" s="154">
        <v>5</v>
      </c>
      <c r="I55" s="29">
        <v>0</v>
      </c>
      <c r="J55" s="183">
        <f t="shared" si="10"/>
        <v>5</v>
      </c>
    </row>
    <row r="56" spans="1:10" ht="14.95" thickBot="1" x14ac:dyDescent="0.3">
      <c r="A56" s="32" t="s">
        <v>1012</v>
      </c>
      <c r="B56" s="296">
        <v>0</v>
      </c>
      <c r="C56" s="417">
        <v>1</v>
      </c>
      <c r="D56" s="416">
        <v>0</v>
      </c>
      <c r="E56" s="33">
        <f t="shared" si="9"/>
        <v>1</v>
      </c>
      <c r="F56" s="298" t="s">
        <v>923</v>
      </c>
      <c r="G56" s="292">
        <v>0</v>
      </c>
      <c r="H56" s="154">
        <v>0</v>
      </c>
      <c r="I56" s="29">
        <v>5</v>
      </c>
      <c r="J56" s="183">
        <f t="shared" si="10"/>
        <v>5</v>
      </c>
    </row>
    <row r="57" spans="1:10" ht="14.95" thickBot="1" x14ac:dyDescent="0.3">
      <c r="A57" s="32" t="s">
        <v>558</v>
      </c>
      <c r="B57" s="296">
        <v>0</v>
      </c>
      <c r="C57" s="417">
        <v>0</v>
      </c>
      <c r="D57" s="416">
        <v>1</v>
      </c>
      <c r="E57" s="33">
        <f t="shared" si="9"/>
        <v>1</v>
      </c>
      <c r="F57" s="298" t="s">
        <v>1012</v>
      </c>
      <c r="G57" s="292">
        <v>0</v>
      </c>
      <c r="H57" s="154">
        <v>5</v>
      </c>
      <c r="I57" s="29">
        <v>0</v>
      </c>
      <c r="J57" s="183">
        <f t="shared" si="10"/>
        <v>5</v>
      </c>
    </row>
    <row r="58" spans="1:10" ht="14.95" thickBot="1" x14ac:dyDescent="0.3">
      <c r="A58" s="32" t="s">
        <v>138</v>
      </c>
      <c r="B58" s="296">
        <v>0</v>
      </c>
      <c r="C58" s="417">
        <v>1</v>
      </c>
      <c r="D58" s="416">
        <v>0</v>
      </c>
      <c r="E58" s="33">
        <f t="shared" si="9"/>
        <v>1</v>
      </c>
      <c r="F58" s="298" t="s">
        <v>558</v>
      </c>
      <c r="G58" s="292">
        <v>0</v>
      </c>
      <c r="H58" s="154">
        <v>0</v>
      </c>
      <c r="I58" s="29">
        <v>5</v>
      </c>
      <c r="J58" s="183">
        <f t="shared" si="10"/>
        <v>5</v>
      </c>
    </row>
    <row r="59" spans="1:10" ht="14.95" thickBot="1" x14ac:dyDescent="0.3">
      <c r="A59" s="32" t="s">
        <v>121</v>
      </c>
      <c r="B59" s="296">
        <v>0</v>
      </c>
      <c r="C59" s="417">
        <v>0</v>
      </c>
      <c r="D59" s="416">
        <v>0</v>
      </c>
      <c r="E59" s="33">
        <f t="shared" si="9"/>
        <v>0</v>
      </c>
      <c r="F59" s="298" t="s">
        <v>138</v>
      </c>
      <c r="G59" s="292">
        <v>0</v>
      </c>
      <c r="H59" s="154">
        <v>5</v>
      </c>
      <c r="I59" s="29">
        <v>0</v>
      </c>
      <c r="J59" s="183">
        <f t="shared" si="10"/>
        <v>5</v>
      </c>
    </row>
    <row r="60" spans="1:10" ht="14.95" thickBot="1" x14ac:dyDescent="0.3">
      <c r="A60" s="32" t="s">
        <v>122</v>
      </c>
      <c r="B60" s="296">
        <v>0</v>
      </c>
      <c r="C60" s="417">
        <v>0</v>
      </c>
      <c r="D60" s="416">
        <v>0</v>
      </c>
      <c r="E60" s="33">
        <f t="shared" si="9"/>
        <v>0</v>
      </c>
      <c r="F60" s="298" t="s">
        <v>1017</v>
      </c>
      <c r="G60" s="292">
        <v>0</v>
      </c>
      <c r="H60" s="154">
        <v>2</v>
      </c>
      <c r="I60" s="29">
        <v>0</v>
      </c>
      <c r="J60" s="183">
        <f t="shared" si="10"/>
        <v>2</v>
      </c>
    </row>
    <row r="61" spans="1:10" ht="14.95" thickBot="1" x14ac:dyDescent="0.3">
      <c r="A61" s="32" t="s">
        <v>1017</v>
      </c>
      <c r="B61" s="296">
        <v>0</v>
      </c>
      <c r="C61" s="417">
        <v>0</v>
      </c>
      <c r="D61" s="416">
        <v>0</v>
      </c>
      <c r="E61" s="33">
        <f t="shared" si="9"/>
        <v>0</v>
      </c>
      <c r="F61" s="298" t="s">
        <v>121</v>
      </c>
      <c r="G61" s="292">
        <v>0</v>
      </c>
      <c r="H61" s="154">
        <v>0</v>
      </c>
      <c r="I61" s="29">
        <v>0</v>
      </c>
      <c r="J61" s="183">
        <f t="shared" si="10"/>
        <v>0</v>
      </c>
    </row>
    <row r="62" spans="1:10" ht="14.95" thickBot="1" x14ac:dyDescent="0.3">
      <c r="A62" s="32" t="s">
        <v>213</v>
      </c>
      <c r="B62" s="296">
        <v>0</v>
      </c>
      <c r="C62" s="417">
        <v>0</v>
      </c>
      <c r="D62" s="416">
        <v>0</v>
      </c>
      <c r="E62" s="33">
        <f t="shared" si="9"/>
        <v>0</v>
      </c>
      <c r="F62" s="298" t="s">
        <v>122</v>
      </c>
      <c r="G62" s="292">
        <v>0</v>
      </c>
      <c r="H62" s="154">
        <v>0</v>
      </c>
      <c r="I62" s="29">
        <v>0</v>
      </c>
      <c r="J62" s="183">
        <f t="shared" si="10"/>
        <v>0</v>
      </c>
    </row>
    <row r="63" spans="1:10" ht="14.95" thickBot="1" x14ac:dyDescent="0.3">
      <c r="A63" s="32" t="s">
        <v>123</v>
      </c>
      <c r="B63" s="296">
        <v>0</v>
      </c>
      <c r="C63" s="417">
        <v>0</v>
      </c>
      <c r="D63" s="416">
        <v>0</v>
      </c>
      <c r="E63" s="33">
        <f t="shared" si="9"/>
        <v>0</v>
      </c>
      <c r="F63" s="298" t="s">
        <v>213</v>
      </c>
      <c r="G63" s="292">
        <v>0</v>
      </c>
      <c r="H63" s="154">
        <v>0</v>
      </c>
      <c r="I63" s="29">
        <v>0</v>
      </c>
      <c r="J63" s="183">
        <f t="shared" si="10"/>
        <v>0</v>
      </c>
    </row>
    <row r="64" spans="1:10" ht="14.95" thickBot="1" x14ac:dyDescent="0.3">
      <c r="A64" s="32" t="s">
        <v>125</v>
      </c>
      <c r="B64" s="296">
        <v>0</v>
      </c>
      <c r="C64" s="417">
        <v>0</v>
      </c>
      <c r="D64" s="416">
        <v>0</v>
      </c>
      <c r="E64" s="33">
        <f t="shared" si="9"/>
        <v>0</v>
      </c>
      <c r="F64" s="298" t="s">
        <v>123</v>
      </c>
      <c r="G64" s="292">
        <v>0</v>
      </c>
      <c r="H64" s="154">
        <v>0</v>
      </c>
      <c r="I64" s="29">
        <v>0</v>
      </c>
      <c r="J64" s="183">
        <f t="shared" si="10"/>
        <v>0</v>
      </c>
    </row>
    <row r="65" spans="1:10" ht="14.95" thickBot="1" x14ac:dyDescent="0.3">
      <c r="A65" s="32" t="s">
        <v>126</v>
      </c>
      <c r="B65" s="296">
        <v>0</v>
      </c>
      <c r="C65" s="417">
        <v>0</v>
      </c>
      <c r="D65" s="416">
        <v>0</v>
      </c>
      <c r="E65" s="33">
        <f t="shared" si="9"/>
        <v>0</v>
      </c>
      <c r="F65" s="298" t="s">
        <v>125</v>
      </c>
      <c r="G65" s="292">
        <v>0</v>
      </c>
      <c r="H65" s="154">
        <v>0</v>
      </c>
      <c r="I65" s="29">
        <v>0</v>
      </c>
      <c r="J65" s="183">
        <f t="shared" si="10"/>
        <v>0</v>
      </c>
    </row>
    <row r="66" spans="1:10" ht="14.95" thickBot="1" x14ac:dyDescent="0.3">
      <c r="A66" s="32" t="s">
        <v>127</v>
      </c>
      <c r="B66" s="296">
        <v>0</v>
      </c>
      <c r="C66" s="417">
        <v>0</v>
      </c>
      <c r="D66" s="416">
        <v>0</v>
      </c>
      <c r="E66" s="33">
        <f t="shared" si="9"/>
        <v>0</v>
      </c>
      <c r="F66" s="298" t="s">
        <v>126</v>
      </c>
      <c r="G66" s="292">
        <v>0</v>
      </c>
      <c r="H66" s="154">
        <v>0</v>
      </c>
      <c r="I66" s="29">
        <v>0</v>
      </c>
      <c r="J66" s="183">
        <f t="shared" si="10"/>
        <v>0</v>
      </c>
    </row>
    <row r="67" spans="1:10" ht="14.95" thickBot="1" x14ac:dyDescent="0.3">
      <c r="A67" s="32" t="s">
        <v>128</v>
      </c>
      <c r="B67" s="296">
        <v>0</v>
      </c>
      <c r="C67" s="417">
        <v>0</v>
      </c>
      <c r="D67" s="416">
        <v>0</v>
      </c>
      <c r="E67" s="33">
        <f t="shared" si="9"/>
        <v>0</v>
      </c>
      <c r="F67" s="298" t="s">
        <v>127</v>
      </c>
      <c r="G67" s="292">
        <v>0</v>
      </c>
      <c r="H67" s="154">
        <v>0</v>
      </c>
      <c r="I67" s="29">
        <v>0</v>
      </c>
      <c r="J67" s="183">
        <f t="shared" si="10"/>
        <v>0</v>
      </c>
    </row>
    <row r="68" spans="1:10" ht="14.95" thickBot="1" x14ac:dyDescent="0.3">
      <c r="A68" s="32" t="s">
        <v>129</v>
      </c>
      <c r="B68" s="296">
        <v>0</v>
      </c>
      <c r="C68" s="417">
        <v>0</v>
      </c>
      <c r="D68" s="416">
        <v>0</v>
      </c>
      <c r="E68" s="33">
        <f t="shared" si="9"/>
        <v>0</v>
      </c>
      <c r="F68" s="298" t="s">
        <v>128</v>
      </c>
      <c r="G68" s="292">
        <v>0</v>
      </c>
      <c r="H68" s="154">
        <v>0</v>
      </c>
      <c r="I68" s="29">
        <v>0</v>
      </c>
      <c r="J68" s="183">
        <f t="shared" si="10"/>
        <v>0</v>
      </c>
    </row>
    <row r="69" spans="1:10" ht="14.95" thickBot="1" x14ac:dyDescent="0.3">
      <c r="A69" s="32" t="s">
        <v>131</v>
      </c>
      <c r="B69" s="296">
        <v>0</v>
      </c>
      <c r="C69" s="417">
        <v>0</v>
      </c>
      <c r="D69" s="416">
        <v>0</v>
      </c>
      <c r="E69" s="33">
        <f t="shared" si="9"/>
        <v>0</v>
      </c>
      <c r="F69" s="298" t="s">
        <v>129</v>
      </c>
      <c r="G69" s="292">
        <v>0</v>
      </c>
      <c r="H69" s="154">
        <v>0</v>
      </c>
      <c r="I69" s="29">
        <v>0</v>
      </c>
      <c r="J69" s="183">
        <f t="shared" si="10"/>
        <v>0</v>
      </c>
    </row>
    <row r="70" spans="1:10" ht="14.95" thickBot="1" x14ac:dyDescent="0.3">
      <c r="A70" s="32" t="s">
        <v>132</v>
      </c>
      <c r="B70" s="296">
        <v>0</v>
      </c>
      <c r="C70" s="417">
        <v>0</v>
      </c>
      <c r="D70" s="416">
        <v>0</v>
      </c>
      <c r="E70" s="33">
        <f t="shared" si="9"/>
        <v>0</v>
      </c>
      <c r="F70" s="298" t="s">
        <v>131</v>
      </c>
      <c r="G70" s="292">
        <v>0</v>
      </c>
      <c r="H70" s="154">
        <v>0</v>
      </c>
      <c r="I70" s="29">
        <v>0</v>
      </c>
      <c r="J70" s="183">
        <f t="shared" si="10"/>
        <v>0</v>
      </c>
    </row>
    <row r="71" spans="1:10" ht="14.95" thickBot="1" x14ac:dyDescent="0.3">
      <c r="A71" s="32" t="s">
        <v>133</v>
      </c>
      <c r="B71" s="296">
        <v>0</v>
      </c>
      <c r="C71" s="417">
        <v>0</v>
      </c>
      <c r="D71" s="416">
        <v>0</v>
      </c>
      <c r="E71" s="33">
        <f t="shared" si="9"/>
        <v>0</v>
      </c>
      <c r="F71" s="298" t="s">
        <v>132</v>
      </c>
      <c r="G71" s="292">
        <v>0</v>
      </c>
      <c r="H71" s="154">
        <v>0</v>
      </c>
      <c r="I71" s="29">
        <v>0</v>
      </c>
      <c r="J71" s="183">
        <f t="shared" si="10"/>
        <v>0</v>
      </c>
    </row>
    <row r="72" spans="1:10" ht="14.95" thickBot="1" x14ac:dyDescent="0.3">
      <c r="A72" s="32" t="s">
        <v>134</v>
      </c>
      <c r="B72" s="296">
        <v>0</v>
      </c>
      <c r="C72" s="417">
        <v>0</v>
      </c>
      <c r="D72" s="416">
        <v>0</v>
      </c>
      <c r="E72" s="33">
        <f t="shared" si="9"/>
        <v>0</v>
      </c>
      <c r="F72" s="298" t="s">
        <v>133</v>
      </c>
      <c r="G72" s="292">
        <v>0</v>
      </c>
      <c r="H72" s="154">
        <v>0</v>
      </c>
      <c r="I72" s="29">
        <v>0</v>
      </c>
      <c r="J72" s="183">
        <f t="shared" si="10"/>
        <v>0</v>
      </c>
    </row>
    <row r="73" spans="1:10" ht="14.95" thickBot="1" x14ac:dyDescent="0.3">
      <c r="A73" s="32" t="s">
        <v>137</v>
      </c>
      <c r="B73" s="296">
        <v>0</v>
      </c>
      <c r="C73" s="417">
        <v>0</v>
      </c>
      <c r="D73" s="416">
        <v>0</v>
      </c>
      <c r="E73" s="33">
        <f t="shared" si="9"/>
        <v>0</v>
      </c>
      <c r="F73" s="298" t="s">
        <v>134</v>
      </c>
      <c r="G73" s="292">
        <v>0</v>
      </c>
      <c r="H73" s="154">
        <v>0</v>
      </c>
      <c r="I73" s="29">
        <v>0</v>
      </c>
      <c r="J73" s="183">
        <f t="shared" si="10"/>
        <v>0</v>
      </c>
    </row>
    <row r="74" spans="1:10" ht="14.95" thickBot="1" x14ac:dyDescent="0.3">
      <c r="A74" s="32" t="s">
        <v>139</v>
      </c>
      <c r="B74" s="296">
        <v>0</v>
      </c>
      <c r="C74" s="417">
        <v>0</v>
      </c>
      <c r="D74" s="416">
        <v>0</v>
      </c>
      <c r="E74" s="33">
        <f t="shared" si="9"/>
        <v>0</v>
      </c>
      <c r="F74" s="298" t="s">
        <v>137</v>
      </c>
      <c r="G74" s="292">
        <v>0</v>
      </c>
      <c r="H74" s="154">
        <v>0</v>
      </c>
      <c r="I74" s="29">
        <v>0</v>
      </c>
      <c r="J74" s="183">
        <f t="shared" si="10"/>
        <v>0</v>
      </c>
    </row>
    <row r="75" spans="1:10" ht="14.95" thickBot="1" x14ac:dyDescent="0.3">
      <c r="A75" s="32" t="s">
        <v>140</v>
      </c>
      <c r="B75" s="296">
        <v>0</v>
      </c>
      <c r="C75" s="417">
        <v>0</v>
      </c>
      <c r="D75" s="416">
        <v>0</v>
      </c>
      <c r="E75" s="33">
        <f t="shared" si="9"/>
        <v>0</v>
      </c>
      <c r="F75" s="298" t="s">
        <v>140</v>
      </c>
      <c r="G75" s="292">
        <v>0</v>
      </c>
      <c r="H75" s="154">
        <v>0</v>
      </c>
      <c r="I75" s="29">
        <v>0</v>
      </c>
      <c r="J75" s="183">
        <f t="shared" si="10"/>
        <v>0</v>
      </c>
    </row>
    <row r="76" spans="1:10" ht="14.95" thickBot="1" x14ac:dyDescent="0.3">
      <c r="A76" s="32" t="s">
        <v>144</v>
      </c>
      <c r="B76" s="296">
        <v>0</v>
      </c>
      <c r="C76" s="417">
        <v>0</v>
      </c>
      <c r="D76" s="416">
        <v>0</v>
      </c>
      <c r="E76" s="33">
        <f t="shared" si="9"/>
        <v>0</v>
      </c>
      <c r="F76" s="298" t="s">
        <v>144</v>
      </c>
      <c r="G76" s="292">
        <v>0</v>
      </c>
      <c r="H76" s="154">
        <v>0</v>
      </c>
      <c r="I76" s="29">
        <v>0</v>
      </c>
      <c r="J76" s="183">
        <f t="shared" si="10"/>
        <v>0</v>
      </c>
    </row>
    <row r="77" spans="1:10" ht="14.95" thickBot="1" x14ac:dyDescent="0.3">
      <c r="A77" s="32" t="s">
        <v>142</v>
      </c>
      <c r="B77" s="296">
        <v>0</v>
      </c>
      <c r="C77" s="417">
        <v>0</v>
      </c>
      <c r="D77" s="416">
        <v>0</v>
      </c>
      <c r="E77" s="33">
        <f t="shared" si="9"/>
        <v>0</v>
      </c>
      <c r="F77" s="298" t="s">
        <v>142</v>
      </c>
      <c r="G77" s="292">
        <v>0</v>
      </c>
      <c r="H77" s="154">
        <v>0</v>
      </c>
      <c r="I77" s="29">
        <v>0</v>
      </c>
      <c r="J77" s="183">
        <f t="shared" si="10"/>
        <v>0</v>
      </c>
    </row>
    <row r="78" spans="1:10" ht="14.95" thickBot="1" x14ac:dyDescent="0.3">
      <c r="A78" s="32" t="s">
        <v>146</v>
      </c>
      <c r="B78" s="296">
        <v>0</v>
      </c>
      <c r="C78" s="417">
        <v>0</v>
      </c>
      <c r="D78" s="416">
        <v>0</v>
      </c>
      <c r="E78" s="33">
        <f t="shared" si="9"/>
        <v>0</v>
      </c>
      <c r="F78" s="298" t="s">
        <v>146</v>
      </c>
      <c r="G78" s="292">
        <v>0</v>
      </c>
      <c r="H78" s="154">
        <v>0</v>
      </c>
      <c r="I78" s="29">
        <v>0</v>
      </c>
      <c r="J78" s="183">
        <f t="shared" si="10"/>
        <v>0</v>
      </c>
    </row>
    <row r="79" spans="1:10" ht="14.95" thickBot="1" x14ac:dyDescent="0.3">
      <c r="A79" s="84" t="s">
        <v>3</v>
      </c>
      <c r="B79" s="295">
        <f>SUM(B42:B78)</f>
        <v>17</v>
      </c>
      <c r="C79" s="102">
        <f>SUM(C42:C78)</f>
        <v>16</v>
      </c>
      <c r="D79" s="247">
        <f>SUM(D42:D78)</f>
        <v>11</v>
      </c>
      <c r="E79" s="180">
        <f t="shared" ref="E79" si="11">SUM(B79:D79)</f>
        <v>44</v>
      </c>
      <c r="F79" s="297" t="s">
        <v>3</v>
      </c>
      <c r="G79" s="291">
        <f>SUM(G42:G78)</f>
        <v>107</v>
      </c>
      <c r="H79" s="153">
        <f>SUM(H42:H78)</f>
        <v>88</v>
      </c>
      <c r="I79" s="121">
        <f>SUM(I42:I78)</f>
        <v>67</v>
      </c>
      <c r="J79" s="182">
        <f t="shared" ref="J79" si="12">SUM(G79:I79)</f>
        <v>262</v>
      </c>
    </row>
    <row r="80" spans="1:10" ht="14.3" customHeight="1" x14ac:dyDescent="0.3">
      <c r="A80" s="455" t="s">
        <v>10</v>
      </c>
      <c r="B80" s="455"/>
      <c r="C80" s="455"/>
      <c r="D80" s="456"/>
    </row>
  </sheetData>
  <sortState xmlns:xlrd2="http://schemas.microsoft.com/office/spreadsheetml/2017/richdata2" ref="F43:J78">
    <sortCondition descending="1" ref="J43:J78"/>
  </sortState>
  <mergeCells count="20">
    <mergeCell ref="L18:N19"/>
    <mergeCell ref="O26:Q27"/>
    <mergeCell ref="V1:X2"/>
    <mergeCell ref="U11:W12"/>
    <mergeCell ref="A80:D80"/>
    <mergeCell ref="K18:K19"/>
    <mergeCell ref="O18:Q19"/>
    <mergeCell ref="K26:K27"/>
    <mergeCell ref="L26:N27"/>
    <mergeCell ref="AA1:AC2"/>
    <mergeCell ref="O11:Q12"/>
    <mergeCell ref="A1:J1"/>
    <mergeCell ref="R1:R2"/>
    <mergeCell ref="K1:K2"/>
    <mergeCell ref="L1:N2"/>
    <mergeCell ref="O1:Q2"/>
    <mergeCell ref="K11:K12"/>
    <mergeCell ref="L11:N12"/>
    <mergeCell ref="S1:U2"/>
    <mergeCell ref="R11:T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4FE2-89A8-4139-83A2-19D2BACED38C}">
  <dimension ref="A1:AC89"/>
  <sheetViews>
    <sheetView workbookViewId="0">
      <selection activeCell="A89" sqref="A89:D89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489" t="s">
        <v>791</v>
      </c>
      <c r="B1" s="490"/>
      <c r="C1" s="490"/>
      <c r="D1" s="490"/>
      <c r="E1" s="490"/>
      <c r="F1" s="490"/>
      <c r="G1" s="490"/>
      <c r="H1" s="490"/>
      <c r="I1" s="490"/>
      <c r="J1" s="491"/>
      <c r="K1" s="525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29" ht="14.95" customHeight="1" thickBot="1" x14ac:dyDescent="0.3">
      <c r="A2" s="67" t="s">
        <v>0</v>
      </c>
      <c r="B2" s="319" t="s">
        <v>444</v>
      </c>
      <c r="C2" s="314" t="s">
        <v>734</v>
      </c>
      <c r="D2" s="100" t="s">
        <v>11</v>
      </c>
      <c r="E2" s="70" t="s">
        <v>1</v>
      </c>
      <c r="F2" s="218" t="s">
        <v>2</v>
      </c>
      <c r="G2" s="308" t="s">
        <v>444</v>
      </c>
      <c r="H2" s="153" t="s">
        <v>734</v>
      </c>
      <c r="I2" s="182" t="s">
        <v>11</v>
      </c>
      <c r="J2" s="121" t="s">
        <v>1</v>
      </c>
      <c r="K2" s="526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50"/>
      <c r="AB2" s="451"/>
      <c r="AC2" s="452"/>
    </row>
    <row r="3" spans="1:29" ht="14.95" customHeight="1" thickBot="1" x14ac:dyDescent="0.3">
      <c r="A3" s="64" t="s">
        <v>354</v>
      </c>
      <c r="B3" s="320">
        <v>0</v>
      </c>
      <c r="C3" s="315">
        <v>0</v>
      </c>
      <c r="D3" s="101">
        <v>0</v>
      </c>
      <c r="E3" s="61">
        <f>SUM(B3:D3)</f>
        <v>0</v>
      </c>
      <c r="F3" s="122" t="s">
        <v>354</v>
      </c>
      <c r="G3" s="143">
        <v>0</v>
      </c>
      <c r="H3" s="311">
        <v>0</v>
      </c>
      <c r="I3" s="183">
        <v>0</v>
      </c>
      <c r="J3" s="29">
        <f t="shared" ref="J3:J44" si="0">SUM(G3:I3)</f>
        <v>0</v>
      </c>
      <c r="K3" s="4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64" t="s">
        <v>563</v>
      </c>
      <c r="B4" s="320">
        <v>1</v>
      </c>
      <c r="C4" s="315">
        <v>0</v>
      </c>
      <c r="D4" s="101">
        <v>0</v>
      </c>
      <c r="E4" s="61">
        <f t="shared" ref="E4:E44" si="1">SUM(B4:D4)</f>
        <v>1</v>
      </c>
      <c r="F4" s="122" t="s">
        <v>563</v>
      </c>
      <c r="G4" s="143">
        <v>5</v>
      </c>
      <c r="H4" s="311">
        <v>0</v>
      </c>
      <c r="I4" s="183">
        <v>0</v>
      </c>
      <c r="J4" s="29">
        <f t="shared" si="0"/>
        <v>5</v>
      </c>
      <c r="K4" s="64" t="s">
        <v>638</v>
      </c>
      <c r="L4" s="65">
        <v>0</v>
      </c>
      <c r="M4" s="65">
        <v>1</v>
      </c>
      <c r="N4" s="66">
        <f>SUM(L4/M4)*100</f>
        <v>0</v>
      </c>
      <c r="O4" s="65" t="s">
        <v>8</v>
      </c>
      <c r="P4" s="65" t="s">
        <v>8</v>
      </c>
      <c r="Q4" s="66" t="s">
        <v>8</v>
      </c>
      <c r="R4" s="203">
        <v>-1</v>
      </c>
      <c r="S4" s="61" t="s">
        <v>8</v>
      </c>
      <c r="T4" s="61" t="s">
        <v>8</v>
      </c>
      <c r="U4" s="120" t="s">
        <v>8</v>
      </c>
      <c r="V4" s="61" t="s">
        <v>8</v>
      </c>
      <c r="W4" s="61" t="s">
        <v>8</v>
      </c>
      <c r="X4" s="120" t="s">
        <v>8</v>
      </c>
      <c r="AA4" s="195" t="s">
        <v>8</v>
      </c>
      <c r="AB4" s="61" t="s">
        <v>8</v>
      </c>
      <c r="AC4" s="120" t="s">
        <v>8</v>
      </c>
    </row>
    <row r="5" spans="1:29" ht="14.95" customHeight="1" thickBot="1" x14ac:dyDescent="0.3">
      <c r="A5" s="64" t="s">
        <v>221</v>
      </c>
      <c r="B5" s="320">
        <v>0</v>
      </c>
      <c r="C5" s="315">
        <v>0</v>
      </c>
      <c r="D5" s="101">
        <v>1</v>
      </c>
      <c r="E5" s="61">
        <f t="shared" si="1"/>
        <v>1</v>
      </c>
      <c r="F5" s="123" t="s">
        <v>221</v>
      </c>
      <c r="G5" s="143">
        <v>0</v>
      </c>
      <c r="H5" s="311">
        <v>0</v>
      </c>
      <c r="I5" s="183">
        <v>5</v>
      </c>
      <c r="J5" s="29">
        <f t="shared" si="0"/>
        <v>5</v>
      </c>
      <c r="K5" s="64" t="s">
        <v>226</v>
      </c>
      <c r="L5" s="65">
        <v>10</v>
      </c>
      <c r="M5" s="65">
        <v>22</v>
      </c>
      <c r="N5" s="66">
        <f>SUM(L5/M5)*100</f>
        <v>45.454545454545453</v>
      </c>
      <c r="O5" s="65">
        <v>1</v>
      </c>
      <c r="P5" s="65">
        <v>4</v>
      </c>
      <c r="Q5" s="66">
        <f>SUM(O5/P5)*100</f>
        <v>25</v>
      </c>
      <c r="R5" s="203">
        <v>-2</v>
      </c>
      <c r="S5" s="61">
        <v>20</v>
      </c>
      <c r="T5" s="61">
        <v>33</v>
      </c>
      <c r="U5" s="120">
        <f>SUM(S5/T5)*100</f>
        <v>60.606060606060609</v>
      </c>
      <c r="V5" s="61">
        <v>25</v>
      </c>
      <c r="W5" s="61">
        <v>38</v>
      </c>
      <c r="X5" s="120">
        <f>SUM(V5/W5)*100</f>
        <v>65.789473684210535</v>
      </c>
      <c r="AA5" s="271">
        <v>7</v>
      </c>
      <c r="AB5" s="61">
        <v>18</v>
      </c>
      <c r="AC5" s="120">
        <f>SUM(AA5/AB5)*100</f>
        <v>38.888888888888893</v>
      </c>
    </row>
    <row r="6" spans="1:29" ht="14.95" customHeight="1" thickBot="1" x14ac:dyDescent="0.3">
      <c r="A6" s="64" t="s">
        <v>638</v>
      </c>
      <c r="B6" s="320">
        <v>0</v>
      </c>
      <c r="C6" s="315">
        <v>1</v>
      </c>
      <c r="D6" s="101">
        <v>1</v>
      </c>
      <c r="E6" s="61">
        <f t="shared" si="1"/>
        <v>2</v>
      </c>
      <c r="F6" s="123" t="s">
        <v>638</v>
      </c>
      <c r="G6" s="143">
        <v>0</v>
      </c>
      <c r="H6" s="311">
        <v>5</v>
      </c>
      <c r="I6" s="183">
        <v>5</v>
      </c>
      <c r="J6" s="29">
        <f t="shared" si="0"/>
        <v>10</v>
      </c>
      <c r="K6" s="64" t="s">
        <v>658</v>
      </c>
      <c r="L6" s="65" t="s">
        <v>8</v>
      </c>
      <c r="M6" s="65" t="s">
        <v>8</v>
      </c>
      <c r="N6" s="66" t="s">
        <v>8</v>
      </c>
      <c r="O6" s="65" t="s">
        <v>8</v>
      </c>
      <c r="P6" s="65" t="s">
        <v>8</v>
      </c>
      <c r="Q6" s="66" t="s">
        <v>8</v>
      </c>
      <c r="R6" s="203">
        <v>1</v>
      </c>
      <c r="S6" s="61">
        <v>1</v>
      </c>
      <c r="T6" s="61">
        <v>2</v>
      </c>
      <c r="U6" s="120">
        <v>50</v>
      </c>
      <c r="V6" s="61" t="s">
        <v>8</v>
      </c>
      <c r="W6" s="61" t="s">
        <v>8</v>
      </c>
      <c r="X6" s="120" t="s">
        <v>8</v>
      </c>
      <c r="AA6" s="271" t="s">
        <v>8</v>
      </c>
      <c r="AB6" s="61" t="s">
        <v>8</v>
      </c>
      <c r="AC6" s="120" t="s">
        <v>8</v>
      </c>
    </row>
    <row r="7" spans="1:29" ht="14.95" customHeight="1" thickBot="1" x14ac:dyDescent="0.3">
      <c r="A7" s="64" t="s">
        <v>650</v>
      </c>
      <c r="B7" s="320">
        <v>0</v>
      </c>
      <c r="C7" s="315">
        <v>1</v>
      </c>
      <c r="D7" s="101">
        <v>0</v>
      </c>
      <c r="E7" s="61">
        <f t="shared" si="1"/>
        <v>1</v>
      </c>
      <c r="F7" s="123" t="s">
        <v>650</v>
      </c>
      <c r="G7" s="143">
        <v>0</v>
      </c>
      <c r="H7" s="311">
        <v>5</v>
      </c>
      <c r="I7" s="183">
        <v>0</v>
      </c>
      <c r="J7" s="29">
        <f t="shared" si="0"/>
        <v>5</v>
      </c>
      <c r="K7" s="64" t="s">
        <v>448</v>
      </c>
      <c r="L7" s="65">
        <v>9</v>
      </c>
      <c r="M7" s="65">
        <v>16</v>
      </c>
      <c r="N7" s="66">
        <f>SUM(L7/M7)*100</f>
        <v>56.25</v>
      </c>
      <c r="O7" s="65" t="s">
        <v>8</v>
      </c>
      <c r="P7" s="65" t="s">
        <v>8</v>
      </c>
      <c r="Q7" s="66" t="s">
        <v>8</v>
      </c>
      <c r="R7" s="203">
        <v>-2</v>
      </c>
      <c r="S7" s="61" t="s">
        <v>8</v>
      </c>
      <c r="T7" s="61" t="s">
        <v>8</v>
      </c>
      <c r="U7" s="120" t="s">
        <v>8</v>
      </c>
      <c r="V7" s="61" t="s">
        <v>8</v>
      </c>
      <c r="W7" s="61" t="s">
        <v>8</v>
      </c>
      <c r="X7" s="120" t="s">
        <v>8</v>
      </c>
      <c r="AA7" s="195" t="s">
        <v>8</v>
      </c>
      <c r="AB7" s="61" t="s">
        <v>8</v>
      </c>
      <c r="AC7" s="120" t="s">
        <v>8</v>
      </c>
    </row>
    <row r="8" spans="1:29" ht="14.95" customHeight="1" thickBot="1" x14ac:dyDescent="0.3">
      <c r="A8" s="64" t="s">
        <v>278</v>
      </c>
      <c r="B8" s="320">
        <v>0</v>
      </c>
      <c r="C8" s="315">
        <v>1</v>
      </c>
      <c r="D8" s="101">
        <v>1</v>
      </c>
      <c r="E8" s="61">
        <f t="shared" si="1"/>
        <v>2</v>
      </c>
      <c r="F8" s="123" t="s">
        <v>278</v>
      </c>
      <c r="G8" s="143">
        <v>0</v>
      </c>
      <c r="H8" s="311">
        <v>5</v>
      </c>
      <c r="I8" s="183">
        <v>5</v>
      </c>
      <c r="J8" s="29">
        <f t="shared" si="0"/>
        <v>10</v>
      </c>
      <c r="K8" s="64" t="s">
        <v>262</v>
      </c>
      <c r="L8" s="65">
        <v>9</v>
      </c>
      <c r="M8" s="65">
        <v>17</v>
      </c>
      <c r="N8" s="66">
        <f>SUM(L8/M8)*100</f>
        <v>52.941176470588239</v>
      </c>
      <c r="O8" s="65">
        <v>1</v>
      </c>
      <c r="P8" s="65">
        <v>1</v>
      </c>
      <c r="Q8" s="66">
        <f>SUM(O8/P8)*100</f>
        <v>100</v>
      </c>
      <c r="R8" s="248">
        <v>1</v>
      </c>
      <c r="S8" s="61">
        <v>2</v>
      </c>
      <c r="T8" s="61">
        <v>3</v>
      </c>
      <c r="U8" s="120">
        <f>SUM(S8/T8)*100</f>
        <v>66.666666666666657</v>
      </c>
      <c r="V8" s="61">
        <v>0</v>
      </c>
      <c r="W8" s="61">
        <v>1</v>
      </c>
      <c r="X8" s="120">
        <f>SUM(V8/W8)*100</f>
        <v>0</v>
      </c>
      <c r="AA8" s="271">
        <v>2</v>
      </c>
      <c r="AB8" s="61">
        <v>4</v>
      </c>
      <c r="AC8" s="120">
        <f>SUM(AA8/AB8)*100</f>
        <v>50</v>
      </c>
    </row>
    <row r="9" spans="1:29" ht="14.95" customHeight="1" thickBot="1" x14ac:dyDescent="0.3">
      <c r="A9" s="64" t="s">
        <v>647</v>
      </c>
      <c r="B9" s="320">
        <v>2</v>
      </c>
      <c r="C9" s="315">
        <v>0</v>
      </c>
      <c r="D9" s="101">
        <v>2</v>
      </c>
      <c r="E9" s="61">
        <f t="shared" si="1"/>
        <v>4</v>
      </c>
      <c r="F9" s="123" t="s">
        <v>647</v>
      </c>
      <c r="G9" s="143">
        <v>10</v>
      </c>
      <c r="H9" s="311">
        <v>0</v>
      </c>
      <c r="I9" s="183">
        <v>10</v>
      </c>
      <c r="J9" s="29">
        <f t="shared" si="0"/>
        <v>20</v>
      </c>
      <c r="K9" s="64" t="s">
        <v>278</v>
      </c>
      <c r="L9" s="65" t="s">
        <v>8</v>
      </c>
      <c r="M9" s="65" t="s">
        <v>8</v>
      </c>
      <c r="N9" s="66" t="s">
        <v>8</v>
      </c>
      <c r="O9" s="65" t="s">
        <v>8</v>
      </c>
      <c r="P9" s="65" t="s">
        <v>8</v>
      </c>
      <c r="Q9" s="66" t="s">
        <v>8</v>
      </c>
      <c r="R9" s="203">
        <v>1</v>
      </c>
      <c r="S9" s="61" t="s">
        <v>8</v>
      </c>
      <c r="T9" s="61" t="s">
        <v>8</v>
      </c>
      <c r="U9" s="120" t="s">
        <v>8</v>
      </c>
      <c r="V9" s="61" t="s">
        <v>8</v>
      </c>
      <c r="W9" s="61" t="s">
        <v>8</v>
      </c>
      <c r="X9" s="120" t="s">
        <v>8</v>
      </c>
      <c r="AA9" s="271">
        <v>1</v>
      </c>
      <c r="AB9" s="61">
        <v>1</v>
      </c>
      <c r="AC9" s="120">
        <f>SUM(AA9/AB9)*100</f>
        <v>100</v>
      </c>
    </row>
    <row r="10" spans="1:29" ht="14.95" customHeight="1" thickBot="1" x14ac:dyDescent="0.3">
      <c r="A10" s="64" t="s">
        <v>286</v>
      </c>
      <c r="B10" s="320">
        <v>0</v>
      </c>
      <c r="C10" s="315">
        <v>0</v>
      </c>
      <c r="D10" s="101">
        <v>0</v>
      </c>
      <c r="E10" s="61">
        <f t="shared" si="1"/>
        <v>0</v>
      </c>
      <c r="F10" s="123" t="s">
        <v>286</v>
      </c>
      <c r="G10" s="143">
        <v>0</v>
      </c>
      <c r="H10" s="311">
        <v>0</v>
      </c>
      <c r="I10" s="183">
        <v>0</v>
      </c>
      <c r="J10" s="29">
        <f t="shared" si="0"/>
        <v>0</v>
      </c>
      <c r="K10" s="229"/>
      <c r="L10" s="201"/>
      <c r="M10" s="197"/>
      <c r="N10" s="202"/>
      <c r="O10" s="197"/>
      <c r="P10" s="197"/>
      <c r="Q10" s="198"/>
      <c r="R10" s="199"/>
    </row>
    <row r="11" spans="1:29" ht="14.95" customHeight="1" thickBot="1" x14ac:dyDescent="0.3">
      <c r="A11" s="64" t="s">
        <v>355</v>
      </c>
      <c r="B11" s="320">
        <v>0</v>
      </c>
      <c r="C11" s="315">
        <v>1</v>
      </c>
      <c r="D11" s="101">
        <v>0</v>
      </c>
      <c r="E11" s="61">
        <f t="shared" si="1"/>
        <v>1</v>
      </c>
      <c r="F11" s="123" t="s">
        <v>355</v>
      </c>
      <c r="G11" s="143">
        <v>0</v>
      </c>
      <c r="H11" s="311">
        <v>5</v>
      </c>
      <c r="I11" s="183">
        <v>0</v>
      </c>
      <c r="J11" s="29">
        <f t="shared" si="0"/>
        <v>5</v>
      </c>
      <c r="K11" s="529" t="s">
        <v>447</v>
      </c>
      <c r="L11" s="461">
        <v>2025</v>
      </c>
      <c r="M11" s="462"/>
      <c r="N11" s="463"/>
      <c r="O11" s="447">
        <v>2024</v>
      </c>
      <c r="P11" s="448"/>
      <c r="Q11" s="449"/>
      <c r="R11" s="447">
        <v>2023</v>
      </c>
      <c r="S11" s="448"/>
      <c r="T11" s="449"/>
    </row>
    <row r="12" spans="1:29" ht="14.95" customHeight="1" thickBot="1" x14ac:dyDescent="0.3">
      <c r="A12" s="64" t="s">
        <v>356</v>
      </c>
      <c r="B12" s="320">
        <v>0</v>
      </c>
      <c r="C12" s="315">
        <v>1</v>
      </c>
      <c r="D12" s="101">
        <v>0</v>
      </c>
      <c r="E12" s="61">
        <f t="shared" si="1"/>
        <v>1</v>
      </c>
      <c r="F12" s="123" t="s">
        <v>356</v>
      </c>
      <c r="G12" s="143">
        <v>0</v>
      </c>
      <c r="H12" s="311">
        <v>5</v>
      </c>
      <c r="I12" s="183">
        <v>0</v>
      </c>
      <c r="J12" s="29">
        <f t="shared" si="0"/>
        <v>5</v>
      </c>
      <c r="K12" s="530"/>
      <c r="L12" s="464"/>
      <c r="M12" s="465"/>
      <c r="N12" s="466"/>
      <c r="O12" s="450"/>
      <c r="P12" s="451"/>
      <c r="Q12" s="452"/>
      <c r="R12" s="450"/>
      <c r="S12" s="451"/>
      <c r="T12" s="452"/>
    </row>
    <row r="13" spans="1:29" ht="14.95" customHeight="1" thickBot="1" x14ac:dyDescent="0.3">
      <c r="A13" s="64" t="s">
        <v>499</v>
      </c>
      <c r="B13" s="320">
        <v>4</v>
      </c>
      <c r="C13" s="315">
        <v>0</v>
      </c>
      <c r="D13" s="101">
        <v>0</v>
      </c>
      <c r="E13" s="61">
        <f t="shared" si="1"/>
        <v>4</v>
      </c>
      <c r="F13" s="123" t="s">
        <v>499</v>
      </c>
      <c r="G13" s="143">
        <v>20</v>
      </c>
      <c r="H13" s="311">
        <v>0</v>
      </c>
      <c r="I13" s="183">
        <v>0</v>
      </c>
      <c r="J13" s="29">
        <f t="shared" si="0"/>
        <v>20</v>
      </c>
      <c r="K13" s="221"/>
      <c r="L13" s="29" t="s">
        <v>17</v>
      </c>
      <c r="M13" s="29" t="s">
        <v>5</v>
      </c>
      <c r="N13" s="29" t="s">
        <v>6</v>
      </c>
      <c r="O13" s="61" t="s">
        <v>17</v>
      </c>
      <c r="P13" s="61" t="s">
        <v>5</v>
      </c>
      <c r="Q13" s="61" t="s">
        <v>6</v>
      </c>
      <c r="R13" s="61" t="s">
        <v>17</v>
      </c>
      <c r="S13" s="61" t="s">
        <v>5</v>
      </c>
      <c r="T13" s="61" t="s">
        <v>6</v>
      </c>
    </row>
    <row r="14" spans="1:29" ht="14.95" customHeight="1" thickBot="1" x14ac:dyDescent="0.3">
      <c r="A14" s="64" t="s">
        <v>446</v>
      </c>
      <c r="B14" s="320">
        <v>1</v>
      </c>
      <c r="C14" s="315">
        <v>0</v>
      </c>
      <c r="D14" s="101">
        <v>1</v>
      </c>
      <c r="E14" s="61">
        <f t="shared" si="1"/>
        <v>2</v>
      </c>
      <c r="F14" s="123" t="s">
        <v>446</v>
      </c>
      <c r="G14" s="143">
        <v>5</v>
      </c>
      <c r="H14" s="311">
        <v>0</v>
      </c>
      <c r="I14" s="183">
        <v>5</v>
      </c>
      <c r="J14" s="29">
        <f t="shared" si="0"/>
        <v>10</v>
      </c>
      <c r="K14" s="64" t="s">
        <v>448</v>
      </c>
      <c r="L14" s="223">
        <v>9</v>
      </c>
      <c r="M14" s="223">
        <v>16</v>
      </c>
      <c r="N14" s="224">
        <f>SUM(L14/M14)*100</f>
        <v>56.25</v>
      </c>
      <c r="O14" s="61">
        <v>11</v>
      </c>
      <c r="P14" s="61">
        <v>15</v>
      </c>
      <c r="Q14" s="120">
        <f>SUM(O14/P14)*100</f>
        <v>73.333333333333329</v>
      </c>
      <c r="R14" s="61">
        <v>8</v>
      </c>
      <c r="S14" s="61">
        <v>12</v>
      </c>
      <c r="T14" s="120">
        <f>SUM(R14/S14)*100</f>
        <v>66.666666666666657</v>
      </c>
    </row>
    <row r="15" spans="1:29" ht="14.95" customHeight="1" thickBot="1" x14ac:dyDescent="0.3">
      <c r="A15" s="64" t="s">
        <v>807</v>
      </c>
      <c r="B15" s="320">
        <v>1</v>
      </c>
      <c r="C15" s="315">
        <v>0</v>
      </c>
      <c r="D15" s="101">
        <v>2</v>
      </c>
      <c r="E15" s="61">
        <f t="shared" si="1"/>
        <v>3</v>
      </c>
      <c r="F15" s="123" t="s">
        <v>807</v>
      </c>
      <c r="G15" s="143">
        <v>5</v>
      </c>
      <c r="H15" s="311">
        <v>0</v>
      </c>
      <c r="I15" s="183">
        <v>10</v>
      </c>
      <c r="J15" s="29">
        <f t="shared" si="0"/>
        <v>15</v>
      </c>
      <c r="K15" s="64" t="s">
        <v>226</v>
      </c>
      <c r="L15" s="223">
        <v>5</v>
      </c>
      <c r="M15" s="223">
        <v>9</v>
      </c>
      <c r="N15" s="224">
        <f>SUM(L15/M15)*100</f>
        <v>55.555555555555557</v>
      </c>
      <c r="O15" s="61">
        <v>11</v>
      </c>
      <c r="P15" s="61">
        <v>15</v>
      </c>
      <c r="Q15" s="120">
        <f>SUM(O15/P15)*100</f>
        <v>73.333333333333329</v>
      </c>
      <c r="R15" s="61">
        <v>8</v>
      </c>
      <c r="S15" s="61">
        <v>12</v>
      </c>
      <c r="T15" s="120">
        <f>SUM(R15/S15)*100</f>
        <v>66.666666666666657</v>
      </c>
    </row>
    <row r="16" spans="1:29" ht="14.95" customHeight="1" thickBot="1" x14ac:dyDescent="0.3">
      <c r="A16" s="64" t="s">
        <v>357</v>
      </c>
      <c r="B16" s="320">
        <v>4</v>
      </c>
      <c r="C16" s="315">
        <v>0</v>
      </c>
      <c r="D16" s="101">
        <v>0</v>
      </c>
      <c r="E16" s="61">
        <f t="shared" si="1"/>
        <v>4</v>
      </c>
      <c r="F16" s="123" t="s">
        <v>357</v>
      </c>
      <c r="G16" s="143">
        <v>20</v>
      </c>
      <c r="H16" s="311">
        <v>0</v>
      </c>
      <c r="I16" s="183">
        <v>0</v>
      </c>
      <c r="J16" s="29">
        <f t="shared" si="0"/>
        <v>20</v>
      </c>
      <c r="K16" s="200"/>
      <c r="L16" s="219"/>
      <c r="M16" s="197"/>
      <c r="N16" s="220"/>
    </row>
    <row r="17" spans="1:20" ht="14.95" customHeight="1" thickBot="1" x14ac:dyDescent="0.3">
      <c r="A17" s="64" t="s">
        <v>924</v>
      </c>
      <c r="B17" s="320">
        <v>0</v>
      </c>
      <c r="C17" s="315">
        <v>0</v>
      </c>
      <c r="D17" s="101">
        <v>1</v>
      </c>
      <c r="E17" s="61">
        <f t="shared" si="1"/>
        <v>1</v>
      </c>
      <c r="F17" s="123" t="s">
        <v>924</v>
      </c>
      <c r="G17" s="143">
        <v>0</v>
      </c>
      <c r="H17" s="311">
        <v>0</v>
      </c>
      <c r="I17" s="183">
        <v>5</v>
      </c>
      <c r="J17" s="29">
        <f t="shared" si="0"/>
        <v>5</v>
      </c>
      <c r="K17" s="527" t="s">
        <v>351</v>
      </c>
      <c r="L17" s="461">
        <v>2025</v>
      </c>
      <c r="M17" s="462"/>
      <c r="N17" s="463"/>
      <c r="O17" s="447">
        <v>2022</v>
      </c>
      <c r="P17" s="448"/>
      <c r="Q17" s="449"/>
    </row>
    <row r="18" spans="1:20" ht="14.95" customHeight="1" thickBot="1" x14ac:dyDescent="0.3">
      <c r="A18" s="64" t="s">
        <v>651</v>
      </c>
      <c r="B18" s="320">
        <v>0</v>
      </c>
      <c r="C18" s="315">
        <v>0</v>
      </c>
      <c r="D18" s="101">
        <v>0</v>
      </c>
      <c r="E18" s="61">
        <f t="shared" si="1"/>
        <v>0</v>
      </c>
      <c r="F18" s="123" t="s">
        <v>651</v>
      </c>
      <c r="G18" s="143">
        <v>0</v>
      </c>
      <c r="H18" s="311">
        <v>0</v>
      </c>
      <c r="I18" s="183">
        <v>0</v>
      </c>
      <c r="J18" s="29">
        <f t="shared" si="0"/>
        <v>0</v>
      </c>
      <c r="K18" s="528"/>
      <c r="L18" s="464"/>
      <c r="M18" s="465"/>
      <c r="N18" s="466"/>
      <c r="O18" s="450"/>
      <c r="P18" s="451"/>
      <c r="Q18" s="452"/>
    </row>
    <row r="19" spans="1:20" ht="14.95" customHeight="1" thickBot="1" x14ac:dyDescent="0.3">
      <c r="A19" s="64" t="s">
        <v>792</v>
      </c>
      <c r="B19" s="320">
        <v>0</v>
      </c>
      <c r="C19" s="315">
        <v>0</v>
      </c>
      <c r="D19" s="101">
        <v>2</v>
      </c>
      <c r="E19" s="61">
        <f t="shared" si="1"/>
        <v>2</v>
      </c>
      <c r="F19" s="123" t="s">
        <v>792</v>
      </c>
      <c r="G19" s="143">
        <v>0</v>
      </c>
      <c r="H19" s="311">
        <v>0</v>
      </c>
      <c r="I19" s="183">
        <v>10</v>
      </c>
      <c r="J19" s="29">
        <f t="shared" si="0"/>
        <v>10</v>
      </c>
      <c r="K19" s="321"/>
      <c r="L19" s="29" t="s">
        <v>17</v>
      </c>
      <c r="M19" s="29" t="s">
        <v>5</v>
      </c>
      <c r="N19" s="29" t="s">
        <v>6</v>
      </c>
      <c r="O19" s="61" t="s">
        <v>17</v>
      </c>
      <c r="P19" s="61" t="s">
        <v>5</v>
      </c>
      <c r="Q19" s="61" t="s">
        <v>6</v>
      </c>
    </row>
    <row r="20" spans="1:20" ht="14.95" customHeight="1" thickBot="1" x14ac:dyDescent="0.3">
      <c r="A20" s="64" t="s">
        <v>658</v>
      </c>
      <c r="B20" s="320">
        <v>0</v>
      </c>
      <c r="C20" s="315">
        <v>0</v>
      </c>
      <c r="D20" s="101">
        <v>1</v>
      </c>
      <c r="E20" s="61">
        <f t="shared" si="1"/>
        <v>1</v>
      </c>
      <c r="F20" s="123" t="s">
        <v>658</v>
      </c>
      <c r="G20" s="143">
        <v>0</v>
      </c>
      <c r="H20" s="311">
        <v>0</v>
      </c>
      <c r="I20" s="183">
        <v>5</v>
      </c>
      <c r="J20" s="29">
        <f t="shared" si="0"/>
        <v>5</v>
      </c>
      <c r="K20" s="64" t="s">
        <v>226</v>
      </c>
      <c r="L20" s="65">
        <v>4</v>
      </c>
      <c r="M20" s="65">
        <v>8</v>
      </c>
      <c r="N20" s="66">
        <f>SUM(L20/M20)*100</f>
        <v>50</v>
      </c>
      <c r="O20" s="61">
        <v>1</v>
      </c>
      <c r="P20" s="61">
        <v>5</v>
      </c>
      <c r="Q20" s="120">
        <v>20</v>
      </c>
    </row>
    <row r="21" spans="1:20" ht="14.95" customHeight="1" thickBot="1" x14ac:dyDescent="0.3">
      <c r="A21" s="64" t="s">
        <v>809</v>
      </c>
      <c r="B21" s="320">
        <v>2</v>
      </c>
      <c r="C21" s="315">
        <v>0</v>
      </c>
      <c r="D21" s="101">
        <v>0</v>
      </c>
      <c r="E21" s="61">
        <f t="shared" si="1"/>
        <v>2</v>
      </c>
      <c r="F21" s="123" t="s">
        <v>809</v>
      </c>
      <c r="G21" s="143">
        <v>10</v>
      </c>
      <c r="H21" s="311">
        <v>0</v>
      </c>
      <c r="I21" s="183">
        <v>0</v>
      </c>
      <c r="J21" s="29">
        <f t="shared" si="0"/>
        <v>10</v>
      </c>
      <c r="K21" s="64" t="s">
        <v>278</v>
      </c>
      <c r="L21" s="65" t="s">
        <v>8</v>
      </c>
      <c r="M21" s="65" t="s">
        <v>8</v>
      </c>
      <c r="N21" s="66" t="s">
        <v>8</v>
      </c>
      <c r="O21" s="61">
        <v>1</v>
      </c>
      <c r="P21" s="61">
        <v>1</v>
      </c>
      <c r="Q21" s="120">
        <v>100</v>
      </c>
      <c r="R21" s="9"/>
      <c r="S21" s="9"/>
      <c r="T21" s="9"/>
    </row>
    <row r="22" spans="1:20" ht="14.95" customHeight="1" thickBot="1" x14ac:dyDescent="0.3">
      <c r="A22" s="64" t="s">
        <v>825</v>
      </c>
      <c r="B22" s="320">
        <v>1</v>
      </c>
      <c r="C22" s="315">
        <v>0</v>
      </c>
      <c r="D22" s="101">
        <v>0</v>
      </c>
      <c r="E22" s="61">
        <f t="shared" si="1"/>
        <v>1</v>
      </c>
      <c r="F22" s="123" t="s">
        <v>825</v>
      </c>
      <c r="G22" s="143">
        <v>5</v>
      </c>
      <c r="H22" s="311">
        <v>0</v>
      </c>
      <c r="I22" s="183">
        <v>0</v>
      </c>
      <c r="J22" s="29">
        <f t="shared" si="0"/>
        <v>5</v>
      </c>
      <c r="K22" s="64" t="s">
        <v>262</v>
      </c>
      <c r="L22" s="420">
        <v>1</v>
      </c>
      <c r="M22" s="420">
        <v>1</v>
      </c>
      <c r="N22" s="421">
        <f>SUM(L22/M22)*100</f>
        <v>100</v>
      </c>
      <c r="O22" s="61" t="s">
        <v>8</v>
      </c>
      <c r="P22" s="61" t="s">
        <v>8</v>
      </c>
      <c r="Q22" s="120" t="s">
        <v>8</v>
      </c>
      <c r="R22" s="9"/>
      <c r="S22" s="9"/>
      <c r="T22" s="9"/>
    </row>
    <row r="23" spans="1:20" ht="14.95" customHeight="1" thickBot="1" x14ac:dyDescent="0.3">
      <c r="A23" s="64" t="s">
        <v>358</v>
      </c>
      <c r="B23" s="320">
        <v>0</v>
      </c>
      <c r="C23" s="315">
        <v>1</v>
      </c>
      <c r="D23" s="101">
        <v>2</v>
      </c>
      <c r="E23" s="61">
        <f t="shared" si="1"/>
        <v>3</v>
      </c>
      <c r="F23" s="123" t="s">
        <v>358</v>
      </c>
      <c r="G23" s="143">
        <v>0</v>
      </c>
      <c r="H23" s="311">
        <v>5</v>
      </c>
      <c r="I23" s="183">
        <v>10</v>
      </c>
      <c r="J23" s="29">
        <f t="shared" si="0"/>
        <v>15</v>
      </c>
      <c r="O23" s="20"/>
      <c r="P23" s="20"/>
      <c r="Q23" s="23"/>
    </row>
    <row r="24" spans="1:20" ht="14.95" customHeight="1" thickBot="1" x14ac:dyDescent="0.3">
      <c r="A24" s="64" t="s">
        <v>359</v>
      </c>
      <c r="B24" s="320">
        <v>0</v>
      </c>
      <c r="C24" s="315">
        <v>0</v>
      </c>
      <c r="D24" s="101">
        <v>0</v>
      </c>
      <c r="E24" s="61">
        <f t="shared" si="1"/>
        <v>0</v>
      </c>
      <c r="F24" s="123" t="s">
        <v>359</v>
      </c>
      <c r="G24" s="143">
        <v>0</v>
      </c>
      <c r="H24" s="311">
        <v>0</v>
      </c>
      <c r="I24" s="183">
        <v>0</v>
      </c>
      <c r="J24" s="29">
        <f t="shared" si="0"/>
        <v>0</v>
      </c>
      <c r="K24" s="477" t="s">
        <v>509</v>
      </c>
      <c r="L24" s="447">
        <v>2024</v>
      </c>
      <c r="M24" s="448"/>
      <c r="N24" s="449"/>
      <c r="O24" s="447">
        <v>2023</v>
      </c>
      <c r="P24" s="448"/>
      <c r="Q24" s="449"/>
    </row>
    <row r="25" spans="1:20" ht="14.95" customHeight="1" thickBot="1" x14ac:dyDescent="0.3">
      <c r="A25" s="64" t="s">
        <v>808</v>
      </c>
      <c r="B25" s="320">
        <v>1</v>
      </c>
      <c r="C25" s="315">
        <v>0</v>
      </c>
      <c r="D25" s="101">
        <v>0</v>
      </c>
      <c r="E25" s="61">
        <f t="shared" si="1"/>
        <v>1</v>
      </c>
      <c r="F25" s="123" t="s">
        <v>808</v>
      </c>
      <c r="G25" s="143">
        <v>5</v>
      </c>
      <c r="H25" s="311">
        <v>0</v>
      </c>
      <c r="I25" s="183">
        <v>0</v>
      </c>
      <c r="J25" s="29">
        <f t="shared" si="0"/>
        <v>5</v>
      </c>
      <c r="K25" s="478"/>
      <c r="L25" s="450"/>
      <c r="M25" s="451"/>
      <c r="N25" s="452"/>
      <c r="O25" s="450"/>
      <c r="P25" s="451"/>
      <c r="Q25" s="452"/>
    </row>
    <row r="26" spans="1:20" ht="14.95" customHeight="1" thickBot="1" x14ac:dyDescent="0.3">
      <c r="A26" s="64" t="s">
        <v>1007</v>
      </c>
      <c r="B26" s="320">
        <v>0</v>
      </c>
      <c r="C26" s="315">
        <v>1</v>
      </c>
      <c r="D26" s="101">
        <v>0</v>
      </c>
      <c r="E26" s="61">
        <f t="shared" si="1"/>
        <v>1</v>
      </c>
      <c r="F26" s="123" t="s">
        <v>1007</v>
      </c>
      <c r="G26" s="143">
        <v>0</v>
      </c>
      <c r="H26" s="311">
        <v>5</v>
      </c>
      <c r="I26" s="183">
        <v>0</v>
      </c>
      <c r="J26" s="29">
        <f t="shared" si="0"/>
        <v>5</v>
      </c>
      <c r="K26" s="231"/>
      <c r="L26" s="61" t="s">
        <v>17</v>
      </c>
      <c r="M26" s="61" t="s">
        <v>5</v>
      </c>
      <c r="N26" s="61" t="s">
        <v>6</v>
      </c>
      <c r="O26" s="61" t="s">
        <v>17</v>
      </c>
      <c r="P26" s="61" t="s">
        <v>5</v>
      </c>
      <c r="Q26" s="61" t="s">
        <v>6</v>
      </c>
    </row>
    <row r="27" spans="1:20" ht="14.95" customHeight="1" thickBot="1" x14ac:dyDescent="0.3">
      <c r="A27" s="64" t="s">
        <v>824</v>
      </c>
      <c r="B27" s="320">
        <v>1</v>
      </c>
      <c r="C27" s="315">
        <v>0</v>
      </c>
      <c r="D27" s="101">
        <v>0</v>
      </c>
      <c r="E27" s="61">
        <f t="shared" si="1"/>
        <v>1</v>
      </c>
      <c r="F27" s="123" t="s">
        <v>824</v>
      </c>
      <c r="G27" s="143">
        <v>5</v>
      </c>
      <c r="H27" s="311">
        <v>0</v>
      </c>
      <c r="I27" s="183">
        <v>0</v>
      </c>
      <c r="J27" s="29">
        <f t="shared" si="0"/>
        <v>5</v>
      </c>
      <c r="K27" s="64" t="s">
        <v>226</v>
      </c>
      <c r="L27" s="61">
        <v>2</v>
      </c>
      <c r="M27" s="61">
        <v>6</v>
      </c>
      <c r="N27" s="120">
        <f>SUM(L27/M27)*100</f>
        <v>33.333333333333329</v>
      </c>
      <c r="O27" s="61">
        <v>6</v>
      </c>
      <c r="P27" s="61">
        <v>9</v>
      </c>
      <c r="Q27" s="120">
        <v>20</v>
      </c>
    </row>
    <row r="28" spans="1:20" ht="14.95" customHeight="1" thickBot="1" x14ac:dyDescent="0.3">
      <c r="A28" s="64" t="s">
        <v>810</v>
      </c>
      <c r="B28" s="320">
        <v>2</v>
      </c>
      <c r="C28" s="315">
        <v>0</v>
      </c>
      <c r="D28" s="101">
        <v>0</v>
      </c>
      <c r="E28" s="61">
        <f t="shared" si="1"/>
        <v>2</v>
      </c>
      <c r="F28" s="123" t="s">
        <v>810</v>
      </c>
      <c r="G28" s="143">
        <v>10</v>
      </c>
      <c r="H28" s="311">
        <v>0</v>
      </c>
      <c r="I28" s="183">
        <v>0</v>
      </c>
      <c r="J28" s="29">
        <f t="shared" si="0"/>
        <v>10</v>
      </c>
      <c r="K28" s="64" t="s">
        <v>658</v>
      </c>
      <c r="L28" s="61">
        <v>1</v>
      </c>
      <c r="M28" s="61">
        <v>2</v>
      </c>
      <c r="N28" s="120">
        <f>SUM(L28/M28)*100</f>
        <v>50</v>
      </c>
      <c r="O28" s="61" t="s">
        <v>8</v>
      </c>
      <c r="P28" s="61" t="s">
        <v>8</v>
      </c>
      <c r="Q28" s="120" t="s">
        <v>8</v>
      </c>
    </row>
    <row r="29" spans="1:20" ht="14.95" customHeight="1" thickBot="1" x14ac:dyDescent="0.3">
      <c r="A29" s="64" t="s">
        <v>448</v>
      </c>
      <c r="B29" s="320">
        <v>0</v>
      </c>
      <c r="C29" s="315">
        <v>1</v>
      </c>
      <c r="D29" s="101">
        <v>0</v>
      </c>
      <c r="E29" s="61">
        <f t="shared" si="1"/>
        <v>1</v>
      </c>
      <c r="F29" s="123" t="s">
        <v>448</v>
      </c>
      <c r="G29" s="143">
        <v>18</v>
      </c>
      <c r="H29" s="311">
        <v>5</v>
      </c>
      <c r="I29" s="183">
        <v>0</v>
      </c>
      <c r="J29" s="29">
        <f t="shared" si="0"/>
        <v>23</v>
      </c>
      <c r="K29" s="64" t="s">
        <v>262</v>
      </c>
      <c r="L29" s="61">
        <v>0</v>
      </c>
      <c r="M29" s="61">
        <v>1</v>
      </c>
      <c r="N29" s="120">
        <f>SUM(L29/M29)*100</f>
        <v>0</v>
      </c>
      <c r="O29" s="61">
        <v>0</v>
      </c>
      <c r="P29" s="61">
        <v>1</v>
      </c>
      <c r="Q29" s="120">
        <f>SUM(O29/P29)*100</f>
        <v>0</v>
      </c>
    </row>
    <row r="30" spans="1:20" ht="14.95" customHeight="1" thickBot="1" x14ac:dyDescent="0.3">
      <c r="A30" s="64" t="s">
        <v>226</v>
      </c>
      <c r="B30" s="320">
        <v>0</v>
      </c>
      <c r="C30" s="315">
        <v>0</v>
      </c>
      <c r="D30" s="101">
        <v>0</v>
      </c>
      <c r="E30" s="61">
        <f t="shared" si="1"/>
        <v>0</v>
      </c>
      <c r="F30" s="123" t="s">
        <v>226</v>
      </c>
      <c r="G30" s="143">
        <v>10</v>
      </c>
      <c r="H30" s="311">
        <v>8</v>
      </c>
      <c r="I30" s="183">
        <v>3</v>
      </c>
      <c r="J30" s="29">
        <f t="shared" si="0"/>
        <v>21</v>
      </c>
      <c r="K30" s="229"/>
    </row>
    <row r="31" spans="1:20" ht="14.95" customHeight="1" thickBot="1" x14ac:dyDescent="0.3">
      <c r="A31" s="64" t="s">
        <v>826</v>
      </c>
      <c r="B31" s="320">
        <v>4</v>
      </c>
      <c r="C31" s="315">
        <v>0</v>
      </c>
      <c r="D31" s="101">
        <v>0</v>
      </c>
      <c r="E31" s="61">
        <f t="shared" si="1"/>
        <v>4</v>
      </c>
      <c r="F31" s="123" t="s">
        <v>826</v>
      </c>
      <c r="G31" s="143">
        <v>20</v>
      </c>
      <c r="H31" s="311">
        <v>0</v>
      </c>
      <c r="I31" s="183">
        <v>0</v>
      </c>
      <c r="J31" s="29">
        <f t="shared" si="0"/>
        <v>20</v>
      </c>
    </row>
    <row r="32" spans="1:20" ht="14.95" customHeight="1" thickBot="1" x14ac:dyDescent="0.3">
      <c r="A32" s="64" t="s">
        <v>212</v>
      </c>
      <c r="B32" s="320">
        <v>0</v>
      </c>
      <c r="C32" s="315">
        <v>1</v>
      </c>
      <c r="D32" s="101">
        <v>0</v>
      </c>
      <c r="E32" s="61">
        <f t="shared" si="1"/>
        <v>1</v>
      </c>
      <c r="F32" s="123" t="s">
        <v>212</v>
      </c>
      <c r="G32" s="143">
        <v>0</v>
      </c>
      <c r="H32" s="311">
        <v>7</v>
      </c>
      <c r="I32" s="183">
        <v>0</v>
      </c>
      <c r="J32" s="29">
        <f t="shared" si="0"/>
        <v>7</v>
      </c>
    </row>
    <row r="33" spans="1:10" ht="14.95" customHeight="1" thickBot="1" x14ac:dyDescent="0.3">
      <c r="A33" s="64" t="s">
        <v>328</v>
      </c>
      <c r="B33" s="320">
        <v>0</v>
      </c>
      <c r="C33" s="315">
        <v>0</v>
      </c>
      <c r="D33" s="101">
        <v>0</v>
      </c>
      <c r="E33" s="61">
        <f t="shared" si="1"/>
        <v>0</v>
      </c>
      <c r="F33" s="123" t="s">
        <v>328</v>
      </c>
      <c r="G33" s="143">
        <v>0</v>
      </c>
      <c r="H33" s="311">
        <v>0</v>
      </c>
      <c r="I33" s="183">
        <v>0</v>
      </c>
      <c r="J33" s="29">
        <f t="shared" si="0"/>
        <v>0</v>
      </c>
    </row>
    <row r="34" spans="1:10" ht="14.95" customHeight="1" thickBot="1" x14ac:dyDescent="0.3">
      <c r="A34" s="64" t="s">
        <v>220</v>
      </c>
      <c r="B34" s="320">
        <v>0</v>
      </c>
      <c r="C34" s="315">
        <v>0</v>
      </c>
      <c r="D34" s="101">
        <v>0</v>
      </c>
      <c r="E34" s="61">
        <f t="shared" si="1"/>
        <v>0</v>
      </c>
      <c r="F34" s="123" t="s">
        <v>220</v>
      </c>
      <c r="G34" s="143">
        <v>0</v>
      </c>
      <c r="H34" s="311">
        <v>0</v>
      </c>
      <c r="I34" s="183">
        <v>0</v>
      </c>
      <c r="J34" s="29">
        <f t="shared" si="0"/>
        <v>0</v>
      </c>
    </row>
    <row r="35" spans="1:10" ht="14.95" customHeight="1" thickBot="1" x14ac:dyDescent="0.3">
      <c r="A35" s="64" t="s">
        <v>360</v>
      </c>
      <c r="B35" s="320">
        <v>0</v>
      </c>
      <c r="C35" s="315">
        <v>0</v>
      </c>
      <c r="D35" s="101">
        <v>0</v>
      </c>
      <c r="E35" s="61">
        <f t="shared" si="1"/>
        <v>0</v>
      </c>
      <c r="F35" s="123" t="s">
        <v>360</v>
      </c>
      <c r="G35" s="143">
        <v>0</v>
      </c>
      <c r="H35" s="311">
        <v>0</v>
      </c>
      <c r="I35" s="183">
        <v>0</v>
      </c>
      <c r="J35" s="29">
        <f t="shared" si="0"/>
        <v>0</v>
      </c>
    </row>
    <row r="36" spans="1:10" ht="14.95" customHeight="1" thickBot="1" x14ac:dyDescent="0.3">
      <c r="A36" s="64" t="s">
        <v>362</v>
      </c>
      <c r="B36" s="320">
        <v>0</v>
      </c>
      <c r="C36" s="315">
        <v>0</v>
      </c>
      <c r="D36" s="101">
        <v>0</v>
      </c>
      <c r="E36" s="61">
        <f t="shared" si="1"/>
        <v>0</v>
      </c>
      <c r="F36" s="123" t="s">
        <v>362</v>
      </c>
      <c r="G36" s="143">
        <v>0</v>
      </c>
      <c r="H36" s="311">
        <v>0</v>
      </c>
      <c r="I36" s="183">
        <v>0</v>
      </c>
      <c r="J36" s="29">
        <f t="shared" si="0"/>
        <v>0</v>
      </c>
    </row>
    <row r="37" spans="1:10" ht="14.95" thickBot="1" x14ac:dyDescent="0.3">
      <c r="A37" s="64" t="s">
        <v>361</v>
      </c>
      <c r="B37" s="320">
        <v>0</v>
      </c>
      <c r="C37" s="315">
        <v>0</v>
      </c>
      <c r="D37" s="101">
        <v>0</v>
      </c>
      <c r="E37" s="61">
        <f t="shared" si="1"/>
        <v>0</v>
      </c>
      <c r="F37" s="123" t="s">
        <v>361</v>
      </c>
      <c r="G37" s="143">
        <v>0</v>
      </c>
      <c r="H37" s="311">
        <v>0</v>
      </c>
      <c r="I37" s="183">
        <v>0</v>
      </c>
      <c r="J37" s="29">
        <f t="shared" si="0"/>
        <v>0</v>
      </c>
    </row>
    <row r="38" spans="1:10" ht="14.95" thickBot="1" x14ac:dyDescent="0.3">
      <c r="A38" s="64" t="s">
        <v>897</v>
      </c>
      <c r="B38" s="320">
        <v>0</v>
      </c>
      <c r="C38" s="315">
        <v>0</v>
      </c>
      <c r="D38" s="101">
        <v>4</v>
      </c>
      <c r="E38" s="61">
        <f t="shared" si="1"/>
        <v>4</v>
      </c>
      <c r="F38" s="123" t="s">
        <v>897</v>
      </c>
      <c r="G38" s="143">
        <v>0</v>
      </c>
      <c r="H38" s="311">
        <v>0</v>
      </c>
      <c r="I38" s="183">
        <v>20</v>
      </c>
      <c r="J38" s="29">
        <f t="shared" si="0"/>
        <v>20</v>
      </c>
    </row>
    <row r="39" spans="1:10" ht="14.95" thickBot="1" x14ac:dyDescent="0.3">
      <c r="A39" s="64" t="s">
        <v>793</v>
      </c>
      <c r="B39" s="320">
        <v>0</v>
      </c>
      <c r="C39" s="315">
        <v>0</v>
      </c>
      <c r="D39" s="101">
        <v>1</v>
      </c>
      <c r="E39" s="61">
        <f t="shared" si="1"/>
        <v>1</v>
      </c>
      <c r="F39" s="123" t="s">
        <v>793</v>
      </c>
      <c r="G39" s="143">
        <v>0</v>
      </c>
      <c r="H39" s="311">
        <v>0</v>
      </c>
      <c r="I39" s="183">
        <v>5</v>
      </c>
      <c r="J39" s="29">
        <f t="shared" si="0"/>
        <v>5</v>
      </c>
    </row>
    <row r="40" spans="1:10" ht="14.95" thickBot="1" x14ac:dyDescent="0.3">
      <c r="A40" s="64" t="s">
        <v>639</v>
      </c>
      <c r="B40" s="320">
        <v>0</v>
      </c>
      <c r="C40" s="315">
        <v>1</v>
      </c>
      <c r="D40" s="101">
        <v>0</v>
      </c>
      <c r="E40" s="61">
        <f t="shared" si="1"/>
        <v>1</v>
      </c>
      <c r="F40" s="123" t="s">
        <v>639</v>
      </c>
      <c r="G40" s="143">
        <v>0</v>
      </c>
      <c r="H40" s="311">
        <v>5</v>
      </c>
      <c r="I40" s="183">
        <v>0</v>
      </c>
      <c r="J40" s="29">
        <f t="shared" si="0"/>
        <v>5</v>
      </c>
    </row>
    <row r="41" spans="1:10" ht="14.95" customHeight="1" thickBot="1" x14ac:dyDescent="0.3">
      <c r="A41" s="64" t="s">
        <v>262</v>
      </c>
      <c r="B41" s="320">
        <v>0</v>
      </c>
      <c r="C41" s="315">
        <v>0</v>
      </c>
      <c r="D41" s="101">
        <v>0</v>
      </c>
      <c r="E41" s="61">
        <f t="shared" si="1"/>
        <v>0</v>
      </c>
      <c r="F41" s="123" t="s">
        <v>262</v>
      </c>
      <c r="G41" s="143">
        <v>0</v>
      </c>
      <c r="H41" s="311">
        <v>2</v>
      </c>
      <c r="I41" s="183">
        <v>18</v>
      </c>
      <c r="J41" s="29">
        <f t="shared" si="0"/>
        <v>20</v>
      </c>
    </row>
    <row r="42" spans="1:10" ht="14.95" thickBot="1" x14ac:dyDescent="0.3">
      <c r="A42" s="64" t="s">
        <v>445</v>
      </c>
      <c r="B42" s="320">
        <v>1</v>
      </c>
      <c r="C42" s="315">
        <v>0</v>
      </c>
      <c r="D42" s="101">
        <v>0</v>
      </c>
      <c r="E42" s="61">
        <f t="shared" si="1"/>
        <v>1</v>
      </c>
      <c r="F42" s="123" t="s">
        <v>445</v>
      </c>
      <c r="G42" s="143">
        <v>5</v>
      </c>
      <c r="H42" s="311">
        <v>0</v>
      </c>
      <c r="I42" s="183">
        <v>0</v>
      </c>
      <c r="J42" s="29">
        <f t="shared" si="0"/>
        <v>5</v>
      </c>
    </row>
    <row r="43" spans="1:10" ht="14.95" thickBot="1" x14ac:dyDescent="0.3">
      <c r="A43" s="64" t="s">
        <v>363</v>
      </c>
      <c r="B43" s="320">
        <v>0</v>
      </c>
      <c r="C43" s="315">
        <v>0</v>
      </c>
      <c r="D43" s="101">
        <v>0</v>
      </c>
      <c r="E43" s="61">
        <f t="shared" si="1"/>
        <v>0</v>
      </c>
      <c r="F43" s="123" t="s">
        <v>363</v>
      </c>
      <c r="G43" s="143">
        <v>0</v>
      </c>
      <c r="H43" s="311">
        <v>0</v>
      </c>
      <c r="I43" s="183">
        <v>0</v>
      </c>
      <c r="J43" s="29">
        <f t="shared" si="0"/>
        <v>0</v>
      </c>
    </row>
    <row r="44" spans="1:10" ht="14.95" thickBot="1" x14ac:dyDescent="0.3">
      <c r="A44" s="64" t="s">
        <v>3</v>
      </c>
      <c r="B44" s="320">
        <f>SUM(B3:B43)</f>
        <v>25</v>
      </c>
      <c r="C44" s="315">
        <f>SUM(C3:C43)</f>
        <v>10</v>
      </c>
      <c r="D44" s="101">
        <f>SUM(D3:D43)</f>
        <v>19</v>
      </c>
      <c r="E44" s="61">
        <f t="shared" si="1"/>
        <v>54</v>
      </c>
      <c r="F44" s="124" t="s">
        <v>3</v>
      </c>
      <c r="G44" s="142">
        <f>SUM(G3:G43)</f>
        <v>153</v>
      </c>
      <c r="H44" s="312">
        <f>SUM(H3:H43)</f>
        <v>62</v>
      </c>
      <c r="I44" s="182">
        <f>SUM(I3:I43)</f>
        <v>116</v>
      </c>
      <c r="J44" s="121">
        <f t="shared" si="0"/>
        <v>331</v>
      </c>
    </row>
    <row r="45" spans="1:10" ht="16.3" x14ac:dyDescent="0.25">
      <c r="D45" s="52"/>
      <c r="F45" s="3"/>
      <c r="G45" s="3"/>
      <c r="H45" s="3"/>
      <c r="I45" s="53"/>
      <c r="J45" s="3"/>
    </row>
    <row r="46" spans="1:10" ht="17" thickBot="1" x14ac:dyDescent="0.3">
      <c r="A46" t="s">
        <v>7</v>
      </c>
      <c r="D46" s="52"/>
      <c r="F46" s="3"/>
      <c r="G46" s="3"/>
      <c r="H46" s="3"/>
      <c r="I46" s="53"/>
      <c r="J46" s="3"/>
    </row>
    <row r="47" spans="1:10" ht="14.95" thickBot="1" x14ac:dyDescent="0.3">
      <c r="A47" s="67" t="s">
        <v>0</v>
      </c>
      <c r="B47" s="319" t="s">
        <v>444</v>
      </c>
      <c r="C47" s="314" t="s">
        <v>734</v>
      </c>
      <c r="D47" s="100" t="s">
        <v>11</v>
      </c>
      <c r="E47" s="70" t="s">
        <v>1</v>
      </c>
      <c r="F47" s="218" t="s">
        <v>2</v>
      </c>
      <c r="G47" s="308" t="s">
        <v>444</v>
      </c>
      <c r="H47" s="153" t="s">
        <v>734</v>
      </c>
      <c r="I47" s="182" t="s">
        <v>11</v>
      </c>
      <c r="J47" s="121" t="s">
        <v>1</v>
      </c>
    </row>
    <row r="48" spans="1:10" ht="14.95" thickBot="1" x14ac:dyDescent="0.3">
      <c r="A48" s="64" t="s">
        <v>647</v>
      </c>
      <c r="B48" s="320">
        <v>2</v>
      </c>
      <c r="C48" s="315">
        <v>0</v>
      </c>
      <c r="D48" s="101">
        <v>2</v>
      </c>
      <c r="E48" s="61">
        <f t="shared" ref="E48:E87" si="2">SUM(B48:D48)</f>
        <v>4</v>
      </c>
      <c r="F48" s="122" t="s">
        <v>647</v>
      </c>
      <c r="G48" s="143">
        <v>10</v>
      </c>
      <c r="H48" s="311">
        <v>0</v>
      </c>
      <c r="I48" s="183">
        <v>10</v>
      </c>
      <c r="J48" s="29">
        <f t="shared" ref="J48:J87" si="3">SUM(G48:I48)</f>
        <v>20</v>
      </c>
    </row>
    <row r="49" spans="1:10" ht="14.95" thickBot="1" x14ac:dyDescent="0.3">
      <c r="A49" s="64" t="s">
        <v>499</v>
      </c>
      <c r="B49" s="320">
        <v>4</v>
      </c>
      <c r="C49" s="315">
        <v>0</v>
      </c>
      <c r="D49" s="101">
        <v>0</v>
      </c>
      <c r="E49" s="61">
        <f t="shared" si="2"/>
        <v>4</v>
      </c>
      <c r="F49" s="122" t="s">
        <v>499</v>
      </c>
      <c r="G49" s="143">
        <v>20</v>
      </c>
      <c r="H49" s="311">
        <v>0</v>
      </c>
      <c r="I49" s="183">
        <v>0</v>
      </c>
      <c r="J49" s="29">
        <f t="shared" si="3"/>
        <v>20</v>
      </c>
    </row>
    <row r="50" spans="1:10" ht="14.95" thickBot="1" x14ac:dyDescent="0.3">
      <c r="A50" s="64" t="s">
        <v>357</v>
      </c>
      <c r="B50" s="320">
        <v>4</v>
      </c>
      <c r="C50" s="315">
        <v>0</v>
      </c>
      <c r="D50" s="101">
        <v>0</v>
      </c>
      <c r="E50" s="61">
        <f t="shared" si="2"/>
        <v>4</v>
      </c>
      <c r="F50" s="123" t="s">
        <v>357</v>
      </c>
      <c r="G50" s="143">
        <v>20</v>
      </c>
      <c r="H50" s="311">
        <v>0</v>
      </c>
      <c r="I50" s="183">
        <v>0</v>
      </c>
      <c r="J50" s="29">
        <f t="shared" si="3"/>
        <v>20</v>
      </c>
    </row>
    <row r="51" spans="1:10" ht="14.95" thickBot="1" x14ac:dyDescent="0.3">
      <c r="A51" s="64" t="s">
        <v>826</v>
      </c>
      <c r="B51" s="320">
        <v>4</v>
      </c>
      <c r="C51" s="315">
        <v>0</v>
      </c>
      <c r="D51" s="101">
        <v>0</v>
      </c>
      <c r="E51" s="61">
        <f t="shared" si="2"/>
        <v>4</v>
      </c>
      <c r="F51" s="123" t="s">
        <v>826</v>
      </c>
      <c r="G51" s="143">
        <v>20</v>
      </c>
      <c r="H51" s="311">
        <v>0</v>
      </c>
      <c r="I51" s="183">
        <v>0</v>
      </c>
      <c r="J51" s="29">
        <f t="shared" si="3"/>
        <v>20</v>
      </c>
    </row>
    <row r="52" spans="1:10" ht="14.95" thickBot="1" x14ac:dyDescent="0.3">
      <c r="A52" s="64" t="s">
        <v>897</v>
      </c>
      <c r="B52" s="320">
        <v>0</v>
      </c>
      <c r="C52" s="315">
        <v>0</v>
      </c>
      <c r="D52" s="101">
        <v>4</v>
      </c>
      <c r="E52" s="61">
        <f t="shared" si="2"/>
        <v>4</v>
      </c>
      <c r="F52" s="123" t="s">
        <v>897</v>
      </c>
      <c r="G52" s="143">
        <v>0</v>
      </c>
      <c r="H52" s="311">
        <v>0</v>
      </c>
      <c r="I52" s="183">
        <v>20</v>
      </c>
      <c r="J52" s="29">
        <f t="shared" si="3"/>
        <v>20</v>
      </c>
    </row>
    <row r="53" spans="1:10" ht="14.95" thickBot="1" x14ac:dyDescent="0.3">
      <c r="A53" s="64" t="s">
        <v>807</v>
      </c>
      <c r="B53" s="320">
        <v>1</v>
      </c>
      <c r="C53" s="315">
        <v>0</v>
      </c>
      <c r="D53" s="101">
        <v>2</v>
      </c>
      <c r="E53" s="61">
        <f t="shared" si="2"/>
        <v>3</v>
      </c>
      <c r="F53" s="123" t="s">
        <v>226</v>
      </c>
      <c r="G53" s="143">
        <v>10</v>
      </c>
      <c r="H53" s="311">
        <v>6</v>
      </c>
      <c r="I53" s="183">
        <v>3</v>
      </c>
      <c r="J53" s="29">
        <f t="shared" si="3"/>
        <v>19</v>
      </c>
    </row>
    <row r="54" spans="1:10" ht="14.95" thickBot="1" x14ac:dyDescent="0.3">
      <c r="A54" s="64" t="s">
        <v>638</v>
      </c>
      <c r="B54" s="320">
        <v>0</v>
      </c>
      <c r="C54" s="315">
        <v>1</v>
      </c>
      <c r="D54" s="101">
        <v>1</v>
      </c>
      <c r="E54" s="61">
        <f t="shared" si="2"/>
        <v>2</v>
      </c>
      <c r="F54" s="123" t="s">
        <v>448</v>
      </c>
      <c r="G54" s="143">
        <v>18</v>
      </c>
      <c r="H54" s="311">
        <v>0</v>
      </c>
      <c r="I54" s="183">
        <v>0</v>
      </c>
      <c r="J54" s="29">
        <f t="shared" si="3"/>
        <v>18</v>
      </c>
    </row>
    <row r="55" spans="1:10" ht="14.95" thickBot="1" x14ac:dyDescent="0.3">
      <c r="A55" s="64" t="s">
        <v>446</v>
      </c>
      <c r="B55" s="320">
        <v>1</v>
      </c>
      <c r="C55" s="315">
        <v>0</v>
      </c>
      <c r="D55" s="101">
        <v>1</v>
      </c>
      <c r="E55" s="61">
        <f t="shared" si="2"/>
        <v>2</v>
      </c>
      <c r="F55" s="123" t="s">
        <v>262</v>
      </c>
      <c r="G55" s="143">
        <v>0</v>
      </c>
      <c r="H55" s="311">
        <v>0</v>
      </c>
      <c r="I55" s="183">
        <v>18</v>
      </c>
      <c r="J55" s="29">
        <f t="shared" si="3"/>
        <v>18</v>
      </c>
    </row>
    <row r="56" spans="1:10" ht="14.95" thickBot="1" x14ac:dyDescent="0.3">
      <c r="A56" s="64" t="s">
        <v>792</v>
      </c>
      <c r="B56" s="320">
        <v>0</v>
      </c>
      <c r="C56" s="315">
        <v>0</v>
      </c>
      <c r="D56" s="101">
        <v>2</v>
      </c>
      <c r="E56" s="61">
        <f t="shared" si="2"/>
        <v>2</v>
      </c>
      <c r="F56" s="123" t="s">
        <v>807</v>
      </c>
      <c r="G56" s="143">
        <v>5</v>
      </c>
      <c r="H56" s="311">
        <v>0</v>
      </c>
      <c r="I56" s="183">
        <v>10</v>
      </c>
      <c r="J56" s="29">
        <f t="shared" si="3"/>
        <v>15</v>
      </c>
    </row>
    <row r="57" spans="1:10" ht="14.95" thickBot="1" x14ac:dyDescent="0.3">
      <c r="A57" s="64" t="s">
        <v>809</v>
      </c>
      <c r="B57" s="320">
        <v>2</v>
      </c>
      <c r="C57" s="315">
        <v>0</v>
      </c>
      <c r="D57" s="101">
        <v>0</v>
      </c>
      <c r="E57" s="61">
        <f t="shared" si="2"/>
        <v>2</v>
      </c>
      <c r="F57" s="123" t="s">
        <v>638</v>
      </c>
      <c r="G57" s="143">
        <v>0</v>
      </c>
      <c r="H57" s="311">
        <v>5</v>
      </c>
      <c r="I57" s="183">
        <v>5</v>
      </c>
      <c r="J57" s="29">
        <f t="shared" si="3"/>
        <v>10</v>
      </c>
    </row>
    <row r="58" spans="1:10" ht="14.95" thickBot="1" x14ac:dyDescent="0.3">
      <c r="A58" s="64" t="s">
        <v>358</v>
      </c>
      <c r="B58" s="320">
        <v>0</v>
      </c>
      <c r="C58" s="315">
        <v>0</v>
      </c>
      <c r="D58" s="101">
        <v>2</v>
      </c>
      <c r="E58" s="61">
        <f t="shared" si="2"/>
        <v>2</v>
      </c>
      <c r="F58" s="123" t="s">
        <v>446</v>
      </c>
      <c r="G58" s="143">
        <v>5</v>
      </c>
      <c r="H58" s="311">
        <v>0</v>
      </c>
      <c r="I58" s="183">
        <v>5</v>
      </c>
      <c r="J58" s="29">
        <f t="shared" si="3"/>
        <v>10</v>
      </c>
    </row>
    <row r="59" spans="1:10" ht="14.95" thickBot="1" x14ac:dyDescent="0.3">
      <c r="A59" s="64" t="s">
        <v>810</v>
      </c>
      <c r="B59" s="320">
        <v>2</v>
      </c>
      <c r="C59" s="315">
        <v>0</v>
      </c>
      <c r="D59" s="101">
        <v>0</v>
      </c>
      <c r="E59" s="61">
        <f t="shared" si="2"/>
        <v>2</v>
      </c>
      <c r="F59" s="123" t="s">
        <v>792</v>
      </c>
      <c r="G59" s="143">
        <v>0</v>
      </c>
      <c r="H59" s="311">
        <v>0</v>
      </c>
      <c r="I59" s="183">
        <v>10</v>
      </c>
      <c r="J59" s="29">
        <f t="shared" si="3"/>
        <v>10</v>
      </c>
    </row>
    <row r="60" spans="1:10" ht="14.95" thickBot="1" x14ac:dyDescent="0.3">
      <c r="A60" s="64" t="s">
        <v>563</v>
      </c>
      <c r="B60" s="320">
        <v>1</v>
      </c>
      <c r="C60" s="315">
        <v>0</v>
      </c>
      <c r="D60" s="101">
        <v>0</v>
      </c>
      <c r="E60" s="61">
        <f t="shared" si="2"/>
        <v>1</v>
      </c>
      <c r="F60" s="123" t="s">
        <v>809</v>
      </c>
      <c r="G60" s="143">
        <v>10</v>
      </c>
      <c r="H60" s="311">
        <v>0</v>
      </c>
      <c r="I60" s="183">
        <v>0</v>
      </c>
      <c r="J60" s="29">
        <f t="shared" si="3"/>
        <v>10</v>
      </c>
    </row>
    <row r="61" spans="1:10" ht="14.95" thickBot="1" x14ac:dyDescent="0.3">
      <c r="A61" s="64" t="s">
        <v>221</v>
      </c>
      <c r="B61" s="320">
        <v>0</v>
      </c>
      <c r="C61" s="315">
        <v>0</v>
      </c>
      <c r="D61" s="101">
        <v>1</v>
      </c>
      <c r="E61" s="61">
        <f t="shared" si="2"/>
        <v>1</v>
      </c>
      <c r="F61" s="123" t="s">
        <v>358</v>
      </c>
      <c r="G61" s="143">
        <v>0</v>
      </c>
      <c r="H61" s="311">
        <v>0</v>
      </c>
      <c r="I61" s="183">
        <v>10</v>
      </c>
      <c r="J61" s="29">
        <f t="shared" si="3"/>
        <v>10</v>
      </c>
    </row>
    <row r="62" spans="1:10" ht="14.95" thickBot="1" x14ac:dyDescent="0.3">
      <c r="A62" s="64" t="s">
        <v>650</v>
      </c>
      <c r="B62" s="320">
        <v>0</v>
      </c>
      <c r="C62" s="315">
        <v>1</v>
      </c>
      <c r="D62" s="101">
        <v>0</v>
      </c>
      <c r="E62" s="61">
        <f t="shared" si="2"/>
        <v>1</v>
      </c>
      <c r="F62" s="123" t="s">
        <v>810</v>
      </c>
      <c r="G62" s="143">
        <v>10</v>
      </c>
      <c r="H62" s="311">
        <v>0</v>
      </c>
      <c r="I62" s="183">
        <v>0</v>
      </c>
      <c r="J62" s="29">
        <f t="shared" si="3"/>
        <v>10</v>
      </c>
    </row>
    <row r="63" spans="1:10" ht="14.95" thickBot="1" x14ac:dyDescent="0.3">
      <c r="A63" s="64" t="s">
        <v>278</v>
      </c>
      <c r="B63" s="320">
        <v>0</v>
      </c>
      <c r="C63" s="315">
        <v>0</v>
      </c>
      <c r="D63" s="101">
        <v>1</v>
      </c>
      <c r="E63" s="61">
        <f t="shared" si="2"/>
        <v>1</v>
      </c>
      <c r="F63" s="123" t="s">
        <v>212</v>
      </c>
      <c r="G63" s="143">
        <v>0</v>
      </c>
      <c r="H63" s="311">
        <v>7</v>
      </c>
      <c r="I63" s="183">
        <v>0</v>
      </c>
      <c r="J63" s="29">
        <f t="shared" si="3"/>
        <v>7</v>
      </c>
    </row>
    <row r="64" spans="1:10" ht="14.95" thickBot="1" x14ac:dyDescent="0.3">
      <c r="A64" s="64" t="s">
        <v>355</v>
      </c>
      <c r="B64" s="320">
        <v>0</v>
      </c>
      <c r="C64" s="315">
        <v>1</v>
      </c>
      <c r="D64" s="101">
        <v>0</v>
      </c>
      <c r="E64" s="61">
        <f t="shared" si="2"/>
        <v>1</v>
      </c>
      <c r="F64" s="123" t="s">
        <v>563</v>
      </c>
      <c r="G64" s="143">
        <v>5</v>
      </c>
      <c r="H64" s="311">
        <v>0</v>
      </c>
      <c r="I64" s="183">
        <v>0</v>
      </c>
      <c r="J64" s="29">
        <f t="shared" si="3"/>
        <v>5</v>
      </c>
    </row>
    <row r="65" spans="1:10" ht="14.95" thickBot="1" x14ac:dyDescent="0.3">
      <c r="A65" s="64" t="s">
        <v>924</v>
      </c>
      <c r="B65" s="320">
        <v>0</v>
      </c>
      <c r="C65" s="315">
        <v>0</v>
      </c>
      <c r="D65" s="101">
        <v>1</v>
      </c>
      <c r="E65" s="61">
        <f t="shared" si="2"/>
        <v>1</v>
      </c>
      <c r="F65" s="123" t="s">
        <v>221</v>
      </c>
      <c r="G65" s="143">
        <v>0</v>
      </c>
      <c r="H65" s="311">
        <v>0</v>
      </c>
      <c r="I65" s="183">
        <v>5</v>
      </c>
      <c r="J65" s="29">
        <f t="shared" si="3"/>
        <v>5</v>
      </c>
    </row>
    <row r="66" spans="1:10" ht="14.95" thickBot="1" x14ac:dyDescent="0.3">
      <c r="A66" s="64" t="s">
        <v>658</v>
      </c>
      <c r="B66" s="320">
        <v>0</v>
      </c>
      <c r="C66" s="315">
        <v>0</v>
      </c>
      <c r="D66" s="101">
        <v>1</v>
      </c>
      <c r="E66" s="61">
        <f t="shared" si="2"/>
        <v>1</v>
      </c>
      <c r="F66" s="123" t="s">
        <v>650</v>
      </c>
      <c r="G66" s="143">
        <v>0</v>
      </c>
      <c r="H66" s="311">
        <v>5</v>
      </c>
      <c r="I66" s="183">
        <v>0</v>
      </c>
      <c r="J66" s="29">
        <f t="shared" si="3"/>
        <v>5</v>
      </c>
    </row>
    <row r="67" spans="1:10" ht="14.95" thickBot="1" x14ac:dyDescent="0.3">
      <c r="A67" s="64" t="s">
        <v>825</v>
      </c>
      <c r="B67" s="320">
        <v>1</v>
      </c>
      <c r="C67" s="315">
        <v>0</v>
      </c>
      <c r="D67" s="101">
        <v>0</v>
      </c>
      <c r="E67" s="61">
        <f t="shared" si="2"/>
        <v>1</v>
      </c>
      <c r="F67" s="123" t="s">
        <v>278</v>
      </c>
      <c r="G67" s="143">
        <v>0</v>
      </c>
      <c r="H67" s="311">
        <v>0</v>
      </c>
      <c r="I67" s="183">
        <v>5</v>
      </c>
      <c r="J67" s="29">
        <f t="shared" si="3"/>
        <v>5</v>
      </c>
    </row>
    <row r="68" spans="1:10" ht="14.95" thickBot="1" x14ac:dyDescent="0.3">
      <c r="A68" s="64" t="s">
        <v>808</v>
      </c>
      <c r="B68" s="320">
        <v>1</v>
      </c>
      <c r="C68" s="315">
        <v>0</v>
      </c>
      <c r="D68" s="101">
        <v>0</v>
      </c>
      <c r="E68" s="61">
        <f t="shared" si="2"/>
        <v>1</v>
      </c>
      <c r="F68" s="123" t="s">
        <v>355</v>
      </c>
      <c r="G68" s="143">
        <v>0</v>
      </c>
      <c r="H68" s="311">
        <v>5</v>
      </c>
      <c r="I68" s="183">
        <v>0</v>
      </c>
      <c r="J68" s="29">
        <f t="shared" si="3"/>
        <v>5</v>
      </c>
    </row>
    <row r="69" spans="1:10" ht="14.95" thickBot="1" x14ac:dyDescent="0.3">
      <c r="A69" s="64" t="s">
        <v>824</v>
      </c>
      <c r="B69" s="320">
        <v>1</v>
      </c>
      <c r="C69" s="315">
        <v>0</v>
      </c>
      <c r="D69" s="101">
        <v>0</v>
      </c>
      <c r="E69" s="61">
        <f t="shared" si="2"/>
        <v>1</v>
      </c>
      <c r="F69" s="123" t="s">
        <v>924</v>
      </c>
      <c r="G69" s="143">
        <v>0</v>
      </c>
      <c r="H69" s="311">
        <v>0</v>
      </c>
      <c r="I69" s="183">
        <v>5</v>
      </c>
      <c r="J69" s="29">
        <f t="shared" si="3"/>
        <v>5</v>
      </c>
    </row>
    <row r="70" spans="1:10" ht="14.95" thickBot="1" x14ac:dyDescent="0.3">
      <c r="A70" s="64" t="s">
        <v>212</v>
      </c>
      <c r="B70" s="320">
        <v>0</v>
      </c>
      <c r="C70" s="315">
        <v>1</v>
      </c>
      <c r="D70" s="101">
        <v>0</v>
      </c>
      <c r="E70" s="61">
        <f t="shared" si="2"/>
        <v>1</v>
      </c>
      <c r="F70" s="123" t="s">
        <v>658</v>
      </c>
      <c r="G70" s="143">
        <v>0</v>
      </c>
      <c r="H70" s="311">
        <v>0</v>
      </c>
      <c r="I70" s="183">
        <v>5</v>
      </c>
      <c r="J70" s="29">
        <f t="shared" si="3"/>
        <v>5</v>
      </c>
    </row>
    <row r="71" spans="1:10" ht="14.95" thickBot="1" x14ac:dyDescent="0.3">
      <c r="A71" s="64" t="s">
        <v>793</v>
      </c>
      <c r="B71" s="320">
        <v>0</v>
      </c>
      <c r="C71" s="315">
        <v>0</v>
      </c>
      <c r="D71" s="101">
        <v>1</v>
      </c>
      <c r="E71" s="61">
        <f t="shared" si="2"/>
        <v>1</v>
      </c>
      <c r="F71" s="123" t="s">
        <v>825</v>
      </c>
      <c r="G71" s="143">
        <v>5</v>
      </c>
      <c r="H71" s="311">
        <v>0</v>
      </c>
      <c r="I71" s="183">
        <v>0</v>
      </c>
      <c r="J71" s="29">
        <f t="shared" si="3"/>
        <v>5</v>
      </c>
    </row>
    <row r="72" spans="1:10" ht="14.95" thickBot="1" x14ac:dyDescent="0.3">
      <c r="A72" s="64" t="s">
        <v>639</v>
      </c>
      <c r="B72" s="320">
        <v>0</v>
      </c>
      <c r="C72" s="315">
        <v>1</v>
      </c>
      <c r="D72" s="101">
        <v>0</v>
      </c>
      <c r="E72" s="61">
        <f t="shared" si="2"/>
        <v>1</v>
      </c>
      <c r="F72" s="123" t="s">
        <v>808</v>
      </c>
      <c r="G72" s="143">
        <v>5</v>
      </c>
      <c r="H72" s="311">
        <v>0</v>
      </c>
      <c r="I72" s="183">
        <v>0</v>
      </c>
      <c r="J72" s="29">
        <f t="shared" si="3"/>
        <v>5</v>
      </c>
    </row>
    <row r="73" spans="1:10" ht="14.95" thickBot="1" x14ac:dyDescent="0.3">
      <c r="A73" s="64" t="s">
        <v>445</v>
      </c>
      <c r="B73" s="320">
        <v>1</v>
      </c>
      <c r="C73" s="315">
        <v>0</v>
      </c>
      <c r="D73" s="101">
        <v>0</v>
      </c>
      <c r="E73" s="61">
        <f t="shared" si="2"/>
        <v>1</v>
      </c>
      <c r="F73" s="123" t="s">
        <v>824</v>
      </c>
      <c r="G73" s="143">
        <v>5</v>
      </c>
      <c r="H73" s="311">
        <v>0</v>
      </c>
      <c r="I73" s="183">
        <v>0</v>
      </c>
      <c r="J73" s="29">
        <f t="shared" si="3"/>
        <v>5</v>
      </c>
    </row>
    <row r="74" spans="1:10" ht="14.95" thickBot="1" x14ac:dyDescent="0.3">
      <c r="A74" s="64" t="s">
        <v>354</v>
      </c>
      <c r="B74" s="320">
        <v>0</v>
      </c>
      <c r="C74" s="315">
        <v>0</v>
      </c>
      <c r="D74" s="101">
        <v>0</v>
      </c>
      <c r="E74" s="61">
        <f t="shared" si="2"/>
        <v>0</v>
      </c>
      <c r="F74" s="123" t="s">
        <v>793</v>
      </c>
      <c r="G74" s="143">
        <v>0</v>
      </c>
      <c r="H74" s="311">
        <v>0</v>
      </c>
      <c r="I74" s="183">
        <v>5</v>
      </c>
      <c r="J74" s="29">
        <f t="shared" si="3"/>
        <v>5</v>
      </c>
    </row>
    <row r="75" spans="1:10" ht="14.95" thickBot="1" x14ac:dyDescent="0.3">
      <c r="A75" s="64" t="s">
        <v>286</v>
      </c>
      <c r="B75" s="320">
        <v>0</v>
      </c>
      <c r="C75" s="315">
        <v>0</v>
      </c>
      <c r="D75" s="101">
        <v>0</v>
      </c>
      <c r="E75" s="61">
        <f t="shared" si="2"/>
        <v>0</v>
      </c>
      <c r="F75" s="123" t="s">
        <v>639</v>
      </c>
      <c r="G75" s="143">
        <v>0</v>
      </c>
      <c r="H75" s="311">
        <v>5</v>
      </c>
      <c r="I75" s="183">
        <v>0</v>
      </c>
      <c r="J75" s="29">
        <f t="shared" si="3"/>
        <v>5</v>
      </c>
    </row>
    <row r="76" spans="1:10" ht="14.95" thickBot="1" x14ac:dyDescent="0.3">
      <c r="A76" s="64" t="s">
        <v>356</v>
      </c>
      <c r="B76" s="320">
        <v>0</v>
      </c>
      <c r="C76" s="315">
        <v>0</v>
      </c>
      <c r="D76" s="101">
        <v>0</v>
      </c>
      <c r="E76" s="61">
        <f t="shared" si="2"/>
        <v>0</v>
      </c>
      <c r="F76" s="123" t="s">
        <v>445</v>
      </c>
      <c r="G76" s="143">
        <v>5</v>
      </c>
      <c r="H76" s="311">
        <v>0</v>
      </c>
      <c r="I76" s="183">
        <v>0</v>
      </c>
      <c r="J76" s="29">
        <f t="shared" si="3"/>
        <v>5</v>
      </c>
    </row>
    <row r="77" spans="1:10" ht="14.95" thickBot="1" x14ac:dyDescent="0.3">
      <c r="A77" s="64" t="s">
        <v>651</v>
      </c>
      <c r="B77" s="320">
        <v>0</v>
      </c>
      <c r="C77" s="315">
        <v>0</v>
      </c>
      <c r="D77" s="101">
        <v>0</v>
      </c>
      <c r="E77" s="61">
        <f t="shared" si="2"/>
        <v>0</v>
      </c>
      <c r="F77" s="123" t="s">
        <v>354</v>
      </c>
      <c r="G77" s="143">
        <v>0</v>
      </c>
      <c r="H77" s="311">
        <v>0</v>
      </c>
      <c r="I77" s="183">
        <v>0</v>
      </c>
      <c r="J77" s="29">
        <f t="shared" si="3"/>
        <v>0</v>
      </c>
    </row>
    <row r="78" spans="1:10" ht="14.95" thickBot="1" x14ac:dyDescent="0.3">
      <c r="A78" s="64" t="s">
        <v>359</v>
      </c>
      <c r="B78" s="320">
        <v>0</v>
      </c>
      <c r="C78" s="315">
        <v>0</v>
      </c>
      <c r="D78" s="101">
        <v>0</v>
      </c>
      <c r="E78" s="61">
        <f t="shared" si="2"/>
        <v>0</v>
      </c>
      <c r="F78" s="123" t="s">
        <v>286</v>
      </c>
      <c r="G78" s="143">
        <v>0</v>
      </c>
      <c r="H78" s="311">
        <v>0</v>
      </c>
      <c r="I78" s="183">
        <v>0</v>
      </c>
      <c r="J78" s="29">
        <f t="shared" si="3"/>
        <v>0</v>
      </c>
    </row>
    <row r="79" spans="1:10" ht="14.95" thickBot="1" x14ac:dyDescent="0.3">
      <c r="A79" s="64" t="s">
        <v>448</v>
      </c>
      <c r="B79" s="320">
        <v>0</v>
      </c>
      <c r="C79" s="315">
        <v>0</v>
      </c>
      <c r="D79" s="101">
        <v>0</v>
      </c>
      <c r="E79" s="61">
        <f t="shared" si="2"/>
        <v>0</v>
      </c>
      <c r="F79" s="123" t="s">
        <v>356</v>
      </c>
      <c r="G79" s="143">
        <v>0</v>
      </c>
      <c r="H79" s="311">
        <v>0</v>
      </c>
      <c r="I79" s="183">
        <v>0</v>
      </c>
      <c r="J79" s="29">
        <f t="shared" si="3"/>
        <v>0</v>
      </c>
    </row>
    <row r="80" spans="1:10" ht="14.95" thickBot="1" x14ac:dyDescent="0.3">
      <c r="A80" s="64" t="s">
        <v>226</v>
      </c>
      <c r="B80" s="320">
        <v>0</v>
      </c>
      <c r="C80" s="315">
        <v>0</v>
      </c>
      <c r="D80" s="101">
        <v>0</v>
      </c>
      <c r="E80" s="61">
        <f t="shared" si="2"/>
        <v>0</v>
      </c>
      <c r="F80" s="123" t="s">
        <v>651</v>
      </c>
      <c r="G80" s="143">
        <v>0</v>
      </c>
      <c r="H80" s="311">
        <v>0</v>
      </c>
      <c r="I80" s="183">
        <v>0</v>
      </c>
      <c r="J80" s="29">
        <f t="shared" si="3"/>
        <v>0</v>
      </c>
    </row>
    <row r="81" spans="1:10" ht="14.95" thickBot="1" x14ac:dyDescent="0.3">
      <c r="A81" s="64" t="s">
        <v>328</v>
      </c>
      <c r="B81" s="320">
        <v>0</v>
      </c>
      <c r="C81" s="315">
        <v>0</v>
      </c>
      <c r="D81" s="101">
        <v>0</v>
      </c>
      <c r="E81" s="61">
        <f t="shared" si="2"/>
        <v>0</v>
      </c>
      <c r="F81" s="123" t="s">
        <v>359</v>
      </c>
      <c r="G81" s="143">
        <v>0</v>
      </c>
      <c r="H81" s="311">
        <v>0</v>
      </c>
      <c r="I81" s="183">
        <v>0</v>
      </c>
      <c r="J81" s="29">
        <f t="shared" si="3"/>
        <v>0</v>
      </c>
    </row>
    <row r="82" spans="1:10" ht="14.95" thickBot="1" x14ac:dyDescent="0.3">
      <c r="A82" s="64" t="s">
        <v>220</v>
      </c>
      <c r="B82" s="320">
        <v>0</v>
      </c>
      <c r="C82" s="315">
        <v>0</v>
      </c>
      <c r="D82" s="101">
        <v>0</v>
      </c>
      <c r="E82" s="61">
        <f t="shared" si="2"/>
        <v>0</v>
      </c>
      <c r="F82" s="123" t="s">
        <v>328</v>
      </c>
      <c r="G82" s="143">
        <v>0</v>
      </c>
      <c r="H82" s="311">
        <v>0</v>
      </c>
      <c r="I82" s="183">
        <v>0</v>
      </c>
      <c r="J82" s="29">
        <f t="shared" si="3"/>
        <v>0</v>
      </c>
    </row>
    <row r="83" spans="1:10" ht="14.95" thickBot="1" x14ac:dyDescent="0.3">
      <c r="A83" s="64" t="s">
        <v>360</v>
      </c>
      <c r="B83" s="320">
        <v>0</v>
      </c>
      <c r="C83" s="315">
        <v>0</v>
      </c>
      <c r="D83" s="101">
        <v>0</v>
      </c>
      <c r="E83" s="61">
        <f t="shared" si="2"/>
        <v>0</v>
      </c>
      <c r="F83" s="123" t="s">
        <v>220</v>
      </c>
      <c r="G83" s="143">
        <v>0</v>
      </c>
      <c r="H83" s="311">
        <v>0</v>
      </c>
      <c r="I83" s="183">
        <v>0</v>
      </c>
      <c r="J83" s="29">
        <f t="shared" si="3"/>
        <v>0</v>
      </c>
    </row>
    <row r="84" spans="1:10" ht="14.95" thickBot="1" x14ac:dyDescent="0.3">
      <c r="A84" s="64" t="s">
        <v>362</v>
      </c>
      <c r="B84" s="320">
        <v>0</v>
      </c>
      <c r="C84" s="315">
        <v>0</v>
      </c>
      <c r="D84" s="101">
        <v>0</v>
      </c>
      <c r="E84" s="61">
        <f t="shared" si="2"/>
        <v>0</v>
      </c>
      <c r="F84" s="123" t="s">
        <v>360</v>
      </c>
      <c r="G84" s="143">
        <v>0</v>
      </c>
      <c r="H84" s="311">
        <v>0</v>
      </c>
      <c r="I84" s="183">
        <v>0</v>
      </c>
      <c r="J84" s="29">
        <f t="shared" si="3"/>
        <v>0</v>
      </c>
    </row>
    <row r="85" spans="1:10" ht="14.95" thickBot="1" x14ac:dyDescent="0.3">
      <c r="A85" s="64" t="s">
        <v>361</v>
      </c>
      <c r="B85" s="320">
        <v>0</v>
      </c>
      <c r="C85" s="315">
        <v>0</v>
      </c>
      <c r="D85" s="101">
        <v>0</v>
      </c>
      <c r="E85" s="61">
        <f t="shared" si="2"/>
        <v>0</v>
      </c>
      <c r="F85" s="123" t="s">
        <v>362</v>
      </c>
      <c r="G85" s="143">
        <v>0</v>
      </c>
      <c r="H85" s="311">
        <v>0</v>
      </c>
      <c r="I85" s="183">
        <v>0</v>
      </c>
      <c r="J85" s="29">
        <f t="shared" si="3"/>
        <v>0</v>
      </c>
    </row>
    <row r="86" spans="1:10" ht="14.95" thickBot="1" x14ac:dyDescent="0.3">
      <c r="A86" s="64" t="s">
        <v>262</v>
      </c>
      <c r="B86" s="320">
        <v>0</v>
      </c>
      <c r="C86" s="315">
        <v>0</v>
      </c>
      <c r="D86" s="101">
        <v>0</v>
      </c>
      <c r="E86" s="61">
        <f t="shared" si="2"/>
        <v>0</v>
      </c>
      <c r="F86" s="123" t="s">
        <v>361</v>
      </c>
      <c r="G86" s="143">
        <v>0</v>
      </c>
      <c r="H86" s="311">
        <v>0</v>
      </c>
      <c r="I86" s="183">
        <v>0</v>
      </c>
      <c r="J86" s="29">
        <f t="shared" si="3"/>
        <v>0</v>
      </c>
    </row>
    <row r="87" spans="1:10" ht="14.95" thickBot="1" x14ac:dyDescent="0.3">
      <c r="A87" s="64" t="s">
        <v>363</v>
      </c>
      <c r="B87" s="320">
        <v>0</v>
      </c>
      <c r="C87" s="315">
        <v>0</v>
      </c>
      <c r="D87" s="101">
        <v>0</v>
      </c>
      <c r="E87" s="61">
        <f t="shared" si="2"/>
        <v>0</v>
      </c>
      <c r="F87" s="123" t="s">
        <v>363</v>
      </c>
      <c r="G87" s="143">
        <v>0</v>
      </c>
      <c r="H87" s="311">
        <v>0</v>
      </c>
      <c r="I87" s="183">
        <v>0</v>
      </c>
      <c r="J87" s="29">
        <f t="shared" si="3"/>
        <v>0</v>
      </c>
    </row>
    <row r="88" spans="1:10" ht="14.95" thickBot="1" x14ac:dyDescent="0.3">
      <c r="A88" s="64" t="s">
        <v>3</v>
      </c>
      <c r="B88" s="320">
        <f>SUM(B48:B87)</f>
        <v>25</v>
      </c>
      <c r="C88" s="315">
        <f>SUM(C48:C87)</f>
        <v>5</v>
      </c>
      <c r="D88" s="101">
        <f>SUM(D48:D87)</f>
        <v>19</v>
      </c>
      <c r="E88" s="61">
        <f t="shared" ref="E88" si="4">SUM(B88:D88)</f>
        <v>49</v>
      </c>
      <c r="F88" s="124" t="s">
        <v>3</v>
      </c>
      <c r="G88" s="142">
        <f>SUM(G48:G87)</f>
        <v>153</v>
      </c>
      <c r="H88" s="312">
        <f>SUM(H48:H87)</f>
        <v>33</v>
      </c>
      <c r="I88" s="182">
        <f>SUM(I48:I87)</f>
        <v>116</v>
      </c>
      <c r="J88" s="121">
        <f t="shared" ref="J88" si="5">SUM(G88:I88)</f>
        <v>302</v>
      </c>
    </row>
    <row r="89" spans="1:10" ht="14.3" customHeight="1" x14ac:dyDescent="0.3">
      <c r="A89" s="455" t="s">
        <v>10</v>
      </c>
      <c r="B89" s="455"/>
      <c r="C89" s="455"/>
      <c r="D89" s="456"/>
    </row>
  </sheetData>
  <sortState xmlns:xlrd2="http://schemas.microsoft.com/office/spreadsheetml/2017/richdata2" ref="F48:J87">
    <sortCondition descending="1" ref="J48:J87"/>
  </sortState>
  <mergeCells count="19">
    <mergeCell ref="AA1:AC2"/>
    <mergeCell ref="O11:Q12"/>
    <mergeCell ref="V1:X2"/>
    <mergeCell ref="S1:U2"/>
    <mergeCell ref="L17:N18"/>
    <mergeCell ref="A89:D89"/>
    <mergeCell ref="R1:R2"/>
    <mergeCell ref="A1:J1"/>
    <mergeCell ref="K1:K2"/>
    <mergeCell ref="L1:N2"/>
    <mergeCell ref="O1:Q2"/>
    <mergeCell ref="K17:K18"/>
    <mergeCell ref="O17:Q18"/>
    <mergeCell ref="K11:K12"/>
    <mergeCell ref="L11:N12"/>
    <mergeCell ref="K24:K25"/>
    <mergeCell ref="L24:N25"/>
    <mergeCell ref="R11:T12"/>
    <mergeCell ref="O24:Q2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7E44-2CA9-4E2D-BE09-A8C65F52308C}">
  <dimension ref="A1:AC96"/>
  <sheetViews>
    <sheetView workbookViewId="0">
      <selection activeCell="Z15" sqref="Z15"/>
    </sheetView>
  </sheetViews>
  <sheetFormatPr defaultRowHeight="14.3" x14ac:dyDescent="0.25"/>
  <cols>
    <col min="1" max="1" width="18.625" customWidth="1"/>
    <col min="2" max="2" width="4.5" customWidth="1"/>
    <col min="3" max="3" width="4.875" customWidth="1"/>
    <col min="4" max="5" width="4.5" customWidth="1"/>
    <col min="6" max="6" width="18.62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531" t="s">
        <v>799</v>
      </c>
      <c r="B1" s="532"/>
      <c r="C1" s="532"/>
      <c r="D1" s="532"/>
      <c r="E1" s="532"/>
      <c r="F1" s="532"/>
      <c r="G1" s="532"/>
      <c r="H1" s="532"/>
      <c r="I1" s="532"/>
      <c r="J1" s="533"/>
      <c r="K1" s="534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29" ht="14.95" customHeight="1" thickBot="1" x14ac:dyDescent="0.3">
      <c r="A2" s="145" t="s">
        <v>0</v>
      </c>
      <c r="B2" s="376" t="s">
        <v>227</v>
      </c>
      <c r="C2" s="147" t="s">
        <v>734</v>
      </c>
      <c r="D2" s="378" t="s">
        <v>11</v>
      </c>
      <c r="E2" s="148" t="s">
        <v>1</v>
      </c>
      <c r="F2" s="133" t="s">
        <v>2</v>
      </c>
      <c r="G2" s="339" t="s">
        <v>227</v>
      </c>
      <c r="H2" s="153" t="s">
        <v>734</v>
      </c>
      <c r="I2" s="121" t="s">
        <v>11</v>
      </c>
      <c r="J2" s="121" t="s">
        <v>1</v>
      </c>
      <c r="K2" s="535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50"/>
      <c r="AB2" s="451"/>
      <c r="AC2" s="452"/>
    </row>
    <row r="3" spans="1:29" ht="14.95" customHeight="1" thickBot="1" x14ac:dyDescent="0.3">
      <c r="A3" s="146" t="s">
        <v>1027</v>
      </c>
      <c r="B3" s="150">
        <v>0</v>
      </c>
      <c r="C3" s="377">
        <v>1</v>
      </c>
      <c r="D3" s="379">
        <v>0</v>
      </c>
      <c r="E3" s="149">
        <f t="shared" ref="E3:E46" si="0">SUM(B3:D3)</f>
        <v>1</v>
      </c>
      <c r="F3" s="134" t="s">
        <v>1027</v>
      </c>
      <c r="G3" s="323">
        <v>0</v>
      </c>
      <c r="H3" s="311">
        <v>5</v>
      </c>
      <c r="I3" s="29">
        <v>0</v>
      </c>
      <c r="J3" s="29">
        <f t="shared" ref="J3:J46" si="1">SUM(G3:I3)</f>
        <v>5</v>
      </c>
      <c r="K3" s="151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195" t="s">
        <v>17</v>
      </c>
      <c r="AB3" s="61" t="s">
        <v>5</v>
      </c>
      <c r="AC3" s="61" t="s">
        <v>6</v>
      </c>
    </row>
    <row r="4" spans="1:29" ht="14.95" customHeight="1" thickBot="1" x14ac:dyDescent="0.3">
      <c r="A4" s="146" t="s">
        <v>364</v>
      </c>
      <c r="B4" s="150">
        <v>0</v>
      </c>
      <c r="C4" s="377">
        <v>0</v>
      </c>
      <c r="D4" s="379">
        <v>0</v>
      </c>
      <c r="E4" s="149">
        <f t="shared" si="0"/>
        <v>0</v>
      </c>
      <c r="F4" s="135" t="s">
        <v>364</v>
      </c>
      <c r="G4" s="323">
        <v>0</v>
      </c>
      <c r="H4" s="311">
        <v>0</v>
      </c>
      <c r="I4" s="29">
        <v>0</v>
      </c>
      <c r="J4" s="29">
        <f t="shared" si="1"/>
        <v>0</v>
      </c>
      <c r="K4" s="157" t="s">
        <v>894</v>
      </c>
      <c r="L4" s="210">
        <v>0</v>
      </c>
      <c r="M4" s="210">
        <v>2</v>
      </c>
      <c r="N4" s="207">
        <f t="shared" ref="N4" si="2">SUM(L4/M4)*100</f>
        <v>0</v>
      </c>
      <c r="O4" s="149" t="s">
        <v>8</v>
      </c>
      <c r="P4" s="149" t="s">
        <v>8</v>
      </c>
      <c r="Q4" s="152" t="s">
        <v>8</v>
      </c>
      <c r="R4" s="157">
        <v>-2</v>
      </c>
      <c r="S4" s="318" t="s">
        <v>8</v>
      </c>
      <c r="T4" s="253" t="s">
        <v>8</v>
      </c>
      <c r="U4" s="251" t="s">
        <v>8</v>
      </c>
      <c r="V4" s="253" t="s">
        <v>8</v>
      </c>
      <c r="W4" s="253" t="s">
        <v>8</v>
      </c>
      <c r="X4" s="254" t="s">
        <v>8</v>
      </c>
      <c r="AA4" s="253" t="s">
        <v>8</v>
      </c>
      <c r="AB4" s="253" t="s">
        <v>8</v>
      </c>
      <c r="AC4" s="254" t="s">
        <v>8</v>
      </c>
    </row>
    <row r="5" spans="1:29" ht="14.95" customHeight="1" thickBot="1" x14ac:dyDescent="0.3">
      <c r="A5" s="146" t="s">
        <v>365</v>
      </c>
      <c r="B5" s="150">
        <v>0</v>
      </c>
      <c r="C5" s="377">
        <v>0</v>
      </c>
      <c r="D5" s="379">
        <v>0</v>
      </c>
      <c r="E5" s="149">
        <f t="shared" si="0"/>
        <v>0</v>
      </c>
      <c r="F5" s="135" t="s">
        <v>365</v>
      </c>
      <c r="G5" s="323">
        <v>0</v>
      </c>
      <c r="H5" s="311">
        <v>0</v>
      </c>
      <c r="I5" s="29">
        <v>0</v>
      </c>
      <c r="J5" s="29">
        <f t="shared" si="1"/>
        <v>0</v>
      </c>
      <c r="K5" s="157" t="s">
        <v>238</v>
      </c>
      <c r="L5" s="210">
        <v>10</v>
      </c>
      <c r="M5" s="210">
        <v>16</v>
      </c>
      <c r="N5" s="207">
        <f t="shared" ref="N5:N6" si="3">SUM(L5/M5)*100</f>
        <v>62.5</v>
      </c>
      <c r="O5" s="149" t="s">
        <v>8</v>
      </c>
      <c r="P5" s="149" t="s">
        <v>8</v>
      </c>
      <c r="Q5" s="152" t="s">
        <v>8</v>
      </c>
      <c r="R5" s="157">
        <v>2</v>
      </c>
      <c r="S5" s="253">
        <v>6</v>
      </c>
      <c r="T5" s="253">
        <v>10</v>
      </c>
      <c r="U5" s="254">
        <f t="shared" ref="U5:U7" si="4">SUM(S5/T5)*100</f>
        <v>60</v>
      </c>
      <c r="V5" s="253">
        <v>1</v>
      </c>
      <c r="W5" s="253">
        <v>1</v>
      </c>
      <c r="X5" s="254">
        <f>SUM(V5/W5)*100</f>
        <v>100</v>
      </c>
      <c r="AA5" s="191">
        <v>15</v>
      </c>
      <c r="AB5" s="191">
        <v>27</v>
      </c>
      <c r="AC5" s="205">
        <f>SUM(AA5/AB5)*100</f>
        <v>55.555555555555557</v>
      </c>
    </row>
    <row r="6" spans="1:29" ht="14.95" customHeight="1" thickBot="1" x14ac:dyDescent="0.3">
      <c r="A6" s="146" t="s">
        <v>245</v>
      </c>
      <c r="B6" s="150">
        <v>2</v>
      </c>
      <c r="C6" s="377">
        <v>1</v>
      </c>
      <c r="D6" s="379">
        <v>1</v>
      </c>
      <c r="E6" s="149">
        <f t="shared" si="0"/>
        <v>4</v>
      </c>
      <c r="F6" s="136" t="s">
        <v>245</v>
      </c>
      <c r="G6" s="323">
        <v>10</v>
      </c>
      <c r="H6" s="311">
        <v>5</v>
      </c>
      <c r="I6" s="29">
        <v>5</v>
      </c>
      <c r="J6" s="29">
        <f t="shared" si="1"/>
        <v>20</v>
      </c>
      <c r="K6" s="157" t="s">
        <v>244</v>
      </c>
      <c r="L6" s="210">
        <v>22</v>
      </c>
      <c r="M6" s="210">
        <v>38</v>
      </c>
      <c r="N6" s="207">
        <f t="shared" si="3"/>
        <v>57.894736842105267</v>
      </c>
      <c r="O6" s="210">
        <v>5</v>
      </c>
      <c r="P6" s="210">
        <v>8</v>
      </c>
      <c r="Q6" s="207">
        <f t="shared" ref="Q6" si="5">SUM(O6/P6)*100</f>
        <v>62.5</v>
      </c>
      <c r="R6" s="157">
        <v>1</v>
      </c>
      <c r="S6" s="253">
        <v>18</v>
      </c>
      <c r="T6" s="253">
        <v>29</v>
      </c>
      <c r="U6" s="254">
        <f t="shared" si="4"/>
        <v>62.068965517241381</v>
      </c>
      <c r="V6" s="253">
        <v>22</v>
      </c>
      <c r="W6" s="253">
        <v>38</v>
      </c>
      <c r="X6" s="254">
        <f>SUM(V6/W6)*100</f>
        <v>57.894736842105267</v>
      </c>
      <c r="AA6" s="191">
        <v>20</v>
      </c>
      <c r="AB6" s="191">
        <v>39</v>
      </c>
      <c r="AC6" s="206">
        <f>SUM(AA6/AB6)*100</f>
        <v>51.282051282051277</v>
      </c>
    </row>
    <row r="7" spans="1:29" ht="14.95" customHeight="1" thickBot="1" x14ac:dyDescent="0.3">
      <c r="A7" s="146" t="s">
        <v>282</v>
      </c>
      <c r="B7" s="150">
        <v>0</v>
      </c>
      <c r="C7" s="377">
        <v>0</v>
      </c>
      <c r="D7" s="379">
        <v>0</v>
      </c>
      <c r="E7" s="149">
        <f t="shared" si="0"/>
        <v>0</v>
      </c>
      <c r="F7" s="135" t="s">
        <v>282</v>
      </c>
      <c r="G7" s="323">
        <v>0</v>
      </c>
      <c r="H7" s="311">
        <v>0</v>
      </c>
      <c r="I7" s="29">
        <v>0</v>
      </c>
      <c r="J7" s="29">
        <f t="shared" si="1"/>
        <v>0</v>
      </c>
      <c r="K7" s="157" t="s">
        <v>616</v>
      </c>
      <c r="L7" s="210">
        <v>4</v>
      </c>
      <c r="M7" s="210">
        <v>7</v>
      </c>
      <c r="N7" s="207">
        <f t="shared" ref="N7:N8" si="6">SUM(L7/M7)*100</f>
        <v>57.142857142857139</v>
      </c>
      <c r="O7" s="149" t="s">
        <v>8</v>
      </c>
      <c r="P7" s="149" t="s">
        <v>8</v>
      </c>
      <c r="Q7" s="152" t="s">
        <v>8</v>
      </c>
      <c r="R7" s="157">
        <v>-1</v>
      </c>
      <c r="S7" s="253">
        <v>6</v>
      </c>
      <c r="T7" s="253">
        <v>12</v>
      </c>
      <c r="U7" s="254">
        <f t="shared" si="4"/>
        <v>50</v>
      </c>
      <c r="V7" s="253" t="s">
        <v>8</v>
      </c>
      <c r="W7" s="253" t="s">
        <v>8</v>
      </c>
      <c r="X7" s="254" t="s">
        <v>8</v>
      </c>
      <c r="AA7" s="253" t="s">
        <v>8</v>
      </c>
      <c r="AB7" s="253" t="s">
        <v>8</v>
      </c>
      <c r="AC7" s="254" t="s">
        <v>8</v>
      </c>
    </row>
    <row r="8" spans="1:29" ht="14.95" customHeight="1" thickBot="1" x14ac:dyDescent="0.3">
      <c r="A8" s="146" t="s">
        <v>327</v>
      </c>
      <c r="B8" s="150">
        <v>0</v>
      </c>
      <c r="C8" s="377">
        <v>0</v>
      </c>
      <c r="D8" s="379">
        <v>0</v>
      </c>
      <c r="E8" s="149">
        <f t="shared" si="0"/>
        <v>0</v>
      </c>
      <c r="F8" s="135" t="s">
        <v>327</v>
      </c>
      <c r="G8" s="323">
        <v>0</v>
      </c>
      <c r="H8" s="311">
        <v>0</v>
      </c>
      <c r="I8" s="29">
        <v>0</v>
      </c>
      <c r="J8" s="29">
        <f t="shared" si="1"/>
        <v>0</v>
      </c>
      <c r="K8" s="157" t="s">
        <v>804</v>
      </c>
      <c r="L8" s="210">
        <v>7</v>
      </c>
      <c r="M8" s="210">
        <v>10</v>
      </c>
      <c r="N8" s="207">
        <f t="shared" si="6"/>
        <v>70</v>
      </c>
      <c r="O8" s="149" t="s">
        <v>8</v>
      </c>
      <c r="P8" s="149" t="s">
        <v>8</v>
      </c>
      <c r="Q8" s="152" t="s">
        <v>8</v>
      </c>
      <c r="R8" s="157">
        <v>-1</v>
      </c>
      <c r="S8" s="318" t="s">
        <v>8</v>
      </c>
      <c r="T8" s="253" t="s">
        <v>8</v>
      </c>
      <c r="U8" s="251" t="s">
        <v>8</v>
      </c>
      <c r="V8" s="253" t="s">
        <v>8</v>
      </c>
      <c r="W8" s="253" t="s">
        <v>8</v>
      </c>
      <c r="X8" s="254" t="s">
        <v>8</v>
      </c>
      <c r="AA8" s="191">
        <v>1</v>
      </c>
      <c r="AB8" s="191">
        <v>1</v>
      </c>
      <c r="AC8" s="206">
        <f>SUM(AA8/AB8)*100</f>
        <v>100</v>
      </c>
    </row>
    <row r="9" spans="1:29" ht="14.95" customHeight="1" thickBot="1" x14ac:dyDescent="0.3">
      <c r="A9" s="146" t="s">
        <v>238</v>
      </c>
      <c r="B9" s="150">
        <v>1</v>
      </c>
      <c r="C9" s="377">
        <v>1</v>
      </c>
      <c r="D9" s="379">
        <v>1</v>
      </c>
      <c r="E9" s="149">
        <f t="shared" si="0"/>
        <v>3</v>
      </c>
      <c r="F9" s="135" t="s">
        <v>238</v>
      </c>
      <c r="G9" s="323">
        <v>26</v>
      </c>
      <c r="H9" s="311">
        <v>5</v>
      </c>
      <c r="I9" s="29">
        <v>5</v>
      </c>
      <c r="J9" s="29">
        <f t="shared" si="1"/>
        <v>36</v>
      </c>
      <c r="K9" s="158" t="s">
        <v>239</v>
      </c>
      <c r="L9" s="211" t="s">
        <v>8</v>
      </c>
      <c r="M9" s="211" t="s">
        <v>8</v>
      </c>
      <c r="N9" s="208" t="s">
        <v>8</v>
      </c>
      <c r="O9" s="149" t="s">
        <v>8</v>
      </c>
      <c r="P9" s="149" t="s">
        <v>8</v>
      </c>
      <c r="Q9" s="152" t="s">
        <v>8</v>
      </c>
      <c r="R9" s="159">
        <v>-4</v>
      </c>
      <c r="S9" s="253" t="s">
        <v>8</v>
      </c>
      <c r="T9" s="253" t="s">
        <v>8</v>
      </c>
      <c r="U9" s="254" t="s">
        <v>8</v>
      </c>
      <c r="V9" s="257" t="s">
        <v>8</v>
      </c>
      <c r="W9" s="253" t="s">
        <v>8</v>
      </c>
      <c r="X9" s="254" t="s">
        <v>8</v>
      </c>
      <c r="AA9" s="191">
        <v>5</v>
      </c>
      <c r="AB9" s="204">
        <v>11</v>
      </c>
      <c r="AC9" s="206">
        <f>SUM(AA9/AB9)*100</f>
        <v>45.454545454545453</v>
      </c>
    </row>
    <row r="10" spans="1:29" ht="14.95" customHeight="1" thickBot="1" x14ac:dyDescent="0.3">
      <c r="A10" s="146" t="s">
        <v>283</v>
      </c>
      <c r="B10" s="150">
        <v>0</v>
      </c>
      <c r="C10" s="377">
        <v>0</v>
      </c>
      <c r="D10" s="379">
        <v>0</v>
      </c>
      <c r="E10" s="149">
        <f t="shared" si="0"/>
        <v>0</v>
      </c>
      <c r="F10" s="135" t="s">
        <v>283</v>
      </c>
      <c r="G10" s="323">
        <v>0</v>
      </c>
      <c r="H10" s="311">
        <v>0</v>
      </c>
      <c r="I10" s="29">
        <v>0</v>
      </c>
      <c r="J10" s="29">
        <f t="shared" si="1"/>
        <v>0</v>
      </c>
      <c r="K10" s="158" t="s">
        <v>462</v>
      </c>
      <c r="L10" s="210" t="s">
        <v>8</v>
      </c>
      <c r="M10" s="210" t="s">
        <v>8</v>
      </c>
      <c r="N10" s="207" t="s">
        <v>8</v>
      </c>
      <c r="O10" s="149" t="s">
        <v>8</v>
      </c>
      <c r="P10" s="149" t="s">
        <v>8</v>
      </c>
      <c r="Q10" s="152" t="s">
        <v>8</v>
      </c>
      <c r="R10" s="159">
        <v>-1</v>
      </c>
      <c r="S10" s="253" t="s">
        <v>8</v>
      </c>
      <c r="T10" s="253" t="s">
        <v>8</v>
      </c>
      <c r="U10" s="254" t="s">
        <v>8</v>
      </c>
      <c r="V10" s="253">
        <v>1</v>
      </c>
      <c r="W10" s="253">
        <v>2</v>
      </c>
      <c r="X10" s="254">
        <f>SUM(V10/W10)*100</f>
        <v>50</v>
      </c>
      <c r="AA10" s="195" t="s">
        <v>8</v>
      </c>
      <c r="AB10" s="61" t="s">
        <v>8</v>
      </c>
      <c r="AC10" s="120" t="s">
        <v>8</v>
      </c>
    </row>
    <row r="11" spans="1:29" ht="14.95" customHeight="1" thickBot="1" x14ac:dyDescent="0.3">
      <c r="A11" s="146" t="s">
        <v>490</v>
      </c>
      <c r="B11" s="150">
        <v>0</v>
      </c>
      <c r="C11" s="377">
        <v>0</v>
      </c>
      <c r="D11" s="379">
        <v>0</v>
      </c>
      <c r="E11" s="149">
        <f t="shared" si="0"/>
        <v>0</v>
      </c>
      <c r="F11" s="135" t="s">
        <v>490</v>
      </c>
      <c r="G11" s="323">
        <v>0</v>
      </c>
      <c r="H11" s="311">
        <v>0</v>
      </c>
      <c r="I11" s="29">
        <v>0</v>
      </c>
      <c r="J11" s="29">
        <f t="shared" si="1"/>
        <v>0</v>
      </c>
      <c r="K11" s="108" t="s">
        <v>9</v>
      </c>
      <c r="O11" s="59"/>
      <c r="P11" s="99"/>
      <c r="Q11" s="99"/>
    </row>
    <row r="12" spans="1:29" ht="14.95" customHeight="1" thickBot="1" x14ac:dyDescent="0.3">
      <c r="A12" s="146" t="s">
        <v>468</v>
      </c>
      <c r="B12" s="150">
        <v>0</v>
      </c>
      <c r="C12" s="377">
        <v>0</v>
      </c>
      <c r="D12" s="379">
        <v>0</v>
      </c>
      <c r="E12" s="149">
        <f t="shared" si="0"/>
        <v>0</v>
      </c>
      <c r="F12" s="135" t="s">
        <v>468</v>
      </c>
      <c r="G12" s="323">
        <v>0</v>
      </c>
      <c r="H12" s="311">
        <v>0</v>
      </c>
      <c r="I12" s="29">
        <v>0</v>
      </c>
      <c r="J12" s="29">
        <f t="shared" si="1"/>
        <v>0</v>
      </c>
      <c r="K12" s="439" t="s">
        <v>230</v>
      </c>
      <c r="L12" s="433">
        <v>2025</v>
      </c>
      <c r="M12" s="434"/>
      <c r="N12" s="435"/>
      <c r="O12" s="447">
        <v>2024</v>
      </c>
      <c r="P12" s="448"/>
      <c r="Q12" s="449"/>
      <c r="R12" s="447">
        <v>2023</v>
      </c>
      <c r="S12" s="448"/>
      <c r="T12" s="449"/>
      <c r="U12" s="447">
        <v>2022</v>
      </c>
      <c r="V12" s="448"/>
      <c r="W12" s="449"/>
    </row>
    <row r="13" spans="1:29" ht="14.95" customHeight="1" thickBot="1" x14ac:dyDescent="0.3">
      <c r="A13" s="146" t="s">
        <v>244</v>
      </c>
      <c r="B13" s="150">
        <v>0</v>
      </c>
      <c r="C13" s="377">
        <v>4</v>
      </c>
      <c r="D13" s="379">
        <v>1</v>
      </c>
      <c r="E13" s="149">
        <f t="shared" si="0"/>
        <v>5</v>
      </c>
      <c r="F13" s="135" t="s">
        <v>244</v>
      </c>
      <c r="G13" s="323">
        <v>0</v>
      </c>
      <c r="H13" s="311">
        <v>64</v>
      </c>
      <c r="I13" s="29">
        <v>7</v>
      </c>
      <c r="J13" s="29">
        <f t="shared" si="1"/>
        <v>71</v>
      </c>
      <c r="K13" s="440"/>
      <c r="L13" s="436"/>
      <c r="M13" s="437"/>
      <c r="N13" s="438"/>
      <c r="O13" s="450"/>
      <c r="P13" s="451"/>
      <c r="Q13" s="452"/>
      <c r="R13" s="450"/>
      <c r="S13" s="451"/>
      <c r="T13" s="452"/>
      <c r="U13" s="450"/>
      <c r="V13" s="451"/>
      <c r="W13" s="452"/>
    </row>
    <row r="14" spans="1:29" ht="14.95" customHeight="1" thickBot="1" x14ac:dyDescent="0.3">
      <c r="A14" s="146" t="s">
        <v>521</v>
      </c>
      <c r="B14" s="150">
        <v>0</v>
      </c>
      <c r="C14" s="377">
        <v>0</v>
      </c>
      <c r="D14" s="379">
        <v>0</v>
      </c>
      <c r="E14" s="149">
        <f t="shared" si="0"/>
        <v>0</v>
      </c>
      <c r="F14" s="135" t="s">
        <v>521</v>
      </c>
      <c r="G14" s="323">
        <v>0</v>
      </c>
      <c r="H14" s="311">
        <v>0</v>
      </c>
      <c r="I14" s="29">
        <v>0</v>
      </c>
      <c r="J14" s="29">
        <f t="shared" si="1"/>
        <v>0</v>
      </c>
      <c r="K14" s="141"/>
      <c r="L14" s="29" t="s">
        <v>17</v>
      </c>
      <c r="M14" s="29" t="s">
        <v>5</v>
      </c>
      <c r="N14" s="29" t="s">
        <v>6</v>
      </c>
      <c r="O14" s="61" t="s">
        <v>17</v>
      </c>
      <c r="P14" s="61" t="s">
        <v>5</v>
      </c>
      <c r="Q14" s="61" t="s">
        <v>6</v>
      </c>
      <c r="R14" s="61" t="s">
        <v>17</v>
      </c>
      <c r="S14" s="61" t="s">
        <v>5</v>
      </c>
      <c r="T14" s="61" t="s">
        <v>6</v>
      </c>
      <c r="U14" s="61" t="s">
        <v>17</v>
      </c>
      <c r="V14" s="61" t="s">
        <v>5</v>
      </c>
      <c r="W14" s="61" t="s">
        <v>6</v>
      </c>
    </row>
    <row r="15" spans="1:29" ht="14.95" customHeight="1" thickBot="1" x14ac:dyDescent="0.3">
      <c r="A15" s="146" t="s">
        <v>1019</v>
      </c>
      <c r="B15" s="150">
        <v>0</v>
      </c>
      <c r="C15" s="377">
        <v>1</v>
      </c>
      <c r="D15" s="379">
        <v>0</v>
      </c>
      <c r="E15" s="149">
        <f t="shared" si="0"/>
        <v>1</v>
      </c>
      <c r="F15" s="135" t="s">
        <v>1019</v>
      </c>
      <c r="G15" s="323">
        <v>0</v>
      </c>
      <c r="H15" s="311">
        <v>5</v>
      </c>
      <c r="I15" s="29">
        <v>0</v>
      </c>
      <c r="J15" s="29">
        <f t="shared" si="1"/>
        <v>5</v>
      </c>
      <c r="K15" s="157" t="s">
        <v>238</v>
      </c>
      <c r="L15" s="210">
        <v>10</v>
      </c>
      <c r="M15" s="210">
        <v>16</v>
      </c>
      <c r="N15" s="207">
        <f t="shared" ref="N15" si="7">SUM(L15/M15)*100</f>
        <v>62.5</v>
      </c>
      <c r="O15" s="253">
        <v>6</v>
      </c>
      <c r="P15" s="253">
        <v>10</v>
      </c>
      <c r="Q15" s="254">
        <f t="shared" ref="Q15:Q17" si="8">SUM(O15/P15)*100</f>
        <v>60</v>
      </c>
      <c r="R15" s="253" t="s">
        <v>8</v>
      </c>
      <c r="S15" s="253" t="s">
        <v>8</v>
      </c>
      <c r="T15" s="252" t="s">
        <v>8</v>
      </c>
      <c r="U15" s="191">
        <v>2</v>
      </c>
      <c r="V15" s="191">
        <v>6</v>
      </c>
      <c r="W15" s="206">
        <f>SUM(U15/V15)*100</f>
        <v>33.333333333333329</v>
      </c>
    </row>
    <row r="16" spans="1:29" ht="14.95" customHeight="1" thickBot="1" x14ac:dyDescent="0.3">
      <c r="A16" s="146" t="s">
        <v>366</v>
      </c>
      <c r="B16" s="150">
        <v>0</v>
      </c>
      <c r="C16" s="377">
        <v>1</v>
      </c>
      <c r="D16" s="379">
        <v>0</v>
      </c>
      <c r="E16" s="149">
        <f t="shared" si="0"/>
        <v>1</v>
      </c>
      <c r="F16" s="135" t="s">
        <v>366</v>
      </c>
      <c r="G16" s="323">
        <v>0</v>
      </c>
      <c r="H16" s="311">
        <v>5</v>
      </c>
      <c r="I16" s="29">
        <v>0</v>
      </c>
      <c r="J16" s="29">
        <f t="shared" si="1"/>
        <v>5</v>
      </c>
      <c r="K16" s="157" t="s">
        <v>244</v>
      </c>
      <c r="L16" s="210" t="s">
        <v>8</v>
      </c>
      <c r="M16" s="210" t="s">
        <v>8</v>
      </c>
      <c r="N16" s="207" t="s">
        <v>8</v>
      </c>
      <c r="O16" s="253">
        <v>6</v>
      </c>
      <c r="P16" s="253">
        <v>11</v>
      </c>
      <c r="Q16" s="254">
        <f t="shared" si="8"/>
        <v>54.54545454545454</v>
      </c>
      <c r="R16" s="253">
        <v>14</v>
      </c>
      <c r="S16" s="253">
        <v>22</v>
      </c>
      <c r="T16" s="251">
        <f>SUM(R16/S16)*100</f>
        <v>63.636363636363633</v>
      </c>
      <c r="U16" s="191">
        <v>1</v>
      </c>
      <c r="V16" s="191">
        <v>1</v>
      </c>
      <c r="W16" s="206">
        <f>SUM(U16/V16)*100</f>
        <v>100</v>
      </c>
    </row>
    <row r="17" spans="1:23" ht="14.95" customHeight="1" thickBot="1" x14ac:dyDescent="0.3">
      <c r="A17" s="146" t="s">
        <v>616</v>
      </c>
      <c r="B17" s="150">
        <v>0</v>
      </c>
      <c r="C17" s="377">
        <v>0</v>
      </c>
      <c r="D17" s="379">
        <v>0</v>
      </c>
      <c r="E17" s="149">
        <f t="shared" si="0"/>
        <v>0</v>
      </c>
      <c r="F17" s="135" t="s">
        <v>616</v>
      </c>
      <c r="G17" s="323">
        <v>8</v>
      </c>
      <c r="H17" s="311">
        <v>0</v>
      </c>
      <c r="I17" s="29">
        <v>0</v>
      </c>
      <c r="J17" s="29">
        <f t="shared" si="1"/>
        <v>8</v>
      </c>
      <c r="K17" s="157" t="s">
        <v>616</v>
      </c>
      <c r="L17" s="210">
        <v>4</v>
      </c>
      <c r="M17" s="210">
        <v>7</v>
      </c>
      <c r="N17" s="207">
        <f t="shared" ref="N17" si="9">SUM(L17/M17)*100</f>
        <v>57.142857142857139</v>
      </c>
      <c r="O17" s="253">
        <v>2</v>
      </c>
      <c r="P17" s="253">
        <v>2</v>
      </c>
      <c r="Q17" s="254">
        <f t="shared" si="8"/>
        <v>100</v>
      </c>
      <c r="R17" s="253" t="s">
        <v>8</v>
      </c>
      <c r="S17" s="253" t="s">
        <v>8</v>
      </c>
      <c r="T17" s="252" t="s">
        <v>8</v>
      </c>
      <c r="U17" s="253" t="s">
        <v>8</v>
      </c>
      <c r="V17" s="253" t="s">
        <v>8</v>
      </c>
      <c r="W17" s="252" t="s">
        <v>8</v>
      </c>
    </row>
    <row r="18" spans="1:23" ht="14.95" customHeight="1" thickBot="1" x14ac:dyDescent="0.3">
      <c r="A18" s="146" t="s">
        <v>694</v>
      </c>
      <c r="B18" s="150">
        <v>4</v>
      </c>
      <c r="C18" s="377">
        <v>2</v>
      </c>
      <c r="D18" s="379">
        <v>0</v>
      </c>
      <c r="E18" s="149">
        <f t="shared" si="0"/>
        <v>6</v>
      </c>
      <c r="F18" s="135" t="s">
        <v>694</v>
      </c>
      <c r="G18" s="323">
        <v>20</v>
      </c>
      <c r="H18" s="311">
        <v>10</v>
      </c>
      <c r="I18" s="29">
        <v>0</v>
      </c>
      <c r="J18" s="29">
        <f t="shared" si="1"/>
        <v>30</v>
      </c>
      <c r="K18" s="158" t="s">
        <v>239</v>
      </c>
      <c r="L18" s="211" t="s">
        <v>8</v>
      </c>
      <c r="M18" s="211" t="s">
        <v>8</v>
      </c>
      <c r="N18" s="209" t="s">
        <v>8</v>
      </c>
      <c r="O18" s="253" t="s">
        <v>8</v>
      </c>
      <c r="P18" s="253" t="s">
        <v>8</v>
      </c>
      <c r="Q18" s="252" t="s">
        <v>8</v>
      </c>
      <c r="R18" s="253" t="s">
        <v>8</v>
      </c>
      <c r="S18" s="253" t="s">
        <v>8</v>
      </c>
      <c r="T18" s="254" t="s">
        <v>8</v>
      </c>
      <c r="U18" s="191">
        <v>5</v>
      </c>
      <c r="V18" s="191">
        <v>7</v>
      </c>
      <c r="W18" s="205">
        <f>SUM(U18/V18)*100</f>
        <v>71.428571428571431</v>
      </c>
    </row>
    <row r="19" spans="1:23" ht="14.95" customHeight="1" thickBot="1" x14ac:dyDescent="0.3">
      <c r="A19" s="146" t="s">
        <v>654</v>
      </c>
      <c r="B19" s="150">
        <v>0</v>
      </c>
      <c r="C19" s="377">
        <v>0</v>
      </c>
      <c r="D19" s="379">
        <v>0</v>
      </c>
      <c r="E19" s="149">
        <f t="shared" si="0"/>
        <v>0</v>
      </c>
      <c r="F19" s="135" t="s">
        <v>654</v>
      </c>
      <c r="G19" s="323">
        <v>0</v>
      </c>
      <c r="H19" s="311">
        <v>0</v>
      </c>
      <c r="I19" s="29">
        <v>0</v>
      </c>
      <c r="J19" s="29">
        <f t="shared" si="1"/>
        <v>0</v>
      </c>
      <c r="K19" s="158" t="s">
        <v>462</v>
      </c>
      <c r="L19" s="211" t="s">
        <v>8</v>
      </c>
      <c r="M19" s="211" t="s">
        <v>8</v>
      </c>
      <c r="N19" s="208" t="s">
        <v>8</v>
      </c>
      <c r="O19" s="253" t="s">
        <v>8</v>
      </c>
      <c r="P19" s="253" t="s">
        <v>8</v>
      </c>
      <c r="Q19" s="258" t="s">
        <v>8</v>
      </c>
      <c r="R19" s="253">
        <v>1</v>
      </c>
      <c r="S19" s="253">
        <v>2</v>
      </c>
      <c r="T19" s="254">
        <f>SUM(R19/S19)*100</f>
        <v>50</v>
      </c>
      <c r="U19" s="255" t="s">
        <v>8</v>
      </c>
      <c r="V19" s="225" t="s">
        <v>8</v>
      </c>
      <c r="W19" s="226" t="s">
        <v>8</v>
      </c>
    </row>
    <row r="20" spans="1:23" ht="14.95" customHeight="1" thickBot="1" x14ac:dyDescent="0.3">
      <c r="A20" s="146" t="s">
        <v>367</v>
      </c>
      <c r="B20" s="150">
        <v>0</v>
      </c>
      <c r="C20" s="377">
        <v>0</v>
      </c>
      <c r="D20" s="379">
        <v>0</v>
      </c>
      <c r="E20" s="149">
        <f t="shared" si="0"/>
        <v>0</v>
      </c>
      <c r="F20" s="135" t="s">
        <v>367</v>
      </c>
      <c r="G20" s="323">
        <v>0</v>
      </c>
      <c r="H20" s="311">
        <v>0</v>
      </c>
      <c r="I20" s="29">
        <v>0</v>
      </c>
      <c r="J20" s="29">
        <f t="shared" si="1"/>
        <v>0</v>
      </c>
    </row>
    <row r="21" spans="1:23" ht="14.95" customHeight="1" thickBot="1" x14ac:dyDescent="0.3">
      <c r="A21" s="146" t="s">
        <v>621</v>
      </c>
      <c r="B21" s="150">
        <v>0</v>
      </c>
      <c r="C21" s="377">
        <v>0</v>
      </c>
      <c r="D21" s="379">
        <v>0</v>
      </c>
      <c r="E21" s="149">
        <f t="shared" si="0"/>
        <v>0</v>
      </c>
      <c r="F21" s="135" t="s">
        <v>621</v>
      </c>
      <c r="G21" s="323">
        <v>0</v>
      </c>
      <c r="H21" s="311">
        <v>0</v>
      </c>
      <c r="I21" s="29">
        <v>0</v>
      </c>
      <c r="J21" s="29">
        <f t="shared" si="1"/>
        <v>0</v>
      </c>
      <c r="K21" s="459" t="s">
        <v>351</v>
      </c>
      <c r="L21" s="433">
        <v>2025</v>
      </c>
      <c r="M21" s="434"/>
      <c r="N21" s="435"/>
      <c r="O21" s="447">
        <v>2022</v>
      </c>
      <c r="P21" s="448"/>
      <c r="Q21" s="449"/>
    </row>
    <row r="22" spans="1:23" ht="14.95" customHeight="1" thickBot="1" x14ac:dyDescent="0.3">
      <c r="A22" s="146" t="s">
        <v>243</v>
      </c>
      <c r="B22" s="150">
        <v>0</v>
      </c>
      <c r="C22" s="377">
        <v>0</v>
      </c>
      <c r="D22" s="379">
        <v>0</v>
      </c>
      <c r="E22" s="149">
        <f t="shared" si="0"/>
        <v>0</v>
      </c>
      <c r="F22" s="135" t="s">
        <v>243</v>
      </c>
      <c r="G22" s="323">
        <v>0</v>
      </c>
      <c r="H22" s="311">
        <v>0</v>
      </c>
      <c r="I22" s="29">
        <v>0</v>
      </c>
      <c r="J22" s="29">
        <f t="shared" si="1"/>
        <v>0</v>
      </c>
      <c r="K22" s="460"/>
      <c r="L22" s="436"/>
      <c r="M22" s="437"/>
      <c r="N22" s="438"/>
      <c r="O22" s="450"/>
      <c r="P22" s="451"/>
      <c r="Q22" s="452"/>
    </row>
    <row r="23" spans="1:23" ht="14.95" customHeight="1" thickBot="1" x14ac:dyDescent="0.3">
      <c r="A23" s="146" t="s">
        <v>368</v>
      </c>
      <c r="B23" s="150">
        <v>0</v>
      </c>
      <c r="C23" s="377">
        <v>0</v>
      </c>
      <c r="D23" s="379">
        <v>0</v>
      </c>
      <c r="E23" s="149">
        <f t="shared" si="0"/>
        <v>0</v>
      </c>
      <c r="F23" s="135" t="s">
        <v>368</v>
      </c>
      <c r="G23" s="323">
        <v>0</v>
      </c>
      <c r="H23" s="311">
        <v>0</v>
      </c>
      <c r="I23" s="29">
        <v>0</v>
      </c>
      <c r="J23" s="29">
        <f t="shared" si="1"/>
        <v>0</v>
      </c>
      <c r="K23" s="317"/>
      <c r="L23" s="29" t="s">
        <v>17</v>
      </c>
      <c r="M23" s="29" t="s">
        <v>5</v>
      </c>
      <c r="N23" s="29" t="s">
        <v>6</v>
      </c>
      <c r="O23" s="61" t="s">
        <v>17</v>
      </c>
      <c r="P23" s="61" t="s">
        <v>5</v>
      </c>
      <c r="Q23" s="61" t="s">
        <v>6</v>
      </c>
    </row>
    <row r="24" spans="1:23" ht="14.95" customHeight="1" thickBot="1" x14ac:dyDescent="0.3">
      <c r="A24" s="146" t="s">
        <v>369</v>
      </c>
      <c r="B24" s="150">
        <v>0</v>
      </c>
      <c r="C24" s="377">
        <v>2</v>
      </c>
      <c r="D24" s="379">
        <v>0</v>
      </c>
      <c r="E24" s="149">
        <f t="shared" si="0"/>
        <v>2</v>
      </c>
      <c r="F24" s="135" t="s">
        <v>369</v>
      </c>
      <c r="G24" s="323">
        <v>0</v>
      </c>
      <c r="H24" s="311">
        <v>10</v>
      </c>
      <c r="I24" s="29">
        <v>0</v>
      </c>
      <c r="J24" s="29">
        <f t="shared" si="1"/>
        <v>10</v>
      </c>
      <c r="K24" s="157" t="s">
        <v>238</v>
      </c>
      <c r="L24" s="210" t="s">
        <v>8</v>
      </c>
      <c r="M24" s="210" t="s">
        <v>8</v>
      </c>
      <c r="N24" s="207" t="s">
        <v>8</v>
      </c>
      <c r="O24" s="61">
        <v>10</v>
      </c>
      <c r="P24" s="61">
        <v>17</v>
      </c>
      <c r="Q24" s="120">
        <v>59</v>
      </c>
    </row>
    <row r="25" spans="1:23" ht="14.95" customHeight="1" thickBot="1" x14ac:dyDescent="0.3">
      <c r="A25" s="146" t="s">
        <v>264</v>
      </c>
      <c r="B25" s="150">
        <v>0</v>
      </c>
      <c r="C25" s="377">
        <v>4</v>
      </c>
      <c r="D25" s="379">
        <v>1</v>
      </c>
      <c r="E25" s="149">
        <f t="shared" si="0"/>
        <v>5</v>
      </c>
      <c r="F25" s="135" t="s">
        <v>264</v>
      </c>
      <c r="G25" s="323">
        <v>0</v>
      </c>
      <c r="H25" s="311">
        <v>20</v>
      </c>
      <c r="I25" s="29">
        <v>5</v>
      </c>
      <c r="J25" s="29">
        <f t="shared" si="1"/>
        <v>25</v>
      </c>
      <c r="K25" s="157" t="s">
        <v>244</v>
      </c>
      <c r="L25" s="210">
        <v>21</v>
      </c>
      <c r="M25" s="210">
        <v>33</v>
      </c>
      <c r="N25" s="207">
        <f t="shared" ref="N25:N26" si="10">SUM(L25/M25)*100</f>
        <v>63.636363636363633</v>
      </c>
      <c r="O25" s="61">
        <v>12</v>
      </c>
      <c r="P25" s="61">
        <v>25</v>
      </c>
      <c r="Q25" s="120">
        <v>53</v>
      </c>
    </row>
    <row r="26" spans="1:23" ht="14.95" customHeight="1" thickBot="1" x14ac:dyDescent="0.3">
      <c r="A26" s="146" t="s">
        <v>633</v>
      </c>
      <c r="B26" s="150">
        <v>0</v>
      </c>
      <c r="C26" s="377">
        <v>2</v>
      </c>
      <c r="D26" s="379">
        <v>0</v>
      </c>
      <c r="E26" s="149">
        <f t="shared" si="0"/>
        <v>2</v>
      </c>
      <c r="F26" s="135" t="s">
        <v>633</v>
      </c>
      <c r="G26" s="323">
        <v>0</v>
      </c>
      <c r="H26" s="311">
        <v>10</v>
      </c>
      <c r="I26" s="29">
        <v>0</v>
      </c>
      <c r="J26" s="29">
        <f t="shared" si="1"/>
        <v>10</v>
      </c>
      <c r="K26" s="157" t="s">
        <v>804</v>
      </c>
      <c r="L26" s="210">
        <v>7</v>
      </c>
      <c r="M26" s="210">
        <v>10</v>
      </c>
      <c r="N26" s="207">
        <f t="shared" si="10"/>
        <v>70</v>
      </c>
      <c r="O26" s="253" t="s">
        <v>8</v>
      </c>
      <c r="P26" s="253" t="s">
        <v>8</v>
      </c>
      <c r="Q26" s="252" t="s">
        <v>8</v>
      </c>
    </row>
    <row r="27" spans="1:23" ht="14.95" customHeight="1" thickBot="1" x14ac:dyDescent="0.3">
      <c r="A27" s="146" t="s">
        <v>461</v>
      </c>
      <c r="B27" s="150">
        <v>0</v>
      </c>
      <c r="C27" s="377">
        <v>0</v>
      </c>
      <c r="D27" s="379">
        <v>0</v>
      </c>
      <c r="E27" s="149">
        <f t="shared" si="0"/>
        <v>0</v>
      </c>
      <c r="F27" s="135" t="s">
        <v>461</v>
      </c>
      <c r="G27" s="323">
        <v>0</v>
      </c>
      <c r="H27" s="311">
        <v>0</v>
      </c>
      <c r="I27" s="29">
        <v>0</v>
      </c>
      <c r="J27" s="29">
        <f t="shared" si="1"/>
        <v>0</v>
      </c>
      <c r="K27" s="158" t="s">
        <v>239</v>
      </c>
      <c r="L27" s="210" t="s">
        <v>8</v>
      </c>
      <c r="M27" s="210" t="s">
        <v>8</v>
      </c>
      <c r="N27" s="207" t="s">
        <v>8</v>
      </c>
      <c r="O27" s="61">
        <v>0</v>
      </c>
      <c r="P27" s="61">
        <v>4</v>
      </c>
      <c r="Q27" s="120">
        <v>0</v>
      </c>
    </row>
    <row r="28" spans="1:23" ht="14.95" customHeight="1" thickBot="1" x14ac:dyDescent="0.3">
      <c r="A28" s="146" t="s">
        <v>212</v>
      </c>
      <c r="B28" s="150">
        <v>0</v>
      </c>
      <c r="C28" s="377">
        <v>0</v>
      </c>
      <c r="D28" s="379">
        <v>0</v>
      </c>
      <c r="E28" s="149">
        <f t="shared" si="0"/>
        <v>0</v>
      </c>
      <c r="F28" s="135" t="s">
        <v>212</v>
      </c>
      <c r="G28" s="323">
        <v>0</v>
      </c>
      <c r="H28" s="311">
        <v>0</v>
      </c>
      <c r="I28" s="29">
        <v>0</v>
      </c>
      <c r="J28" s="29">
        <f t="shared" si="1"/>
        <v>0</v>
      </c>
      <c r="O28" s="9"/>
      <c r="P28" s="9"/>
      <c r="Q28" s="9"/>
    </row>
    <row r="29" spans="1:23" ht="14.95" customHeight="1" thickBot="1" x14ac:dyDescent="0.3">
      <c r="A29" s="146" t="s">
        <v>370</v>
      </c>
      <c r="B29" s="150">
        <v>0</v>
      </c>
      <c r="C29" s="377">
        <v>1</v>
      </c>
      <c r="D29" s="379">
        <v>0</v>
      </c>
      <c r="E29" s="149">
        <f t="shared" si="0"/>
        <v>1</v>
      </c>
      <c r="F29" s="135" t="s">
        <v>370</v>
      </c>
      <c r="G29" s="323">
        <v>0</v>
      </c>
      <c r="H29" s="311">
        <v>5</v>
      </c>
      <c r="I29" s="29">
        <v>0</v>
      </c>
      <c r="J29" s="29">
        <f t="shared" si="1"/>
        <v>5</v>
      </c>
      <c r="K29" s="477" t="s">
        <v>509</v>
      </c>
      <c r="L29" s="447">
        <v>2024</v>
      </c>
      <c r="M29" s="448"/>
      <c r="N29" s="449"/>
      <c r="O29" s="447">
        <v>2023</v>
      </c>
      <c r="P29" s="448"/>
      <c r="Q29" s="449"/>
    </row>
    <row r="30" spans="1:23" ht="14.95" customHeight="1" thickBot="1" x14ac:dyDescent="0.3">
      <c r="A30" s="146" t="s">
        <v>984</v>
      </c>
      <c r="B30" s="150">
        <v>0</v>
      </c>
      <c r="C30" s="377">
        <v>1</v>
      </c>
      <c r="D30" s="379">
        <v>0</v>
      </c>
      <c r="E30" s="149">
        <f t="shared" si="0"/>
        <v>1</v>
      </c>
      <c r="F30" s="135" t="s">
        <v>984</v>
      </c>
      <c r="G30" s="323">
        <v>0</v>
      </c>
      <c r="H30" s="311">
        <v>5</v>
      </c>
      <c r="I30" s="29">
        <v>0</v>
      </c>
      <c r="J30" s="29">
        <f t="shared" si="1"/>
        <v>5</v>
      </c>
      <c r="K30" s="478"/>
      <c r="L30" s="450"/>
      <c r="M30" s="451"/>
      <c r="N30" s="452"/>
      <c r="O30" s="450"/>
      <c r="P30" s="451"/>
      <c r="Q30" s="452"/>
    </row>
    <row r="31" spans="1:23" ht="14.95" customHeight="1" thickBot="1" x14ac:dyDescent="0.3">
      <c r="A31" s="146" t="s">
        <v>236</v>
      </c>
      <c r="B31" s="150">
        <v>0</v>
      </c>
      <c r="C31" s="377">
        <v>0</v>
      </c>
      <c r="D31" s="379">
        <v>0</v>
      </c>
      <c r="E31" s="149">
        <f t="shared" si="0"/>
        <v>0</v>
      </c>
      <c r="F31" s="135" t="s">
        <v>236</v>
      </c>
      <c r="G31" s="323">
        <v>0</v>
      </c>
      <c r="H31" s="311">
        <v>0</v>
      </c>
      <c r="I31" s="29">
        <v>0</v>
      </c>
      <c r="J31" s="29">
        <f t="shared" si="1"/>
        <v>0</v>
      </c>
      <c r="K31" s="231"/>
      <c r="L31" s="61" t="s">
        <v>17</v>
      </c>
      <c r="M31" s="61" t="s">
        <v>5</v>
      </c>
      <c r="N31" s="61" t="s">
        <v>6</v>
      </c>
      <c r="O31" s="61" t="s">
        <v>17</v>
      </c>
      <c r="P31" s="61" t="s">
        <v>5</v>
      </c>
      <c r="Q31" s="61" t="s">
        <v>6</v>
      </c>
    </row>
    <row r="32" spans="1:23" ht="14.95" customHeight="1" thickBot="1" x14ac:dyDescent="0.3">
      <c r="A32" s="146" t="s">
        <v>371</v>
      </c>
      <c r="B32" s="150">
        <v>0</v>
      </c>
      <c r="C32" s="377">
        <v>0</v>
      </c>
      <c r="D32" s="379">
        <v>0</v>
      </c>
      <c r="E32" s="149">
        <f t="shared" si="0"/>
        <v>0</v>
      </c>
      <c r="F32" s="135" t="s">
        <v>371</v>
      </c>
      <c r="G32" s="323">
        <v>0</v>
      </c>
      <c r="H32" s="311">
        <v>0</v>
      </c>
      <c r="I32" s="29">
        <v>0</v>
      </c>
      <c r="J32" s="29">
        <f t="shared" si="1"/>
        <v>0</v>
      </c>
      <c r="K32" s="157" t="s">
        <v>238</v>
      </c>
      <c r="L32" s="253" t="s">
        <v>8</v>
      </c>
      <c r="M32" s="253" t="s">
        <v>8</v>
      </c>
      <c r="N32" s="252" t="s">
        <v>8</v>
      </c>
      <c r="O32" s="61">
        <v>1</v>
      </c>
      <c r="P32" s="61">
        <v>1</v>
      </c>
      <c r="Q32" s="120">
        <f t="shared" ref="Q32:Q33" si="11">SUM(O32/P32)*100</f>
        <v>100</v>
      </c>
    </row>
    <row r="33" spans="1:17" ht="14.95" customHeight="1" thickBot="1" x14ac:dyDescent="0.3">
      <c r="A33" s="146" t="s">
        <v>620</v>
      </c>
      <c r="B33" s="150">
        <v>0</v>
      </c>
      <c r="C33" s="377">
        <v>0</v>
      </c>
      <c r="D33" s="379">
        <v>0</v>
      </c>
      <c r="E33" s="149">
        <f t="shared" si="0"/>
        <v>0</v>
      </c>
      <c r="F33" s="135" t="s">
        <v>620</v>
      </c>
      <c r="G33" s="323">
        <v>0</v>
      </c>
      <c r="H33" s="311">
        <v>0</v>
      </c>
      <c r="I33" s="29">
        <v>0</v>
      </c>
      <c r="J33" s="29">
        <f t="shared" si="1"/>
        <v>0</v>
      </c>
      <c r="K33" s="157" t="s">
        <v>244</v>
      </c>
      <c r="L33" s="61">
        <v>6</v>
      </c>
      <c r="M33" s="61">
        <v>7</v>
      </c>
      <c r="N33" s="120">
        <f t="shared" ref="N33" si="12">SUM(L33/M33)*100</f>
        <v>85.714285714285708</v>
      </c>
      <c r="O33" s="61">
        <v>8</v>
      </c>
      <c r="P33" s="61">
        <v>16</v>
      </c>
      <c r="Q33" s="120">
        <f t="shared" si="11"/>
        <v>50</v>
      </c>
    </row>
    <row r="34" spans="1:17" ht="14.95" customHeight="1" thickBot="1" x14ac:dyDescent="0.3">
      <c r="A34" s="146" t="s">
        <v>959</v>
      </c>
      <c r="B34" s="150">
        <v>0</v>
      </c>
      <c r="C34" s="377">
        <v>2</v>
      </c>
      <c r="D34" s="379">
        <v>0</v>
      </c>
      <c r="E34" s="149">
        <f t="shared" si="0"/>
        <v>2</v>
      </c>
      <c r="F34" s="135" t="s">
        <v>959</v>
      </c>
      <c r="G34" s="323">
        <v>0</v>
      </c>
      <c r="H34" s="311">
        <v>10</v>
      </c>
      <c r="I34" s="29">
        <v>0</v>
      </c>
      <c r="J34" s="29">
        <f t="shared" si="1"/>
        <v>10</v>
      </c>
      <c r="K34" s="157" t="s">
        <v>616</v>
      </c>
      <c r="L34" s="61">
        <v>4</v>
      </c>
      <c r="M34" s="61">
        <v>10</v>
      </c>
      <c r="N34" s="120">
        <f t="shared" ref="N34" si="13">SUM(L34/M34)*100</f>
        <v>40</v>
      </c>
      <c r="O34" s="253" t="s">
        <v>8</v>
      </c>
      <c r="P34" s="253" t="s">
        <v>8</v>
      </c>
      <c r="Q34" s="254" t="s">
        <v>8</v>
      </c>
    </row>
    <row r="35" spans="1:17" ht="14.95" customHeight="1" thickBot="1" x14ac:dyDescent="0.3">
      <c r="A35" s="146" t="s">
        <v>372</v>
      </c>
      <c r="B35" s="150">
        <v>0</v>
      </c>
      <c r="C35" s="377">
        <v>0</v>
      </c>
      <c r="D35" s="379">
        <v>0</v>
      </c>
      <c r="E35" s="149">
        <f t="shared" si="0"/>
        <v>0</v>
      </c>
      <c r="F35" s="135" t="s">
        <v>372</v>
      </c>
      <c r="G35" s="323">
        <v>0</v>
      </c>
      <c r="H35" s="311">
        <v>0</v>
      </c>
      <c r="I35" s="29">
        <v>0</v>
      </c>
      <c r="J35" s="29">
        <f t="shared" si="1"/>
        <v>0</v>
      </c>
    </row>
    <row r="36" spans="1:17" ht="14.95" customHeight="1" thickBot="1" x14ac:dyDescent="0.3">
      <c r="A36" s="146" t="s">
        <v>804</v>
      </c>
      <c r="B36" s="150">
        <v>3</v>
      </c>
      <c r="C36" s="377">
        <v>11</v>
      </c>
      <c r="D36" s="379">
        <v>0</v>
      </c>
      <c r="E36" s="149">
        <f t="shared" si="0"/>
        <v>14</v>
      </c>
      <c r="F36" s="135" t="s">
        <v>804</v>
      </c>
      <c r="G36" s="323">
        <v>15</v>
      </c>
      <c r="H36" s="311">
        <v>69</v>
      </c>
      <c r="I36" s="29">
        <v>0</v>
      </c>
      <c r="J36" s="29">
        <f t="shared" si="1"/>
        <v>84</v>
      </c>
    </row>
    <row r="37" spans="1:17" ht="14.95" thickBot="1" x14ac:dyDescent="0.3">
      <c r="A37" s="146" t="s">
        <v>373</v>
      </c>
      <c r="B37" s="150">
        <v>0</v>
      </c>
      <c r="C37" s="377">
        <v>0</v>
      </c>
      <c r="D37" s="379">
        <v>0</v>
      </c>
      <c r="E37" s="149">
        <f t="shared" si="0"/>
        <v>0</v>
      </c>
      <c r="F37" s="135" t="s">
        <v>373</v>
      </c>
      <c r="G37" s="323">
        <v>0</v>
      </c>
      <c r="H37" s="311">
        <v>0</v>
      </c>
      <c r="I37" s="29">
        <v>0</v>
      </c>
      <c r="J37" s="29">
        <f t="shared" si="1"/>
        <v>0</v>
      </c>
    </row>
    <row r="38" spans="1:17" ht="14.95" thickBot="1" x14ac:dyDescent="0.3">
      <c r="A38" s="146" t="s">
        <v>374</v>
      </c>
      <c r="B38" s="150">
        <v>0</v>
      </c>
      <c r="C38" s="377">
        <v>0</v>
      </c>
      <c r="D38" s="379">
        <v>0</v>
      </c>
      <c r="E38" s="149">
        <f t="shared" si="0"/>
        <v>0</v>
      </c>
      <c r="F38" s="135" t="s">
        <v>374</v>
      </c>
      <c r="G38" s="323">
        <v>0</v>
      </c>
      <c r="H38" s="311">
        <v>0</v>
      </c>
      <c r="I38" s="29">
        <v>0</v>
      </c>
      <c r="J38" s="29">
        <f t="shared" si="1"/>
        <v>0</v>
      </c>
    </row>
    <row r="39" spans="1:17" ht="14.95" thickBot="1" x14ac:dyDescent="0.3">
      <c r="A39" s="146" t="s">
        <v>488</v>
      </c>
      <c r="B39" s="150">
        <v>0</v>
      </c>
      <c r="C39" s="377">
        <v>0</v>
      </c>
      <c r="D39" s="379">
        <v>0</v>
      </c>
      <c r="E39" s="149">
        <f t="shared" si="0"/>
        <v>0</v>
      </c>
      <c r="F39" s="135" t="s">
        <v>488</v>
      </c>
      <c r="G39" s="323">
        <v>0</v>
      </c>
      <c r="H39" s="311">
        <v>0</v>
      </c>
      <c r="I39" s="29">
        <v>0</v>
      </c>
      <c r="J39" s="29">
        <f t="shared" si="1"/>
        <v>0</v>
      </c>
    </row>
    <row r="40" spans="1:17" ht="14.95" thickBot="1" x14ac:dyDescent="0.3">
      <c r="A40" s="146" t="s">
        <v>237</v>
      </c>
      <c r="B40" s="150">
        <v>0</v>
      </c>
      <c r="C40" s="377">
        <v>0</v>
      </c>
      <c r="D40" s="379">
        <v>1</v>
      </c>
      <c r="E40" s="149">
        <f t="shared" si="0"/>
        <v>1</v>
      </c>
      <c r="F40" s="135" t="s">
        <v>237</v>
      </c>
      <c r="G40" s="323">
        <v>0</v>
      </c>
      <c r="H40" s="311">
        <v>0</v>
      </c>
      <c r="I40" s="29">
        <v>5</v>
      </c>
      <c r="J40" s="29">
        <f>SUM(G40:I40)</f>
        <v>5</v>
      </c>
    </row>
    <row r="41" spans="1:17" ht="14.95" customHeight="1" thickBot="1" x14ac:dyDescent="0.3">
      <c r="A41" s="146" t="s">
        <v>982</v>
      </c>
      <c r="B41" s="150">
        <v>0</v>
      </c>
      <c r="C41" s="377">
        <v>1</v>
      </c>
      <c r="D41" s="379">
        <v>0</v>
      </c>
      <c r="E41" s="149">
        <f t="shared" si="0"/>
        <v>1</v>
      </c>
      <c r="F41" s="135" t="s">
        <v>982</v>
      </c>
      <c r="G41" s="323">
        <v>0</v>
      </c>
      <c r="H41" s="311">
        <v>5</v>
      </c>
      <c r="I41" s="29">
        <v>0</v>
      </c>
      <c r="J41" s="29">
        <f>SUM(G41:I41)</f>
        <v>5</v>
      </c>
    </row>
    <row r="42" spans="1:17" ht="14.95" thickBot="1" x14ac:dyDescent="0.3">
      <c r="A42" s="146" t="s">
        <v>516</v>
      </c>
      <c r="B42" s="150">
        <v>4</v>
      </c>
      <c r="C42" s="377">
        <v>2</v>
      </c>
      <c r="D42" s="379">
        <v>0</v>
      </c>
      <c r="E42" s="149">
        <f t="shared" si="0"/>
        <v>6</v>
      </c>
      <c r="F42" s="135" t="s">
        <v>516</v>
      </c>
      <c r="G42" s="323">
        <v>20</v>
      </c>
      <c r="H42" s="311">
        <v>10</v>
      </c>
      <c r="I42" s="29">
        <v>0</v>
      </c>
      <c r="J42" s="29">
        <f t="shared" si="1"/>
        <v>30</v>
      </c>
    </row>
    <row r="43" spans="1:17" ht="14.95" customHeight="1" thickBot="1" x14ac:dyDescent="0.3">
      <c r="A43" s="146" t="s">
        <v>618</v>
      </c>
      <c r="B43" s="150">
        <v>0</v>
      </c>
      <c r="C43" s="377">
        <v>0</v>
      </c>
      <c r="D43" s="379">
        <v>0</v>
      </c>
      <c r="E43" s="149">
        <f t="shared" si="0"/>
        <v>0</v>
      </c>
      <c r="F43" s="135" t="s">
        <v>618</v>
      </c>
      <c r="G43" s="323">
        <v>0</v>
      </c>
      <c r="H43" s="311">
        <v>0</v>
      </c>
      <c r="I43" s="29">
        <v>0</v>
      </c>
      <c r="J43" s="29">
        <f t="shared" si="1"/>
        <v>0</v>
      </c>
    </row>
    <row r="44" spans="1:17" ht="14.95" customHeight="1" thickBot="1" x14ac:dyDescent="0.3">
      <c r="A44" s="146" t="s">
        <v>634</v>
      </c>
      <c r="B44" s="150">
        <v>1</v>
      </c>
      <c r="C44" s="377">
        <v>1</v>
      </c>
      <c r="D44" s="379">
        <v>0</v>
      </c>
      <c r="E44" s="149">
        <f t="shared" si="0"/>
        <v>2</v>
      </c>
      <c r="F44" s="135" t="s">
        <v>634</v>
      </c>
      <c r="G44" s="323">
        <v>5</v>
      </c>
      <c r="H44" s="311">
        <v>5</v>
      </c>
      <c r="I44" s="29">
        <v>0</v>
      </c>
      <c r="J44" s="29">
        <f t="shared" si="1"/>
        <v>10</v>
      </c>
    </row>
    <row r="45" spans="1:17" ht="14.95" thickBot="1" x14ac:dyDescent="0.3">
      <c r="A45" s="146" t="s">
        <v>821</v>
      </c>
      <c r="B45" s="150">
        <v>1</v>
      </c>
      <c r="C45" s="377">
        <v>1</v>
      </c>
      <c r="D45" s="379">
        <v>0</v>
      </c>
      <c r="E45" s="149">
        <f t="shared" si="0"/>
        <v>2</v>
      </c>
      <c r="F45" s="135" t="s">
        <v>821</v>
      </c>
      <c r="G45" s="323">
        <v>5</v>
      </c>
      <c r="H45" s="311">
        <v>5</v>
      </c>
      <c r="I45" s="29">
        <v>0</v>
      </c>
      <c r="J45" s="29">
        <f t="shared" si="1"/>
        <v>10</v>
      </c>
    </row>
    <row r="46" spans="1:17" ht="14.95" thickBot="1" x14ac:dyDescent="0.3">
      <c r="A46" s="146" t="s">
        <v>819</v>
      </c>
      <c r="B46" s="150">
        <v>7</v>
      </c>
      <c r="C46" s="377">
        <v>2</v>
      </c>
      <c r="D46" s="379">
        <v>2</v>
      </c>
      <c r="E46" s="149">
        <f t="shared" si="0"/>
        <v>11</v>
      </c>
      <c r="F46" s="135" t="s">
        <v>819</v>
      </c>
      <c r="G46" s="323">
        <v>35</v>
      </c>
      <c r="H46" s="311">
        <v>10</v>
      </c>
      <c r="I46" s="29">
        <v>10</v>
      </c>
      <c r="J46" s="29">
        <f t="shared" si="1"/>
        <v>55</v>
      </c>
    </row>
    <row r="47" spans="1:17" ht="14.95" thickBot="1" x14ac:dyDescent="0.3">
      <c r="A47" s="146" t="s">
        <v>3</v>
      </c>
      <c r="B47" s="150">
        <f>SUM(B3:B46)</f>
        <v>23</v>
      </c>
      <c r="C47" s="377">
        <f>SUM(C3:C46)</f>
        <v>41</v>
      </c>
      <c r="D47" s="379">
        <f>SUM(D3:D46)</f>
        <v>7</v>
      </c>
      <c r="E47" s="149">
        <f>SUM(E3:E46)</f>
        <v>71</v>
      </c>
      <c r="F47" s="136" t="s">
        <v>3</v>
      </c>
      <c r="G47" s="322">
        <f>SUM(G3:G46)</f>
        <v>144</v>
      </c>
      <c r="H47" s="312">
        <f>SUM(H3:H46)</f>
        <v>263</v>
      </c>
      <c r="I47" s="121">
        <f>SUM(I3:I46)</f>
        <v>37</v>
      </c>
      <c r="J47" s="121">
        <f>SUM(J3:J46)</f>
        <v>444</v>
      </c>
    </row>
    <row r="48" spans="1:17" ht="16.3" x14ac:dyDescent="0.25">
      <c r="D48" s="52"/>
      <c r="F48" s="3"/>
      <c r="G48" s="3"/>
      <c r="H48" s="3"/>
      <c r="I48" s="53"/>
      <c r="J48" s="3"/>
    </row>
    <row r="49" spans="1:10" ht="17" thickBot="1" x14ac:dyDescent="0.3">
      <c r="A49" t="s">
        <v>7</v>
      </c>
      <c r="D49" s="52"/>
      <c r="F49" s="3"/>
      <c r="G49" s="3"/>
      <c r="H49" s="3"/>
      <c r="I49" s="53"/>
      <c r="J49" s="3"/>
    </row>
    <row r="50" spans="1:10" ht="14.95" thickBot="1" x14ac:dyDescent="0.3">
      <c r="A50" s="145" t="s">
        <v>0</v>
      </c>
      <c r="B50" s="376" t="s">
        <v>227</v>
      </c>
      <c r="C50" s="147" t="s">
        <v>734</v>
      </c>
      <c r="D50" s="378" t="s">
        <v>11</v>
      </c>
      <c r="E50" s="148" t="s">
        <v>1</v>
      </c>
      <c r="F50" s="133" t="s">
        <v>2</v>
      </c>
      <c r="G50" s="339" t="s">
        <v>227</v>
      </c>
      <c r="H50" s="153" t="s">
        <v>734</v>
      </c>
      <c r="I50" s="121" t="s">
        <v>11</v>
      </c>
      <c r="J50" s="121" t="s">
        <v>1</v>
      </c>
    </row>
    <row r="51" spans="1:10" ht="14.95" thickBot="1" x14ac:dyDescent="0.3">
      <c r="A51" s="146" t="s">
        <v>804</v>
      </c>
      <c r="B51" s="150">
        <v>3</v>
      </c>
      <c r="C51" s="377">
        <v>11</v>
      </c>
      <c r="D51" s="379">
        <v>0</v>
      </c>
      <c r="E51" s="149">
        <f>SUM(B51:D51)</f>
        <v>14</v>
      </c>
      <c r="F51" s="134" t="s">
        <v>804</v>
      </c>
      <c r="G51" s="323">
        <v>15</v>
      </c>
      <c r="H51" s="311">
        <v>69</v>
      </c>
      <c r="I51" s="29">
        <v>0</v>
      </c>
      <c r="J51" s="29">
        <f>SUM(G51:I51)</f>
        <v>84</v>
      </c>
    </row>
    <row r="52" spans="1:10" ht="14.95" thickBot="1" x14ac:dyDescent="0.3">
      <c r="A52" s="146" t="s">
        <v>819</v>
      </c>
      <c r="B52" s="150">
        <v>7</v>
      </c>
      <c r="C52" s="377">
        <v>2</v>
      </c>
      <c r="D52" s="379">
        <v>2</v>
      </c>
      <c r="E52" s="149">
        <f>SUM(B52:D52)</f>
        <v>11</v>
      </c>
      <c r="F52" s="135" t="s">
        <v>244</v>
      </c>
      <c r="G52" s="323">
        <v>0</v>
      </c>
      <c r="H52" s="311">
        <v>64</v>
      </c>
      <c r="I52" s="29">
        <v>7</v>
      </c>
      <c r="J52" s="29">
        <f>SUM(G52:I52)</f>
        <v>71</v>
      </c>
    </row>
    <row r="53" spans="1:10" ht="14.95" thickBot="1" x14ac:dyDescent="0.3">
      <c r="A53" s="146" t="s">
        <v>694</v>
      </c>
      <c r="B53" s="150">
        <v>4</v>
      </c>
      <c r="C53" s="377">
        <v>2</v>
      </c>
      <c r="D53" s="379">
        <v>0</v>
      </c>
      <c r="E53" s="149">
        <f>SUM(B53:D53)</f>
        <v>6</v>
      </c>
      <c r="F53" s="135" t="s">
        <v>819</v>
      </c>
      <c r="G53" s="323">
        <v>35</v>
      </c>
      <c r="H53" s="311">
        <v>10</v>
      </c>
      <c r="I53" s="29">
        <v>10</v>
      </c>
      <c r="J53" s="29">
        <f>SUM(G53:I53)</f>
        <v>55</v>
      </c>
    </row>
    <row r="54" spans="1:10" ht="14.95" thickBot="1" x14ac:dyDescent="0.3">
      <c r="A54" s="146" t="s">
        <v>516</v>
      </c>
      <c r="B54" s="150">
        <v>4</v>
      </c>
      <c r="C54" s="377">
        <v>2</v>
      </c>
      <c r="D54" s="379">
        <v>0</v>
      </c>
      <c r="E54" s="149">
        <f>SUM(B54:D54)</f>
        <v>6</v>
      </c>
      <c r="F54" s="136" t="s">
        <v>238</v>
      </c>
      <c r="G54" s="323">
        <v>26</v>
      </c>
      <c r="H54" s="311">
        <v>5</v>
      </c>
      <c r="I54" s="29">
        <v>5</v>
      </c>
      <c r="J54" s="29">
        <f>SUM(G54:I54)</f>
        <v>36</v>
      </c>
    </row>
    <row r="55" spans="1:10" ht="14.95" thickBot="1" x14ac:dyDescent="0.3">
      <c r="A55" s="146" t="s">
        <v>244</v>
      </c>
      <c r="B55" s="150">
        <v>0</v>
      </c>
      <c r="C55" s="377">
        <v>4</v>
      </c>
      <c r="D55" s="379">
        <v>1</v>
      </c>
      <c r="E55" s="149">
        <f>SUM(B55:D55)</f>
        <v>5</v>
      </c>
      <c r="F55" s="135" t="s">
        <v>694</v>
      </c>
      <c r="G55" s="323">
        <v>20</v>
      </c>
      <c r="H55" s="311">
        <v>10</v>
      </c>
      <c r="I55" s="29">
        <v>0</v>
      </c>
      <c r="J55" s="29">
        <f>SUM(G55:I55)</f>
        <v>30</v>
      </c>
    </row>
    <row r="56" spans="1:10" ht="14.95" thickBot="1" x14ac:dyDescent="0.3">
      <c r="A56" s="146" t="s">
        <v>264</v>
      </c>
      <c r="B56" s="150">
        <v>0</v>
      </c>
      <c r="C56" s="377">
        <v>4</v>
      </c>
      <c r="D56" s="379">
        <v>1</v>
      </c>
      <c r="E56" s="149">
        <f>SUM(B56:D56)</f>
        <v>5</v>
      </c>
      <c r="F56" s="135" t="s">
        <v>516</v>
      </c>
      <c r="G56" s="323">
        <v>20</v>
      </c>
      <c r="H56" s="311">
        <v>10</v>
      </c>
      <c r="I56" s="29">
        <v>0</v>
      </c>
      <c r="J56" s="29">
        <f>SUM(G56:I56)</f>
        <v>30</v>
      </c>
    </row>
    <row r="57" spans="1:10" ht="14.95" thickBot="1" x14ac:dyDescent="0.3">
      <c r="A57" s="146" t="s">
        <v>245</v>
      </c>
      <c r="B57" s="150">
        <v>2</v>
      </c>
      <c r="C57" s="377">
        <v>1</v>
      </c>
      <c r="D57" s="379">
        <v>1</v>
      </c>
      <c r="E57" s="149">
        <f>SUM(B57:D57)</f>
        <v>4</v>
      </c>
      <c r="F57" s="135" t="s">
        <v>264</v>
      </c>
      <c r="G57" s="323">
        <v>0</v>
      </c>
      <c r="H57" s="311">
        <v>20</v>
      </c>
      <c r="I57" s="29">
        <v>5</v>
      </c>
      <c r="J57" s="29">
        <f>SUM(G57:I57)</f>
        <v>25</v>
      </c>
    </row>
    <row r="58" spans="1:10" ht="14.95" thickBot="1" x14ac:dyDescent="0.3">
      <c r="A58" s="146" t="s">
        <v>238</v>
      </c>
      <c r="B58" s="150">
        <v>1</v>
      </c>
      <c r="C58" s="377">
        <v>1</v>
      </c>
      <c r="D58" s="379">
        <v>1</v>
      </c>
      <c r="E58" s="149">
        <f>SUM(B58:D58)</f>
        <v>3</v>
      </c>
      <c r="F58" s="135" t="s">
        <v>245</v>
      </c>
      <c r="G58" s="323">
        <v>10</v>
      </c>
      <c r="H58" s="311">
        <v>5</v>
      </c>
      <c r="I58" s="29">
        <v>5</v>
      </c>
      <c r="J58" s="29">
        <f>SUM(G58:I58)</f>
        <v>20</v>
      </c>
    </row>
    <row r="59" spans="1:10" ht="14.95" thickBot="1" x14ac:dyDescent="0.3">
      <c r="A59" s="146" t="s">
        <v>369</v>
      </c>
      <c r="B59" s="150">
        <v>0</v>
      </c>
      <c r="C59" s="377">
        <v>2</v>
      </c>
      <c r="D59" s="379">
        <v>0</v>
      </c>
      <c r="E59" s="149">
        <f>SUM(B59:D59)</f>
        <v>2</v>
      </c>
      <c r="F59" s="135" t="s">
        <v>369</v>
      </c>
      <c r="G59" s="323">
        <v>0</v>
      </c>
      <c r="H59" s="311">
        <v>10</v>
      </c>
      <c r="I59" s="29">
        <v>0</v>
      </c>
      <c r="J59" s="29">
        <f>SUM(G59:I59)</f>
        <v>10</v>
      </c>
    </row>
    <row r="60" spans="1:10" ht="14.95" thickBot="1" x14ac:dyDescent="0.3">
      <c r="A60" s="146" t="s">
        <v>633</v>
      </c>
      <c r="B60" s="150">
        <v>0</v>
      </c>
      <c r="C60" s="377">
        <v>2</v>
      </c>
      <c r="D60" s="379">
        <v>0</v>
      </c>
      <c r="E60" s="149">
        <f>SUM(B60:D60)</f>
        <v>2</v>
      </c>
      <c r="F60" s="135" t="s">
        <v>633</v>
      </c>
      <c r="G60" s="323">
        <v>0</v>
      </c>
      <c r="H60" s="311">
        <v>10</v>
      </c>
      <c r="I60" s="29">
        <v>0</v>
      </c>
      <c r="J60" s="29">
        <f>SUM(G60:I60)</f>
        <v>10</v>
      </c>
    </row>
    <row r="61" spans="1:10" ht="14.95" thickBot="1" x14ac:dyDescent="0.3">
      <c r="A61" s="146" t="s">
        <v>959</v>
      </c>
      <c r="B61" s="150">
        <v>0</v>
      </c>
      <c r="C61" s="377">
        <v>2</v>
      </c>
      <c r="D61" s="379">
        <v>0</v>
      </c>
      <c r="E61" s="149">
        <f>SUM(B61:D61)</f>
        <v>2</v>
      </c>
      <c r="F61" s="135" t="s">
        <v>959</v>
      </c>
      <c r="G61" s="323">
        <v>0</v>
      </c>
      <c r="H61" s="311">
        <v>10</v>
      </c>
      <c r="I61" s="29">
        <v>0</v>
      </c>
      <c r="J61" s="29">
        <f>SUM(G61:I61)</f>
        <v>10</v>
      </c>
    </row>
    <row r="62" spans="1:10" ht="14.95" thickBot="1" x14ac:dyDescent="0.3">
      <c r="A62" s="146" t="s">
        <v>634</v>
      </c>
      <c r="B62" s="150">
        <v>1</v>
      </c>
      <c r="C62" s="377">
        <v>1</v>
      </c>
      <c r="D62" s="379">
        <v>0</v>
      </c>
      <c r="E62" s="149">
        <f>SUM(B62:D62)</f>
        <v>2</v>
      </c>
      <c r="F62" s="135" t="s">
        <v>634</v>
      </c>
      <c r="G62" s="323">
        <v>5</v>
      </c>
      <c r="H62" s="311">
        <v>5</v>
      </c>
      <c r="I62" s="29">
        <v>0</v>
      </c>
      <c r="J62" s="29">
        <f>SUM(G62:I62)</f>
        <v>10</v>
      </c>
    </row>
    <row r="63" spans="1:10" ht="14.95" thickBot="1" x14ac:dyDescent="0.3">
      <c r="A63" s="146" t="s">
        <v>821</v>
      </c>
      <c r="B63" s="150">
        <v>1</v>
      </c>
      <c r="C63" s="377">
        <v>1</v>
      </c>
      <c r="D63" s="379">
        <v>0</v>
      </c>
      <c r="E63" s="149">
        <f>SUM(B63:D63)</f>
        <v>2</v>
      </c>
      <c r="F63" s="135" t="s">
        <v>821</v>
      </c>
      <c r="G63" s="323">
        <v>5</v>
      </c>
      <c r="H63" s="311">
        <v>5</v>
      </c>
      <c r="I63" s="29">
        <v>0</v>
      </c>
      <c r="J63" s="29">
        <f>SUM(G63:I63)</f>
        <v>10</v>
      </c>
    </row>
    <row r="64" spans="1:10" ht="14.95" thickBot="1" x14ac:dyDescent="0.3">
      <c r="A64" s="146" t="s">
        <v>1027</v>
      </c>
      <c r="B64" s="150">
        <v>0</v>
      </c>
      <c r="C64" s="377">
        <v>1</v>
      </c>
      <c r="D64" s="379">
        <v>0</v>
      </c>
      <c r="E64" s="149">
        <f>SUM(B64:D64)</f>
        <v>1</v>
      </c>
      <c r="F64" s="135" t="s">
        <v>616</v>
      </c>
      <c r="G64" s="323">
        <v>8</v>
      </c>
      <c r="H64" s="311">
        <v>0</v>
      </c>
      <c r="I64" s="29">
        <v>0</v>
      </c>
      <c r="J64" s="29">
        <f>SUM(G64:I64)</f>
        <v>8</v>
      </c>
    </row>
    <row r="65" spans="1:10" ht="14.95" thickBot="1" x14ac:dyDescent="0.3">
      <c r="A65" s="146" t="s">
        <v>1019</v>
      </c>
      <c r="B65" s="150">
        <v>0</v>
      </c>
      <c r="C65" s="377">
        <v>1</v>
      </c>
      <c r="D65" s="379">
        <v>0</v>
      </c>
      <c r="E65" s="149">
        <f>SUM(B65:D65)</f>
        <v>1</v>
      </c>
      <c r="F65" s="135" t="s">
        <v>1027</v>
      </c>
      <c r="G65" s="323">
        <v>0</v>
      </c>
      <c r="H65" s="311">
        <v>5</v>
      </c>
      <c r="I65" s="29">
        <v>0</v>
      </c>
      <c r="J65" s="29">
        <f>SUM(G65:I65)</f>
        <v>5</v>
      </c>
    </row>
    <row r="66" spans="1:10" ht="14.95" thickBot="1" x14ac:dyDescent="0.3">
      <c r="A66" s="146" t="s">
        <v>366</v>
      </c>
      <c r="B66" s="150">
        <v>0</v>
      </c>
      <c r="C66" s="377">
        <v>1</v>
      </c>
      <c r="D66" s="379">
        <v>0</v>
      </c>
      <c r="E66" s="149">
        <f>SUM(B66:D66)</f>
        <v>1</v>
      </c>
      <c r="F66" s="135" t="s">
        <v>1019</v>
      </c>
      <c r="G66" s="323">
        <v>0</v>
      </c>
      <c r="H66" s="311">
        <v>5</v>
      </c>
      <c r="I66" s="29">
        <v>0</v>
      </c>
      <c r="J66" s="29">
        <f>SUM(G66:I66)</f>
        <v>5</v>
      </c>
    </row>
    <row r="67" spans="1:10" ht="14.95" thickBot="1" x14ac:dyDescent="0.3">
      <c r="A67" s="146" t="s">
        <v>370</v>
      </c>
      <c r="B67" s="150">
        <v>0</v>
      </c>
      <c r="C67" s="377">
        <v>1</v>
      </c>
      <c r="D67" s="379">
        <v>0</v>
      </c>
      <c r="E67" s="149">
        <f>SUM(B67:D67)</f>
        <v>1</v>
      </c>
      <c r="F67" s="135" t="s">
        <v>366</v>
      </c>
      <c r="G67" s="323">
        <v>0</v>
      </c>
      <c r="H67" s="311">
        <v>5</v>
      </c>
      <c r="I67" s="29">
        <v>0</v>
      </c>
      <c r="J67" s="29">
        <f>SUM(G67:I67)</f>
        <v>5</v>
      </c>
    </row>
    <row r="68" spans="1:10" ht="14.95" thickBot="1" x14ac:dyDescent="0.3">
      <c r="A68" s="146" t="s">
        <v>984</v>
      </c>
      <c r="B68" s="150">
        <v>0</v>
      </c>
      <c r="C68" s="377">
        <v>1</v>
      </c>
      <c r="D68" s="379">
        <v>0</v>
      </c>
      <c r="E68" s="149">
        <f>SUM(B68:D68)</f>
        <v>1</v>
      </c>
      <c r="F68" s="135" t="s">
        <v>370</v>
      </c>
      <c r="G68" s="323">
        <v>0</v>
      </c>
      <c r="H68" s="311">
        <v>5</v>
      </c>
      <c r="I68" s="29">
        <v>0</v>
      </c>
      <c r="J68" s="29">
        <f>SUM(G68:I68)</f>
        <v>5</v>
      </c>
    </row>
    <row r="69" spans="1:10" ht="14.95" thickBot="1" x14ac:dyDescent="0.3">
      <c r="A69" s="146" t="s">
        <v>237</v>
      </c>
      <c r="B69" s="150">
        <v>0</v>
      </c>
      <c r="C69" s="377">
        <v>0</v>
      </c>
      <c r="D69" s="379">
        <v>1</v>
      </c>
      <c r="E69" s="149">
        <f>SUM(B69:D69)</f>
        <v>1</v>
      </c>
      <c r="F69" s="135" t="s">
        <v>984</v>
      </c>
      <c r="G69" s="323">
        <v>0</v>
      </c>
      <c r="H69" s="311">
        <v>5</v>
      </c>
      <c r="I69" s="29">
        <v>0</v>
      </c>
      <c r="J69" s="29">
        <f>SUM(G69:I69)</f>
        <v>5</v>
      </c>
    </row>
    <row r="70" spans="1:10" ht="14.95" thickBot="1" x14ac:dyDescent="0.3">
      <c r="A70" s="146" t="s">
        <v>982</v>
      </c>
      <c r="B70" s="150">
        <v>0</v>
      </c>
      <c r="C70" s="377">
        <v>1</v>
      </c>
      <c r="D70" s="379">
        <v>0</v>
      </c>
      <c r="E70" s="149">
        <f>SUM(B70:D70)</f>
        <v>1</v>
      </c>
      <c r="F70" s="135" t="s">
        <v>237</v>
      </c>
      <c r="G70" s="323">
        <v>0</v>
      </c>
      <c r="H70" s="311">
        <v>0</v>
      </c>
      <c r="I70" s="29">
        <v>5</v>
      </c>
      <c r="J70" s="29">
        <f>SUM(G70:I70)</f>
        <v>5</v>
      </c>
    </row>
    <row r="71" spans="1:10" ht="14.95" thickBot="1" x14ac:dyDescent="0.3">
      <c r="A71" s="146" t="s">
        <v>364</v>
      </c>
      <c r="B71" s="150">
        <v>0</v>
      </c>
      <c r="C71" s="377">
        <v>0</v>
      </c>
      <c r="D71" s="379">
        <v>0</v>
      </c>
      <c r="E71" s="149">
        <f>SUM(B71:D71)</f>
        <v>0</v>
      </c>
      <c r="F71" s="135" t="s">
        <v>982</v>
      </c>
      <c r="G71" s="323">
        <v>0</v>
      </c>
      <c r="H71" s="311">
        <v>5</v>
      </c>
      <c r="I71" s="29">
        <v>0</v>
      </c>
      <c r="J71" s="29">
        <f>SUM(G71:I71)</f>
        <v>5</v>
      </c>
    </row>
    <row r="72" spans="1:10" ht="14.95" thickBot="1" x14ac:dyDescent="0.3">
      <c r="A72" s="146" t="s">
        <v>365</v>
      </c>
      <c r="B72" s="150">
        <v>0</v>
      </c>
      <c r="C72" s="377">
        <v>0</v>
      </c>
      <c r="D72" s="379">
        <v>0</v>
      </c>
      <c r="E72" s="149">
        <f>SUM(B72:D72)</f>
        <v>0</v>
      </c>
      <c r="F72" s="135" t="s">
        <v>364</v>
      </c>
      <c r="G72" s="323">
        <v>0</v>
      </c>
      <c r="H72" s="311">
        <v>0</v>
      </c>
      <c r="I72" s="29">
        <v>0</v>
      </c>
      <c r="J72" s="29">
        <f>SUM(G72:I72)</f>
        <v>0</v>
      </c>
    </row>
    <row r="73" spans="1:10" ht="14.95" thickBot="1" x14ac:dyDescent="0.3">
      <c r="A73" s="146" t="s">
        <v>282</v>
      </c>
      <c r="B73" s="150">
        <v>0</v>
      </c>
      <c r="C73" s="377">
        <v>0</v>
      </c>
      <c r="D73" s="379">
        <v>0</v>
      </c>
      <c r="E73" s="149">
        <f>SUM(B73:D73)</f>
        <v>0</v>
      </c>
      <c r="F73" s="135" t="s">
        <v>365</v>
      </c>
      <c r="G73" s="323">
        <v>0</v>
      </c>
      <c r="H73" s="311">
        <v>0</v>
      </c>
      <c r="I73" s="29">
        <v>0</v>
      </c>
      <c r="J73" s="29">
        <f>SUM(G73:I73)</f>
        <v>0</v>
      </c>
    </row>
    <row r="74" spans="1:10" ht="14.95" thickBot="1" x14ac:dyDescent="0.3">
      <c r="A74" s="146" t="s">
        <v>327</v>
      </c>
      <c r="B74" s="150">
        <v>0</v>
      </c>
      <c r="C74" s="377">
        <v>0</v>
      </c>
      <c r="D74" s="379">
        <v>0</v>
      </c>
      <c r="E74" s="149">
        <f>SUM(B74:D74)</f>
        <v>0</v>
      </c>
      <c r="F74" s="135" t="s">
        <v>282</v>
      </c>
      <c r="G74" s="323">
        <v>0</v>
      </c>
      <c r="H74" s="311">
        <v>0</v>
      </c>
      <c r="I74" s="29">
        <v>0</v>
      </c>
      <c r="J74" s="29">
        <f>SUM(G74:I74)</f>
        <v>0</v>
      </c>
    </row>
    <row r="75" spans="1:10" ht="14.95" thickBot="1" x14ac:dyDescent="0.3">
      <c r="A75" s="146" t="s">
        <v>283</v>
      </c>
      <c r="B75" s="150">
        <v>0</v>
      </c>
      <c r="C75" s="377">
        <v>0</v>
      </c>
      <c r="D75" s="379">
        <v>0</v>
      </c>
      <c r="E75" s="149">
        <f>SUM(B75:D75)</f>
        <v>0</v>
      </c>
      <c r="F75" s="135" t="s">
        <v>327</v>
      </c>
      <c r="G75" s="323">
        <v>0</v>
      </c>
      <c r="H75" s="311">
        <v>0</v>
      </c>
      <c r="I75" s="29">
        <v>0</v>
      </c>
      <c r="J75" s="29">
        <f>SUM(G75:I75)</f>
        <v>0</v>
      </c>
    </row>
    <row r="76" spans="1:10" ht="14.95" thickBot="1" x14ac:dyDescent="0.3">
      <c r="A76" s="146" t="s">
        <v>490</v>
      </c>
      <c r="B76" s="150">
        <v>0</v>
      </c>
      <c r="C76" s="377">
        <v>0</v>
      </c>
      <c r="D76" s="379">
        <v>0</v>
      </c>
      <c r="E76" s="149">
        <f>SUM(B76:D76)</f>
        <v>0</v>
      </c>
      <c r="F76" s="135" t="s">
        <v>283</v>
      </c>
      <c r="G76" s="323">
        <v>0</v>
      </c>
      <c r="H76" s="311">
        <v>0</v>
      </c>
      <c r="I76" s="29">
        <v>0</v>
      </c>
      <c r="J76" s="29">
        <f>SUM(G76:I76)</f>
        <v>0</v>
      </c>
    </row>
    <row r="77" spans="1:10" ht="14.95" thickBot="1" x14ac:dyDescent="0.3">
      <c r="A77" s="146" t="s">
        <v>468</v>
      </c>
      <c r="B77" s="150">
        <v>0</v>
      </c>
      <c r="C77" s="377">
        <v>0</v>
      </c>
      <c r="D77" s="379">
        <v>0</v>
      </c>
      <c r="E77" s="149">
        <f>SUM(B77:D77)</f>
        <v>0</v>
      </c>
      <c r="F77" s="135" t="s">
        <v>490</v>
      </c>
      <c r="G77" s="323">
        <v>0</v>
      </c>
      <c r="H77" s="311">
        <v>0</v>
      </c>
      <c r="I77" s="29">
        <v>0</v>
      </c>
      <c r="J77" s="29">
        <f>SUM(G77:I77)</f>
        <v>0</v>
      </c>
    </row>
    <row r="78" spans="1:10" ht="14.95" thickBot="1" x14ac:dyDescent="0.3">
      <c r="A78" s="146" t="s">
        <v>521</v>
      </c>
      <c r="B78" s="150">
        <v>0</v>
      </c>
      <c r="C78" s="377">
        <v>0</v>
      </c>
      <c r="D78" s="379">
        <v>0</v>
      </c>
      <c r="E78" s="149">
        <f>SUM(B78:D78)</f>
        <v>0</v>
      </c>
      <c r="F78" s="135" t="s">
        <v>468</v>
      </c>
      <c r="G78" s="323">
        <v>0</v>
      </c>
      <c r="H78" s="311">
        <v>0</v>
      </c>
      <c r="I78" s="29">
        <v>0</v>
      </c>
      <c r="J78" s="29">
        <f>SUM(G78:I78)</f>
        <v>0</v>
      </c>
    </row>
    <row r="79" spans="1:10" ht="14.95" thickBot="1" x14ac:dyDescent="0.3">
      <c r="A79" s="146" t="s">
        <v>616</v>
      </c>
      <c r="B79" s="150">
        <v>0</v>
      </c>
      <c r="C79" s="377">
        <v>0</v>
      </c>
      <c r="D79" s="379">
        <v>0</v>
      </c>
      <c r="E79" s="149">
        <f>SUM(B79:D79)</f>
        <v>0</v>
      </c>
      <c r="F79" s="135" t="s">
        <v>521</v>
      </c>
      <c r="G79" s="323">
        <v>0</v>
      </c>
      <c r="H79" s="311">
        <v>0</v>
      </c>
      <c r="I79" s="29">
        <v>0</v>
      </c>
      <c r="J79" s="29">
        <f>SUM(G79:I79)</f>
        <v>0</v>
      </c>
    </row>
    <row r="80" spans="1:10" ht="14.95" thickBot="1" x14ac:dyDescent="0.3">
      <c r="A80" s="146" t="s">
        <v>654</v>
      </c>
      <c r="B80" s="150">
        <v>0</v>
      </c>
      <c r="C80" s="377">
        <v>0</v>
      </c>
      <c r="D80" s="379">
        <v>0</v>
      </c>
      <c r="E80" s="149">
        <f>SUM(B80:D80)</f>
        <v>0</v>
      </c>
      <c r="F80" s="135" t="s">
        <v>654</v>
      </c>
      <c r="G80" s="323">
        <v>0</v>
      </c>
      <c r="H80" s="311">
        <v>0</v>
      </c>
      <c r="I80" s="29">
        <v>0</v>
      </c>
      <c r="J80" s="29">
        <f>SUM(G80:I80)</f>
        <v>0</v>
      </c>
    </row>
    <row r="81" spans="1:10" ht="14.95" thickBot="1" x14ac:dyDescent="0.3">
      <c r="A81" s="146" t="s">
        <v>367</v>
      </c>
      <c r="B81" s="150">
        <v>0</v>
      </c>
      <c r="C81" s="377">
        <v>0</v>
      </c>
      <c r="D81" s="379">
        <v>0</v>
      </c>
      <c r="E81" s="149">
        <f>SUM(B81:D81)</f>
        <v>0</v>
      </c>
      <c r="F81" s="135" t="s">
        <v>367</v>
      </c>
      <c r="G81" s="323">
        <v>0</v>
      </c>
      <c r="H81" s="311">
        <v>0</v>
      </c>
      <c r="I81" s="29">
        <v>0</v>
      </c>
      <c r="J81" s="29">
        <f>SUM(G81:I81)</f>
        <v>0</v>
      </c>
    </row>
    <row r="82" spans="1:10" ht="14.95" thickBot="1" x14ac:dyDescent="0.3">
      <c r="A82" s="146" t="s">
        <v>621</v>
      </c>
      <c r="B82" s="150">
        <v>0</v>
      </c>
      <c r="C82" s="377">
        <v>0</v>
      </c>
      <c r="D82" s="379">
        <v>0</v>
      </c>
      <c r="E82" s="149">
        <f>SUM(B82:D82)</f>
        <v>0</v>
      </c>
      <c r="F82" s="135" t="s">
        <v>621</v>
      </c>
      <c r="G82" s="323">
        <v>0</v>
      </c>
      <c r="H82" s="311">
        <v>0</v>
      </c>
      <c r="I82" s="29">
        <v>0</v>
      </c>
      <c r="J82" s="29">
        <f>SUM(G82:I82)</f>
        <v>0</v>
      </c>
    </row>
    <row r="83" spans="1:10" ht="14.95" thickBot="1" x14ac:dyDescent="0.3">
      <c r="A83" s="146" t="s">
        <v>243</v>
      </c>
      <c r="B83" s="150">
        <v>0</v>
      </c>
      <c r="C83" s="377">
        <v>0</v>
      </c>
      <c r="D83" s="379">
        <v>0</v>
      </c>
      <c r="E83" s="149">
        <f>SUM(B83:D83)</f>
        <v>0</v>
      </c>
      <c r="F83" s="135" t="s">
        <v>243</v>
      </c>
      <c r="G83" s="323">
        <v>0</v>
      </c>
      <c r="H83" s="311">
        <v>0</v>
      </c>
      <c r="I83" s="29">
        <v>0</v>
      </c>
      <c r="J83" s="29">
        <f>SUM(G83:I83)</f>
        <v>0</v>
      </c>
    </row>
    <row r="84" spans="1:10" ht="14.95" thickBot="1" x14ac:dyDescent="0.3">
      <c r="A84" s="146" t="s">
        <v>368</v>
      </c>
      <c r="B84" s="150">
        <v>0</v>
      </c>
      <c r="C84" s="377">
        <v>0</v>
      </c>
      <c r="D84" s="379">
        <v>0</v>
      </c>
      <c r="E84" s="149">
        <f>SUM(B84:D84)</f>
        <v>0</v>
      </c>
      <c r="F84" s="135" t="s">
        <v>368</v>
      </c>
      <c r="G84" s="323">
        <v>0</v>
      </c>
      <c r="H84" s="311">
        <v>0</v>
      </c>
      <c r="I84" s="29">
        <v>0</v>
      </c>
      <c r="J84" s="29">
        <f>SUM(G84:I84)</f>
        <v>0</v>
      </c>
    </row>
    <row r="85" spans="1:10" ht="14.95" thickBot="1" x14ac:dyDescent="0.3">
      <c r="A85" s="146" t="s">
        <v>461</v>
      </c>
      <c r="B85" s="150">
        <v>0</v>
      </c>
      <c r="C85" s="377">
        <v>0</v>
      </c>
      <c r="D85" s="379">
        <v>0</v>
      </c>
      <c r="E85" s="149">
        <f>SUM(B85:D85)</f>
        <v>0</v>
      </c>
      <c r="F85" s="135" t="s">
        <v>461</v>
      </c>
      <c r="G85" s="323">
        <v>0</v>
      </c>
      <c r="H85" s="311">
        <v>0</v>
      </c>
      <c r="I85" s="29">
        <v>0</v>
      </c>
      <c r="J85" s="29">
        <f>SUM(G85:I85)</f>
        <v>0</v>
      </c>
    </row>
    <row r="86" spans="1:10" ht="14.95" thickBot="1" x14ac:dyDescent="0.3">
      <c r="A86" s="146" t="s">
        <v>212</v>
      </c>
      <c r="B86" s="150">
        <v>0</v>
      </c>
      <c r="C86" s="377">
        <v>0</v>
      </c>
      <c r="D86" s="379">
        <v>0</v>
      </c>
      <c r="E86" s="149">
        <f>SUM(B86:D86)</f>
        <v>0</v>
      </c>
      <c r="F86" s="135" t="s">
        <v>212</v>
      </c>
      <c r="G86" s="323">
        <v>0</v>
      </c>
      <c r="H86" s="311">
        <v>0</v>
      </c>
      <c r="I86" s="29">
        <v>0</v>
      </c>
      <c r="J86" s="29">
        <f>SUM(G86:I86)</f>
        <v>0</v>
      </c>
    </row>
    <row r="87" spans="1:10" ht="14.95" thickBot="1" x14ac:dyDescent="0.3">
      <c r="A87" s="146" t="s">
        <v>236</v>
      </c>
      <c r="B87" s="150">
        <v>0</v>
      </c>
      <c r="C87" s="377">
        <v>0</v>
      </c>
      <c r="D87" s="379">
        <v>0</v>
      </c>
      <c r="E87" s="149">
        <f>SUM(B87:D87)</f>
        <v>0</v>
      </c>
      <c r="F87" s="135" t="s">
        <v>236</v>
      </c>
      <c r="G87" s="323">
        <v>0</v>
      </c>
      <c r="H87" s="311">
        <v>0</v>
      </c>
      <c r="I87" s="29">
        <v>0</v>
      </c>
      <c r="J87" s="29">
        <f>SUM(G87:I87)</f>
        <v>0</v>
      </c>
    </row>
    <row r="88" spans="1:10" ht="14.95" thickBot="1" x14ac:dyDescent="0.3">
      <c r="A88" s="146" t="s">
        <v>371</v>
      </c>
      <c r="B88" s="150">
        <v>0</v>
      </c>
      <c r="C88" s="377">
        <v>0</v>
      </c>
      <c r="D88" s="379">
        <v>0</v>
      </c>
      <c r="E88" s="149">
        <f>SUM(B88:D88)</f>
        <v>0</v>
      </c>
      <c r="F88" s="135" t="s">
        <v>371</v>
      </c>
      <c r="G88" s="323">
        <v>0</v>
      </c>
      <c r="H88" s="311">
        <v>0</v>
      </c>
      <c r="I88" s="29">
        <v>0</v>
      </c>
      <c r="J88" s="29">
        <f>SUM(G88:I88)</f>
        <v>0</v>
      </c>
    </row>
    <row r="89" spans="1:10" ht="14.95" thickBot="1" x14ac:dyDescent="0.3">
      <c r="A89" s="146" t="s">
        <v>620</v>
      </c>
      <c r="B89" s="150">
        <v>0</v>
      </c>
      <c r="C89" s="377">
        <v>0</v>
      </c>
      <c r="D89" s="379">
        <v>0</v>
      </c>
      <c r="E89" s="149">
        <f>SUM(B89:D89)</f>
        <v>0</v>
      </c>
      <c r="F89" s="135" t="s">
        <v>620</v>
      </c>
      <c r="G89" s="323">
        <v>0</v>
      </c>
      <c r="H89" s="311">
        <v>0</v>
      </c>
      <c r="I89" s="29">
        <v>0</v>
      </c>
      <c r="J89" s="29">
        <f>SUM(G89:I89)</f>
        <v>0</v>
      </c>
    </row>
    <row r="90" spans="1:10" ht="14.95" thickBot="1" x14ac:dyDescent="0.3">
      <c r="A90" s="146" t="s">
        <v>372</v>
      </c>
      <c r="B90" s="150">
        <v>0</v>
      </c>
      <c r="C90" s="377">
        <v>0</v>
      </c>
      <c r="D90" s="379">
        <v>0</v>
      </c>
      <c r="E90" s="149">
        <f>SUM(B90:D90)</f>
        <v>0</v>
      </c>
      <c r="F90" s="135" t="s">
        <v>372</v>
      </c>
      <c r="G90" s="323">
        <v>0</v>
      </c>
      <c r="H90" s="311">
        <v>0</v>
      </c>
      <c r="I90" s="29">
        <v>0</v>
      </c>
      <c r="J90" s="29">
        <f>SUM(G90:I90)</f>
        <v>0</v>
      </c>
    </row>
    <row r="91" spans="1:10" ht="14.95" thickBot="1" x14ac:dyDescent="0.3">
      <c r="A91" s="146" t="s">
        <v>373</v>
      </c>
      <c r="B91" s="150">
        <v>0</v>
      </c>
      <c r="C91" s="377">
        <v>0</v>
      </c>
      <c r="D91" s="379">
        <v>0</v>
      </c>
      <c r="E91" s="149">
        <f>SUM(B91:D91)</f>
        <v>0</v>
      </c>
      <c r="F91" s="135" t="s">
        <v>373</v>
      </c>
      <c r="G91" s="323">
        <v>0</v>
      </c>
      <c r="H91" s="311">
        <v>0</v>
      </c>
      <c r="I91" s="29">
        <v>0</v>
      </c>
      <c r="J91" s="29">
        <f>SUM(G91:I91)</f>
        <v>0</v>
      </c>
    </row>
    <row r="92" spans="1:10" ht="14.95" thickBot="1" x14ac:dyDescent="0.3">
      <c r="A92" s="146" t="s">
        <v>374</v>
      </c>
      <c r="B92" s="150">
        <v>0</v>
      </c>
      <c r="C92" s="377">
        <v>0</v>
      </c>
      <c r="D92" s="379">
        <v>0</v>
      </c>
      <c r="E92" s="149">
        <f>SUM(B92:D92)</f>
        <v>0</v>
      </c>
      <c r="F92" s="135" t="s">
        <v>374</v>
      </c>
      <c r="G92" s="323">
        <v>0</v>
      </c>
      <c r="H92" s="311">
        <v>0</v>
      </c>
      <c r="I92" s="29">
        <v>0</v>
      </c>
      <c r="J92" s="29">
        <f>SUM(G92:I92)</f>
        <v>0</v>
      </c>
    </row>
    <row r="93" spans="1:10" ht="14.3" customHeight="1" thickBot="1" x14ac:dyDescent="0.3">
      <c r="A93" s="146" t="s">
        <v>488</v>
      </c>
      <c r="B93" s="150">
        <v>0</v>
      </c>
      <c r="C93" s="377">
        <v>0</v>
      </c>
      <c r="D93" s="379">
        <v>0</v>
      </c>
      <c r="E93" s="149">
        <f>SUM(B93:D93)</f>
        <v>0</v>
      </c>
      <c r="F93" s="135" t="s">
        <v>488</v>
      </c>
      <c r="G93" s="323">
        <v>0</v>
      </c>
      <c r="H93" s="311">
        <v>0</v>
      </c>
      <c r="I93" s="29">
        <v>0</v>
      </c>
      <c r="J93" s="29">
        <f>SUM(G93:I93)</f>
        <v>0</v>
      </c>
    </row>
    <row r="94" spans="1:10" ht="14.95" thickBot="1" x14ac:dyDescent="0.3">
      <c r="A94" s="146" t="s">
        <v>618</v>
      </c>
      <c r="B94" s="150">
        <v>0</v>
      </c>
      <c r="C94" s="377">
        <v>0</v>
      </c>
      <c r="D94" s="379">
        <v>0</v>
      </c>
      <c r="E94" s="149">
        <f>SUM(B94:D94)</f>
        <v>0</v>
      </c>
      <c r="F94" s="135" t="s">
        <v>618</v>
      </c>
      <c r="G94" s="323">
        <v>0</v>
      </c>
      <c r="H94" s="311">
        <v>0</v>
      </c>
      <c r="I94" s="29">
        <v>0</v>
      </c>
      <c r="J94" s="29">
        <f>SUM(G94:I94)</f>
        <v>0</v>
      </c>
    </row>
    <row r="95" spans="1:10" ht="14.3" customHeight="1" thickBot="1" x14ac:dyDescent="0.3">
      <c r="A95" s="146" t="s">
        <v>3</v>
      </c>
      <c r="B95" s="150">
        <f>SUM(B51:B94)</f>
        <v>23</v>
      </c>
      <c r="C95" s="377">
        <f>SUM(C51:C94)</f>
        <v>41</v>
      </c>
      <c r="D95" s="379">
        <f>SUM(D51:D94)</f>
        <v>7</v>
      </c>
      <c r="E95" s="149">
        <f>SUM(E51:E94)</f>
        <v>71</v>
      </c>
      <c r="F95" s="136" t="s">
        <v>3</v>
      </c>
      <c r="G95" s="322">
        <f>SUM(G51:G94)</f>
        <v>144</v>
      </c>
      <c r="H95" s="312">
        <f>SUM(H51:H94)</f>
        <v>263</v>
      </c>
      <c r="I95" s="121">
        <f>SUM(I51:I94)</f>
        <v>37</v>
      </c>
      <c r="J95" s="121">
        <f>SUM(J51:J94)</f>
        <v>444</v>
      </c>
    </row>
    <row r="96" spans="1:10" ht="16.3" x14ac:dyDescent="0.3">
      <c r="A96" s="455" t="s">
        <v>10</v>
      </c>
      <c r="B96" s="455"/>
      <c r="C96" s="455"/>
      <c r="D96" s="456"/>
    </row>
  </sheetData>
  <sortState xmlns:xlrd2="http://schemas.microsoft.com/office/spreadsheetml/2017/richdata2" ref="F51:J94">
    <sortCondition descending="1" ref="J51:J94"/>
  </sortState>
  <mergeCells count="20">
    <mergeCell ref="K1:K2"/>
    <mergeCell ref="L1:N2"/>
    <mergeCell ref="L29:N30"/>
    <mergeCell ref="L21:N22"/>
    <mergeCell ref="A96:D96"/>
    <mergeCell ref="AA1:AC2"/>
    <mergeCell ref="O12:Q13"/>
    <mergeCell ref="V1:X2"/>
    <mergeCell ref="U12:W13"/>
    <mergeCell ref="O1:Q2"/>
    <mergeCell ref="R1:R2"/>
    <mergeCell ref="R12:T13"/>
    <mergeCell ref="S1:U2"/>
    <mergeCell ref="O29:Q30"/>
    <mergeCell ref="A1:J1"/>
    <mergeCell ref="K21:K22"/>
    <mergeCell ref="O21:Q22"/>
    <mergeCell ref="K29:K30"/>
    <mergeCell ref="K12:K13"/>
    <mergeCell ref="L12:N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92BA-68E2-4FE1-84D2-C44D0F45555C}">
  <dimension ref="A1:R58"/>
  <sheetViews>
    <sheetView workbookViewId="0">
      <selection activeCell="L47" sqref="L47"/>
    </sheetView>
  </sheetViews>
  <sheetFormatPr defaultRowHeight="14.3" x14ac:dyDescent="0.25"/>
  <cols>
    <col min="1" max="1" width="19.625" customWidth="1"/>
    <col min="2" max="5" width="4.5" customWidth="1"/>
    <col min="6" max="6" width="19.625" customWidth="1"/>
    <col min="7" max="10" width="4.5" customWidth="1"/>
    <col min="11" max="11" width="19.625" customWidth="1"/>
    <col min="12" max="18" width="5.625" customWidth="1"/>
  </cols>
  <sheetData>
    <row r="1" spans="1:18" ht="14.95" customHeight="1" thickBot="1" x14ac:dyDescent="0.3">
      <c r="A1" s="536" t="s">
        <v>865</v>
      </c>
      <c r="B1" s="537"/>
      <c r="C1" s="537"/>
      <c r="D1" s="537"/>
      <c r="E1" s="537"/>
      <c r="F1" s="537"/>
      <c r="G1" s="537"/>
      <c r="H1" s="537"/>
      <c r="I1" s="537"/>
      <c r="J1" s="538"/>
      <c r="K1" s="523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</row>
    <row r="2" spans="1:18" ht="14.95" customHeight="1" thickBot="1" x14ac:dyDescent="0.3">
      <c r="A2" s="84" t="s">
        <v>0</v>
      </c>
      <c r="B2" s="371" t="s">
        <v>247</v>
      </c>
      <c r="C2" s="102" t="s">
        <v>734</v>
      </c>
      <c r="D2" s="367" t="s">
        <v>11</v>
      </c>
      <c r="E2" s="180" t="s">
        <v>1</v>
      </c>
      <c r="F2" s="363" t="s">
        <v>2</v>
      </c>
      <c r="G2" s="373" t="s">
        <v>247</v>
      </c>
      <c r="H2" s="335" t="s">
        <v>734</v>
      </c>
      <c r="I2" s="126" t="s">
        <v>11</v>
      </c>
      <c r="J2" s="369" t="s">
        <v>1</v>
      </c>
      <c r="K2" s="524"/>
      <c r="L2" s="436"/>
      <c r="M2" s="437"/>
      <c r="N2" s="438"/>
      <c r="O2" s="436"/>
      <c r="P2" s="437"/>
      <c r="Q2" s="438"/>
      <c r="R2" s="454"/>
    </row>
    <row r="3" spans="1:18" ht="14.95" customHeight="1" thickBot="1" x14ac:dyDescent="0.3">
      <c r="A3" s="32" t="s">
        <v>866</v>
      </c>
      <c r="B3" s="372">
        <v>2</v>
      </c>
      <c r="C3" s="103">
        <v>0</v>
      </c>
      <c r="D3" s="368">
        <v>0</v>
      </c>
      <c r="E3" s="33">
        <f>SUM(B3:D3)</f>
        <v>2</v>
      </c>
      <c r="F3" s="364" t="s">
        <v>866</v>
      </c>
      <c r="G3" s="374">
        <v>10</v>
      </c>
      <c r="H3" s="336">
        <v>0</v>
      </c>
      <c r="I3" s="128">
        <v>0</v>
      </c>
      <c r="J3" s="370">
        <f t="shared" ref="J3:J28" si="0">SUM(G3:I3)</f>
        <v>10</v>
      </c>
      <c r="K3" s="360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32" t="s">
        <v>880</v>
      </c>
      <c r="B4" s="372">
        <v>0</v>
      </c>
      <c r="C4" s="103">
        <v>0</v>
      </c>
      <c r="D4" s="368">
        <v>0</v>
      </c>
      <c r="E4" s="33">
        <f>SUM(B4:D4)</f>
        <v>0</v>
      </c>
      <c r="F4" s="364" t="s">
        <v>880</v>
      </c>
      <c r="G4" s="374">
        <v>0</v>
      </c>
      <c r="H4" s="336">
        <v>0</v>
      </c>
      <c r="I4" s="128">
        <v>0</v>
      </c>
      <c r="J4" s="370">
        <f>SUM(G4:I4)</f>
        <v>0</v>
      </c>
      <c r="K4" s="84" t="s">
        <v>872</v>
      </c>
      <c r="L4" s="361">
        <v>1</v>
      </c>
      <c r="M4" s="33">
        <v>3</v>
      </c>
      <c r="N4" s="34">
        <f t="shared" ref="N4:N5" si="1">SUM(L4/M4)*100</f>
        <v>33.333333333333329</v>
      </c>
      <c r="O4" s="33" t="s">
        <v>8</v>
      </c>
      <c r="P4" s="33" t="s">
        <v>8</v>
      </c>
      <c r="Q4" s="34" t="s">
        <v>8</v>
      </c>
      <c r="R4" s="362">
        <v>-1</v>
      </c>
    </row>
    <row r="5" spans="1:18" ht="14.95" customHeight="1" thickBot="1" x14ac:dyDescent="0.3">
      <c r="A5" s="32" t="s">
        <v>878</v>
      </c>
      <c r="B5" s="372">
        <v>0</v>
      </c>
      <c r="C5" s="103">
        <v>0</v>
      </c>
      <c r="D5" s="368">
        <v>0</v>
      </c>
      <c r="E5" s="33">
        <f t="shared" ref="E5:E28" si="2">SUM(B5:D5)</f>
        <v>0</v>
      </c>
      <c r="F5" s="364" t="s">
        <v>878</v>
      </c>
      <c r="G5" s="374">
        <v>0</v>
      </c>
      <c r="H5" s="336">
        <v>0</v>
      </c>
      <c r="I5" s="128">
        <v>0</v>
      </c>
      <c r="J5" s="370">
        <f t="shared" si="0"/>
        <v>0</v>
      </c>
      <c r="K5" s="84" t="s">
        <v>871</v>
      </c>
      <c r="L5" s="361">
        <v>6</v>
      </c>
      <c r="M5" s="33">
        <v>11</v>
      </c>
      <c r="N5" s="34">
        <f t="shared" si="1"/>
        <v>54.54545454545454</v>
      </c>
      <c r="O5" s="33">
        <v>1</v>
      </c>
      <c r="P5" s="33">
        <v>1</v>
      </c>
      <c r="Q5" s="34">
        <f t="shared" ref="Q5" si="3">SUM(O5/P5)*100</f>
        <v>100</v>
      </c>
      <c r="R5" s="362">
        <v>1</v>
      </c>
    </row>
    <row r="6" spans="1:18" ht="14.95" customHeight="1" thickBot="1" x14ac:dyDescent="0.3">
      <c r="A6" s="32" t="s">
        <v>882</v>
      </c>
      <c r="B6" s="372">
        <v>0</v>
      </c>
      <c r="C6" s="103">
        <v>0</v>
      </c>
      <c r="D6" s="368">
        <v>0</v>
      </c>
      <c r="E6" s="33">
        <f t="shared" si="2"/>
        <v>0</v>
      </c>
      <c r="F6" s="365" t="s">
        <v>882</v>
      </c>
      <c r="G6" s="374">
        <v>0</v>
      </c>
      <c r="H6" s="336">
        <v>0</v>
      </c>
      <c r="I6" s="128">
        <v>0</v>
      </c>
      <c r="J6" s="370">
        <f t="shared" si="0"/>
        <v>0</v>
      </c>
      <c r="K6" s="45"/>
      <c r="L6" s="45"/>
      <c r="M6" s="45"/>
      <c r="N6" s="45"/>
      <c r="O6" s="45"/>
      <c r="P6" s="45"/>
      <c r="Q6" s="45"/>
    </row>
    <row r="7" spans="1:18" ht="14.95" customHeight="1" thickBot="1" x14ac:dyDescent="0.3">
      <c r="A7" s="32" t="s">
        <v>873</v>
      </c>
      <c r="B7" s="372">
        <v>1</v>
      </c>
      <c r="C7" s="103">
        <v>0</v>
      </c>
      <c r="D7" s="368">
        <v>0</v>
      </c>
      <c r="E7" s="33">
        <f t="shared" ref="E7" si="4">SUM(B7:D7)</f>
        <v>1</v>
      </c>
      <c r="F7" s="364" t="s">
        <v>873</v>
      </c>
      <c r="G7" s="374">
        <v>5</v>
      </c>
      <c r="H7" s="336">
        <v>0</v>
      </c>
      <c r="I7" s="128">
        <v>0</v>
      </c>
      <c r="J7" s="370">
        <f t="shared" ref="J7" si="5">SUM(G7:I7)</f>
        <v>5</v>
      </c>
      <c r="K7" s="459" t="s">
        <v>351</v>
      </c>
      <c r="L7" s="461">
        <v>2025</v>
      </c>
      <c r="M7" s="462"/>
      <c r="N7" s="463"/>
    </row>
    <row r="8" spans="1:18" ht="14.95" customHeight="1" thickBot="1" x14ac:dyDescent="0.3">
      <c r="A8" s="32" t="s">
        <v>874</v>
      </c>
      <c r="B8" s="372">
        <v>0</v>
      </c>
      <c r="C8" s="103">
        <v>0</v>
      </c>
      <c r="D8" s="368">
        <v>0</v>
      </c>
      <c r="E8" s="33">
        <f t="shared" si="2"/>
        <v>0</v>
      </c>
      <c r="F8" s="365" t="s">
        <v>874</v>
      </c>
      <c r="G8" s="374">
        <v>0</v>
      </c>
      <c r="H8" s="336">
        <v>0</v>
      </c>
      <c r="I8" s="128">
        <v>0</v>
      </c>
      <c r="J8" s="370">
        <f t="shared" si="0"/>
        <v>0</v>
      </c>
      <c r="K8" s="460"/>
      <c r="L8" s="464"/>
      <c r="M8" s="465"/>
      <c r="N8" s="466"/>
    </row>
    <row r="9" spans="1:18" ht="14.95" customHeight="1" thickBot="1" x14ac:dyDescent="0.3">
      <c r="A9" s="32" t="s">
        <v>884</v>
      </c>
      <c r="B9" s="372">
        <v>0</v>
      </c>
      <c r="C9" s="103">
        <v>0</v>
      </c>
      <c r="D9" s="368">
        <v>0</v>
      </c>
      <c r="E9" s="33">
        <f t="shared" si="2"/>
        <v>0</v>
      </c>
      <c r="F9" s="365" t="s">
        <v>884</v>
      </c>
      <c r="G9" s="374">
        <v>0</v>
      </c>
      <c r="H9" s="336">
        <v>0</v>
      </c>
      <c r="I9" s="128">
        <v>0</v>
      </c>
      <c r="J9" s="370">
        <f t="shared" si="0"/>
        <v>0</v>
      </c>
      <c r="K9" s="317"/>
      <c r="L9" s="29" t="s">
        <v>17</v>
      </c>
      <c r="M9" s="29" t="s">
        <v>5</v>
      </c>
      <c r="N9" s="29" t="s">
        <v>6</v>
      </c>
    </row>
    <row r="10" spans="1:18" ht="14.95" customHeight="1" thickBot="1" x14ac:dyDescent="0.3">
      <c r="A10" s="32" t="s">
        <v>870</v>
      </c>
      <c r="B10" s="372">
        <v>3</v>
      </c>
      <c r="C10" s="103">
        <v>0</v>
      </c>
      <c r="D10" s="368">
        <v>0</v>
      </c>
      <c r="E10" s="33">
        <f t="shared" si="2"/>
        <v>3</v>
      </c>
      <c r="F10" s="365" t="s">
        <v>870</v>
      </c>
      <c r="G10" s="374">
        <v>15</v>
      </c>
      <c r="H10" s="336">
        <v>0</v>
      </c>
      <c r="I10" s="128">
        <v>0</v>
      </c>
      <c r="J10" s="370">
        <f t="shared" si="0"/>
        <v>15</v>
      </c>
      <c r="K10" s="84" t="s">
        <v>872</v>
      </c>
      <c r="L10" s="33" t="s">
        <v>8</v>
      </c>
      <c r="M10" s="33" t="s">
        <v>8</v>
      </c>
      <c r="N10" s="34" t="s">
        <v>8</v>
      </c>
    </row>
    <row r="11" spans="1:18" ht="14.95" customHeight="1" thickBot="1" x14ac:dyDescent="0.3">
      <c r="A11" s="32" t="s">
        <v>888</v>
      </c>
      <c r="B11" s="372">
        <v>2</v>
      </c>
      <c r="C11" s="103">
        <v>0</v>
      </c>
      <c r="D11" s="368">
        <v>0</v>
      </c>
      <c r="E11" s="33">
        <f t="shared" si="2"/>
        <v>2</v>
      </c>
      <c r="F11" s="365" t="s">
        <v>888</v>
      </c>
      <c r="G11" s="374">
        <v>10</v>
      </c>
      <c r="H11" s="336">
        <v>0</v>
      </c>
      <c r="I11" s="128">
        <v>0</v>
      </c>
      <c r="J11" s="370">
        <f t="shared" si="0"/>
        <v>10</v>
      </c>
      <c r="K11" s="84" t="s">
        <v>871</v>
      </c>
      <c r="L11" s="361">
        <v>1</v>
      </c>
      <c r="M11" s="33">
        <v>1</v>
      </c>
      <c r="N11" s="34">
        <f t="shared" ref="N11" si="6">SUM(L11/M11)*100</f>
        <v>100</v>
      </c>
      <c r="O11" s="9"/>
      <c r="P11" s="9"/>
      <c r="Q11" s="9"/>
    </row>
    <row r="12" spans="1:18" ht="14.95" customHeight="1" thickBot="1" x14ac:dyDescent="0.3">
      <c r="A12" s="32" t="s">
        <v>879</v>
      </c>
      <c r="B12" s="372">
        <v>0</v>
      </c>
      <c r="C12" s="103">
        <v>0</v>
      </c>
      <c r="D12" s="368">
        <v>0</v>
      </c>
      <c r="E12" s="33">
        <f t="shared" si="2"/>
        <v>0</v>
      </c>
      <c r="F12" s="365" t="s">
        <v>879</v>
      </c>
      <c r="G12" s="374">
        <v>0</v>
      </c>
      <c r="H12" s="336">
        <v>0</v>
      </c>
      <c r="I12" s="128">
        <v>0</v>
      </c>
      <c r="J12" s="370">
        <f t="shared" si="0"/>
        <v>0</v>
      </c>
      <c r="O12" s="20"/>
      <c r="P12" s="20"/>
      <c r="Q12" s="23"/>
    </row>
    <row r="13" spans="1:18" ht="14.95" customHeight="1" thickBot="1" x14ac:dyDescent="0.3">
      <c r="A13" s="32" t="s">
        <v>867</v>
      </c>
      <c r="B13" s="372">
        <v>3</v>
      </c>
      <c r="C13" s="103">
        <v>0</v>
      </c>
      <c r="D13" s="368">
        <v>0</v>
      </c>
      <c r="E13" s="33">
        <f t="shared" si="2"/>
        <v>3</v>
      </c>
      <c r="F13" s="365" t="s">
        <v>867</v>
      </c>
      <c r="G13" s="374">
        <v>15</v>
      </c>
      <c r="H13" s="336">
        <v>0</v>
      </c>
      <c r="I13" s="128">
        <v>0</v>
      </c>
      <c r="J13" s="370">
        <f t="shared" si="0"/>
        <v>15</v>
      </c>
      <c r="K13" s="457" t="s">
        <v>509</v>
      </c>
      <c r="L13" s="447">
        <v>2024</v>
      </c>
      <c r="M13" s="448"/>
      <c r="N13" s="449"/>
      <c r="O13" s="447">
        <v>2023</v>
      </c>
      <c r="P13" s="448"/>
      <c r="Q13" s="449"/>
    </row>
    <row r="14" spans="1:18" ht="14.95" customHeight="1" thickBot="1" x14ac:dyDescent="0.3">
      <c r="A14" s="32" t="s">
        <v>869</v>
      </c>
      <c r="B14" s="372">
        <v>1</v>
      </c>
      <c r="C14" s="103">
        <v>0</v>
      </c>
      <c r="D14" s="368">
        <v>0</v>
      </c>
      <c r="E14" s="33">
        <f t="shared" si="2"/>
        <v>1</v>
      </c>
      <c r="F14" s="365" t="s">
        <v>869</v>
      </c>
      <c r="G14" s="374">
        <v>5</v>
      </c>
      <c r="H14" s="336">
        <v>0</v>
      </c>
      <c r="I14" s="128">
        <v>0</v>
      </c>
      <c r="J14" s="370">
        <f t="shared" si="0"/>
        <v>5</v>
      </c>
      <c r="K14" s="458"/>
      <c r="L14" s="450"/>
      <c r="M14" s="451"/>
      <c r="N14" s="452"/>
      <c r="O14" s="450"/>
      <c r="P14" s="451"/>
      <c r="Q14" s="452"/>
    </row>
    <row r="15" spans="1:18" ht="14.95" customHeight="1" thickBot="1" x14ac:dyDescent="0.3">
      <c r="A15" s="32" t="s">
        <v>875</v>
      </c>
      <c r="B15" s="372">
        <v>0</v>
      </c>
      <c r="C15" s="103">
        <v>0</v>
      </c>
      <c r="D15" s="368">
        <v>0</v>
      </c>
      <c r="E15" s="33">
        <f t="shared" si="2"/>
        <v>0</v>
      </c>
      <c r="F15" s="365" t="s">
        <v>875</v>
      </c>
      <c r="G15" s="374">
        <v>0</v>
      </c>
      <c r="H15" s="336">
        <v>0</v>
      </c>
      <c r="I15" s="128">
        <v>0</v>
      </c>
      <c r="J15" s="370">
        <f t="shared" si="0"/>
        <v>0</v>
      </c>
      <c r="K15" s="230"/>
      <c r="L15" s="61" t="s">
        <v>17</v>
      </c>
      <c r="M15" s="61" t="s">
        <v>5</v>
      </c>
      <c r="N15" s="61" t="s">
        <v>6</v>
      </c>
      <c r="O15" s="61" t="s">
        <v>17</v>
      </c>
      <c r="P15" s="61" t="s">
        <v>5</v>
      </c>
      <c r="Q15" s="61" t="s">
        <v>6</v>
      </c>
    </row>
    <row r="16" spans="1:18" ht="14.95" customHeight="1" thickBot="1" x14ac:dyDescent="0.3">
      <c r="A16" s="32" t="s">
        <v>877</v>
      </c>
      <c r="B16" s="372">
        <v>0</v>
      </c>
      <c r="C16" s="103">
        <v>0</v>
      </c>
      <c r="D16" s="368">
        <v>0</v>
      </c>
      <c r="E16" s="33">
        <f t="shared" si="2"/>
        <v>0</v>
      </c>
      <c r="F16" s="365" t="s">
        <v>877</v>
      </c>
      <c r="G16" s="374">
        <v>0</v>
      </c>
      <c r="H16" s="336">
        <v>0</v>
      </c>
      <c r="I16" s="128">
        <v>0</v>
      </c>
      <c r="J16" s="370">
        <f t="shared" si="0"/>
        <v>0</v>
      </c>
      <c r="K16" s="32" t="s">
        <v>926</v>
      </c>
      <c r="L16" s="61" t="s">
        <v>8</v>
      </c>
      <c r="M16" s="61" t="s">
        <v>8</v>
      </c>
      <c r="N16" s="120" t="s">
        <v>8</v>
      </c>
      <c r="O16" s="61">
        <v>2</v>
      </c>
      <c r="P16" s="61">
        <v>3</v>
      </c>
      <c r="Q16" s="120">
        <f t="shared" ref="Q16:Q17" si="7">SUM(O16/P16)*100</f>
        <v>66.666666666666657</v>
      </c>
    </row>
    <row r="17" spans="1:17" ht="14.95" customHeight="1" thickBot="1" x14ac:dyDescent="0.3">
      <c r="A17" s="32" t="s">
        <v>881</v>
      </c>
      <c r="B17" s="372">
        <v>0</v>
      </c>
      <c r="C17" s="103">
        <v>0</v>
      </c>
      <c r="D17" s="368">
        <v>0</v>
      </c>
      <c r="E17" s="33">
        <f t="shared" si="2"/>
        <v>0</v>
      </c>
      <c r="F17" s="365" t="s">
        <v>881</v>
      </c>
      <c r="G17" s="374">
        <v>0</v>
      </c>
      <c r="H17" s="336">
        <v>0</v>
      </c>
      <c r="I17" s="128">
        <v>0</v>
      </c>
      <c r="J17" s="370">
        <f t="shared" si="0"/>
        <v>0</v>
      </c>
      <c r="K17" s="84" t="s">
        <v>925</v>
      </c>
      <c r="L17" s="195">
        <v>12</v>
      </c>
      <c r="M17" s="61">
        <v>18</v>
      </c>
      <c r="N17" s="120">
        <f t="shared" ref="N17:N18" si="8">SUM(L17/M17)*100</f>
        <v>66.666666666666657</v>
      </c>
      <c r="O17" s="195">
        <v>4</v>
      </c>
      <c r="P17" s="61">
        <v>4</v>
      </c>
      <c r="Q17" s="120">
        <f t="shared" si="7"/>
        <v>100</v>
      </c>
    </row>
    <row r="18" spans="1:17" ht="14.95" customHeight="1" thickBot="1" x14ac:dyDescent="0.3">
      <c r="A18" s="32" t="s">
        <v>889</v>
      </c>
      <c r="B18" s="372">
        <v>0</v>
      </c>
      <c r="C18" s="103">
        <v>0</v>
      </c>
      <c r="D18" s="368">
        <v>0</v>
      </c>
      <c r="E18" s="33">
        <f t="shared" si="2"/>
        <v>0</v>
      </c>
      <c r="F18" s="365" t="s">
        <v>889</v>
      </c>
      <c r="G18" s="374">
        <v>0</v>
      </c>
      <c r="H18" s="336">
        <v>0</v>
      </c>
      <c r="I18" s="128">
        <v>0</v>
      </c>
      <c r="J18" s="370">
        <f t="shared" si="0"/>
        <v>0</v>
      </c>
      <c r="K18" s="32" t="s">
        <v>871</v>
      </c>
      <c r="L18" s="61">
        <v>0</v>
      </c>
      <c r="M18" s="61">
        <v>1</v>
      </c>
      <c r="N18" s="120">
        <f t="shared" si="8"/>
        <v>0</v>
      </c>
      <c r="O18" s="195" t="s">
        <v>8</v>
      </c>
      <c r="P18" s="61" t="s">
        <v>8</v>
      </c>
      <c r="Q18" s="120" t="s">
        <v>8</v>
      </c>
    </row>
    <row r="19" spans="1:17" ht="14.95" customHeight="1" thickBot="1" x14ac:dyDescent="0.3">
      <c r="A19" s="32" t="s">
        <v>212</v>
      </c>
      <c r="B19" s="372">
        <v>1</v>
      </c>
      <c r="C19" s="103">
        <v>0</v>
      </c>
      <c r="D19" s="368">
        <v>0</v>
      </c>
      <c r="E19" s="33">
        <f t="shared" si="2"/>
        <v>1</v>
      </c>
      <c r="F19" s="365" t="s">
        <v>212</v>
      </c>
      <c r="G19" s="374">
        <v>7</v>
      </c>
      <c r="H19" s="336">
        <v>0</v>
      </c>
      <c r="I19" s="128">
        <v>0</v>
      </c>
      <c r="J19" s="370">
        <f t="shared" si="0"/>
        <v>7</v>
      </c>
    </row>
    <row r="20" spans="1:17" ht="14.95" customHeight="1" thickBot="1" x14ac:dyDescent="0.3">
      <c r="A20" s="32" t="s">
        <v>886</v>
      </c>
      <c r="B20" s="372">
        <v>0</v>
      </c>
      <c r="C20" s="103">
        <v>0</v>
      </c>
      <c r="D20" s="368">
        <v>0</v>
      </c>
      <c r="E20" s="33">
        <f t="shared" si="2"/>
        <v>0</v>
      </c>
      <c r="F20" s="365" t="s">
        <v>886</v>
      </c>
      <c r="G20" s="374">
        <v>0</v>
      </c>
      <c r="H20" s="336">
        <v>0</v>
      </c>
      <c r="I20" s="128">
        <v>0</v>
      </c>
      <c r="J20" s="370">
        <f t="shared" si="0"/>
        <v>0</v>
      </c>
      <c r="K20" s="501" t="s">
        <v>443</v>
      </c>
      <c r="L20" s="461">
        <v>2025</v>
      </c>
      <c r="M20" s="462"/>
      <c r="N20" s="463"/>
    </row>
    <row r="21" spans="1:17" ht="14.95" customHeight="1" thickBot="1" x14ac:dyDescent="0.3">
      <c r="A21" s="32" t="s">
        <v>872</v>
      </c>
      <c r="B21" s="372">
        <v>0</v>
      </c>
      <c r="C21" s="103">
        <v>0</v>
      </c>
      <c r="D21" s="368">
        <v>0</v>
      </c>
      <c r="E21" s="33">
        <f t="shared" si="2"/>
        <v>0</v>
      </c>
      <c r="F21" s="365" t="s">
        <v>872</v>
      </c>
      <c r="G21" s="374">
        <v>2</v>
      </c>
      <c r="H21" s="336">
        <v>0</v>
      </c>
      <c r="I21" s="128">
        <v>0</v>
      </c>
      <c r="J21" s="370">
        <f t="shared" si="0"/>
        <v>2</v>
      </c>
      <c r="K21" s="502"/>
      <c r="L21" s="464"/>
      <c r="M21" s="465"/>
      <c r="N21" s="466"/>
    </row>
    <row r="22" spans="1:17" ht="14.95" customHeight="1" thickBot="1" x14ac:dyDescent="0.3">
      <c r="A22" s="32" t="s">
        <v>868</v>
      </c>
      <c r="B22" s="372">
        <v>1</v>
      </c>
      <c r="C22" s="103">
        <v>0</v>
      </c>
      <c r="D22" s="368">
        <v>0</v>
      </c>
      <c r="E22" s="33">
        <f t="shared" si="2"/>
        <v>1</v>
      </c>
      <c r="F22" s="365" t="s">
        <v>868</v>
      </c>
      <c r="G22" s="374">
        <v>5</v>
      </c>
      <c r="H22" s="336">
        <v>0</v>
      </c>
      <c r="I22" s="128">
        <v>0</v>
      </c>
      <c r="J22" s="370">
        <f t="shared" si="0"/>
        <v>5</v>
      </c>
      <c r="K22" s="375"/>
      <c r="L22" s="29" t="s">
        <v>17</v>
      </c>
      <c r="M22" s="29" t="s">
        <v>5</v>
      </c>
      <c r="N22" s="29" t="s">
        <v>6</v>
      </c>
    </row>
    <row r="23" spans="1:17" ht="14.95" customHeight="1" thickBot="1" x14ac:dyDescent="0.3">
      <c r="A23" s="32" t="s">
        <v>883</v>
      </c>
      <c r="B23" s="372">
        <v>0</v>
      </c>
      <c r="C23" s="103">
        <v>0</v>
      </c>
      <c r="D23" s="368">
        <v>0</v>
      </c>
      <c r="E23" s="33">
        <f t="shared" si="2"/>
        <v>0</v>
      </c>
      <c r="F23" s="365" t="s">
        <v>883</v>
      </c>
      <c r="G23" s="374">
        <v>0</v>
      </c>
      <c r="H23" s="336">
        <v>0</v>
      </c>
      <c r="I23" s="128">
        <v>0</v>
      </c>
      <c r="J23" s="370">
        <f t="shared" si="0"/>
        <v>0</v>
      </c>
      <c r="K23" s="32" t="s">
        <v>872</v>
      </c>
      <c r="L23" s="33">
        <v>1</v>
      </c>
      <c r="M23" s="33">
        <v>3</v>
      </c>
      <c r="N23" s="34">
        <f t="shared" ref="N23" si="9">SUM(L23/M23)*100</f>
        <v>33.333333333333329</v>
      </c>
    </row>
    <row r="24" spans="1:17" ht="14.95" customHeight="1" thickBot="1" x14ac:dyDescent="0.3">
      <c r="A24" s="32" t="s">
        <v>885</v>
      </c>
      <c r="B24" s="372">
        <v>0</v>
      </c>
      <c r="C24" s="103">
        <v>0</v>
      </c>
      <c r="D24" s="368">
        <v>0</v>
      </c>
      <c r="E24" s="33">
        <f t="shared" si="2"/>
        <v>0</v>
      </c>
      <c r="F24" s="365" t="s">
        <v>885</v>
      </c>
      <c r="G24" s="374">
        <v>0</v>
      </c>
      <c r="H24" s="336">
        <v>0</v>
      </c>
      <c r="I24" s="128">
        <v>0</v>
      </c>
      <c r="J24" s="370">
        <f t="shared" si="0"/>
        <v>0</v>
      </c>
      <c r="K24" s="84" t="s">
        <v>871</v>
      </c>
      <c r="L24" s="361">
        <v>5</v>
      </c>
      <c r="M24" s="33">
        <v>10</v>
      </c>
      <c r="N24" s="34">
        <f t="shared" ref="N24" si="10">SUM(L24/M24)*100</f>
        <v>50</v>
      </c>
      <c r="O24" s="9"/>
      <c r="P24" s="9"/>
      <c r="Q24" s="9"/>
    </row>
    <row r="25" spans="1:17" ht="14.95" customHeight="1" thickBot="1" x14ac:dyDescent="0.3">
      <c r="A25" s="32" t="s">
        <v>318</v>
      </c>
      <c r="B25" s="372">
        <v>0</v>
      </c>
      <c r="C25" s="103">
        <v>0</v>
      </c>
      <c r="D25" s="368">
        <v>0</v>
      </c>
      <c r="E25" s="33">
        <f t="shared" si="2"/>
        <v>0</v>
      </c>
      <c r="F25" s="365" t="s">
        <v>318</v>
      </c>
      <c r="G25" s="374">
        <v>0</v>
      </c>
      <c r="H25" s="336">
        <v>0</v>
      </c>
      <c r="I25" s="128">
        <v>0</v>
      </c>
      <c r="J25" s="370">
        <f t="shared" si="0"/>
        <v>0</v>
      </c>
    </row>
    <row r="26" spans="1:17" ht="14.95" customHeight="1" thickBot="1" x14ac:dyDescent="0.3">
      <c r="A26" s="32" t="s">
        <v>876</v>
      </c>
      <c r="B26" s="372">
        <v>0</v>
      </c>
      <c r="C26" s="103">
        <v>0</v>
      </c>
      <c r="D26" s="368">
        <v>0</v>
      </c>
      <c r="E26" s="33">
        <f t="shared" si="2"/>
        <v>0</v>
      </c>
      <c r="F26" s="365" t="s">
        <v>876</v>
      </c>
      <c r="G26" s="374">
        <v>0</v>
      </c>
      <c r="H26" s="336">
        <v>0</v>
      </c>
      <c r="I26" s="128">
        <v>0</v>
      </c>
      <c r="J26" s="370">
        <f t="shared" si="0"/>
        <v>0</v>
      </c>
    </row>
    <row r="27" spans="1:17" ht="14.95" customHeight="1" thickBot="1" x14ac:dyDescent="0.3">
      <c r="A27" s="32" t="s">
        <v>871</v>
      </c>
      <c r="B27" s="372">
        <v>0</v>
      </c>
      <c r="C27" s="103">
        <v>0</v>
      </c>
      <c r="D27" s="368">
        <v>0</v>
      </c>
      <c r="E27" s="33">
        <f t="shared" si="2"/>
        <v>0</v>
      </c>
      <c r="F27" s="365" t="s">
        <v>871</v>
      </c>
      <c r="G27" s="374">
        <v>10</v>
      </c>
      <c r="H27" s="336">
        <v>3</v>
      </c>
      <c r="I27" s="128">
        <v>0</v>
      </c>
      <c r="J27" s="370">
        <f t="shared" si="0"/>
        <v>13</v>
      </c>
    </row>
    <row r="28" spans="1:17" ht="14.95" customHeight="1" thickBot="1" x14ac:dyDescent="0.3">
      <c r="A28" s="32" t="s">
        <v>3</v>
      </c>
      <c r="B28" s="372">
        <f>SUM(B3:B27)</f>
        <v>14</v>
      </c>
      <c r="C28" s="103">
        <f>SUM(C3:C27)</f>
        <v>0</v>
      </c>
      <c r="D28" s="368">
        <f>SUM(D3:D27)</f>
        <v>0</v>
      </c>
      <c r="E28" s="33">
        <f t="shared" si="2"/>
        <v>14</v>
      </c>
      <c r="F28" s="366" t="s">
        <v>3</v>
      </c>
      <c r="G28" s="373">
        <f>SUM(G3:G27)</f>
        <v>84</v>
      </c>
      <c r="H28" s="337">
        <f>SUM(H3:H27)</f>
        <v>3</v>
      </c>
      <c r="I28" s="126">
        <f>SUM(I3:I27)</f>
        <v>0</v>
      </c>
      <c r="J28" s="369">
        <f t="shared" si="0"/>
        <v>87</v>
      </c>
    </row>
    <row r="29" spans="1:17" ht="14.95" customHeight="1" x14ac:dyDescent="0.25"/>
    <row r="30" spans="1:17" ht="14.95" customHeight="1" thickBot="1" x14ac:dyDescent="0.3">
      <c r="A30" t="s">
        <v>7</v>
      </c>
      <c r="E30" s="52"/>
    </row>
    <row r="31" spans="1:17" ht="14.95" thickBot="1" x14ac:dyDescent="0.3">
      <c r="A31" s="84" t="s">
        <v>0</v>
      </c>
      <c r="B31" s="371" t="s">
        <v>247</v>
      </c>
      <c r="C31" s="102" t="s">
        <v>734</v>
      </c>
      <c r="D31" s="367" t="s">
        <v>11</v>
      </c>
      <c r="E31" s="180" t="s">
        <v>1</v>
      </c>
      <c r="F31" s="363" t="s">
        <v>2</v>
      </c>
      <c r="G31" s="373" t="s">
        <v>247</v>
      </c>
      <c r="H31" s="335" t="s">
        <v>734</v>
      </c>
      <c r="I31" s="126" t="s">
        <v>11</v>
      </c>
      <c r="J31" s="369" t="s">
        <v>1</v>
      </c>
    </row>
    <row r="32" spans="1:17" ht="14.95" thickBot="1" x14ac:dyDescent="0.3">
      <c r="A32" s="32" t="s">
        <v>870</v>
      </c>
      <c r="B32" s="372">
        <v>3</v>
      </c>
      <c r="C32" s="103">
        <v>0</v>
      </c>
      <c r="D32" s="368">
        <v>0</v>
      </c>
      <c r="E32" s="33">
        <f t="shared" ref="E32:E56" si="11">SUM(B32:D32)</f>
        <v>3</v>
      </c>
      <c r="F32" s="364" t="s">
        <v>870</v>
      </c>
      <c r="G32" s="374">
        <v>15</v>
      </c>
      <c r="H32" s="336">
        <v>0</v>
      </c>
      <c r="I32" s="128">
        <v>0</v>
      </c>
      <c r="J32" s="370">
        <f t="shared" ref="J32:J56" si="12">SUM(G32:I32)</f>
        <v>15</v>
      </c>
    </row>
    <row r="33" spans="1:10" ht="14.95" thickBot="1" x14ac:dyDescent="0.3">
      <c r="A33" s="32" t="s">
        <v>867</v>
      </c>
      <c r="B33" s="372">
        <v>3</v>
      </c>
      <c r="C33" s="103">
        <v>0</v>
      </c>
      <c r="D33" s="368">
        <v>0</v>
      </c>
      <c r="E33" s="33">
        <f t="shared" si="11"/>
        <v>3</v>
      </c>
      <c r="F33" s="364" t="s">
        <v>867</v>
      </c>
      <c r="G33" s="374">
        <v>15</v>
      </c>
      <c r="H33" s="336">
        <v>0</v>
      </c>
      <c r="I33" s="128">
        <v>0</v>
      </c>
      <c r="J33" s="370">
        <f t="shared" si="12"/>
        <v>15</v>
      </c>
    </row>
    <row r="34" spans="1:10" ht="14.95" thickBot="1" x14ac:dyDescent="0.3">
      <c r="A34" s="32" t="s">
        <v>866</v>
      </c>
      <c r="B34" s="372">
        <v>2</v>
      </c>
      <c r="C34" s="103">
        <v>0</v>
      </c>
      <c r="D34" s="368">
        <v>0</v>
      </c>
      <c r="E34" s="33">
        <f t="shared" si="11"/>
        <v>2</v>
      </c>
      <c r="F34" s="364" t="s">
        <v>871</v>
      </c>
      <c r="G34" s="374">
        <v>10</v>
      </c>
      <c r="H34" s="336">
        <v>3</v>
      </c>
      <c r="I34" s="128">
        <v>0</v>
      </c>
      <c r="J34" s="370">
        <f t="shared" si="12"/>
        <v>13</v>
      </c>
    </row>
    <row r="35" spans="1:10" ht="14.95" thickBot="1" x14ac:dyDescent="0.3">
      <c r="A35" s="32" t="s">
        <v>888</v>
      </c>
      <c r="B35" s="372">
        <v>2</v>
      </c>
      <c r="C35" s="103">
        <v>0</v>
      </c>
      <c r="D35" s="368">
        <v>0</v>
      </c>
      <c r="E35" s="33">
        <f t="shared" si="11"/>
        <v>2</v>
      </c>
      <c r="F35" s="365" t="s">
        <v>866</v>
      </c>
      <c r="G35" s="374">
        <v>10</v>
      </c>
      <c r="H35" s="336">
        <v>0</v>
      </c>
      <c r="I35" s="128">
        <v>0</v>
      </c>
      <c r="J35" s="370">
        <f t="shared" si="12"/>
        <v>10</v>
      </c>
    </row>
    <row r="36" spans="1:10" ht="14.95" thickBot="1" x14ac:dyDescent="0.3">
      <c r="A36" s="32" t="s">
        <v>873</v>
      </c>
      <c r="B36" s="372">
        <v>1</v>
      </c>
      <c r="C36" s="103">
        <v>0</v>
      </c>
      <c r="D36" s="368">
        <v>0</v>
      </c>
      <c r="E36" s="33">
        <f t="shared" si="11"/>
        <v>1</v>
      </c>
      <c r="F36" s="364" t="s">
        <v>888</v>
      </c>
      <c r="G36" s="374">
        <v>10</v>
      </c>
      <c r="H36" s="336">
        <v>0</v>
      </c>
      <c r="I36" s="128">
        <v>0</v>
      </c>
      <c r="J36" s="370">
        <f t="shared" si="12"/>
        <v>10</v>
      </c>
    </row>
    <row r="37" spans="1:10" ht="14.95" thickBot="1" x14ac:dyDescent="0.3">
      <c r="A37" s="32" t="s">
        <v>869</v>
      </c>
      <c r="B37" s="372">
        <v>1</v>
      </c>
      <c r="C37" s="103">
        <v>0</v>
      </c>
      <c r="D37" s="368">
        <v>0</v>
      </c>
      <c r="E37" s="33">
        <f t="shared" si="11"/>
        <v>1</v>
      </c>
      <c r="F37" s="365" t="s">
        <v>212</v>
      </c>
      <c r="G37" s="374">
        <v>7</v>
      </c>
      <c r="H37" s="336">
        <v>0</v>
      </c>
      <c r="I37" s="128">
        <v>0</v>
      </c>
      <c r="J37" s="370">
        <f t="shared" si="12"/>
        <v>7</v>
      </c>
    </row>
    <row r="38" spans="1:10" ht="14.95" thickBot="1" x14ac:dyDescent="0.3">
      <c r="A38" s="32" t="s">
        <v>212</v>
      </c>
      <c r="B38" s="372">
        <v>1</v>
      </c>
      <c r="C38" s="103">
        <v>0</v>
      </c>
      <c r="D38" s="368">
        <v>0</v>
      </c>
      <c r="E38" s="33">
        <f t="shared" si="11"/>
        <v>1</v>
      </c>
      <c r="F38" s="365" t="s">
        <v>873</v>
      </c>
      <c r="G38" s="374">
        <v>5</v>
      </c>
      <c r="H38" s="336">
        <v>0</v>
      </c>
      <c r="I38" s="128">
        <v>0</v>
      </c>
      <c r="J38" s="370">
        <f t="shared" si="12"/>
        <v>5</v>
      </c>
    </row>
    <row r="39" spans="1:10" ht="14.95" thickBot="1" x14ac:dyDescent="0.3">
      <c r="A39" s="32" t="s">
        <v>868</v>
      </c>
      <c r="B39" s="372">
        <v>1</v>
      </c>
      <c r="C39" s="103">
        <v>0</v>
      </c>
      <c r="D39" s="368">
        <v>0</v>
      </c>
      <c r="E39" s="33">
        <f t="shared" si="11"/>
        <v>1</v>
      </c>
      <c r="F39" s="365" t="s">
        <v>869</v>
      </c>
      <c r="G39" s="374">
        <v>5</v>
      </c>
      <c r="H39" s="336">
        <v>0</v>
      </c>
      <c r="I39" s="128">
        <v>0</v>
      </c>
      <c r="J39" s="370">
        <f t="shared" si="12"/>
        <v>5</v>
      </c>
    </row>
    <row r="40" spans="1:10" ht="14.95" thickBot="1" x14ac:dyDescent="0.3">
      <c r="A40" s="32" t="s">
        <v>880</v>
      </c>
      <c r="B40" s="372">
        <v>0</v>
      </c>
      <c r="C40" s="103">
        <v>0</v>
      </c>
      <c r="D40" s="368">
        <v>0</v>
      </c>
      <c r="E40" s="33">
        <f t="shared" si="11"/>
        <v>0</v>
      </c>
      <c r="F40" s="365" t="s">
        <v>868</v>
      </c>
      <c r="G40" s="374">
        <v>5</v>
      </c>
      <c r="H40" s="336">
        <v>0</v>
      </c>
      <c r="I40" s="128">
        <v>0</v>
      </c>
      <c r="J40" s="370">
        <f t="shared" si="12"/>
        <v>5</v>
      </c>
    </row>
    <row r="41" spans="1:10" ht="14.95" thickBot="1" x14ac:dyDescent="0.3">
      <c r="A41" s="32" t="s">
        <v>878</v>
      </c>
      <c r="B41" s="372">
        <v>0</v>
      </c>
      <c r="C41" s="103">
        <v>0</v>
      </c>
      <c r="D41" s="368">
        <v>0</v>
      </c>
      <c r="E41" s="33">
        <f t="shared" si="11"/>
        <v>0</v>
      </c>
      <c r="F41" s="365" t="s">
        <v>872</v>
      </c>
      <c r="G41" s="374">
        <v>2</v>
      </c>
      <c r="H41" s="336">
        <v>0</v>
      </c>
      <c r="I41" s="128">
        <v>0</v>
      </c>
      <c r="J41" s="370">
        <f t="shared" si="12"/>
        <v>2</v>
      </c>
    </row>
    <row r="42" spans="1:10" ht="14.95" thickBot="1" x14ac:dyDescent="0.3">
      <c r="A42" s="32" t="s">
        <v>882</v>
      </c>
      <c r="B42" s="372">
        <v>0</v>
      </c>
      <c r="C42" s="103">
        <v>0</v>
      </c>
      <c r="D42" s="368">
        <v>0</v>
      </c>
      <c r="E42" s="33">
        <f t="shared" si="11"/>
        <v>0</v>
      </c>
      <c r="F42" s="365" t="s">
        <v>880</v>
      </c>
      <c r="G42" s="374">
        <v>0</v>
      </c>
      <c r="H42" s="336">
        <v>0</v>
      </c>
      <c r="I42" s="128">
        <v>0</v>
      </c>
      <c r="J42" s="370">
        <f t="shared" si="12"/>
        <v>0</v>
      </c>
    </row>
    <row r="43" spans="1:10" ht="14.95" thickBot="1" x14ac:dyDescent="0.3">
      <c r="A43" s="32" t="s">
        <v>874</v>
      </c>
      <c r="B43" s="372">
        <v>0</v>
      </c>
      <c r="C43" s="103">
        <v>0</v>
      </c>
      <c r="D43" s="368">
        <v>0</v>
      </c>
      <c r="E43" s="33">
        <f t="shared" si="11"/>
        <v>0</v>
      </c>
      <c r="F43" s="365" t="s">
        <v>878</v>
      </c>
      <c r="G43" s="374">
        <v>0</v>
      </c>
      <c r="H43" s="336">
        <v>0</v>
      </c>
      <c r="I43" s="128">
        <v>0</v>
      </c>
      <c r="J43" s="370">
        <f t="shared" si="12"/>
        <v>0</v>
      </c>
    </row>
    <row r="44" spans="1:10" ht="14.95" thickBot="1" x14ac:dyDescent="0.3">
      <c r="A44" s="32" t="s">
        <v>884</v>
      </c>
      <c r="B44" s="372">
        <v>0</v>
      </c>
      <c r="C44" s="103">
        <v>0</v>
      </c>
      <c r="D44" s="368">
        <v>0</v>
      </c>
      <c r="E44" s="33">
        <f t="shared" si="11"/>
        <v>0</v>
      </c>
      <c r="F44" s="365" t="s">
        <v>882</v>
      </c>
      <c r="G44" s="374">
        <v>0</v>
      </c>
      <c r="H44" s="336">
        <v>0</v>
      </c>
      <c r="I44" s="128">
        <v>0</v>
      </c>
      <c r="J44" s="370">
        <f t="shared" si="12"/>
        <v>0</v>
      </c>
    </row>
    <row r="45" spans="1:10" ht="14.95" thickBot="1" x14ac:dyDescent="0.3">
      <c r="A45" s="32" t="s">
        <v>879</v>
      </c>
      <c r="B45" s="372">
        <v>0</v>
      </c>
      <c r="C45" s="103">
        <v>0</v>
      </c>
      <c r="D45" s="368">
        <v>0</v>
      </c>
      <c r="E45" s="33">
        <f t="shared" si="11"/>
        <v>0</v>
      </c>
      <c r="F45" s="365" t="s">
        <v>874</v>
      </c>
      <c r="G45" s="374">
        <v>0</v>
      </c>
      <c r="H45" s="336">
        <v>0</v>
      </c>
      <c r="I45" s="128">
        <v>0</v>
      </c>
      <c r="J45" s="370">
        <f t="shared" si="12"/>
        <v>0</v>
      </c>
    </row>
    <row r="46" spans="1:10" ht="14.95" thickBot="1" x14ac:dyDescent="0.3">
      <c r="A46" s="32" t="s">
        <v>875</v>
      </c>
      <c r="B46" s="372">
        <v>0</v>
      </c>
      <c r="C46" s="103">
        <v>0</v>
      </c>
      <c r="D46" s="368">
        <v>0</v>
      </c>
      <c r="E46" s="33">
        <f t="shared" si="11"/>
        <v>0</v>
      </c>
      <c r="F46" s="365" t="s">
        <v>884</v>
      </c>
      <c r="G46" s="374">
        <v>0</v>
      </c>
      <c r="H46" s="336">
        <v>0</v>
      </c>
      <c r="I46" s="128">
        <v>0</v>
      </c>
      <c r="J46" s="370">
        <f t="shared" si="12"/>
        <v>0</v>
      </c>
    </row>
    <row r="47" spans="1:10" ht="14.95" thickBot="1" x14ac:dyDescent="0.3">
      <c r="A47" s="32" t="s">
        <v>877</v>
      </c>
      <c r="B47" s="372">
        <v>0</v>
      </c>
      <c r="C47" s="103">
        <v>0</v>
      </c>
      <c r="D47" s="368">
        <v>0</v>
      </c>
      <c r="E47" s="33">
        <f t="shared" si="11"/>
        <v>0</v>
      </c>
      <c r="F47" s="365" t="s">
        <v>879</v>
      </c>
      <c r="G47" s="374">
        <v>0</v>
      </c>
      <c r="H47" s="336">
        <v>0</v>
      </c>
      <c r="I47" s="128">
        <v>0</v>
      </c>
      <c r="J47" s="370">
        <f t="shared" si="12"/>
        <v>0</v>
      </c>
    </row>
    <row r="48" spans="1:10" ht="14.95" thickBot="1" x14ac:dyDescent="0.3">
      <c r="A48" s="32" t="s">
        <v>881</v>
      </c>
      <c r="B48" s="372">
        <v>0</v>
      </c>
      <c r="C48" s="103">
        <v>0</v>
      </c>
      <c r="D48" s="368">
        <v>0</v>
      </c>
      <c r="E48" s="33">
        <f t="shared" si="11"/>
        <v>0</v>
      </c>
      <c r="F48" s="365" t="s">
        <v>875</v>
      </c>
      <c r="G48" s="374">
        <v>0</v>
      </c>
      <c r="H48" s="336">
        <v>0</v>
      </c>
      <c r="I48" s="128">
        <v>0</v>
      </c>
      <c r="J48" s="370">
        <f t="shared" si="12"/>
        <v>0</v>
      </c>
    </row>
    <row r="49" spans="1:10" ht="14.95" thickBot="1" x14ac:dyDescent="0.3">
      <c r="A49" s="32" t="s">
        <v>889</v>
      </c>
      <c r="B49" s="372">
        <v>0</v>
      </c>
      <c r="C49" s="103">
        <v>0</v>
      </c>
      <c r="D49" s="368">
        <v>0</v>
      </c>
      <c r="E49" s="33">
        <f t="shared" si="11"/>
        <v>0</v>
      </c>
      <c r="F49" s="365" t="s">
        <v>877</v>
      </c>
      <c r="G49" s="374">
        <v>0</v>
      </c>
      <c r="H49" s="336">
        <v>0</v>
      </c>
      <c r="I49" s="128">
        <v>0</v>
      </c>
      <c r="J49" s="370">
        <f t="shared" si="12"/>
        <v>0</v>
      </c>
    </row>
    <row r="50" spans="1:10" ht="14.95" thickBot="1" x14ac:dyDescent="0.3">
      <c r="A50" s="32" t="s">
        <v>886</v>
      </c>
      <c r="B50" s="372">
        <v>0</v>
      </c>
      <c r="C50" s="103">
        <v>0</v>
      </c>
      <c r="D50" s="368">
        <v>0</v>
      </c>
      <c r="E50" s="33">
        <f t="shared" si="11"/>
        <v>0</v>
      </c>
      <c r="F50" s="365" t="s">
        <v>881</v>
      </c>
      <c r="G50" s="374">
        <v>0</v>
      </c>
      <c r="H50" s="336">
        <v>0</v>
      </c>
      <c r="I50" s="128">
        <v>0</v>
      </c>
      <c r="J50" s="370">
        <f t="shared" si="12"/>
        <v>0</v>
      </c>
    </row>
    <row r="51" spans="1:10" ht="14.95" thickBot="1" x14ac:dyDescent="0.3">
      <c r="A51" s="32" t="s">
        <v>872</v>
      </c>
      <c r="B51" s="372">
        <v>0</v>
      </c>
      <c r="C51" s="103">
        <v>0</v>
      </c>
      <c r="D51" s="368">
        <v>0</v>
      </c>
      <c r="E51" s="33">
        <f t="shared" si="11"/>
        <v>0</v>
      </c>
      <c r="F51" s="365" t="s">
        <v>889</v>
      </c>
      <c r="G51" s="374">
        <v>0</v>
      </c>
      <c r="H51" s="336">
        <v>0</v>
      </c>
      <c r="I51" s="128">
        <v>0</v>
      </c>
      <c r="J51" s="370">
        <f t="shared" si="12"/>
        <v>0</v>
      </c>
    </row>
    <row r="52" spans="1:10" ht="14.95" thickBot="1" x14ac:dyDescent="0.3">
      <c r="A52" s="32" t="s">
        <v>883</v>
      </c>
      <c r="B52" s="372">
        <v>0</v>
      </c>
      <c r="C52" s="103">
        <v>0</v>
      </c>
      <c r="D52" s="368">
        <v>0</v>
      </c>
      <c r="E52" s="33">
        <f t="shared" si="11"/>
        <v>0</v>
      </c>
      <c r="F52" s="365" t="s">
        <v>886</v>
      </c>
      <c r="G52" s="374">
        <v>0</v>
      </c>
      <c r="H52" s="336">
        <v>0</v>
      </c>
      <c r="I52" s="128">
        <v>0</v>
      </c>
      <c r="J52" s="370">
        <f t="shared" si="12"/>
        <v>0</v>
      </c>
    </row>
    <row r="53" spans="1:10" ht="14.95" thickBot="1" x14ac:dyDescent="0.3">
      <c r="A53" s="32" t="s">
        <v>885</v>
      </c>
      <c r="B53" s="372">
        <v>0</v>
      </c>
      <c r="C53" s="103">
        <v>0</v>
      </c>
      <c r="D53" s="368">
        <v>0</v>
      </c>
      <c r="E53" s="33">
        <f t="shared" si="11"/>
        <v>0</v>
      </c>
      <c r="F53" s="365" t="s">
        <v>883</v>
      </c>
      <c r="G53" s="374">
        <v>0</v>
      </c>
      <c r="H53" s="336">
        <v>0</v>
      </c>
      <c r="I53" s="128">
        <v>0</v>
      </c>
      <c r="J53" s="370">
        <f t="shared" si="12"/>
        <v>0</v>
      </c>
    </row>
    <row r="54" spans="1:10" ht="14.95" thickBot="1" x14ac:dyDescent="0.3">
      <c r="A54" s="32" t="s">
        <v>318</v>
      </c>
      <c r="B54" s="372">
        <v>0</v>
      </c>
      <c r="C54" s="103">
        <v>0</v>
      </c>
      <c r="D54" s="368">
        <v>0</v>
      </c>
      <c r="E54" s="33">
        <f t="shared" si="11"/>
        <v>0</v>
      </c>
      <c r="F54" s="365" t="s">
        <v>885</v>
      </c>
      <c r="G54" s="374">
        <v>0</v>
      </c>
      <c r="H54" s="336">
        <v>0</v>
      </c>
      <c r="I54" s="128">
        <v>0</v>
      </c>
      <c r="J54" s="370">
        <f t="shared" si="12"/>
        <v>0</v>
      </c>
    </row>
    <row r="55" spans="1:10" ht="14.95" thickBot="1" x14ac:dyDescent="0.3">
      <c r="A55" s="32" t="s">
        <v>876</v>
      </c>
      <c r="B55" s="372">
        <v>0</v>
      </c>
      <c r="C55" s="103">
        <v>0</v>
      </c>
      <c r="D55" s="368">
        <v>0</v>
      </c>
      <c r="E55" s="33">
        <f t="shared" si="11"/>
        <v>0</v>
      </c>
      <c r="F55" s="365" t="s">
        <v>318</v>
      </c>
      <c r="G55" s="374">
        <v>0</v>
      </c>
      <c r="H55" s="336">
        <v>0</v>
      </c>
      <c r="I55" s="128">
        <v>0</v>
      </c>
      <c r="J55" s="370">
        <f t="shared" si="12"/>
        <v>0</v>
      </c>
    </row>
    <row r="56" spans="1:10" ht="14.95" thickBot="1" x14ac:dyDescent="0.3">
      <c r="A56" s="32" t="s">
        <v>871</v>
      </c>
      <c r="B56" s="372">
        <v>0</v>
      </c>
      <c r="C56" s="103">
        <v>0</v>
      </c>
      <c r="D56" s="368">
        <v>0</v>
      </c>
      <c r="E56" s="33">
        <f t="shared" si="11"/>
        <v>0</v>
      </c>
      <c r="F56" s="365" t="s">
        <v>876</v>
      </c>
      <c r="G56" s="374">
        <v>0</v>
      </c>
      <c r="H56" s="336">
        <v>0</v>
      </c>
      <c r="I56" s="128">
        <v>0</v>
      </c>
      <c r="J56" s="370">
        <f t="shared" si="12"/>
        <v>0</v>
      </c>
    </row>
    <row r="57" spans="1:10" ht="14.95" thickBot="1" x14ac:dyDescent="0.3">
      <c r="A57" s="32" t="s">
        <v>3</v>
      </c>
      <c r="B57" s="372">
        <f>SUM(B32:B56)</f>
        <v>14</v>
      </c>
      <c r="C57" s="103">
        <f>SUM(C32:C56)</f>
        <v>0</v>
      </c>
      <c r="D57" s="368">
        <f>SUM(D32:D56)</f>
        <v>0</v>
      </c>
      <c r="E57" s="33">
        <f t="shared" ref="E57" si="13">SUM(B57:D57)</f>
        <v>14</v>
      </c>
      <c r="F57" s="366" t="s">
        <v>3</v>
      </c>
      <c r="G57" s="373">
        <f>SUM(G32:G56)</f>
        <v>84</v>
      </c>
      <c r="H57" s="337">
        <f>SUM(H32:H56)</f>
        <v>3</v>
      </c>
      <c r="I57" s="126">
        <f>SUM(I32:I56)</f>
        <v>0</v>
      </c>
      <c r="J57" s="369">
        <f t="shared" ref="J57" si="14">SUM(G57:I57)</f>
        <v>87</v>
      </c>
    </row>
    <row r="58" spans="1:10" ht="16.3" x14ac:dyDescent="0.3">
      <c r="A58" s="455" t="s">
        <v>10</v>
      </c>
      <c r="B58" s="455"/>
      <c r="C58" s="455"/>
      <c r="D58" s="455"/>
      <c r="E58" s="456"/>
    </row>
  </sheetData>
  <sortState xmlns:xlrd2="http://schemas.microsoft.com/office/spreadsheetml/2017/richdata2" ref="F32:J56">
    <sortCondition descending="1" ref="J32:J56"/>
  </sortState>
  <mergeCells count="13">
    <mergeCell ref="A58:E58"/>
    <mergeCell ref="K20:K21"/>
    <mergeCell ref="L20:N21"/>
    <mergeCell ref="K7:K8"/>
    <mergeCell ref="L7:N8"/>
    <mergeCell ref="K13:K14"/>
    <mergeCell ref="L13:N14"/>
    <mergeCell ref="R1:R2"/>
    <mergeCell ref="O13:Q14"/>
    <mergeCell ref="A1:J1"/>
    <mergeCell ref="K1:K2"/>
    <mergeCell ref="L1:N2"/>
    <mergeCell ref="O1:Q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90"/>
  <sheetViews>
    <sheetView workbookViewId="0">
      <selection activeCell="Q86" sqref="Q86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5.25" customWidth="1"/>
    <col min="12" max="29" width="5.5" customWidth="1"/>
  </cols>
  <sheetData>
    <row r="1" spans="1:32" ht="14.95" customHeight="1" thickBot="1" x14ac:dyDescent="0.3">
      <c r="A1" s="505" t="s">
        <v>736</v>
      </c>
      <c r="B1" s="506"/>
      <c r="C1" s="506"/>
      <c r="D1" s="506"/>
      <c r="E1" s="506"/>
      <c r="F1" s="506"/>
      <c r="G1" s="506"/>
      <c r="H1" s="506"/>
      <c r="I1" s="506"/>
      <c r="J1" s="507"/>
      <c r="K1" s="510" t="s">
        <v>15</v>
      </c>
      <c r="L1" s="433">
        <v>2025</v>
      </c>
      <c r="M1" s="434"/>
      <c r="N1" s="435"/>
      <c r="O1" s="433" t="s">
        <v>12</v>
      </c>
      <c r="P1" s="434"/>
      <c r="Q1" s="435"/>
      <c r="R1" s="43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32" ht="14.95" customHeight="1" thickBot="1" x14ac:dyDescent="0.3">
      <c r="A2" s="87" t="s">
        <v>0</v>
      </c>
      <c r="B2" s="293" t="s">
        <v>14</v>
      </c>
      <c r="C2" s="412" t="s">
        <v>734</v>
      </c>
      <c r="D2" s="78" t="s">
        <v>11</v>
      </c>
      <c r="E2" s="79" t="s">
        <v>1</v>
      </c>
      <c r="F2" s="85" t="s">
        <v>2</v>
      </c>
      <c r="G2" s="299" t="s">
        <v>14</v>
      </c>
      <c r="H2" s="410" t="s">
        <v>734</v>
      </c>
      <c r="I2" s="83" t="s">
        <v>11</v>
      </c>
      <c r="J2" s="86" t="s">
        <v>1</v>
      </c>
      <c r="K2" s="511"/>
      <c r="L2" s="436"/>
      <c r="M2" s="437"/>
      <c r="N2" s="438"/>
      <c r="O2" s="436"/>
      <c r="P2" s="437"/>
      <c r="Q2" s="438"/>
      <c r="R2" s="436"/>
      <c r="S2" s="450"/>
      <c r="T2" s="451"/>
      <c r="U2" s="452"/>
      <c r="V2" s="450"/>
      <c r="W2" s="451"/>
      <c r="X2" s="452"/>
      <c r="AA2" s="450"/>
      <c r="AB2" s="451"/>
      <c r="AC2" s="452"/>
    </row>
    <row r="3" spans="1:32" ht="14.95" customHeight="1" thickBot="1" x14ac:dyDescent="0.3">
      <c r="A3" s="35" t="s">
        <v>147</v>
      </c>
      <c r="B3" s="294">
        <v>1</v>
      </c>
      <c r="C3" s="413">
        <v>0</v>
      </c>
      <c r="D3" s="68">
        <v>0</v>
      </c>
      <c r="E3" s="36">
        <f t="shared" ref="E3:E44" si="0">SUM(B3:D3)</f>
        <v>1</v>
      </c>
      <c r="F3" s="37" t="s">
        <v>147</v>
      </c>
      <c r="G3" s="300">
        <v>5</v>
      </c>
      <c r="H3" s="411">
        <v>0</v>
      </c>
      <c r="I3" s="16">
        <v>0</v>
      </c>
      <c r="J3" s="38">
        <f t="shared" ref="J3:J44" si="1">SUM(G3:I3)</f>
        <v>5</v>
      </c>
      <c r="K3" s="4"/>
      <c r="L3" s="1" t="s">
        <v>17</v>
      </c>
      <c r="M3" s="1" t="s">
        <v>5</v>
      </c>
      <c r="N3" s="1" t="s">
        <v>6</v>
      </c>
      <c r="O3" s="74" t="s">
        <v>17</v>
      </c>
      <c r="P3" s="1" t="s">
        <v>5</v>
      </c>
      <c r="Q3" s="1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32" ht="14.95" customHeight="1" thickBot="1" x14ac:dyDescent="0.3">
      <c r="A4" s="35" t="s">
        <v>148</v>
      </c>
      <c r="B4" s="294">
        <v>0</v>
      </c>
      <c r="C4" s="413">
        <v>0</v>
      </c>
      <c r="D4" s="68">
        <v>0</v>
      </c>
      <c r="E4" s="36">
        <f t="shared" si="0"/>
        <v>0</v>
      </c>
      <c r="F4" s="37" t="s">
        <v>148</v>
      </c>
      <c r="G4" s="300">
        <v>0</v>
      </c>
      <c r="H4" s="411">
        <v>0</v>
      </c>
      <c r="I4" s="16">
        <v>0</v>
      </c>
      <c r="J4" s="38">
        <f t="shared" si="1"/>
        <v>0</v>
      </c>
      <c r="K4" s="35" t="s">
        <v>30</v>
      </c>
      <c r="L4" s="36">
        <v>22</v>
      </c>
      <c r="M4" s="36">
        <v>35</v>
      </c>
      <c r="N4" s="39">
        <f>SUM(L4/M4)*100</f>
        <v>62.857142857142854</v>
      </c>
      <c r="O4" s="36">
        <v>1</v>
      </c>
      <c r="P4" s="36">
        <v>2</v>
      </c>
      <c r="Q4" s="39">
        <f>SUM(O4/P4)*100</f>
        <v>50</v>
      </c>
      <c r="R4" s="36">
        <v>-1</v>
      </c>
      <c r="S4" s="61">
        <v>15</v>
      </c>
      <c r="T4" s="61">
        <v>26</v>
      </c>
      <c r="U4" s="120">
        <f>SUM(S4/T4)*100</f>
        <v>57.692307692307686</v>
      </c>
      <c r="V4" s="61">
        <v>16</v>
      </c>
      <c r="W4" s="61">
        <v>31</v>
      </c>
      <c r="X4" s="120">
        <f>SUM(V4/W4)*100</f>
        <v>51.612903225806448</v>
      </c>
      <c r="AA4" s="271">
        <v>13</v>
      </c>
      <c r="AB4" s="61">
        <v>25</v>
      </c>
      <c r="AC4" s="120">
        <f>SUM(AA4/AB4)*100</f>
        <v>52</v>
      </c>
    </row>
    <row r="5" spans="1:32" ht="14.95" customHeight="1" thickBot="1" x14ac:dyDescent="0.3">
      <c r="A5" s="35" t="s">
        <v>149</v>
      </c>
      <c r="B5" s="294">
        <v>1</v>
      </c>
      <c r="C5" s="413">
        <v>0</v>
      </c>
      <c r="D5" s="68">
        <v>0</v>
      </c>
      <c r="E5" s="36">
        <f t="shared" si="0"/>
        <v>1</v>
      </c>
      <c r="F5" s="37" t="s">
        <v>149</v>
      </c>
      <c r="G5" s="300">
        <v>5</v>
      </c>
      <c r="H5" s="411">
        <v>0</v>
      </c>
      <c r="I5" s="16">
        <v>0</v>
      </c>
      <c r="J5" s="38">
        <f t="shared" si="1"/>
        <v>5</v>
      </c>
      <c r="K5" s="35" t="s">
        <v>31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1</v>
      </c>
      <c r="S5" s="61">
        <v>7</v>
      </c>
      <c r="T5" s="61">
        <v>9</v>
      </c>
      <c r="U5" s="120">
        <f>SUM(S5/T5)*100</f>
        <v>77.777777777777786</v>
      </c>
      <c r="V5" s="61">
        <v>4</v>
      </c>
      <c r="W5" s="61">
        <v>5</v>
      </c>
      <c r="X5" s="120">
        <f>SUM(V5/W5)*100</f>
        <v>80</v>
      </c>
      <c r="AA5" s="271">
        <v>13</v>
      </c>
      <c r="AB5" s="61">
        <v>25</v>
      </c>
      <c r="AC5" s="120">
        <f>SUM(AA5/AB5)*100</f>
        <v>52</v>
      </c>
    </row>
    <row r="6" spans="1:32" ht="14.95" customHeight="1" thickBot="1" x14ac:dyDescent="0.3">
      <c r="A6" s="35" t="s">
        <v>948</v>
      </c>
      <c r="B6" s="294">
        <v>0</v>
      </c>
      <c r="C6" s="413">
        <v>1</v>
      </c>
      <c r="D6" s="68">
        <v>0</v>
      </c>
      <c r="E6" s="36">
        <f t="shared" si="0"/>
        <v>1</v>
      </c>
      <c r="F6" s="37" t="s">
        <v>948</v>
      </c>
      <c r="G6" s="300">
        <v>0</v>
      </c>
      <c r="H6" s="411">
        <v>5</v>
      </c>
      <c r="I6" s="16">
        <v>0</v>
      </c>
      <c r="J6" s="38">
        <f t="shared" si="1"/>
        <v>5</v>
      </c>
      <c r="K6" s="35" t="s">
        <v>36</v>
      </c>
      <c r="L6" s="36">
        <v>3</v>
      </c>
      <c r="M6" s="36">
        <v>4</v>
      </c>
      <c r="N6" s="39">
        <f>SUM(L6/M6)*100</f>
        <v>75</v>
      </c>
      <c r="O6" s="36" t="s">
        <v>8</v>
      </c>
      <c r="P6" s="36" t="s">
        <v>8</v>
      </c>
      <c r="Q6" s="39" t="s">
        <v>8</v>
      </c>
      <c r="R6" s="36">
        <v>-1</v>
      </c>
      <c r="S6" s="61" t="s">
        <v>8</v>
      </c>
      <c r="T6" s="61" t="s">
        <v>8</v>
      </c>
      <c r="U6" s="120" t="s">
        <v>8</v>
      </c>
      <c r="V6" s="61" t="s">
        <v>8</v>
      </c>
      <c r="W6" s="61" t="s">
        <v>8</v>
      </c>
      <c r="X6" s="120" t="s">
        <v>8</v>
      </c>
      <c r="AA6" s="195" t="s">
        <v>8</v>
      </c>
      <c r="AB6" s="61" t="s">
        <v>8</v>
      </c>
      <c r="AC6" s="120" t="s">
        <v>8</v>
      </c>
    </row>
    <row r="7" spans="1:32" ht="14.95" customHeight="1" thickBot="1" x14ac:dyDescent="0.3">
      <c r="A7" s="35" t="s">
        <v>150</v>
      </c>
      <c r="B7" s="294">
        <v>0</v>
      </c>
      <c r="C7" s="413">
        <v>0</v>
      </c>
      <c r="D7" s="68">
        <v>0</v>
      </c>
      <c r="E7" s="36">
        <f t="shared" si="0"/>
        <v>0</v>
      </c>
      <c r="F7" s="37" t="s">
        <v>150</v>
      </c>
      <c r="G7" s="300">
        <v>0</v>
      </c>
      <c r="H7" s="411">
        <v>0</v>
      </c>
      <c r="I7" s="16">
        <v>0</v>
      </c>
      <c r="J7" s="38">
        <f t="shared" si="1"/>
        <v>0</v>
      </c>
      <c r="R7" s="7"/>
    </row>
    <row r="8" spans="1:32" ht="14.95" customHeight="1" thickBot="1" x14ac:dyDescent="0.3">
      <c r="A8" s="35" t="s">
        <v>152</v>
      </c>
      <c r="B8" s="294">
        <v>0</v>
      </c>
      <c r="C8" s="413">
        <v>0</v>
      </c>
      <c r="D8" s="68">
        <v>0</v>
      </c>
      <c r="E8" s="36">
        <f t="shared" si="0"/>
        <v>0</v>
      </c>
      <c r="F8" s="37" t="s">
        <v>152</v>
      </c>
      <c r="G8" s="300">
        <v>0</v>
      </c>
      <c r="H8" s="411">
        <v>0</v>
      </c>
      <c r="I8" s="16">
        <v>0</v>
      </c>
      <c r="J8" s="38">
        <f t="shared" si="1"/>
        <v>0</v>
      </c>
      <c r="K8" s="494" t="s">
        <v>13</v>
      </c>
      <c r="L8" s="433">
        <v>2025</v>
      </c>
      <c r="M8" s="434"/>
      <c r="N8" s="435"/>
      <c r="O8" s="447">
        <v>2024</v>
      </c>
      <c r="P8" s="448"/>
      <c r="Q8" s="449"/>
      <c r="R8" s="447">
        <v>2023</v>
      </c>
      <c r="S8" s="448"/>
      <c r="T8" s="449"/>
      <c r="U8" s="447">
        <v>2022</v>
      </c>
      <c r="V8" s="448"/>
      <c r="W8" s="449"/>
    </row>
    <row r="9" spans="1:32" ht="14.95" customHeight="1" thickBot="1" x14ac:dyDescent="0.3">
      <c r="A9" s="35" t="s">
        <v>151</v>
      </c>
      <c r="B9" s="294">
        <v>0</v>
      </c>
      <c r="C9" s="413">
        <v>0</v>
      </c>
      <c r="D9" s="68">
        <v>0</v>
      </c>
      <c r="E9" s="36">
        <f t="shared" si="0"/>
        <v>0</v>
      </c>
      <c r="F9" s="37" t="s">
        <v>151</v>
      </c>
      <c r="G9" s="300">
        <v>0</v>
      </c>
      <c r="H9" s="411">
        <v>0</v>
      </c>
      <c r="I9" s="16">
        <v>0</v>
      </c>
      <c r="J9" s="38">
        <f t="shared" si="1"/>
        <v>0</v>
      </c>
      <c r="K9" s="495"/>
      <c r="L9" s="436"/>
      <c r="M9" s="437"/>
      <c r="N9" s="438"/>
      <c r="O9" s="450"/>
      <c r="P9" s="451"/>
      <c r="Q9" s="452"/>
      <c r="R9" s="450"/>
      <c r="S9" s="451"/>
      <c r="T9" s="452"/>
      <c r="U9" s="450"/>
      <c r="V9" s="451"/>
      <c r="W9" s="452"/>
    </row>
    <row r="10" spans="1:32" ht="14.95" customHeight="1" thickBot="1" x14ac:dyDescent="0.3">
      <c r="A10" s="35" t="s">
        <v>153</v>
      </c>
      <c r="B10" s="294">
        <v>0</v>
      </c>
      <c r="C10" s="413">
        <v>0</v>
      </c>
      <c r="D10" s="68">
        <v>0</v>
      </c>
      <c r="E10" s="36">
        <f t="shared" si="0"/>
        <v>0</v>
      </c>
      <c r="F10" s="37" t="s">
        <v>153</v>
      </c>
      <c r="G10" s="300">
        <v>0</v>
      </c>
      <c r="H10" s="411">
        <v>0</v>
      </c>
      <c r="I10" s="16">
        <v>0</v>
      </c>
      <c r="J10" s="38">
        <f t="shared" si="1"/>
        <v>0</v>
      </c>
      <c r="K10" s="288"/>
      <c r="L10" s="1" t="s">
        <v>17</v>
      </c>
      <c r="M10" s="1" t="s">
        <v>5</v>
      </c>
      <c r="N10" s="1" t="s">
        <v>6</v>
      </c>
      <c r="O10" s="61" t="s">
        <v>17</v>
      </c>
      <c r="P10" s="61" t="s">
        <v>5</v>
      </c>
      <c r="Q10" s="61" t="s">
        <v>6</v>
      </c>
      <c r="R10" s="61" t="s">
        <v>17</v>
      </c>
      <c r="S10" s="61" t="s">
        <v>5</v>
      </c>
      <c r="T10" s="61" t="s">
        <v>6</v>
      </c>
      <c r="U10" s="61" t="s">
        <v>17</v>
      </c>
      <c r="V10" s="61" t="s">
        <v>5</v>
      </c>
      <c r="W10" s="61" t="s">
        <v>6</v>
      </c>
    </row>
    <row r="11" spans="1:32" ht="14.95" customHeight="1" thickBot="1" x14ac:dyDescent="0.3">
      <c r="A11" s="35" t="s">
        <v>37</v>
      </c>
      <c r="B11" s="294">
        <v>0</v>
      </c>
      <c r="C11" s="413">
        <v>0</v>
      </c>
      <c r="D11" s="68">
        <v>0</v>
      </c>
      <c r="E11" s="36">
        <f t="shared" si="0"/>
        <v>0</v>
      </c>
      <c r="F11" s="37" t="s">
        <v>37</v>
      </c>
      <c r="G11" s="300">
        <v>0</v>
      </c>
      <c r="H11" s="411">
        <v>0</v>
      </c>
      <c r="I11" s="16">
        <v>0</v>
      </c>
      <c r="J11" s="38">
        <f t="shared" si="1"/>
        <v>0</v>
      </c>
      <c r="K11" s="35" t="s">
        <v>30</v>
      </c>
      <c r="L11" s="36">
        <v>11</v>
      </c>
      <c r="M11" s="36">
        <v>15</v>
      </c>
      <c r="N11" s="39">
        <f>SUM(L11/M11)*100</f>
        <v>73.333333333333329</v>
      </c>
      <c r="O11" s="61">
        <v>6</v>
      </c>
      <c r="P11" s="61">
        <v>11</v>
      </c>
      <c r="Q11" s="120">
        <f>SUM(O11/P11)*100</f>
        <v>54.54545454545454</v>
      </c>
      <c r="R11" s="61">
        <v>9</v>
      </c>
      <c r="S11" s="61">
        <v>16</v>
      </c>
      <c r="T11" s="120">
        <f>SUM(R11/S11)*100</f>
        <v>56.25</v>
      </c>
      <c r="U11" s="61">
        <v>9</v>
      </c>
      <c r="V11" s="61">
        <v>14</v>
      </c>
      <c r="W11" s="120">
        <f>SUM(U11/V11)*100</f>
        <v>64.285714285714292</v>
      </c>
    </row>
    <row r="12" spans="1:32" ht="14.95" customHeight="1" thickBot="1" x14ac:dyDescent="0.3">
      <c r="A12" s="35" t="s">
        <v>154</v>
      </c>
      <c r="B12" s="294">
        <v>1</v>
      </c>
      <c r="C12" s="413">
        <v>2</v>
      </c>
      <c r="D12" s="68">
        <v>2</v>
      </c>
      <c r="E12" s="36">
        <f t="shared" si="0"/>
        <v>5</v>
      </c>
      <c r="F12" s="37" t="s">
        <v>154</v>
      </c>
      <c r="G12" s="300">
        <v>5</v>
      </c>
      <c r="H12" s="411">
        <v>10</v>
      </c>
      <c r="I12" s="16">
        <v>10</v>
      </c>
      <c r="J12" s="38">
        <f t="shared" si="1"/>
        <v>25</v>
      </c>
    </row>
    <row r="13" spans="1:32" ht="14.95" customHeight="1" thickBot="1" x14ac:dyDescent="0.3">
      <c r="A13" s="35" t="s">
        <v>155</v>
      </c>
      <c r="B13" s="294">
        <v>0</v>
      </c>
      <c r="C13" s="413">
        <v>0</v>
      </c>
      <c r="D13" s="68">
        <v>0</v>
      </c>
      <c r="E13" s="36">
        <f t="shared" si="0"/>
        <v>0</v>
      </c>
      <c r="F13" s="37" t="s">
        <v>155</v>
      </c>
      <c r="G13" s="300">
        <v>0</v>
      </c>
      <c r="H13" s="411">
        <v>0</v>
      </c>
      <c r="I13" s="16">
        <v>0</v>
      </c>
      <c r="J13" s="38">
        <f t="shared" si="1"/>
        <v>0</v>
      </c>
      <c r="K13" s="459" t="s">
        <v>351</v>
      </c>
      <c r="L13" s="433">
        <v>2025</v>
      </c>
      <c r="M13" s="434"/>
      <c r="N13" s="435"/>
      <c r="O13" s="447">
        <v>2022</v>
      </c>
      <c r="P13" s="448"/>
      <c r="Q13" s="449"/>
    </row>
    <row r="14" spans="1:32" ht="14.95" customHeight="1" thickBot="1" x14ac:dyDescent="0.3">
      <c r="A14" s="35" t="s">
        <v>34</v>
      </c>
      <c r="B14" s="294">
        <v>0</v>
      </c>
      <c r="C14" s="413">
        <v>0</v>
      </c>
      <c r="D14" s="68">
        <v>0</v>
      </c>
      <c r="E14" s="36">
        <f t="shared" si="0"/>
        <v>0</v>
      </c>
      <c r="F14" s="37" t="s">
        <v>34</v>
      </c>
      <c r="G14" s="300">
        <v>0</v>
      </c>
      <c r="H14" s="411">
        <v>0</v>
      </c>
      <c r="I14" s="16">
        <v>0</v>
      </c>
      <c r="J14" s="38">
        <f t="shared" si="1"/>
        <v>0</v>
      </c>
      <c r="K14" s="460"/>
      <c r="L14" s="436"/>
      <c r="M14" s="437"/>
      <c r="N14" s="438"/>
      <c r="O14" s="450"/>
      <c r="P14" s="451"/>
      <c r="Q14" s="452"/>
    </row>
    <row r="15" spans="1:32" ht="14.95" customHeight="1" thickBot="1" x14ac:dyDescent="0.3">
      <c r="A15" s="35" t="s">
        <v>35</v>
      </c>
      <c r="B15" s="294">
        <v>0</v>
      </c>
      <c r="C15" s="413">
        <v>0</v>
      </c>
      <c r="D15" s="68">
        <v>0</v>
      </c>
      <c r="E15" s="36">
        <f t="shared" si="0"/>
        <v>0</v>
      </c>
      <c r="F15" s="37" t="s">
        <v>35</v>
      </c>
      <c r="G15" s="300">
        <v>0</v>
      </c>
      <c r="H15" s="411">
        <v>0</v>
      </c>
      <c r="I15" s="16">
        <v>0</v>
      </c>
      <c r="J15" s="38">
        <f t="shared" si="1"/>
        <v>0</v>
      </c>
      <c r="K15" s="317"/>
      <c r="L15" s="1" t="s">
        <v>17</v>
      </c>
      <c r="M15" s="1" t="s">
        <v>5</v>
      </c>
      <c r="N15" s="1" t="s">
        <v>6</v>
      </c>
      <c r="O15" s="61" t="s">
        <v>17</v>
      </c>
      <c r="P15" s="61" t="s">
        <v>5</v>
      </c>
      <c r="Q15" s="61" t="s">
        <v>6</v>
      </c>
      <c r="V15" s="44"/>
      <c r="W15" s="44"/>
      <c r="AA15" s="59"/>
      <c r="AB15" s="96"/>
      <c r="AC15" s="96"/>
    </row>
    <row r="16" spans="1:32" ht="14.95" customHeight="1" thickBot="1" x14ac:dyDescent="0.3">
      <c r="A16" s="35" t="s">
        <v>28</v>
      </c>
      <c r="B16" s="294">
        <v>0</v>
      </c>
      <c r="C16" s="413">
        <v>4</v>
      </c>
      <c r="D16" s="68">
        <v>0</v>
      </c>
      <c r="E16" s="36">
        <f t="shared" si="0"/>
        <v>4</v>
      </c>
      <c r="F16" s="37" t="s">
        <v>28</v>
      </c>
      <c r="G16" s="300">
        <v>0</v>
      </c>
      <c r="H16" s="411">
        <v>20</v>
      </c>
      <c r="I16" s="16">
        <v>0</v>
      </c>
      <c r="J16" s="38">
        <f t="shared" si="1"/>
        <v>20</v>
      </c>
      <c r="K16" s="35" t="s">
        <v>30</v>
      </c>
      <c r="L16" s="36">
        <v>9</v>
      </c>
      <c r="M16" s="36">
        <v>15</v>
      </c>
      <c r="N16" s="39">
        <f>SUM(L16/M16)*100</f>
        <v>60</v>
      </c>
      <c r="O16" s="61">
        <v>0</v>
      </c>
      <c r="P16" s="61">
        <v>6</v>
      </c>
      <c r="Q16" s="120">
        <v>0</v>
      </c>
      <c r="AA16" s="58"/>
      <c r="AB16" s="58"/>
      <c r="AC16" s="58"/>
      <c r="AD16" s="58"/>
      <c r="AE16" s="58"/>
      <c r="AF16" s="58"/>
    </row>
    <row r="17" spans="1:32" ht="14.95" customHeight="1" thickBot="1" x14ac:dyDescent="0.3">
      <c r="A17" s="35" t="s">
        <v>156</v>
      </c>
      <c r="B17" s="294">
        <v>0</v>
      </c>
      <c r="C17" s="413">
        <v>0</v>
      </c>
      <c r="D17" s="68">
        <v>0</v>
      </c>
      <c r="E17" s="36">
        <f t="shared" si="0"/>
        <v>0</v>
      </c>
      <c r="F17" s="37" t="s">
        <v>156</v>
      </c>
      <c r="G17" s="300">
        <v>0</v>
      </c>
      <c r="H17" s="411">
        <v>0</v>
      </c>
      <c r="I17" s="16">
        <v>0</v>
      </c>
      <c r="J17" s="38">
        <f t="shared" si="1"/>
        <v>0</v>
      </c>
      <c r="K17" s="35" t="s">
        <v>36</v>
      </c>
      <c r="L17" s="36">
        <v>0</v>
      </c>
      <c r="M17" s="36">
        <v>1</v>
      </c>
      <c r="N17" s="39">
        <f>SUM(L17/M17)*100</f>
        <v>0</v>
      </c>
      <c r="O17" s="61" t="s">
        <v>8</v>
      </c>
      <c r="P17" s="61" t="s">
        <v>8</v>
      </c>
      <c r="Q17" s="120" t="s">
        <v>8</v>
      </c>
      <c r="AA17" s="58"/>
      <c r="AB17" s="58"/>
      <c r="AC17" s="58"/>
      <c r="AD17" s="58"/>
      <c r="AE17" s="58"/>
      <c r="AF17" s="58"/>
    </row>
    <row r="18" spans="1:32" ht="14.95" customHeight="1" thickBot="1" x14ac:dyDescent="0.3">
      <c r="A18" s="35" t="s">
        <v>507</v>
      </c>
      <c r="B18" s="294">
        <v>1</v>
      </c>
      <c r="C18" s="413">
        <v>0</v>
      </c>
      <c r="D18" s="68">
        <v>1</v>
      </c>
      <c r="E18" s="36">
        <f t="shared" si="0"/>
        <v>2</v>
      </c>
      <c r="F18" s="37" t="s">
        <v>507</v>
      </c>
      <c r="G18" s="300">
        <v>5</v>
      </c>
      <c r="H18" s="411">
        <v>0</v>
      </c>
      <c r="I18" s="16">
        <v>5</v>
      </c>
      <c r="J18" s="38">
        <f t="shared" si="1"/>
        <v>10</v>
      </c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 ht="14.95" customHeight="1" thickBot="1" x14ac:dyDescent="0.3">
      <c r="A19" s="35" t="s">
        <v>157</v>
      </c>
      <c r="B19" s="294">
        <v>0</v>
      </c>
      <c r="C19" s="413">
        <v>0</v>
      </c>
      <c r="D19" s="68">
        <v>0</v>
      </c>
      <c r="E19" s="36">
        <f t="shared" si="0"/>
        <v>0</v>
      </c>
      <c r="F19" s="37" t="s">
        <v>157</v>
      </c>
      <c r="G19" s="300">
        <v>0</v>
      </c>
      <c r="H19" s="411">
        <v>0</v>
      </c>
      <c r="I19" s="16">
        <v>0</v>
      </c>
      <c r="J19" s="38">
        <f t="shared" si="1"/>
        <v>0</v>
      </c>
      <c r="K19" s="477" t="s">
        <v>509</v>
      </c>
      <c r="L19" s="447">
        <v>2024</v>
      </c>
      <c r="M19" s="448"/>
      <c r="N19" s="449"/>
      <c r="O19" s="447">
        <v>2023</v>
      </c>
      <c r="P19" s="448"/>
      <c r="Q19" s="449"/>
      <c r="X19" s="58"/>
      <c r="Y19" s="58"/>
      <c r="Z19" s="58"/>
      <c r="AA19" s="58"/>
      <c r="AB19" s="58"/>
      <c r="AC19" s="58"/>
    </row>
    <row r="20" spans="1:32" ht="14.95" customHeight="1" thickBot="1" x14ac:dyDescent="0.3">
      <c r="A20" s="35" t="s">
        <v>158</v>
      </c>
      <c r="B20" s="294">
        <v>0</v>
      </c>
      <c r="C20" s="413">
        <v>0</v>
      </c>
      <c r="D20" s="68">
        <v>0</v>
      </c>
      <c r="E20" s="36">
        <f t="shared" si="0"/>
        <v>0</v>
      </c>
      <c r="F20" s="37" t="s">
        <v>158</v>
      </c>
      <c r="G20" s="300">
        <v>0</v>
      </c>
      <c r="H20" s="411">
        <v>0</v>
      </c>
      <c r="I20" s="16">
        <v>0</v>
      </c>
      <c r="J20" s="38">
        <f t="shared" si="1"/>
        <v>0</v>
      </c>
      <c r="K20" s="478"/>
      <c r="L20" s="450"/>
      <c r="M20" s="451"/>
      <c r="N20" s="452"/>
      <c r="O20" s="450"/>
      <c r="P20" s="451"/>
      <c r="Q20" s="452"/>
      <c r="X20" s="58"/>
      <c r="Y20" s="58"/>
      <c r="Z20" s="58"/>
      <c r="AA20" s="58"/>
      <c r="AB20" s="58"/>
      <c r="AC20" s="58"/>
    </row>
    <row r="21" spans="1:32" ht="14.95" customHeight="1" thickBot="1" x14ac:dyDescent="0.3">
      <c r="A21" s="35" t="s">
        <v>159</v>
      </c>
      <c r="B21" s="294">
        <v>0</v>
      </c>
      <c r="C21" s="413">
        <v>0</v>
      </c>
      <c r="D21" s="68">
        <v>0</v>
      </c>
      <c r="E21" s="36">
        <f t="shared" si="0"/>
        <v>0</v>
      </c>
      <c r="F21" s="37" t="s">
        <v>159</v>
      </c>
      <c r="G21" s="300">
        <v>0</v>
      </c>
      <c r="H21" s="411">
        <v>0</v>
      </c>
      <c r="I21" s="16">
        <v>0</v>
      </c>
      <c r="J21" s="38">
        <f t="shared" si="1"/>
        <v>0</v>
      </c>
      <c r="K21" s="230"/>
      <c r="L21" s="61" t="s">
        <v>17</v>
      </c>
      <c r="M21" s="61" t="s">
        <v>5</v>
      </c>
      <c r="N21" s="61" t="s">
        <v>6</v>
      </c>
      <c r="O21" s="61" t="s">
        <v>17</v>
      </c>
      <c r="P21" s="61" t="s">
        <v>5</v>
      </c>
      <c r="Q21" s="61" t="s">
        <v>6</v>
      </c>
    </row>
    <row r="22" spans="1:32" ht="14.95" customHeight="1" thickBot="1" x14ac:dyDescent="0.3">
      <c r="A22" s="35" t="s">
        <v>430</v>
      </c>
      <c r="B22" s="294">
        <v>2</v>
      </c>
      <c r="C22" s="413">
        <v>6</v>
      </c>
      <c r="D22" s="68">
        <v>0</v>
      </c>
      <c r="E22" s="36">
        <f t="shared" si="0"/>
        <v>8</v>
      </c>
      <c r="F22" s="37" t="s">
        <v>430</v>
      </c>
      <c r="G22" s="300">
        <v>10</v>
      </c>
      <c r="H22" s="411">
        <v>30</v>
      </c>
      <c r="I22" s="16">
        <v>0</v>
      </c>
      <c r="J22" s="38">
        <f t="shared" si="1"/>
        <v>40</v>
      </c>
      <c r="K22" s="35" t="s">
        <v>30</v>
      </c>
      <c r="L22" s="61">
        <v>4</v>
      </c>
      <c r="M22" s="61">
        <v>9</v>
      </c>
      <c r="N22" s="120">
        <f>SUM(L22/M22)*100</f>
        <v>44.444444444444443</v>
      </c>
      <c r="O22" s="61">
        <v>4</v>
      </c>
      <c r="P22" s="61">
        <v>9</v>
      </c>
      <c r="Q22" s="120">
        <f t="shared" ref="Q22:Q23" si="2">SUM(O22/P22)*100</f>
        <v>44.444444444444443</v>
      </c>
    </row>
    <row r="23" spans="1:32" ht="14.95" customHeight="1" thickBot="1" x14ac:dyDescent="0.3">
      <c r="A23" s="35" t="s">
        <v>783</v>
      </c>
      <c r="B23" s="294">
        <v>1</v>
      </c>
      <c r="C23" s="413">
        <v>0</v>
      </c>
      <c r="D23" s="68">
        <v>0</v>
      </c>
      <c r="E23" s="36">
        <f t="shared" si="0"/>
        <v>1</v>
      </c>
      <c r="F23" s="37" t="s">
        <v>783</v>
      </c>
      <c r="G23" s="300">
        <v>5</v>
      </c>
      <c r="H23" s="411">
        <v>0</v>
      </c>
      <c r="I23" s="16">
        <v>0</v>
      </c>
      <c r="J23" s="38">
        <f t="shared" si="1"/>
        <v>5</v>
      </c>
      <c r="K23" s="35" t="s">
        <v>31</v>
      </c>
      <c r="L23" s="61">
        <v>1</v>
      </c>
      <c r="M23" s="61">
        <v>1</v>
      </c>
      <c r="N23" s="120">
        <f>SUM(L23/M23)*100</f>
        <v>100</v>
      </c>
      <c r="O23" s="61">
        <v>4</v>
      </c>
      <c r="P23" s="61">
        <v>5</v>
      </c>
      <c r="Q23" s="120">
        <f t="shared" si="2"/>
        <v>80</v>
      </c>
    </row>
    <row r="24" spans="1:32" ht="14.95" customHeight="1" thickBot="1" x14ac:dyDescent="0.3">
      <c r="A24" s="35" t="s">
        <v>160</v>
      </c>
      <c r="B24" s="294">
        <v>0</v>
      </c>
      <c r="C24" s="413">
        <v>0</v>
      </c>
      <c r="D24" s="68">
        <v>0</v>
      </c>
      <c r="E24" s="36">
        <f t="shared" si="0"/>
        <v>0</v>
      </c>
      <c r="F24" s="37" t="s">
        <v>160</v>
      </c>
      <c r="G24" s="300">
        <v>0</v>
      </c>
      <c r="H24" s="411">
        <v>0</v>
      </c>
      <c r="I24" s="16">
        <v>0</v>
      </c>
      <c r="J24" s="38">
        <f t="shared" si="1"/>
        <v>0</v>
      </c>
    </row>
    <row r="25" spans="1:32" ht="14.95" customHeight="1" thickBot="1" x14ac:dyDescent="0.3">
      <c r="A25" s="35" t="s">
        <v>161</v>
      </c>
      <c r="B25" s="294">
        <v>0</v>
      </c>
      <c r="C25" s="413">
        <v>0</v>
      </c>
      <c r="D25" s="68">
        <v>0</v>
      </c>
      <c r="E25" s="36">
        <f t="shared" si="0"/>
        <v>0</v>
      </c>
      <c r="F25" s="37" t="s">
        <v>161</v>
      </c>
      <c r="G25" s="300">
        <v>0</v>
      </c>
      <c r="H25" s="411">
        <v>0</v>
      </c>
      <c r="I25" s="16">
        <v>0</v>
      </c>
      <c r="J25" s="38">
        <f t="shared" si="1"/>
        <v>0</v>
      </c>
    </row>
    <row r="26" spans="1:32" ht="14.95" customHeight="1" thickBot="1" x14ac:dyDescent="0.3">
      <c r="A26" s="35" t="s">
        <v>162</v>
      </c>
      <c r="B26" s="294">
        <v>0</v>
      </c>
      <c r="C26" s="413">
        <v>0</v>
      </c>
      <c r="D26" s="68">
        <v>0</v>
      </c>
      <c r="E26" s="36">
        <f t="shared" si="0"/>
        <v>0</v>
      </c>
      <c r="F26" s="37" t="s">
        <v>162</v>
      </c>
      <c r="G26" s="300">
        <v>0</v>
      </c>
      <c r="H26" s="411">
        <v>0</v>
      </c>
      <c r="I26" s="16">
        <v>0</v>
      </c>
      <c r="J26" s="38">
        <f t="shared" si="1"/>
        <v>0</v>
      </c>
    </row>
    <row r="27" spans="1:32" ht="14.95" customHeight="1" thickBot="1" x14ac:dyDescent="0.3">
      <c r="A27" s="35" t="s">
        <v>30</v>
      </c>
      <c r="B27" s="294">
        <v>0</v>
      </c>
      <c r="C27" s="413">
        <v>0</v>
      </c>
      <c r="D27" s="68">
        <v>1</v>
      </c>
      <c r="E27" s="36">
        <f t="shared" si="0"/>
        <v>1</v>
      </c>
      <c r="F27" s="37" t="s">
        <v>30</v>
      </c>
      <c r="G27" s="300">
        <v>24</v>
      </c>
      <c r="H27" s="411">
        <v>19</v>
      </c>
      <c r="I27" s="16">
        <v>9</v>
      </c>
      <c r="J27" s="38">
        <f t="shared" si="1"/>
        <v>52</v>
      </c>
    </row>
    <row r="28" spans="1:32" ht="14.95" customHeight="1" thickBot="1" x14ac:dyDescent="0.3">
      <c r="A28" s="35" t="s">
        <v>163</v>
      </c>
      <c r="B28" s="294">
        <v>0</v>
      </c>
      <c r="C28" s="413">
        <v>0</v>
      </c>
      <c r="D28" s="68">
        <v>0</v>
      </c>
      <c r="E28" s="36">
        <f t="shared" si="0"/>
        <v>0</v>
      </c>
      <c r="F28" s="37" t="s">
        <v>163</v>
      </c>
      <c r="G28" s="300">
        <v>0</v>
      </c>
      <c r="H28" s="411">
        <v>0</v>
      </c>
      <c r="I28" s="16">
        <v>0</v>
      </c>
      <c r="J28" s="38">
        <f t="shared" si="1"/>
        <v>0</v>
      </c>
    </row>
    <row r="29" spans="1:32" ht="14.95" customHeight="1" thickBot="1" x14ac:dyDescent="0.3">
      <c r="A29" s="35" t="s">
        <v>164</v>
      </c>
      <c r="B29" s="294">
        <v>3</v>
      </c>
      <c r="C29" s="413">
        <v>2</v>
      </c>
      <c r="D29" s="68">
        <v>1</v>
      </c>
      <c r="E29" s="36">
        <f t="shared" si="0"/>
        <v>6</v>
      </c>
      <c r="F29" s="37" t="s">
        <v>164</v>
      </c>
      <c r="G29" s="300">
        <v>15</v>
      </c>
      <c r="H29" s="411">
        <v>10</v>
      </c>
      <c r="I29" s="16">
        <v>5</v>
      </c>
      <c r="J29" s="38">
        <f t="shared" si="1"/>
        <v>30</v>
      </c>
    </row>
    <row r="30" spans="1:32" ht="14.95" customHeight="1" thickBot="1" x14ac:dyDescent="0.3">
      <c r="A30" s="35" t="s">
        <v>212</v>
      </c>
      <c r="B30" s="294">
        <v>0</v>
      </c>
      <c r="C30" s="413">
        <v>0</v>
      </c>
      <c r="D30" s="68">
        <v>0</v>
      </c>
      <c r="E30" s="36">
        <f t="shared" si="0"/>
        <v>0</v>
      </c>
      <c r="F30" s="37" t="s">
        <v>212</v>
      </c>
      <c r="G30" s="300">
        <v>0</v>
      </c>
      <c r="H30" s="411">
        <v>0</v>
      </c>
      <c r="I30" s="16">
        <v>0</v>
      </c>
      <c r="J30" s="38">
        <f t="shared" si="1"/>
        <v>0</v>
      </c>
    </row>
    <row r="31" spans="1:32" ht="14.95" customHeight="1" thickBot="1" x14ac:dyDescent="0.3">
      <c r="A31" s="35" t="s">
        <v>165</v>
      </c>
      <c r="B31" s="294">
        <v>0</v>
      </c>
      <c r="C31" s="413">
        <v>0</v>
      </c>
      <c r="D31" s="68">
        <v>0</v>
      </c>
      <c r="E31" s="36">
        <f t="shared" si="0"/>
        <v>0</v>
      </c>
      <c r="F31" s="37" t="s">
        <v>165</v>
      </c>
      <c r="G31" s="300">
        <v>0</v>
      </c>
      <c r="H31" s="411">
        <v>0</v>
      </c>
      <c r="I31" s="16">
        <v>0</v>
      </c>
      <c r="J31" s="38">
        <f t="shared" si="1"/>
        <v>0</v>
      </c>
    </row>
    <row r="32" spans="1:32" ht="14.95" customHeight="1" thickBot="1" x14ac:dyDescent="0.3">
      <c r="A32" s="35" t="s">
        <v>39</v>
      </c>
      <c r="B32" s="294">
        <v>1</v>
      </c>
      <c r="C32" s="413">
        <v>0</v>
      </c>
      <c r="D32" s="68">
        <v>0</v>
      </c>
      <c r="E32" s="36">
        <f t="shared" si="0"/>
        <v>1</v>
      </c>
      <c r="F32" s="37" t="s">
        <v>39</v>
      </c>
      <c r="G32" s="300">
        <v>5</v>
      </c>
      <c r="H32" s="411">
        <v>0</v>
      </c>
      <c r="I32" s="16">
        <v>0</v>
      </c>
      <c r="J32" s="38">
        <f t="shared" si="1"/>
        <v>5</v>
      </c>
    </row>
    <row r="33" spans="1:10" ht="14.95" customHeight="1" thickBot="1" x14ac:dyDescent="0.3">
      <c r="A33" s="35" t="s">
        <v>660</v>
      </c>
      <c r="B33" s="294">
        <v>0</v>
      </c>
      <c r="C33" s="413">
        <v>0</v>
      </c>
      <c r="D33" s="68">
        <v>1</v>
      </c>
      <c r="E33" s="36">
        <f t="shared" si="0"/>
        <v>1</v>
      </c>
      <c r="F33" s="37" t="s">
        <v>660</v>
      </c>
      <c r="G33" s="300">
        <v>0</v>
      </c>
      <c r="H33" s="411">
        <v>0</v>
      </c>
      <c r="I33" s="16">
        <v>5</v>
      </c>
      <c r="J33" s="38">
        <f t="shared" si="1"/>
        <v>5</v>
      </c>
    </row>
    <row r="34" spans="1:10" ht="14.95" customHeight="1" thickBot="1" x14ac:dyDescent="0.3">
      <c r="A34" s="35" t="s">
        <v>33</v>
      </c>
      <c r="B34" s="294">
        <v>1</v>
      </c>
      <c r="C34" s="413">
        <v>0</v>
      </c>
      <c r="D34" s="68">
        <v>1</v>
      </c>
      <c r="E34" s="36">
        <f t="shared" si="0"/>
        <v>2</v>
      </c>
      <c r="F34" s="37" t="s">
        <v>33</v>
      </c>
      <c r="G34" s="300">
        <v>5</v>
      </c>
      <c r="H34" s="411">
        <v>0</v>
      </c>
      <c r="I34" s="16">
        <v>5</v>
      </c>
      <c r="J34" s="38">
        <f t="shared" si="1"/>
        <v>10</v>
      </c>
    </row>
    <row r="35" spans="1:10" ht="14.95" customHeight="1" thickBot="1" x14ac:dyDescent="0.3">
      <c r="A35" s="35" t="s">
        <v>166</v>
      </c>
      <c r="B35" s="294">
        <v>0</v>
      </c>
      <c r="C35" s="413">
        <v>0</v>
      </c>
      <c r="D35" s="68">
        <v>0</v>
      </c>
      <c r="E35" s="36">
        <f t="shared" si="0"/>
        <v>0</v>
      </c>
      <c r="F35" s="37" t="s">
        <v>166</v>
      </c>
      <c r="G35" s="300">
        <v>0</v>
      </c>
      <c r="H35" s="411">
        <v>0</v>
      </c>
      <c r="I35" s="16">
        <v>0</v>
      </c>
      <c r="J35" s="38">
        <f t="shared" si="1"/>
        <v>0</v>
      </c>
    </row>
    <row r="36" spans="1:10" ht="14.95" customHeight="1" thickBot="1" x14ac:dyDescent="0.3">
      <c r="A36" s="35" t="s">
        <v>31</v>
      </c>
      <c r="B36" s="294">
        <v>0</v>
      </c>
      <c r="C36" s="413">
        <v>0</v>
      </c>
      <c r="D36" s="68">
        <v>0</v>
      </c>
      <c r="E36" s="36">
        <f t="shared" si="0"/>
        <v>0</v>
      </c>
      <c r="F36" s="37" t="s">
        <v>31</v>
      </c>
      <c r="G36" s="300">
        <v>0</v>
      </c>
      <c r="H36" s="411">
        <v>0</v>
      </c>
      <c r="I36" s="16">
        <v>0</v>
      </c>
      <c r="J36" s="38">
        <f t="shared" si="1"/>
        <v>0</v>
      </c>
    </row>
    <row r="37" spans="1:10" ht="14.95" customHeight="1" thickBot="1" x14ac:dyDescent="0.3">
      <c r="A37" s="35" t="s">
        <v>699</v>
      </c>
      <c r="B37" s="294">
        <v>0</v>
      </c>
      <c r="C37" s="413">
        <v>0</v>
      </c>
      <c r="D37" s="68">
        <v>0</v>
      </c>
      <c r="E37" s="36">
        <f t="shared" si="0"/>
        <v>0</v>
      </c>
      <c r="F37" s="37" t="s">
        <v>699</v>
      </c>
      <c r="G37" s="300">
        <v>0</v>
      </c>
      <c r="H37" s="411">
        <v>0</v>
      </c>
      <c r="I37" s="16">
        <v>0</v>
      </c>
      <c r="J37" s="38">
        <f t="shared" si="1"/>
        <v>0</v>
      </c>
    </row>
    <row r="38" spans="1:10" ht="14.95" thickBot="1" x14ac:dyDescent="0.3">
      <c r="A38" s="35" t="s">
        <v>36</v>
      </c>
      <c r="B38" s="294">
        <v>1</v>
      </c>
      <c r="C38" s="413">
        <v>0</v>
      </c>
      <c r="D38" s="68">
        <v>1</v>
      </c>
      <c r="E38" s="36">
        <f t="shared" si="0"/>
        <v>2</v>
      </c>
      <c r="F38" s="37" t="s">
        <v>36</v>
      </c>
      <c r="G38" s="300">
        <v>5</v>
      </c>
      <c r="H38" s="411">
        <v>0</v>
      </c>
      <c r="I38" s="16">
        <v>11</v>
      </c>
      <c r="J38" s="38">
        <f t="shared" si="1"/>
        <v>16</v>
      </c>
    </row>
    <row r="39" spans="1:10" ht="14.95" thickBot="1" x14ac:dyDescent="0.3">
      <c r="A39" s="35" t="s">
        <v>167</v>
      </c>
      <c r="B39" s="294">
        <v>0</v>
      </c>
      <c r="C39" s="413">
        <v>0</v>
      </c>
      <c r="D39" s="68">
        <v>0</v>
      </c>
      <c r="E39" s="36">
        <f t="shared" si="0"/>
        <v>0</v>
      </c>
      <c r="F39" s="37" t="s">
        <v>167</v>
      </c>
      <c r="G39" s="300">
        <v>0</v>
      </c>
      <c r="H39" s="411">
        <v>0</v>
      </c>
      <c r="I39" s="16">
        <v>0</v>
      </c>
      <c r="J39" s="38">
        <f t="shared" si="1"/>
        <v>0</v>
      </c>
    </row>
    <row r="40" spans="1:10" ht="14.95" customHeight="1" thickBot="1" x14ac:dyDescent="0.3">
      <c r="A40" s="35" t="s">
        <v>38</v>
      </c>
      <c r="B40" s="294">
        <v>0</v>
      </c>
      <c r="C40" s="413">
        <v>0</v>
      </c>
      <c r="D40" s="68">
        <v>0</v>
      </c>
      <c r="E40" s="36">
        <f t="shared" si="0"/>
        <v>0</v>
      </c>
      <c r="F40" s="37" t="s">
        <v>38</v>
      </c>
      <c r="G40" s="300">
        <v>0</v>
      </c>
      <c r="H40" s="411">
        <v>0</v>
      </c>
      <c r="I40" s="16">
        <v>0</v>
      </c>
      <c r="J40" s="38">
        <f t="shared" si="1"/>
        <v>0</v>
      </c>
    </row>
    <row r="41" spans="1:10" ht="14.95" thickBot="1" x14ac:dyDescent="0.3">
      <c r="A41" s="35" t="s">
        <v>168</v>
      </c>
      <c r="B41" s="294">
        <v>0</v>
      </c>
      <c r="C41" s="413">
        <v>0</v>
      </c>
      <c r="D41" s="68">
        <v>0</v>
      </c>
      <c r="E41" s="36">
        <f t="shared" si="0"/>
        <v>0</v>
      </c>
      <c r="F41" s="37" t="s">
        <v>168</v>
      </c>
      <c r="G41" s="300">
        <v>0</v>
      </c>
      <c r="H41" s="411">
        <v>0</v>
      </c>
      <c r="I41" s="16">
        <v>0</v>
      </c>
      <c r="J41" s="38">
        <f t="shared" si="1"/>
        <v>0</v>
      </c>
    </row>
    <row r="42" spans="1:10" ht="14.95" thickBot="1" x14ac:dyDescent="0.3">
      <c r="A42" s="35" t="s">
        <v>32</v>
      </c>
      <c r="B42" s="294">
        <v>0</v>
      </c>
      <c r="C42" s="413">
        <v>0</v>
      </c>
      <c r="D42" s="68">
        <v>0</v>
      </c>
      <c r="E42" s="36">
        <f t="shared" si="0"/>
        <v>0</v>
      </c>
      <c r="F42" s="37" t="s">
        <v>32</v>
      </c>
      <c r="G42" s="300">
        <v>0</v>
      </c>
      <c r="H42" s="411">
        <v>0</v>
      </c>
      <c r="I42" s="16">
        <v>0</v>
      </c>
      <c r="J42" s="38">
        <f t="shared" si="1"/>
        <v>0</v>
      </c>
    </row>
    <row r="43" spans="1:10" ht="14.95" thickBot="1" x14ac:dyDescent="0.3">
      <c r="A43" s="35" t="s">
        <v>169</v>
      </c>
      <c r="B43" s="294">
        <v>0</v>
      </c>
      <c r="C43" s="413">
        <v>0</v>
      </c>
      <c r="D43" s="68">
        <v>0</v>
      </c>
      <c r="E43" s="36">
        <f t="shared" si="0"/>
        <v>0</v>
      </c>
      <c r="F43" s="37" t="s">
        <v>169</v>
      </c>
      <c r="G43" s="300">
        <v>0</v>
      </c>
      <c r="H43" s="411">
        <v>0</v>
      </c>
      <c r="I43" s="16">
        <v>0</v>
      </c>
      <c r="J43" s="38">
        <f t="shared" si="1"/>
        <v>0</v>
      </c>
    </row>
    <row r="44" spans="1:10" ht="14.95" thickBot="1" x14ac:dyDescent="0.3">
      <c r="A44" s="35" t="s">
        <v>3</v>
      </c>
      <c r="B44" s="294">
        <f>SUM(B3:B43)</f>
        <v>13</v>
      </c>
      <c r="C44" s="413">
        <f>SUM(C3:C43)</f>
        <v>15</v>
      </c>
      <c r="D44" s="88">
        <f>SUM(D3:D43)</f>
        <v>8</v>
      </c>
      <c r="E44" s="36">
        <f t="shared" si="0"/>
        <v>36</v>
      </c>
      <c r="F44" s="37" t="s">
        <v>3</v>
      </c>
      <c r="G44" s="300">
        <f>SUM(G3:G43)</f>
        <v>89</v>
      </c>
      <c r="H44" s="411">
        <f>SUM(H3:H43)</f>
        <v>94</v>
      </c>
      <c r="I44" s="89">
        <f>SUM(I3:I43)</f>
        <v>50</v>
      </c>
      <c r="J44" s="38">
        <f t="shared" si="1"/>
        <v>233</v>
      </c>
    </row>
    <row r="45" spans="1:10" x14ac:dyDescent="0.25">
      <c r="B45" s="54"/>
      <c r="C45" s="54"/>
      <c r="F45" s="7"/>
    </row>
    <row r="46" spans="1:10" ht="14.95" customHeight="1" thickBot="1" x14ac:dyDescent="0.3">
      <c r="A46" t="s">
        <v>7</v>
      </c>
      <c r="B46" s="54"/>
      <c r="C46" s="54"/>
      <c r="F46" s="6"/>
      <c r="G46" s="6"/>
      <c r="H46" s="6"/>
      <c r="I46" s="6"/>
      <c r="J46" s="6"/>
    </row>
    <row r="47" spans="1:10" ht="14.95" thickBot="1" x14ac:dyDescent="0.3">
      <c r="A47" s="87" t="s">
        <v>0</v>
      </c>
      <c r="B47" s="293" t="s">
        <v>14</v>
      </c>
      <c r="C47" s="412" t="s">
        <v>734</v>
      </c>
      <c r="D47" s="78" t="s">
        <v>11</v>
      </c>
      <c r="E47" s="79" t="s">
        <v>1</v>
      </c>
      <c r="F47" s="85" t="s">
        <v>2</v>
      </c>
      <c r="G47" s="299" t="s">
        <v>14</v>
      </c>
      <c r="H47" s="410" t="s">
        <v>734</v>
      </c>
      <c r="I47" s="83" t="s">
        <v>11</v>
      </c>
      <c r="J47" s="86" t="s">
        <v>1</v>
      </c>
    </row>
    <row r="48" spans="1:10" ht="14.95" thickBot="1" x14ac:dyDescent="0.3">
      <c r="A48" s="35" t="s">
        <v>430</v>
      </c>
      <c r="B48" s="294">
        <v>2</v>
      </c>
      <c r="C48" s="413">
        <v>6</v>
      </c>
      <c r="D48" s="68">
        <v>0</v>
      </c>
      <c r="E48" s="36">
        <f t="shared" ref="E48:E88" si="3">SUM(B48:D48)</f>
        <v>8</v>
      </c>
      <c r="F48" s="37" t="s">
        <v>30</v>
      </c>
      <c r="G48" s="300">
        <v>24</v>
      </c>
      <c r="H48" s="411">
        <v>19</v>
      </c>
      <c r="I48" s="16">
        <v>9</v>
      </c>
      <c r="J48" s="38">
        <f t="shared" ref="J48:J88" si="4">SUM(G48:I48)</f>
        <v>52</v>
      </c>
    </row>
    <row r="49" spans="1:10" ht="14.95" thickBot="1" x14ac:dyDescent="0.3">
      <c r="A49" s="35" t="s">
        <v>164</v>
      </c>
      <c r="B49" s="294">
        <v>3</v>
      </c>
      <c r="C49" s="413">
        <v>2</v>
      </c>
      <c r="D49" s="68">
        <v>1</v>
      </c>
      <c r="E49" s="36">
        <f t="shared" si="3"/>
        <v>6</v>
      </c>
      <c r="F49" s="37" t="s">
        <v>430</v>
      </c>
      <c r="G49" s="300">
        <v>10</v>
      </c>
      <c r="H49" s="411">
        <v>30</v>
      </c>
      <c r="I49" s="16">
        <v>0</v>
      </c>
      <c r="J49" s="38">
        <f t="shared" si="4"/>
        <v>40</v>
      </c>
    </row>
    <row r="50" spans="1:10" ht="14.95" thickBot="1" x14ac:dyDescent="0.3">
      <c r="A50" s="35" t="s">
        <v>154</v>
      </c>
      <c r="B50" s="294">
        <v>1</v>
      </c>
      <c r="C50" s="413">
        <v>2</v>
      </c>
      <c r="D50" s="68">
        <v>2</v>
      </c>
      <c r="E50" s="36">
        <f t="shared" si="3"/>
        <v>5</v>
      </c>
      <c r="F50" s="37" t="s">
        <v>164</v>
      </c>
      <c r="G50" s="300">
        <v>15</v>
      </c>
      <c r="H50" s="411">
        <v>10</v>
      </c>
      <c r="I50" s="16">
        <v>5</v>
      </c>
      <c r="J50" s="38">
        <f t="shared" si="4"/>
        <v>30</v>
      </c>
    </row>
    <row r="51" spans="1:10" ht="14.95" thickBot="1" x14ac:dyDescent="0.3">
      <c r="A51" s="35" t="s">
        <v>28</v>
      </c>
      <c r="B51" s="294">
        <v>0</v>
      </c>
      <c r="C51" s="413">
        <v>4</v>
      </c>
      <c r="D51" s="68">
        <v>0</v>
      </c>
      <c r="E51" s="36">
        <f t="shared" si="3"/>
        <v>4</v>
      </c>
      <c r="F51" s="37" t="s">
        <v>154</v>
      </c>
      <c r="G51" s="300">
        <v>5</v>
      </c>
      <c r="H51" s="411">
        <v>10</v>
      </c>
      <c r="I51" s="16">
        <v>10</v>
      </c>
      <c r="J51" s="38">
        <f t="shared" si="4"/>
        <v>25</v>
      </c>
    </row>
    <row r="52" spans="1:10" ht="14.95" thickBot="1" x14ac:dyDescent="0.3">
      <c r="A52" s="35" t="s">
        <v>507</v>
      </c>
      <c r="B52" s="294">
        <v>1</v>
      </c>
      <c r="C52" s="413">
        <v>0</v>
      </c>
      <c r="D52" s="68">
        <v>1</v>
      </c>
      <c r="E52" s="36">
        <f t="shared" si="3"/>
        <v>2</v>
      </c>
      <c r="F52" s="37" t="s">
        <v>28</v>
      </c>
      <c r="G52" s="300">
        <v>0</v>
      </c>
      <c r="H52" s="411">
        <v>20</v>
      </c>
      <c r="I52" s="16">
        <v>0</v>
      </c>
      <c r="J52" s="38">
        <f t="shared" si="4"/>
        <v>20</v>
      </c>
    </row>
    <row r="53" spans="1:10" ht="14.95" thickBot="1" x14ac:dyDescent="0.3">
      <c r="A53" s="35" t="s">
        <v>33</v>
      </c>
      <c r="B53" s="294">
        <v>1</v>
      </c>
      <c r="C53" s="413">
        <v>0</v>
      </c>
      <c r="D53" s="68">
        <v>1</v>
      </c>
      <c r="E53" s="36">
        <f t="shared" si="3"/>
        <v>2</v>
      </c>
      <c r="F53" s="37" t="s">
        <v>36</v>
      </c>
      <c r="G53" s="300">
        <v>5</v>
      </c>
      <c r="H53" s="411">
        <v>0</v>
      </c>
      <c r="I53" s="16">
        <v>11</v>
      </c>
      <c r="J53" s="38">
        <f t="shared" si="4"/>
        <v>16</v>
      </c>
    </row>
    <row r="54" spans="1:10" ht="14.95" thickBot="1" x14ac:dyDescent="0.3">
      <c r="A54" s="35" t="s">
        <v>36</v>
      </c>
      <c r="B54" s="294">
        <v>1</v>
      </c>
      <c r="C54" s="413">
        <v>0</v>
      </c>
      <c r="D54" s="68">
        <v>1</v>
      </c>
      <c r="E54" s="36">
        <f t="shared" si="3"/>
        <v>2</v>
      </c>
      <c r="F54" s="37" t="s">
        <v>507</v>
      </c>
      <c r="G54" s="300">
        <v>5</v>
      </c>
      <c r="H54" s="411">
        <v>0</v>
      </c>
      <c r="I54" s="16">
        <v>5</v>
      </c>
      <c r="J54" s="38">
        <f t="shared" si="4"/>
        <v>10</v>
      </c>
    </row>
    <row r="55" spans="1:10" ht="14.95" thickBot="1" x14ac:dyDescent="0.3">
      <c r="A55" s="35" t="s">
        <v>147</v>
      </c>
      <c r="B55" s="294">
        <v>1</v>
      </c>
      <c r="C55" s="413">
        <v>0</v>
      </c>
      <c r="D55" s="68">
        <v>0</v>
      </c>
      <c r="E55" s="36">
        <f t="shared" si="3"/>
        <v>1</v>
      </c>
      <c r="F55" s="37" t="s">
        <v>33</v>
      </c>
      <c r="G55" s="300">
        <v>5</v>
      </c>
      <c r="H55" s="411">
        <v>0</v>
      </c>
      <c r="I55" s="16">
        <v>5</v>
      </c>
      <c r="J55" s="38">
        <f t="shared" si="4"/>
        <v>10</v>
      </c>
    </row>
    <row r="56" spans="1:10" ht="14.95" thickBot="1" x14ac:dyDescent="0.3">
      <c r="A56" s="35" t="s">
        <v>149</v>
      </c>
      <c r="B56" s="294">
        <v>1</v>
      </c>
      <c r="C56" s="413">
        <v>0</v>
      </c>
      <c r="D56" s="68">
        <v>0</v>
      </c>
      <c r="E56" s="36">
        <f t="shared" si="3"/>
        <v>1</v>
      </c>
      <c r="F56" s="37" t="s">
        <v>147</v>
      </c>
      <c r="G56" s="300">
        <v>5</v>
      </c>
      <c r="H56" s="411">
        <v>0</v>
      </c>
      <c r="I56" s="16">
        <v>0</v>
      </c>
      <c r="J56" s="38">
        <f t="shared" si="4"/>
        <v>5</v>
      </c>
    </row>
    <row r="57" spans="1:10" ht="14.95" thickBot="1" x14ac:dyDescent="0.3">
      <c r="A57" s="35" t="s">
        <v>948</v>
      </c>
      <c r="B57" s="294">
        <v>0</v>
      </c>
      <c r="C57" s="413">
        <v>1</v>
      </c>
      <c r="D57" s="68">
        <v>0</v>
      </c>
      <c r="E57" s="36">
        <f t="shared" si="3"/>
        <v>1</v>
      </c>
      <c r="F57" s="37" t="s">
        <v>149</v>
      </c>
      <c r="G57" s="300">
        <v>5</v>
      </c>
      <c r="H57" s="411">
        <v>0</v>
      </c>
      <c r="I57" s="16">
        <v>0</v>
      </c>
      <c r="J57" s="38">
        <f t="shared" si="4"/>
        <v>5</v>
      </c>
    </row>
    <row r="58" spans="1:10" ht="14.95" thickBot="1" x14ac:dyDescent="0.3">
      <c r="A58" s="35" t="s">
        <v>783</v>
      </c>
      <c r="B58" s="294">
        <v>1</v>
      </c>
      <c r="C58" s="413">
        <v>0</v>
      </c>
      <c r="D58" s="68">
        <v>0</v>
      </c>
      <c r="E58" s="36">
        <f t="shared" si="3"/>
        <v>1</v>
      </c>
      <c r="F58" s="37" t="s">
        <v>948</v>
      </c>
      <c r="G58" s="300">
        <v>0</v>
      </c>
      <c r="H58" s="411">
        <v>5</v>
      </c>
      <c r="I58" s="16">
        <v>0</v>
      </c>
      <c r="J58" s="38">
        <f t="shared" si="4"/>
        <v>5</v>
      </c>
    </row>
    <row r="59" spans="1:10" ht="14.95" thickBot="1" x14ac:dyDescent="0.3">
      <c r="A59" s="35" t="s">
        <v>30</v>
      </c>
      <c r="B59" s="294">
        <v>0</v>
      </c>
      <c r="C59" s="413">
        <v>0</v>
      </c>
      <c r="D59" s="68">
        <v>1</v>
      </c>
      <c r="E59" s="36">
        <f t="shared" si="3"/>
        <v>1</v>
      </c>
      <c r="F59" s="37" t="s">
        <v>783</v>
      </c>
      <c r="G59" s="300">
        <v>5</v>
      </c>
      <c r="H59" s="411">
        <v>0</v>
      </c>
      <c r="I59" s="16">
        <v>0</v>
      </c>
      <c r="J59" s="38">
        <f t="shared" si="4"/>
        <v>5</v>
      </c>
    </row>
    <row r="60" spans="1:10" ht="14.95" thickBot="1" x14ac:dyDescent="0.3">
      <c r="A60" s="35" t="s">
        <v>39</v>
      </c>
      <c r="B60" s="294">
        <v>1</v>
      </c>
      <c r="C60" s="413">
        <v>0</v>
      </c>
      <c r="D60" s="68">
        <v>0</v>
      </c>
      <c r="E60" s="36">
        <f t="shared" si="3"/>
        <v>1</v>
      </c>
      <c r="F60" s="37" t="s">
        <v>39</v>
      </c>
      <c r="G60" s="300">
        <v>5</v>
      </c>
      <c r="H60" s="411">
        <v>0</v>
      </c>
      <c r="I60" s="16">
        <v>0</v>
      </c>
      <c r="J60" s="38">
        <f t="shared" si="4"/>
        <v>5</v>
      </c>
    </row>
    <row r="61" spans="1:10" ht="14.95" thickBot="1" x14ac:dyDescent="0.3">
      <c r="A61" s="35" t="s">
        <v>660</v>
      </c>
      <c r="B61" s="294">
        <v>0</v>
      </c>
      <c r="C61" s="413">
        <v>0</v>
      </c>
      <c r="D61" s="68">
        <v>1</v>
      </c>
      <c r="E61" s="36">
        <f t="shared" si="3"/>
        <v>1</v>
      </c>
      <c r="F61" s="37" t="s">
        <v>660</v>
      </c>
      <c r="G61" s="300">
        <v>0</v>
      </c>
      <c r="H61" s="411">
        <v>0</v>
      </c>
      <c r="I61" s="16">
        <v>5</v>
      </c>
      <c r="J61" s="38">
        <f t="shared" si="4"/>
        <v>5</v>
      </c>
    </row>
    <row r="62" spans="1:10" ht="14.95" thickBot="1" x14ac:dyDescent="0.3">
      <c r="A62" s="35" t="s">
        <v>148</v>
      </c>
      <c r="B62" s="294">
        <v>0</v>
      </c>
      <c r="C62" s="413">
        <v>0</v>
      </c>
      <c r="D62" s="68">
        <v>0</v>
      </c>
      <c r="E62" s="36">
        <f t="shared" si="3"/>
        <v>0</v>
      </c>
      <c r="F62" s="37" t="s">
        <v>148</v>
      </c>
      <c r="G62" s="300">
        <v>0</v>
      </c>
      <c r="H62" s="411">
        <v>0</v>
      </c>
      <c r="I62" s="16">
        <v>0</v>
      </c>
      <c r="J62" s="38">
        <f t="shared" si="4"/>
        <v>0</v>
      </c>
    </row>
    <row r="63" spans="1:10" ht="14.95" thickBot="1" x14ac:dyDescent="0.3">
      <c r="A63" s="35" t="s">
        <v>150</v>
      </c>
      <c r="B63" s="294">
        <v>0</v>
      </c>
      <c r="C63" s="413">
        <v>0</v>
      </c>
      <c r="D63" s="68">
        <v>0</v>
      </c>
      <c r="E63" s="36">
        <f t="shared" si="3"/>
        <v>0</v>
      </c>
      <c r="F63" s="37" t="s">
        <v>150</v>
      </c>
      <c r="G63" s="300">
        <v>0</v>
      </c>
      <c r="H63" s="411">
        <v>0</v>
      </c>
      <c r="I63" s="16">
        <v>0</v>
      </c>
      <c r="J63" s="38">
        <f t="shared" si="4"/>
        <v>0</v>
      </c>
    </row>
    <row r="64" spans="1:10" ht="14.95" thickBot="1" x14ac:dyDescent="0.3">
      <c r="A64" s="35" t="s">
        <v>152</v>
      </c>
      <c r="B64" s="294">
        <v>0</v>
      </c>
      <c r="C64" s="413">
        <v>0</v>
      </c>
      <c r="D64" s="68">
        <v>0</v>
      </c>
      <c r="E64" s="36">
        <f t="shared" si="3"/>
        <v>0</v>
      </c>
      <c r="F64" s="37" t="s">
        <v>152</v>
      </c>
      <c r="G64" s="300">
        <v>0</v>
      </c>
      <c r="H64" s="411">
        <v>0</v>
      </c>
      <c r="I64" s="16">
        <v>0</v>
      </c>
      <c r="J64" s="38">
        <f t="shared" si="4"/>
        <v>0</v>
      </c>
    </row>
    <row r="65" spans="1:10" ht="14.95" thickBot="1" x14ac:dyDescent="0.3">
      <c r="A65" s="35" t="s">
        <v>151</v>
      </c>
      <c r="B65" s="294">
        <v>0</v>
      </c>
      <c r="C65" s="413">
        <v>0</v>
      </c>
      <c r="D65" s="68">
        <v>0</v>
      </c>
      <c r="E65" s="36">
        <f t="shared" si="3"/>
        <v>0</v>
      </c>
      <c r="F65" s="37" t="s">
        <v>151</v>
      </c>
      <c r="G65" s="300">
        <v>0</v>
      </c>
      <c r="H65" s="411">
        <v>0</v>
      </c>
      <c r="I65" s="16">
        <v>0</v>
      </c>
      <c r="J65" s="38">
        <f t="shared" si="4"/>
        <v>0</v>
      </c>
    </row>
    <row r="66" spans="1:10" ht="14.95" thickBot="1" x14ac:dyDescent="0.3">
      <c r="A66" s="35" t="s">
        <v>153</v>
      </c>
      <c r="B66" s="294">
        <v>0</v>
      </c>
      <c r="C66" s="413">
        <v>0</v>
      </c>
      <c r="D66" s="68">
        <v>0</v>
      </c>
      <c r="E66" s="36">
        <f t="shared" si="3"/>
        <v>0</v>
      </c>
      <c r="F66" s="37" t="s">
        <v>153</v>
      </c>
      <c r="G66" s="300">
        <v>0</v>
      </c>
      <c r="H66" s="411">
        <v>0</v>
      </c>
      <c r="I66" s="16">
        <v>0</v>
      </c>
      <c r="J66" s="38">
        <f t="shared" si="4"/>
        <v>0</v>
      </c>
    </row>
    <row r="67" spans="1:10" ht="14.95" thickBot="1" x14ac:dyDescent="0.3">
      <c r="A67" s="35" t="s">
        <v>37</v>
      </c>
      <c r="B67" s="294">
        <v>0</v>
      </c>
      <c r="C67" s="413">
        <v>0</v>
      </c>
      <c r="D67" s="68">
        <v>0</v>
      </c>
      <c r="E67" s="36">
        <f t="shared" si="3"/>
        <v>0</v>
      </c>
      <c r="F67" s="37" t="s">
        <v>37</v>
      </c>
      <c r="G67" s="300">
        <v>0</v>
      </c>
      <c r="H67" s="411">
        <v>0</v>
      </c>
      <c r="I67" s="16">
        <v>0</v>
      </c>
      <c r="J67" s="38">
        <f t="shared" si="4"/>
        <v>0</v>
      </c>
    </row>
    <row r="68" spans="1:10" ht="14.95" thickBot="1" x14ac:dyDescent="0.3">
      <c r="A68" s="35" t="s">
        <v>155</v>
      </c>
      <c r="B68" s="294">
        <v>0</v>
      </c>
      <c r="C68" s="413">
        <v>0</v>
      </c>
      <c r="D68" s="68">
        <v>0</v>
      </c>
      <c r="E68" s="36">
        <f t="shared" si="3"/>
        <v>0</v>
      </c>
      <c r="F68" s="37" t="s">
        <v>155</v>
      </c>
      <c r="G68" s="300">
        <v>0</v>
      </c>
      <c r="H68" s="411">
        <v>0</v>
      </c>
      <c r="I68" s="16">
        <v>0</v>
      </c>
      <c r="J68" s="38">
        <f t="shared" si="4"/>
        <v>0</v>
      </c>
    </row>
    <row r="69" spans="1:10" ht="14.95" thickBot="1" x14ac:dyDescent="0.3">
      <c r="A69" s="35" t="s">
        <v>34</v>
      </c>
      <c r="B69" s="294">
        <v>0</v>
      </c>
      <c r="C69" s="413">
        <v>0</v>
      </c>
      <c r="D69" s="68">
        <v>0</v>
      </c>
      <c r="E69" s="36">
        <f t="shared" si="3"/>
        <v>0</v>
      </c>
      <c r="F69" s="37" t="s">
        <v>34</v>
      </c>
      <c r="G69" s="300">
        <v>0</v>
      </c>
      <c r="H69" s="411">
        <v>0</v>
      </c>
      <c r="I69" s="16">
        <v>0</v>
      </c>
      <c r="J69" s="38">
        <f t="shared" si="4"/>
        <v>0</v>
      </c>
    </row>
    <row r="70" spans="1:10" ht="14.95" thickBot="1" x14ac:dyDescent="0.3">
      <c r="A70" s="35" t="s">
        <v>35</v>
      </c>
      <c r="B70" s="294">
        <v>0</v>
      </c>
      <c r="C70" s="413">
        <v>0</v>
      </c>
      <c r="D70" s="68">
        <v>0</v>
      </c>
      <c r="E70" s="36">
        <f t="shared" si="3"/>
        <v>0</v>
      </c>
      <c r="F70" s="37" t="s">
        <v>35</v>
      </c>
      <c r="G70" s="300">
        <v>0</v>
      </c>
      <c r="H70" s="411">
        <v>0</v>
      </c>
      <c r="I70" s="16">
        <v>0</v>
      </c>
      <c r="J70" s="38">
        <f t="shared" si="4"/>
        <v>0</v>
      </c>
    </row>
    <row r="71" spans="1:10" ht="14.95" thickBot="1" x14ac:dyDescent="0.3">
      <c r="A71" s="35" t="s">
        <v>156</v>
      </c>
      <c r="B71" s="294">
        <v>0</v>
      </c>
      <c r="C71" s="413">
        <v>0</v>
      </c>
      <c r="D71" s="68">
        <v>0</v>
      </c>
      <c r="E71" s="36">
        <f t="shared" si="3"/>
        <v>0</v>
      </c>
      <c r="F71" s="37" t="s">
        <v>156</v>
      </c>
      <c r="G71" s="300">
        <v>0</v>
      </c>
      <c r="H71" s="411">
        <v>0</v>
      </c>
      <c r="I71" s="16">
        <v>0</v>
      </c>
      <c r="J71" s="38">
        <f t="shared" si="4"/>
        <v>0</v>
      </c>
    </row>
    <row r="72" spans="1:10" ht="14.95" thickBot="1" x14ac:dyDescent="0.3">
      <c r="A72" s="35" t="s">
        <v>157</v>
      </c>
      <c r="B72" s="294">
        <v>0</v>
      </c>
      <c r="C72" s="413">
        <v>0</v>
      </c>
      <c r="D72" s="68">
        <v>0</v>
      </c>
      <c r="E72" s="36">
        <f t="shared" si="3"/>
        <v>0</v>
      </c>
      <c r="F72" s="37" t="s">
        <v>157</v>
      </c>
      <c r="G72" s="300">
        <v>0</v>
      </c>
      <c r="H72" s="411">
        <v>0</v>
      </c>
      <c r="I72" s="16">
        <v>0</v>
      </c>
      <c r="J72" s="38">
        <f t="shared" si="4"/>
        <v>0</v>
      </c>
    </row>
    <row r="73" spans="1:10" ht="14.95" thickBot="1" x14ac:dyDescent="0.3">
      <c r="A73" s="35" t="s">
        <v>158</v>
      </c>
      <c r="B73" s="294">
        <v>0</v>
      </c>
      <c r="C73" s="413">
        <v>0</v>
      </c>
      <c r="D73" s="68">
        <v>0</v>
      </c>
      <c r="E73" s="36">
        <f t="shared" si="3"/>
        <v>0</v>
      </c>
      <c r="F73" s="37" t="s">
        <v>158</v>
      </c>
      <c r="G73" s="300">
        <v>0</v>
      </c>
      <c r="H73" s="411">
        <v>0</v>
      </c>
      <c r="I73" s="16">
        <v>0</v>
      </c>
      <c r="J73" s="38">
        <f t="shared" si="4"/>
        <v>0</v>
      </c>
    </row>
    <row r="74" spans="1:10" ht="14.95" thickBot="1" x14ac:dyDescent="0.3">
      <c r="A74" s="35" t="s">
        <v>159</v>
      </c>
      <c r="B74" s="294">
        <v>0</v>
      </c>
      <c r="C74" s="413">
        <v>0</v>
      </c>
      <c r="D74" s="68">
        <v>0</v>
      </c>
      <c r="E74" s="36">
        <f t="shared" si="3"/>
        <v>0</v>
      </c>
      <c r="F74" s="37" t="s">
        <v>159</v>
      </c>
      <c r="G74" s="300">
        <v>0</v>
      </c>
      <c r="H74" s="411">
        <v>0</v>
      </c>
      <c r="I74" s="16">
        <v>0</v>
      </c>
      <c r="J74" s="38">
        <f t="shared" si="4"/>
        <v>0</v>
      </c>
    </row>
    <row r="75" spans="1:10" ht="14.95" thickBot="1" x14ac:dyDescent="0.3">
      <c r="A75" s="35" t="s">
        <v>160</v>
      </c>
      <c r="B75" s="294">
        <v>0</v>
      </c>
      <c r="C75" s="413">
        <v>0</v>
      </c>
      <c r="D75" s="68">
        <v>0</v>
      </c>
      <c r="E75" s="36">
        <f t="shared" si="3"/>
        <v>0</v>
      </c>
      <c r="F75" s="37" t="s">
        <v>160</v>
      </c>
      <c r="G75" s="300">
        <v>0</v>
      </c>
      <c r="H75" s="411">
        <v>0</v>
      </c>
      <c r="I75" s="16">
        <v>0</v>
      </c>
      <c r="J75" s="38">
        <f t="shared" si="4"/>
        <v>0</v>
      </c>
    </row>
    <row r="76" spans="1:10" ht="14.95" thickBot="1" x14ac:dyDescent="0.3">
      <c r="A76" s="35" t="s">
        <v>161</v>
      </c>
      <c r="B76" s="294">
        <v>0</v>
      </c>
      <c r="C76" s="413">
        <v>0</v>
      </c>
      <c r="D76" s="68">
        <v>0</v>
      </c>
      <c r="E76" s="36">
        <f t="shared" si="3"/>
        <v>0</v>
      </c>
      <c r="F76" s="37" t="s">
        <v>161</v>
      </c>
      <c r="G76" s="300">
        <v>0</v>
      </c>
      <c r="H76" s="411">
        <v>0</v>
      </c>
      <c r="I76" s="16">
        <v>0</v>
      </c>
      <c r="J76" s="38">
        <f t="shared" si="4"/>
        <v>0</v>
      </c>
    </row>
    <row r="77" spans="1:10" ht="14.95" thickBot="1" x14ac:dyDescent="0.3">
      <c r="A77" s="35" t="s">
        <v>162</v>
      </c>
      <c r="B77" s="294">
        <v>0</v>
      </c>
      <c r="C77" s="413">
        <v>0</v>
      </c>
      <c r="D77" s="68">
        <v>0</v>
      </c>
      <c r="E77" s="36">
        <f t="shared" si="3"/>
        <v>0</v>
      </c>
      <c r="F77" s="37" t="s">
        <v>162</v>
      </c>
      <c r="G77" s="300">
        <v>0</v>
      </c>
      <c r="H77" s="411">
        <v>0</v>
      </c>
      <c r="I77" s="16">
        <v>0</v>
      </c>
      <c r="J77" s="38">
        <f t="shared" si="4"/>
        <v>0</v>
      </c>
    </row>
    <row r="78" spans="1:10" ht="14.95" thickBot="1" x14ac:dyDescent="0.3">
      <c r="A78" s="35" t="s">
        <v>163</v>
      </c>
      <c r="B78" s="294">
        <v>0</v>
      </c>
      <c r="C78" s="413">
        <v>0</v>
      </c>
      <c r="D78" s="68">
        <v>0</v>
      </c>
      <c r="E78" s="36">
        <f t="shared" si="3"/>
        <v>0</v>
      </c>
      <c r="F78" s="37" t="s">
        <v>163</v>
      </c>
      <c r="G78" s="300">
        <v>0</v>
      </c>
      <c r="H78" s="411">
        <v>0</v>
      </c>
      <c r="I78" s="16">
        <v>0</v>
      </c>
      <c r="J78" s="38">
        <f t="shared" si="4"/>
        <v>0</v>
      </c>
    </row>
    <row r="79" spans="1:10" ht="14.95" thickBot="1" x14ac:dyDescent="0.3">
      <c r="A79" s="35" t="s">
        <v>212</v>
      </c>
      <c r="B79" s="294">
        <v>0</v>
      </c>
      <c r="C79" s="413">
        <v>0</v>
      </c>
      <c r="D79" s="68">
        <v>0</v>
      </c>
      <c r="E79" s="36">
        <f t="shared" si="3"/>
        <v>0</v>
      </c>
      <c r="F79" s="37" t="s">
        <v>212</v>
      </c>
      <c r="G79" s="300">
        <v>0</v>
      </c>
      <c r="H79" s="411">
        <v>0</v>
      </c>
      <c r="I79" s="16">
        <v>0</v>
      </c>
      <c r="J79" s="38">
        <f t="shared" si="4"/>
        <v>0</v>
      </c>
    </row>
    <row r="80" spans="1:10" ht="14.95" thickBot="1" x14ac:dyDescent="0.3">
      <c r="A80" s="35" t="s">
        <v>165</v>
      </c>
      <c r="B80" s="294">
        <v>0</v>
      </c>
      <c r="C80" s="413">
        <v>0</v>
      </c>
      <c r="D80" s="68">
        <v>0</v>
      </c>
      <c r="E80" s="36">
        <f t="shared" si="3"/>
        <v>0</v>
      </c>
      <c r="F80" s="37" t="s">
        <v>165</v>
      </c>
      <c r="G80" s="300">
        <v>0</v>
      </c>
      <c r="H80" s="411">
        <v>0</v>
      </c>
      <c r="I80" s="16">
        <v>0</v>
      </c>
      <c r="J80" s="38">
        <f t="shared" si="4"/>
        <v>0</v>
      </c>
    </row>
    <row r="81" spans="1:10" ht="14.95" thickBot="1" x14ac:dyDescent="0.3">
      <c r="A81" s="35" t="s">
        <v>166</v>
      </c>
      <c r="B81" s="294">
        <v>0</v>
      </c>
      <c r="C81" s="413">
        <v>0</v>
      </c>
      <c r="D81" s="68">
        <v>0</v>
      </c>
      <c r="E81" s="36">
        <f t="shared" si="3"/>
        <v>0</v>
      </c>
      <c r="F81" s="37" t="s">
        <v>166</v>
      </c>
      <c r="G81" s="300">
        <v>0</v>
      </c>
      <c r="H81" s="411">
        <v>0</v>
      </c>
      <c r="I81" s="16">
        <v>0</v>
      </c>
      <c r="J81" s="38">
        <f t="shared" si="4"/>
        <v>0</v>
      </c>
    </row>
    <row r="82" spans="1:10" ht="14.95" thickBot="1" x14ac:dyDescent="0.3">
      <c r="A82" s="35" t="s">
        <v>31</v>
      </c>
      <c r="B82" s="294">
        <v>0</v>
      </c>
      <c r="C82" s="413">
        <v>0</v>
      </c>
      <c r="D82" s="68">
        <v>0</v>
      </c>
      <c r="E82" s="36">
        <f t="shared" si="3"/>
        <v>0</v>
      </c>
      <c r="F82" s="37" t="s">
        <v>31</v>
      </c>
      <c r="G82" s="300">
        <v>0</v>
      </c>
      <c r="H82" s="411">
        <v>0</v>
      </c>
      <c r="I82" s="16">
        <v>0</v>
      </c>
      <c r="J82" s="38">
        <f t="shared" si="4"/>
        <v>0</v>
      </c>
    </row>
    <row r="83" spans="1:10" ht="14.95" thickBot="1" x14ac:dyDescent="0.3">
      <c r="A83" s="35" t="s">
        <v>699</v>
      </c>
      <c r="B83" s="294">
        <v>0</v>
      </c>
      <c r="C83" s="413">
        <v>0</v>
      </c>
      <c r="D83" s="68">
        <v>0</v>
      </c>
      <c r="E83" s="36">
        <f t="shared" si="3"/>
        <v>0</v>
      </c>
      <c r="F83" s="37" t="s">
        <v>699</v>
      </c>
      <c r="G83" s="300">
        <v>0</v>
      </c>
      <c r="H83" s="411">
        <v>0</v>
      </c>
      <c r="I83" s="16">
        <v>0</v>
      </c>
      <c r="J83" s="38">
        <f t="shared" si="4"/>
        <v>0</v>
      </c>
    </row>
    <row r="84" spans="1:10" ht="14.95" thickBot="1" x14ac:dyDescent="0.3">
      <c r="A84" s="35" t="s">
        <v>167</v>
      </c>
      <c r="B84" s="294">
        <v>0</v>
      </c>
      <c r="C84" s="413">
        <v>0</v>
      </c>
      <c r="D84" s="68">
        <v>0</v>
      </c>
      <c r="E84" s="36">
        <f t="shared" si="3"/>
        <v>0</v>
      </c>
      <c r="F84" s="37" t="s">
        <v>167</v>
      </c>
      <c r="G84" s="300">
        <v>0</v>
      </c>
      <c r="H84" s="411">
        <v>0</v>
      </c>
      <c r="I84" s="16">
        <v>0</v>
      </c>
      <c r="J84" s="38">
        <f t="shared" si="4"/>
        <v>0</v>
      </c>
    </row>
    <row r="85" spans="1:10" ht="14.95" thickBot="1" x14ac:dyDescent="0.3">
      <c r="A85" s="35" t="s">
        <v>38</v>
      </c>
      <c r="B85" s="294">
        <v>0</v>
      </c>
      <c r="C85" s="413">
        <v>0</v>
      </c>
      <c r="D85" s="68">
        <v>0</v>
      </c>
      <c r="E85" s="36">
        <f t="shared" si="3"/>
        <v>0</v>
      </c>
      <c r="F85" s="37" t="s">
        <v>38</v>
      </c>
      <c r="G85" s="300">
        <v>0</v>
      </c>
      <c r="H85" s="411">
        <v>0</v>
      </c>
      <c r="I85" s="16">
        <v>0</v>
      </c>
      <c r="J85" s="38">
        <f t="shared" si="4"/>
        <v>0</v>
      </c>
    </row>
    <row r="86" spans="1:10" ht="14.95" thickBot="1" x14ac:dyDescent="0.3">
      <c r="A86" s="35" t="s">
        <v>168</v>
      </c>
      <c r="B86" s="294">
        <v>0</v>
      </c>
      <c r="C86" s="413">
        <v>0</v>
      </c>
      <c r="D86" s="68">
        <v>0</v>
      </c>
      <c r="E86" s="36">
        <f t="shared" si="3"/>
        <v>0</v>
      </c>
      <c r="F86" s="37" t="s">
        <v>168</v>
      </c>
      <c r="G86" s="300">
        <v>0</v>
      </c>
      <c r="H86" s="411">
        <v>0</v>
      </c>
      <c r="I86" s="16">
        <v>0</v>
      </c>
      <c r="J86" s="38">
        <f t="shared" si="4"/>
        <v>0</v>
      </c>
    </row>
    <row r="87" spans="1:10" ht="14.95" thickBot="1" x14ac:dyDescent="0.3">
      <c r="A87" s="35" t="s">
        <v>32</v>
      </c>
      <c r="B87" s="294">
        <v>0</v>
      </c>
      <c r="C87" s="413">
        <v>0</v>
      </c>
      <c r="D87" s="68">
        <v>0</v>
      </c>
      <c r="E87" s="36">
        <f t="shared" si="3"/>
        <v>0</v>
      </c>
      <c r="F87" s="37" t="s">
        <v>32</v>
      </c>
      <c r="G87" s="300">
        <v>0</v>
      </c>
      <c r="H87" s="411">
        <v>0</v>
      </c>
      <c r="I87" s="16">
        <v>0</v>
      </c>
      <c r="J87" s="38">
        <f t="shared" si="4"/>
        <v>0</v>
      </c>
    </row>
    <row r="88" spans="1:10" ht="14.95" thickBot="1" x14ac:dyDescent="0.3">
      <c r="A88" s="35" t="s">
        <v>169</v>
      </c>
      <c r="B88" s="294">
        <v>0</v>
      </c>
      <c r="C88" s="413">
        <v>0</v>
      </c>
      <c r="D88" s="68">
        <v>0</v>
      </c>
      <c r="E88" s="36">
        <f t="shared" si="3"/>
        <v>0</v>
      </c>
      <c r="F88" s="37" t="s">
        <v>169</v>
      </c>
      <c r="G88" s="300">
        <v>0</v>
      </c>
      <c r="H88" s="411">
        <v>0</v>
      </c>
      <c r="I88" s="16">
        <v>0</v>
      </c>
      <c r="J88" s="38">
        <f t="shared" si="4"/>
        <v>0</v>
      </c>
    </row>
    <row r="89" spans="1:10" ht="14.95" thickBot="1" x14ac:dyDescent="0.3">
      <c r="A89" s="35" t="s">
        <v>3</v>
      </c>
      <c r="B89" s="294">
        <f>SUM(B48:B88)</f>
        <v>13</v>
      </c>
      <c r="C89" s="413">
        <f>SUM(C48:C88)</f>
        <v>15</v>
      </c>
      <c r="D89" s="88">
        <f>SUM(D48:D88)</f>
        <v>8</v>
      </c>
      <c r="E89" s="36">
        <f t="shared" ref="E89" si="5">SUM(B89:D89)</f>
        <v>36</v>
      </c>
      <c r="F89" s="37" t="s">
        <v>3</v>
      </c>
      <c r="G89" s="300">
        <f>SUM(G48:G88)</f>
        <v>89</v>
      </c>
      <c r="H89" s="411">
        <f>SUM(H48:H88)</f>
        <v>94</v>
      </c>
      <c r="I89" s="89">
        <f>SUM(I48:I88)</f>
        <v>50</v>
      </c>
      <c r="J89" s="38">
        <f t="shared" ref="J89" si="6">SUM(G89:I89)</f>
        <v>233</v>
      </c>
    </row>
    <row r="90" spans="1:10" ht="16.3" x14ac:dyDescent="0.3">
      <c r="A90" s="455" t="s">
        <v>10</v>
      </c>
      <c r="B90" s="456"/>
      <c r="C90" s="456"/>
      <c r="D90" s="456"/>
      <c r="E90" s="456"/>
    </row>
  </sheetData>
  <sortState xmlns:xlrd2="http://schemas.microsoft.com/office/spreadsheetml/2017/richdata2" ref="F48:J88">
    <sortCondition descending="1" ref="J48:J88"/>
  </sortState>
  <mergeCells count="20">
    <mergeCell ref="A90:E90"/>
    <mergeCell ref="A1:J1"/>
    <mergeCell ref="K1:K2"/>
    <mergeCell ref="L1:N2"/>
    <mergeCell ref="K13:K14"/>
    <mergeCell ref="K19:K20"/>
    <mergeCell ref="L19:N20"/>
    <mergeCell ref="K8:K9"/>
    <mergeCell ref="L8:N9"/>
    <mergeCell ref="L13:N14"/>
    <mergeCell ref="S1:U2"/>
    <mergeCell ref="R8:T9"/>
    <mergeCell ref="O19:Q20"/>
    <mergeCell ref="AA1:AC2"/>
    <mergeCell ref="O8:Q9"/>
    <mergeCell ref="V1:X2"/>
    <mergeCell ref="U8:W9"/>
    <mergeCell ref="O1:Q2"/>
    <mergeCell ref="R1:R2"/>
    <mergeCell ref="O13:Q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ACC9-87BB-4B2D-8725-A2ED2E41EA23}">
  <dimension ref="A1:AC94"/>
  <sheetViews>
    <sheetView workbookViewId="0">
      <selection activeCell="K83" sqref="K83"/>
    </sheetView>
  </sheetViews>
  <sheetFormatPr defaultRowHeight="14.3" x14ac:dyDescent="0.25"/>
  <cols>
    <col min="1" max="1" width="16.75" customWidth="1"/>
    <col min="2" max="2" width="5" bestFit="1" customWidth="1"/>
    <col min="3" max="3" width="4.875" customWidth="1"/>
    <col min="4" max="5" width="4.5" customWidth="1"/>
    <col min="6" max="6" width="16.75" customWidth="1"/>
    <col min="7" max="7" width="5" bestFit="1" customWidth="1"/>
    <col min="8" max="8" width="4.875" customWidth="1"/>
    <col min="9" max="10" width="4.5" customWidth="1"/>
    <col min="11" max="11" width="16.7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548" t="s">
        <v>777</v>
      </c>
      <c r="B1" s="549"/>
      <c r="C1" s="549"/>
      <c r="D1" s="549"/>
      <c r="E1" s="549"/>
      <c r="F1" s="549"/>
      <c r="G1" s="549"/>
      <c r="H1" s="549"/>
      <c r="I1" s="549"/>
      <c r="J1" s="550"/>
      <c r="K1" s="545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29" ht="14.95" customHeight="1" thickBot="1" x14ac:dyDescent="0.3">
      <c r="A2" s="162" t="s">
        <v>0</v>
      </c>
      <c r="B2" s="175" t="s">
        <v>444</v>
      </c>
      <c r="C2" s="344" t="s">
        <v>734</v>
      </c>
      <c r="D2" s="166" t="s">
        <v>11</v>
      </c>
      <c r="E2" s="164" t="s">
        <v>1</v>
      </c>
      <c r="F2" s="71" t="s">
        <v>2</v>
      </c>
      <c r="G2" s="177" t="s">
        <v>444</v>
      </c>
      <c r="H2" s="326" t="s">
        <v>734</v>
      </c>
      <c r="I2" s="106" t="s">
        <v>11</v>
      </c>
      <c r="J2" s="72" t="s">
        <v>1</v>
      </c>
      <c r="K2" s="546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50"/>
      <c r="AB2" s="451"/>
      <c r="AC2" s="452"/>
    </row>
    <row r="3" spans="1:29" ht="14.95" customHeight="1" thickBot="1" x14ac:dyDescent="0.3">
      <c r="A3" s="163" t="s">
        <v>375</v>
      </c>
      <c r="B3" s="176">
        <v>0</v>
      </c>
      <c r="C3" s="345">
        <v>0</v>
      </c>
      <c r="D3" s="167">
        <v>0</v>
      </c>
      <c r="E3" s="165">
        <f t="shared" ref="E3:E46" si="0">SUM(B3:D3)</f>
        <v>0</v>
      </c>
      <c r="F3" s="13" t="s">
        <v>375</v>
      </c>
      <c r="G3" s="178">
        <v>0</v>
      </c>
      <c r="H3" s="327">
        <v>0</v>
      </c>
      <c r="I3" s="107">
        <v>0</v>
      </c>
      <c r="J3" s="15">
        <f t="shared" ref="J3:J46" si="1">SUM(G3:I3)</f>
        <v>0</v>
      </c>
      <c r="K3" s="168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163" t="s">
        <v>838</v>
      </c>
      <c r="B4" s="176">
        <v>1</v>
      </c>
      <c r="C4" s="345">
        <v>0</v>
      </c>
      <c r="D4" s="167">
        <v>0</v>
      </c>
      <c r="E4" s="165">
        <f t="shared" si="0"/>
        <v>1</v>
      </c>
      <c r="F4" s="13" t="s">
        <v>838</v>
      </c>
      <c r="G4" s="178">
        <v>5</v>
      </c>
      <c r="H4" s="327">
        <v>0</v>
      </c>
      <c r="I4" s="107">
        <v>0</v>
      </c>
      <c r="J4" s="15">
        <f t="shared" si="1"/>
        <v>5</v>
      </c>
      <c r="K4" s="215" t="s">
        <v>377</v>
      </c>
      <c r="L4" s="165">
        <v>6</v>
      </c>
      <c r="M4" s="165">
        <v>13</v>
      </c>
      <c r="N4" s="169">
        <f>SUM(L4/M4)*100</f>
        <v>46.153846153846153</v>
      </c>
      <c r="O4" s="165" t="s">
        <v>8</v>
      </c>
      <c r="P4" s="165" t="s">
        <v>8</v>
      </c>
      <c r="Q4" s="169" t="s">
        <v>8</v>
      </c>
      <c r="R4" s="165">
        <v>-3</v>
      </c>
      <c r="S4" s="61">
        <v>14</v>
      </c>
      <c r="T4" s="61">
        <v>33</v>
      </c>
      <c r="U4" s="120">
        <v>42.424242424242422</v>
      </c>
      <c r="V4" s="61">
        <v>3</v>
      </c>
      <c r="W4" s="61">
        <v>7</v>
      </c>
      <c r="X4" s="120">
        <f>SUM(V4/W4)*100</f>
        <v>42.857142857142854</v>
      </c>
      <c r="AA4" s="271" t="s">
        <v>8</v>
      </c>
      <c r="AB4" s="61" t="s">
        <v>8</v>
      </c>
      <c r="AC4" s="61" t="s">
        <v>8</v>
      </c>
    </row>
    <row r="5" spans="1:29" ht="14.95" customHeight="1" thickBot="1" x14ac:dyDescent="0.3">
      <c r="A5" s="163" t="s">
        <v>266</v>
      </c>
      <c r="B5" s="176">
        <v>0</v>
      </c>
      <c r="C5" s="345">
        <v>0</v>
      </c>
      <c r="D5" s="167">
        <v>0</v>
      </c>
      <c r="E5" s="165">
        <f t="shared" si="0"/>
        <v>0</v>
      </c>
      <c r="F5" s="14" t="s">
        <v>266</v>
      </c>
      <c r="G5" s="178">
        <v>0</v>
      </c>
      <c r="H5" s="327">
        <v>0</v>
      </c>
      <c r="I5" s="107">
        <v>0</v>
      </c>
      <c r="J5" s="15">
        <f t="shared" si="1"/>
        <v>0</v>
      </c>
      <c r="K5" s="163" t="s">
        <v>501</v>
      </c>
      <c r="L5" s="165">
        <v>14</v>
      </c>
      <c r="M5" s="165">
        <v>21</v>
      </c>
      <c r="N5" s="169">
        <f>SUM(L5/M5)*100</f>
        <v>66.666666666666657</v>
      </c>
      <c r="O5" s="165">
        <v>1</v>
      </c>
      <c r="P5" s="165">
        <v>3</v>
      </c>
      <c r="Q5" s="169">
        <f t="shared" ref="Q5" si="2">SUM(O5/P5)*100</f>
        <v>33.333333333333329</v>
      </c>
      <c r="R5" s="212">
        <v>1</v>
      </c>
      <c r="S5" s="61" t="s">
        <v>8</v>
      </c>
      <c r="T5" s="61" t="s">
        <v>8</v>
      </c>
      <c r="U5" s="120" t="s">
        <v>8</v>
      </c>
      <c r="V5" s="61" t="s">
        <v>8</v>
      </c>
      <c r="W5" s="61" t="s">
        <v>8</v>
      </c>
      <c r="X5" s="120" t="s">
        <v>8</v>
      </c>
      <c r="AA5" s="271" t="s">
        <v>8</v>
      </c>
      <c r="AB5" s="61" t="s">
        <v>8</v>
      </c>
      <c r="AC5" s="61" t="s">
        <v>8</v>
      </c>
    </row>
    <row r="6" spans="1:29" ht="14.95" customHeight="1" thickBot="1" x14ac:dyDescent="0.3">
      <c r="A6" s="163" t="s">
        <v>376</v>
      </c>
      <c r="B6" s="176">
        <v>0</v>
      </c>
      <c r="C6" s="345">
        <v>0</v>
      </c>
      <c r="D6" s="167">
        <v>0</v>
      </c>
      <c r="E6" s="165">
        <f t="shared" si="0"/>
        <v>0</v>
      </c>
      <c r="F6" s="14" t="s">
        <v>376</v>
      </c>
      <c r="G6" s="178">
        <v>0</v>
      </c>
      <c r="H6" s="327">
        <v>0</v>
      </c>
      <c r="I6" s="107">
        <v>0</v>
      </c>
      <c r="J6" s="15">
        <f t="shared" si="1"/>
        <v>0</v>
      </c>
      <c r="K6" s="163" t="s">
        <v>273</v>
      </c>
      <c r="L6" s="165" t="s">
        <v>8</v>
      </c>
      <c r="M6" s="165" t="s">
        <v>8</v>
      </c>
      <c r="N6" s="169" t="s">
        <v>8</v>
      </c>
      <c r="O6" s="165" t="s">
        <v>8</v>
      </c>
      <c r="P6" s="165" t="s">
        <v>8</v>
      </c>
      <c r="Q6" s="169" t="s">
        <v>8</v>
      </c>
      <c r="R6" s="212">
        <v>3</v>
      </c>
      <c r="S6" s="61" t="s">
        <v>8</v>
      </c>
      <c r="T6" s="61" t="s">
        <v>8</v>
      </c>
      <c r="U6" s="120" t="s">
        <v>8</v>
      </c>
      <c r="V6" s="61" t="s">
        <v>8</v>
      </c>
      <c r="W6" s="61" t="s">
        <v>8</v>
      </c>
      <c r="X6" s="120" t="s">
        <v>8</v>
      </c>
      <c r="AA6" s="271">
        <v>3</v>
      </c>
      <c r="AB6" s="61">
        <v>3</v>
      </c>
      <c r="AC6" s="120">
        <f>SUM(AA6/AB6)*100</f>
        <v>100</v>
      </c>
    </row>
    <row r="7" spans="1:29" ht="14.95" customHeight="1" thickBot="1" x14ac:dyDescent="0.3">
      <c r="A7" s="163" t="s">
        <v>377</v>
      </c>
      <c r="B7" s="176">
        <v>0</v>
      </c>
      <c r="C7" s="345">
        <v>0</v>
      </c>
      <c r="D7" s="167">
        <v>2</v>
      </c>
      <c r="E7" s="165">
        <f t="shared" si="0"/>
        <v>2</v>
      </c>
      <c r="F7" s="14" t="s">
        <v>377</v>
      </c>
      <c r="G7" s="178">
        <v>0</v>
      </c>
      <c r="H7" s="327">
        <v>0</v>
      </c>
      <c r="I7" s="107">
        <v>23</v>
      </c>
      <c r="J7" s="15">
        <f t="shared" si="1"/>
        <v>23</v>
      </c>
      <c r="K7" s="163" t="s">
        <v>379</v>
      </c>
      <c r="L7" s="165" t="s">
        <v>8</v>
      </c>
      <c r="M7" s="165" t="s">
        <v>8</v>
      </c>
      <c r="N7" s="169" t="s">
        <v>8</v>
      </c>
      <c r="O7" s="165" t="s">
        <v>8</v>
      </c>
      <c r="P7" s="165" t="s">
        <v>8</v>
      </c>
      <c r="Q7" s="169" t="s">
        <v>8</v>
      </c>
      <c r="R7" s="212">
        <v>3</v>
      </c>
      <c r="S7" s="61" t="s">
        <v>8</v>
      </c>
      <c r="T7" s="61" t="s">
        <v>8</v>
      </c>
      <c r="U7" s="120" t="s">
        <v>8</v>
      </c>
      <c r="V7" s="61">
        <v>31</v>
      </c>
      <c r="W7" s="61">
        <v>60</v>
      </c>
      <c r="X7" s="120">
        <f>SUM(V7/W7)*100</f>
        <v>51.666666666666671</v>
      </c>
      <c r="AA7" s="271">
        <v>36</v>
      </c>
      <c r="AB7" s="61">
        <v>49</v>
      </c>
      <c r="AC7" s="120">
        <f>SUM(AA7/AB7)*100</f>
        <v>73.469387755102048</v>
      </c>
    </row>
    <row r="8" spans="1:29" ht="14.95" customHeight="1" thickBot="1" x14ac:dyDescent="0.3">
      <c r="A8" s="163" t="s">
        <v>501</v>
      </c>
      <c r="B8" s="176">
        <v>3</v>
      </c>
      <c r="C8" s="345">
        <v>0</v>
      </c>
      <c r="D8" s="167">
        <v>1</v>
      </c>
      <c r="E8" s="165">
        <f t="shared" si="0"/>
        <v>4</v>
      </c>
      <c r="F8" s="14" t="s">
        <v>501</v>
      </c>
      <c r="G8" s="178">
        <v>17</v>
      </c>
      <c r="H8" s="327">
        <v>27</v>
      </c>
      <c r="I8" s="107">
        <v>5</v>
      </c>
      <c r="J8" s="15">
        <f t="shared" si="1"/>
        <v>49</v>
      </c>
      <c r="K8" s="163" t="s">
        <v>265</v>
      </c>
      <c r="L8" s="165">
        <v>1</v>
      </c>
      <c r="M8" s="165">
        <v>2</v>
      </c>
      <c r="N8" s="169">
        <f>SUM(L8/M8)*100</f>
        <v>50</v>
      </c>
      <c r="O8" s="165" t="s">
        <v>8</v>
      </c>
      <c r="P8" s="165" t="s">
        <v>8</v>
      </c>
      <c r="Q8" s="169" t="s">
        <v>8</v>
      </c>
      <c r="R8" s="212">
        <v>-1</v>
      </c>
      <c r="S8" s="61" t="s">
        <v>8</v>
      </c>
      <c r="T8" s="61" t="s">
        <v>8</v>
      </c>
      <c r="U8" s="120" t="s">
        <v>8</v>
      </c>
      <c r="V8" s="61" t="s">
        <v>8</v>
      </c>
      <c r="W8" s="61" t="s">
        <v>8</v>
      </c>
      <c r="X8" s="120" t="s">
        <v>8</v>
      </c>
      <c r="AA8" s="271" t="s">
        <v>8</v>
      </c>
      <c r="AB8" s="61" t="s">
        <v>8</v>
      </c>
      <c r="AC8" s="61" t="s">
        <v>8</v>
      </c>
    </row>
    <row r="9" spans="1:29" ht="14.95" customHeight="1" thickBot="1" x14ac:dyDescent="0.3">
      <c r="A9" s="163" t="s">
        <v>271</v>
      </c>
      <c r="B9" s="176">
        <v>0</v>
      </c>
      <c r="C9" s="345">
        <v>0</v>
      </c>
      <c r="D9" s="167">
        <v>0</v>
      </c>
      <c r="E9" s="165">
        <f t="shared" si="0"/>
        <v>0</v>
      </c>
      <c r="F9" s="14" t="s">
        <v>271</v>
      </c>
      <c r="G9" s="178">
        <v>0</v>
      </c>
      <c r="H9" s="327">
        <v>0</v>
      </c>
      <c r="I9" s="107">
        <v>0</v>
      </c>
      <c r="J9" s="15">
        <f t="shared" si="1"/>
        <v>0</v>
      </c>
      <c r="K9" s="163" t="s">
        <v>385</v>
      </c>
      <c r="L9" s="165">
        <v>1</v>
      </c>
      <c r="M9" s="165">
        <v>1</v>
      </c>
      <c r="N9" s="169">
        <f t="shared" ref="N9" si="3">SUM(L9/M9)*100</f>
        <v>100</v>
      </c>
      <c r="O9" s="165" t="s">
        <v>8</v>
      </c>
      <c r="P9" s="165" t="s">
        <v>8</v>
      </c>
      <c r="Q9" s="169" t="s">
        <v>8</v>
      </c>
      <c r="R9" s="270">
        <v>1</v>
      </c>
      <c r="S9" s="61" t="s">
        <v>8</v>
      </c>
      <c r="T9" s="61" t="s">
        <v>8</v>
      </c>
      <c r="U9" s="120" t="s">
        <v>8</v>
      </c>
      <c r="V9" s="61" t="s">
        <v>8</v>
      </c>
      <c r="W9" s="61" t="s">
        <v>8</v>
      </c>
      <c r="X9" s="120" t="s">
        <v>8</v>
      </c>
      <c r="AA9" s="195" t="s">
        <v>8</v>
      </c>
      <c r="AB9" s="61" t="s">
        <v>8</v>
      </c>
      <c r="AC9" s="120" t="s">
        <v>8</v>
      </c>
    </row>
    <row r="10" spans="1:29" ht="14.95" customHeight="1" thickBot="1" x14ac:dyDescent="0.3">
      <c r="A10" s="163" t="s">
        <v>502</v>
      </c>
      <c r="B10" s="176">
        <v>0</v>
      </c>
      <c r="C10" s="345">
        <v>0</v>
      </c>
      <c r="D10" s="167">
        <v>0</v>
      </c>
      <c r="E10" s="165">
        <f t="shared" si="0"/>
        <v>0</v>
      </c>
      <c r="F10" s="14" t="s">
        <v>502</v>
      </c>
      <c r="G10" s="178">
        <v>0</v>
      </c>
      <c r="H10" s="327">
        <v>0</v>
      </c>
      <c r="I10" s="107">
        <v>0</v>
      </c>
      <c r="J10" s="15">
        <f t="shared" si="1"/>
        <v>0</v>
      </c>
      <c r="K10" s="163" t="s">
        <v>236</v>
      </c>
      <c r="L10" s="165" t="s">
        <v>8</v>
      </c>
      <c r="M10" s="165" t="s">
        <v>8</v>
      </c>
      <c r="N10" s="169" t="s">
        <v>8</v>
      </c>
      <c r="O10" s="165" t="s">
        <v>8</v>
      </c>
      <c r="P10" s="165" t="s">
        <v>8</v>
      </c>
      <c r="Q10" s="169" t="s">
        <v>8</v>
      </c>
      <c r="R10" s="270">
        <v>1</v>
      </c>
      <c r="S10" s="61">
        <v>5</v>
      </c>
      <c r="T10" s="61">
        <v>7</v>
      </c>
      <c r="U10" s="120">
        <v>71.428571428571431</v>
      </c>
      <c r="V10" s="61" t="s">
        <v>8</v>
      </c>
      <c r="W10" s="61" t="s">
        <v>8</v>
      </c>
      <c r="X10" s="120" t="s">
        <v>8</v>
      </c>
      <c r="AA10" s="271" t="s">
        <v>8</v>
      </c>
      <c r="AB10" s="61" t="s">
        <v>8</v>
      </c>
      <c r="AC10" s="120" t="s">
        <v>8</v>
      </c>
    </row>
    <row r="11" spans="1:29" ht="14.95" customHeight="1" thickBot="1" x14ac:dyDescent="0.3">
      <c r="A11" s="163" t="s">
        <v>839</v>
      </c>
      <c r="B11" s="176">
        <v>1</v>
      </c>
      <c r="C11" s="345">
        <v>0</v>
      </c>
      <c r="D11" s="167">
        <v>0</v>
      </c>
      <c r="E11" s="165">
        <f t="shared" si="0"/>
        <v>1</v>
      </c>
      <c r="F11" s="14" t="s">
        <v>839</v>
      </c>
      <c r="G11" s="178">
        <v>5</v>
      </c>
      <c r="H11" s="327">
        <v>0</v>
      </c>
      <c r="I11" s="107">
        <v>0</v>
      </c>
      <c r="J11" s="15">
        <f t="shared" si="1"/>
        <v>5</v>
      </c>
      <c r="K11" s="215" t="s">
        <v>440</v>
      </c>
      <c r="L11" s="165">
        <v>13</v>
      </c>
      <c r="M11" s="165">
        <v>18</v>
      </c>
      <c r="N11" s="169">
        <f>SUM(L11/M11)*100</f>
        <v>72.222222222222214</v>
      </c>
      <c r="O11" s="165" t="s">
        <v>8</v>
      </c>
      <c r="P11" s="165" t="s">
        <v>8</v>
      </c>
      <c r="Q11" s="169" t="s">
        <v>8</v>
      </c>
      <c r="R11" s="165">
        <v>-1</v>
      </c>
      <c r="S11" s="61">
        <v>6</v>
      </c>
      <c r="T11" s="61">
        <v>11</v>
      </c>
      <c r="U11" s="61">
        <v>55</v>
      </c>
      <c r="V11" s="61">
        <v>2</v>
      </c>
      <c r="W11" s="61">
        <v>4</v>
      </c>
      <c r="X11" s="61">
        <f>SUM(V11/W11)*100</f>
        <v>50</v>
      </c>
      <c r="AA11" s="271" t="s">
        <v>8</v>
      </c>
      <c r="AB11" s="61" t="s">
        <v>8</v>
      </c>
      <c r="AC11" s="61" t="s">
        <v>8</v>
      </c>
    </row>
    <row r="12" spans="1:29" ht="14.95" customHeight="1" thickBot="1" x14ac:dyDescent="0.3">
      <c r="A12" s="163" t="s">
        <v>269</v>
      </c>
      <c r="B12" s="176">
        <v>0</v>
      </c>
      <c r="C12" s="345">
        <v>0</v>
      </c>
      <c r="D12" s="167">
        <v>0</v>
      </c>
      <c r="E12" s="165">
        <f t="shared" si="0"/>
        <v>0</v>
      </c>
      <c r="F12" s="14" t="s">
        <v>269</v>
      </c>
      <c r="G12" s="178">
        <v>0</v>
      </c>
      <c r="H12" s="327">
        <v>0</v>
      </c>
      <c r="I12" s="107">
        <v>0</v>
      </c>
      <c r="J12" s="15">
        <f t="shared" si="1"/>
        <v>0</v>
      </c>
      <c r="K12" s="45"/>
      <c r="L12" s="45"/>
      <c r="M12" s="45"/>
      <c r="N12" s="45"/>
      <c r="O12" s="45"/>
      <c r="P12" s="45"/>
      <c r="Q12" s="45"/>
    </row>
    <row r="13" spans="1:29" ht="14.95" customHeight="1" thickBot="1" x14ac:dyDescent="0.3">
      <c r="A13" s="163" t="s">
        <v>540</v>
      </c>
      <c r="B13" s="176">
        <v>0</v>
      </c>
      <c r="C13" s="345">
        <v>4</v>
      </c>
      <c r="D13" s="167">
        <v>3</v>
      </c>
      <c r="E13" s="165">
        <f t="shared" si="0"/>
        <v>7</v>
      </c>
      <c r="F13" s="14" t="s">
        <v>540</v>
      </c>
      <c r="G13" s="178">
        <v>0</v>
      </c>
      <c r="H13" s="327">
        <v>20</v>
      </c>
      <c r="I13" s="107">
        <v>15</v>
      </c>
      <c r="J13" s="15">
        <f t="shared" si="1"/>
        <v>35</v>
      </c>
      <c r="K13" s="545" t="s">
        <v>837</v>
      </c>
      <c r="L13" s="433">
        <v>2025</v>
      </c>
      <c r="M13" s="434"/>
      <c r="N13" s="435"/>
      <c r="O13" s="447">
        <v>2024</v>
      </c>
      <c r="P13" s="448"/>
      <c r="Q13" s="449"/>
      <c r="R13" s="447">
        <v>2023</v>
      </c>
      <c r="S13" s="448"/>
      <c r="T13" s="449"/>
      <c r="U13" s="447">
        <v>2022</v>
      </c>
      <c r="V13" s="448"/>
      <c r="W13" s="449"/>
    </row>
    <row r="14" spans="1:29" ht="14.95" customHeight="1" thickBot="1" x14ac:dyDescent="0.3">
      <c r="A14" s="163" t="s">
        <v>406</v>
      </c>
      <c r="B14" s="176">
        <v>0</v>
      </c>
      <c r="C14" s="345">
        <v>0</v>
      </c>
      <c r="D14" s="167">
        <v>0</v>
      </c>
      <c r="E14" s="165">
        <f t="shared" si="0"/>
        <v>0</v>
      </c>
      <c r="F14" s="14" t="s">
        <v>406</v>
      </c>
      <c r="G14" s="178">
        <v>0</v>
      </c>
      <c r="H14" s="327">
        <v>0</v>
      </c>
      <c r="I14" s="107">
        <v>0</v>
      </c>
      <c r="J14" s="15">
        <f t="shared" si="1"/>
        <v>0</v>
      </c>
      <c r="K14" s="546"/>
      <c r="L14" s="436"/>
      <c r="M14" s="437"/>
      <c r="N14" s="438"/>
      <c r="O14" s="450"/>
      <c r="P14" s="451"/>
      <c r="Q14" s="452"/>
      <c r="R14" s="450"/>
      <c r="S14" s="451"/>
      <c r="T14" s="452"/>
      <c r="U14" s="450"/>
      <c r="V14" s="451"/>
      <c r="W14" s="452"/>
    </row>
    <row r="15" spans="1:29" ht="14.95" customHeight="1" thickBot="1" x14ac:dyDescent="0.3">
      <c r="A15" s="163" t="s">
        <v>378</v>
      </c>
      <c r="B15" s="176">
        <v>0</v>
      </c>
      <c r="C15" s="345">
        <v>0</v>
      </c>
      <c r="D15" s="167">
        <v>0</v>
      </c>
      <c r="E15" s="165">
        <f t="shared" si="0"/>
        <v>0</v>
      </c>
      <c r="F15" s="14" t="s">
        <v>378</v>
      </c>
      <c r="G15" s="178">
        <v>0</v>
      </c>
      <c r="H15" s="327">
        <v>0</v>
      </c>
      <c r="I15" s="107">
        <v>0</v>
      </c>
      <c r="J15" s="15">
        <f t="shared" si="1"/>
        <v>0</v>
      </c>
      <c r="K15" s="168"/>
      <c r="L15" s="29" t="s">
        <v>17</v>
      </c>
      <c r="M15" s="29" t="s">
        <v>5</v>
      </c>
      <c r="N15" s="29" t="s">
        <v>6</v>
      </c>
      <c r="O15" s="61" t="s">
        <v>17</v>
      </c>
      <c r="P15" s="61" t="s">
        <v>5</v>
      </c>
      <c r="Q15" s="61" t="s">
        <v>6</v>
      </c>
      <c r="R15" s="61" t="s">
        <v>17</v>
      </c>
      <c r="S15" s="61" t="s">
        <v>5</v>
      </c>
      <c r="T15" s="61" t="s">
        <v>6</v>
      </c>
      <c r="U15" s="61" t="s">
        <v>17</v>
      </c>
      <c r="V15" s="61" t="s">
        <v>5</v>
      </c>
      <c r="W15" s="61" t="s">
        <v>6</v>
      </c>
    </row>
    <row r="16" spans="1:29" ht="14.95" customHeight="1" thickBot="1" x14ac:dyDescent="0.3">
      <c r="A16" s="163" t="s">
        <v>379</v>
      </c>
      <c r="B16" s="176">
        <v>0</v>
      </c>
      <c r="C16" s="345">
        <v>2</v>
      </c>
      <c r="D16" s="167">
        <v>0</v>
      </c>
      <c r="E16" s="165">
        <f t="shared" si="0"/>
        <v>2</v>
      </c>
      <c r="F16" s="14" t="s">
        <v>379</v>
      </c>
      <c r="G16" s="178">
        <v>0</v>
      </c>
      <c r="H16" s="327">
        <v>10</v>
      </c>
      <c r="I16" s="107">
        <v>0</v>
      </c>
      <c r="J16" s="15">
        <f t="shared" si="1"/>
        <v>10</v>
      </c>
      <c r="K16" s="215" t="s">
        <v>377</v>
      </c>
      <c r="L16" s="165" t="s">
        <v>8</v>
      </c>
      <c r="M16" s="165" t="s">
        <v>8</v>
      </c>
      <c r="N16" s="169" t="s">
        <v>8</v>
      </c>
      <c r="O16" s="61">
        <v>7</v>
      </c>
      <c r="P16" s="61">
        <v>19</v>
      </c>
      <c r="Q16" s="120">
        <f>SUM(O16/P16)*100</f>
        <v>36.84210526315789</v>
      </c>
      <c r="R16" s="61">
        <v>3</v>
      </c>
      <c r="S16" s="61">
        <v>7</v>
      </c>
      <c r="T16" s="120">
        <f>SUM(R16/S16)*100</f>
        <v>42.857142857142854</v>
      </c>
      <c r="U16" s="61" t="s">
        <v>8</v>
      </c>
      <c r="V16" s="61" t="s">
        <v>8</v>
      </c>
      <c r="W16" s="61" t="s">
        <v>8</v>
      </c>
    </row>
    <row r="17" spans="1:23" ht="14.95" customHeight="1" thickBot="1" x14ac:dyDescent="0.3">
      <c r="A17" s="163" t="s">
        <v>275</v>
      </c>
      <c r="B17" s="176">
        <v>0</v>
      </c>
      <c r="C17" s="345">
        <v>0</v>
      </c>
      <c r="D17" s="167">
        <v>0</v>
      </c>
      <c r="E17" s="165">
        <f t="shared" si="0"/>
        <v>0</v>
      </c>
      <c r="F17" s="14" t="s">
        <v>275</v>
      </c>
      <c r="G17" s="178">
        <v>0</v>
      </c>
      <c r="H17" s="327">
        <v>0</v>
      </c>
      <c r="I17" s="107">
        <v>0</v>
      </c>
      <c r="J17" s="15">
        <f t="shared" si="1"/>
        <v>0</v>
      </c>
      <c r="K17" s="215" t="s">
        <v>501</v>
      </c>
      <c r="L17" s="165">
        <v>1</v>
      </c>
      <c r="M17" s="165">
        <v>1</v>
      </c>
      <c r="N17" s="169">
        <f>SUM(L17/M17)*100</f>
        <v>100</v>
      </c>
      <c r="O17" s="61" t="s">
        <v>8</v>
      </c>
      <c r="P17" s="61" t="s">
        <v>8</v>
      </c>
      <c r="Q17" s="120" t="s">
        <v>8</v>
      </c>
      <c r="R17" s="61" t="s">
        <v>8</v>
      </c>
      <c r="S17" s="61" t="s">
        <v>8</v>
      </c>
      <c r="T17" s="120" t="s">
        <v>8</v>
      </c>
      <c r="U17" s="61" t="s">
        <v>8</v>
      </c>
      <c r="V17" s="61" t="s">
        <v>8</v>
      </c>
      <c r="W17" s="120" t="s">
        <v>8</v>
      </c>
    </row>
    <row r="18" spans="1:23" ht="14.95" customHeight="1" thickBot="1" x14ac:dyDescent="0.3">
      <c r="A18" s="163" t="s">
        <v>273</v>
      </c>
      <c r="B18" s="176">
        <v>0</v>
      </c>
      <c r="C18" s="345">
        <v>0</v>
      </c>
      <c r="D18" s="167">
        <v>1</v>
      </c>
      <c r="E18" s="165">
        <f t="shared" si="0"/>
        <v>1</v>
      </c>
      <c r="F18" s="14" t="s">
        <v>273</v>
      </c>
      <c r="G18" s="178">
        <v>0</v>
      </c>
      <c r="H18" s="327">
        <v>0</v>
      </c>
      <c r="I18" s="107">
        <v>5</v>
      </c>
      <c r="J18" s="15">
        <f t="shared" si="1"/>
        <v>5</v>
      </c>
      <c r="K18" s="163" t="s">
        <v>275</v>
      </c>
      <c r="L18" s="165" t="s">
        <v>8</v>
      </c>
      <c r="M18" s="165" t="s">
        <v>8</v>
      </c>
      <c r="N18" s="169" t="s">
        <v>8</v>
      </c>
      <c r="O18" s="61" t="s">
        <v>8</v>
      </c>
      <c r="P18" s="61" t="s">
        <v>8</v>
      </c>
      <c r="Q18" s="120" t="s">
        <v>8</v>
      </c>
      <c r="R18" s="61" t="s">
        <v>8</v>
      </c>
      <c r="S18" s="61" t="s">
        <v>8</v>
      </c>
      <c r="T18" s="120" t="s">
        <v>8</v>
      </c>
      <c r="U18" s="61">
        <v>4</v>
      </c>
      <c r="V18" s="61">
        <v>6</v>
      </c>
      <c r="W18" s="120">
        <f>SUM(U18/V18)*100</f>
        <v>66.666666666666657</v>
      </c>
    </row>
    <row r="19" spans="1:23" ht="14.95" customHeight="1" thickBot="1" x14ac:dyDescent="0.3">
      <c r="A19" s="163" t="s">
        <v>380</v>
      </c>
      <c r="B19" s="176">
        <v>0</v>
      </c>
      <c r="C19" s="345">
        <v>1</v>
      </c>
      <c r="D19" s="167">
        <v>0</v>
      </c>
      <c r="E19" s="165">
        <f t="shared" si="0"/>
        <v>1</v>
      </c>
      <c r="F19" s="14" t="s">
        <v>380</v>
      </c>
      <c r="G19" s="178">
        <v>0</v>
      </c>
      <c r="H19" s="327">
        <v>5</v>
      </c>
      <c r="I19" s="107">
        <v>0</v>
      </c>
      <c r="J19" s="15">
        <f t="shared" si="1"/>
        <v>5</v>
      </c>
      <c r="K19" s="163" t="s">
        <v>273</v>
      </c>
      <c r="L19" s="165" t="s">
        <v>8</v>
      </c>
      <c r="M19" s="165" t="s">
        <v>8</v>
      </c>
      <c r="N19" s="169" t="s">
        <v>8</v>
      </c>
      <c r="O19" s="61" t="s">
        <v>8</v>
      </c>
      <c r="P19" s="61" t="s">
        <v>8</v>
      </c>
      <c r="Q19" s="120" t="s">
        <v>8</v>
      </c>
      <c r="R19" s="61" t="s">
        <v>8</v>
      </c>
      <c r="S19" s="61" t="s">
        <v>8</v>
      </c>
      <c r="T19" s="120" t="s">
        <v>8</v>
      </c>
      <c r="U19" s="61">
        <v>3</v>
      </c>
      <c r="V19" s="61">
        <v>3</v>
      </c>
      <c r="W19" s="120">
        <f>SUM(U19/V19)*100</f>
        <v>100</v>
      </c>
    </row>
    <row r="20" spans="1:23" ht="14.95" customHeight="1" thickBot="1" x14ac:dyDescent="0.3">
      <c r="A20" s="163" t="s">
        <v>449</v>
      </c>
      <c r="B20" s="176">
        <v>0</v>
      </c>
      <c r="C20" s="345">
        <v>0</v>
      </c>
      <c r="D20" s="167">
        <v>0</v>
      </c>
      <c r="E20" s="165">
        <f t="shared" si="0"/>
        <v>0</v>
      </c>
      <c r="F20" s="14" t="s">
        <v>449</v>
      </c>
      <c r="G20" s="178">
        <v>0</v>
      </c>
      <c r="H20" s="327">
        <v>0</v>
      </c>
      <c r="I20" s="107">
        <v>0</v>
      </c>
      <c r="J20" s="15">
        <f t="shared" si="1"/>
        <v>0</v>
      </c>
      <c r="K20" s="163" t="s">
        <v>379</v>
      </c>
      <c r="L20" s="165" t="s">
        <v>8</v>
      </c>
      <c r="M20" s="165" t="s">
        <v>8</v>
      </c>
      <c r="N20" s="169" t="s">
        <v>8</v>
      </c>
      <c r="O20" s="61" t="s">
        <v>8</v>
      </c>
      <c r="P20" s="61" t="s">
        <v>8</v>
      </c>
      <c r="Q20" s="120" t="s">
        <v>8</v>
      </c>
      <c r="R20" s="61">
        <v>12</v>
      </c>
      <c r="S20" s="61">
        <v>27</v>
      </c>
      <c r="T20" s="120">
        <f>SUM(R20/S20)*100</f>
        <v>44.444444444444443</v>
      </c>
      <c r="U20" s="61">
        <v>18</v>
      </c>
      <c r="V20" s="61">
        <v>29</v>
      </c>
      <c r="W20" s="120">
        <f>SUM(U20/V20)*100</f>
        <v>62.068965517241381</v>
      </c>
    </row>
    <row r="21" spans="1:23" ht="14.95" customHeight="1" thickBot="1" x14ac:dyDescent="0.3">
      <c r="A21" s="163" t="s">
        <v>267</v>
      </c>
      <c r="B21" s="176">
        <v>1</v>
      </c>
      <c r="C21" s="345">
        <v>0</v>
      </c>
      <c r="D21" s="167">
        <v>0</v>
      </c>
      <c r="E21" s="165">
        <f t="shared" si="0"/>
        <v>1</v>
      </c>
      <c r="F21" s="14" t="s">
        <v>267</v>
      </c>
      <c r="G21" s="178">
        <v>5</v>
      </c>
      <c r="H21" s="327">
        <v>0</v>
      </c>
      <c r="I21" s="107">
        <v>0</v>
      </c>
      <c r="J21" s="15">
        <f t="shared" si="1"/>
        <v>5</v>
      </c>
      <c r="K21" s="215" t="s">
        <v>265</v>
      </c>
      <c r="L21" s="165">
        <v>1</v>
      </c>
      <c r="M21" s="165">
        <v>2</v>
      </c>
      <c r="N21" s="169">
        <f>SUM(L21/M21)*100</f>
        <v>50</v>
      </c>
      <c r="O21" s="61" t="s">
        <v>8</v>
      </c>
      <c r="P21" s="61" t="s">
        <v>8</v>
      </c>
      <c r="Q21" s="120" t="s">
        <v>8</v>
      </c>
      <c r="R21" s="61" t="s">
        <v>8</v>
      </c>
      <c r="S21" s="61" t="s">
        <v>8</v>
      </c>
      <c r="T21" s="120" t="s">
        <v>8</v>
      </c>
      <c r="U21" s="61" t="s">
        <v>8</v>
      </c>
      <c r="V21" s="61" t="s">
        <v>8</v>
      </c>
      <c r="W21" s="120" t="s">
        <v>8</v>
      </c>
    </row>
    <row r="22" spans="1:23" ht="14.95" customHeight="1" thickBot="1" x14ac:dyDescent="0.3">
      <c r="A22" s="163" t="s">
        <v>381</v>
      </c>
      <c r="B22" s="176">
        <v>2</v>
      </c>
      <c r="C22" s="345">
        <v>2</v>
      </c>
      <c r="D22" s="167">
        <v>0</v>
      </c>
      <c r="E22" s="165">
        <f t="shared" si="0"/>
        <v>4</v>
      </c>
      <c r="F22" s="14" t="s">
        <v>381</v>
      </c>
      <c r="G22" s="178">
        <v>10</v>
      </c>
      <c r="H22" s="327">
        <v>10</v>
      </c>
      <c r="I22" s="107">
        <v>0</v>
      </c>
      <c r="J22" s="15">
        <f t="shared" si="1"/>
        <v>20</v>
      </c>
      <c r="K22" s="163" t="s">
        <v>385</v>
      </c>
      <c r="L22" s="165">
        <v>1</v>
      </c>
      <c r="M22" s="165">
        <v>1</v>
      </c>
      <c r="N22" s="169">
        <f>SUM(L22/M22)*100</f>
        <v>100</v>
      </c>
      <c r="O22" s="61" t="s">
        <v>8</v>
      </c>
      <c r="P22" s="61" t="s">
        <v>8</v>
      </c>
      <c r="Q22" s="120" t="s">
        <v>8</v>
      </c>
      <c r="R22" s="61" t="s">
        <v>8</v>
      </c>
      <c r="S22" s="61" t="s">
        <v>8</v>
      </c>
      <c r="T22" s="120" t="s">
        <v>8</v>
      </c>
      <c r="U22" s="61" t="s">
        <v>8</v>
      </c>
      <c r="V22" s="61" t="s">
        <v>8</v>
      </c>
      <c r="W22" s="120" t="s">
        <v>8</v>
      </c>
    </row>
    <row r="23" spans="1:23" ht="14.95" customHeight="1" thickBot="1" x14ac:dyDescent="0.3">
      <c r="A23" s="163" t="s">
        <v>700</v>
      </c>
      <c r="B23" s="176">
        <v>0</v>
      </c>
      <c r="C23" s="345">
        <v>3</v>
      </c>
      <c r="D23" s="167">
        <v>2</v>
      </c>
      <c r="E23" s="165">
        <f t="shared" si="0"/>
        <v>5</v>
      </c>
      <c r="F23" s="14" t="s">
        <v>700</v>
      </c>
      <c r="G23" s="178">
        <v>0</v>
      </c>
      <c r="H23" s="327">
        <v>15</v>
      </c>
      <c r="I23" s="107">
        <v>10</v>
      </c>
      <c r="J23" s="15">
        <f t="shared" si="1"/>
        <v>25</v>
      </c>
      <c r="K23" s="215" t="s">
        <v>440</v>
      </c>
      <c r="L23" s="165">
        <v>13</v>
      </c>
      <c r="M23" s="165">
        <v>18</v>
      </c>
      <c r="N23" s="169">
        <f>SUM(L23/M23)*100</f>
        <v>72.222222222222214</v>
      </c>
      <c r="O23" s="61">
        <v>5</v>
      </c>
      <c r="P23" s="61">
        <v>9</v>
      </c>
      <c r="Q23" s="120">
        <f>SUM(O23/P23)*100</f>
        <v>55.555555555555557</v>
      </c>
      <c r="R23" s="61">
        <v>-1</v>
      </c>
      <c r="S23" s="61">
        <v>1</v>
      </c>
      <c r="T23" s="61">
        <f>SUM(R23/S23)*100</f>
        <v>-100</v>
      </c>
      <c r="U23" s="61" t="s">
        <v>8</v>
      </c>
      <c r="V23" s="61" t="s">
        <v>8</v>
      </c>
      <c r="W23" s="61" t="s">
        <v>8</v>
      </c>
    </row>
    <row r="24" spans="1:23" ht="14.95" customHeight="1" thickBot="1" x14ac:dyDescent="0.3">
      <c r="A24" s="163" t="s">
        <v>276</v>
      </c>
      <c r="B24" s="176">
        <v>0</v>
      </c>
      <c r="C24" s="345">
        <v>0</v>
      </c>
      <c r="D24" s="167">
        <v>0</v>
      </c>
      <c r="E24" s="165">
        <f t="shared" si="0"/>
        <v>0</v>
      </c>
      <c r="F24" s="14" t="s">
        <v>276</v>
      </c>
      <c r="G24" s="178">
        <v>0</v>
      </c>
      <c r="H24" s="327">
        <v>0</v>
      </c>
      <c r="I24" s="107">
        <v>0</v>
      </c>
      <c r="J24" s="15">
        <f t="shared" si="1"/>
        <v>0</v>
      </c>
      <c r="O24" s="9"/>
      <c r="P24" s="9"/>
      <c r="Q24" s="9"/>
    </row>
    <row r="25" spans="1:23" ht="14.95" customHeight="1" thickBot="1" x14ac:dyDescent="0.3">
      <c r="A25" s="163" t="s">
        <v>439</v>
      </c>
      <c r="B25" s="176">
        <v>0</v>
      </c>
      <c r="C25" s="345">
        <v>0</v>
      </c>
      <c r="D25" s="167">
        <v>0</v>
      </c>
      <c r="E25" s="165">
        <f t="shared" si="0"/>
        <v>0</v>
      </c>
      <c r="F25" s="14" t="s">
        <v>439</v>
      </c>
      <c r="G25" s="178">
        <v>0</v>
      </c>
      <c r="H25" s="327">
        <v>0</v>
      </c>
      <c r="I25" s="107">
        <v>0</v>
      </c>
      <c r="J25" s="15">
        <f t="shared" si="1"/>
        <v>0</v>
      </c>
      <c r="K25" s="527" t="s">
        <v>351</v>
      </c>
      <c r="L25" s="539">
        <v>2025</v>
      </c>
      <c r="M25" s="540"/>
      <c r="N25" s="541"/>
      <c r="O25" s="447">
        <v>2022</v>
      </c>
      <c r="P25" s="448"/>
      <c r="Q25" s="449"/>
    </row>
    <row r="26" spans="1:23" ht="14.95" customHeight="1" thickBot="1" x14ac:dyDescent="0.3">
      <c r="A26" s="163" t="s">
        <v>272</v>
      </c>
      <c r="B26" s="176">
        <v>0</v>
      </c>
      <c r="C26" s="345">
        <v>1</v>
      </c>
      <c r="D26" s="167">
        <v>1</v>
      </c>
      <c r="E26" s="165">
        <f t="shared" si="0"/>
        <v>2</v>
      </c>
      <c r="F26" s="14" t="s">
        <v>272</v>
      </c>
      <c r="G26" s="178">
        <v>0</v>
      </c>
      <c r="H26" s="327">
        <v>5</v>
      </c>
      <c r="I26" s="107">
        <v>5</v>
      </c>
      <c r="J26" s="15">
        <f t="shared" si="1"/>
        <v>10</v>
      </c>
      <c r="K26" s="528"/>
      <c r="L26" s="542"/>
      <c r="M26" s="543"/>
      <c r="N26" s="544"/>
      <c r="O26" s="450"/>
      <c r="P26" s="451"/>
      <c r="Q26" s="452"/>
    </row>
    <row r="27" spans="1:23" ht="14.95" customHeight="1" thickBot="1" x14ac:dyDescent="0.3">
      <c r="A27" s="163" t="s">
        <v>629</v>
      </c>
      <c r="B27" s="176">
        <v>0</v>
      </c>
      <c r="C27" s="345">
        <v>0</v>
      </c>
      <c r="D27" s="167">
        <v>0</v>
      </c>
      <c r="E27" s="165">
        <f t="shared" si="0"/>
        <v>0</v>
      </c>
      <c r="F27" s="14" t="s">
        <v>629</v>
      </c>
      <c r="G27" s="178">
        <v>0</v>
      </c>
      <c r="H27" s="327">
        <v>0</v>
      </c>
      <c r="I27" s="107">
        <v>0</v>
      </c>
      <c r="J27" s="15">
        <f t="shared" si="1"/>
        <v>0</v>
      </c>
      <c r="K27" s="346"/>
      <c r="L27" s="273" t="s">
        <v>17</v>
      </c>
      <c r="M27" s="273" t="s">
        <v>5</v>
      </c>
      <c r="N27" s="273" t="s">
        <v>6</v>
      </c>
      <c r="O27" s="61" t="s">
        <v>17</v>
      </c>
      <c r="P27" s="61" t="s">
        <v>5</v>
      </c>
      <c r="Q27" s="61" t="s">
        <v>6</v>
      </c>
    </row>
    <row r="28" spans="1:23" ht="14.95" customHeight="1" thickBot="1" x14ac:dyDescent="0.3">
      <c r="A28" s="163" t="s">
        <v>890</v>
      </c>
      <c r="B28" s="176">
        <v>1</v>
      </c>
      <c r="C28" s="345">
        <v>0</v>
      </c>
      <c r="D28" s="167">
        <v>0</v>
      </c>
      <c r="E28" s="165">
        <f t="shared" si="0"/>
        <v>1</v>
      </c>
      <c r="F28" s="14" t="s">
        <v>890</v>
      </c>
      <c r="G28" s="178">
        <v>5</v>
      </c>
      <c r="H28" s="327">
        <v>0</v>
      </c>
      <c r="I28" s="107">
        <v>0</v>
      </c>
      <c r="J28" s="15">
        <f t="shared" si="1"/>
        <v>5</v>
      </c>
      <c r="K28" s="163" t="s">
        <v>501</v>
      </c>
      <c r="L28" s="165">
        <v>13</v>
      </c>
      <c r="M28" s="165">
        <v>20</v>
      </c>
      <c r="N28" s="169">
        <f>SUM(L28/M28)*100</f>
        <v>65</v>
      </c>
      <c r="O28" s="61" t="s">
        <v>8</v>
      </c>
      <c r="P28" s="61" t="s">
        <v>8</v>
      </c>
      <c r="Q28" s="120" t="s">
        <v>8</v>
      </c>
    </row>
    <row r="29" spans="1:23" ht="14.95" customHeight="1" thickBot="1" x14ac:dyDescent="0.3">
      <c r="A29" s="163" t="s">
        <v>841</v>
      </c>
      <c r="B29" s="176">
        <v>4</v>
      </c>
      <c r="C29" s="345">
        <v>0</v>
      </c>
      <c r="D29" s="167">
        <v>0</v>
      </c>
      <c r="E29" s="165">
        <f t="shared" si="0"/>
        <v>4</v>
      </c>
      <c r="F29" s="14" t="s">
        <v>841</v>
      </c>
      <c r="G29" s="178">
        <v>20</v>
      </c>
      <c r="H29" s="327">
        <v>0</v>
      </c>
      <c r="I29" s="107">
        <v>0</v>
      </c>
      <c r="J29" s="15">
        <f t="shared" si="1"/>
        <v>20</v>
      </c>
      <c r="K29" s="163" t="s">
        <v>275</v>
      </c>
      <c r="L29" s="165" t="s">
        <v>8</v>
      </c>
      <c r="M29" s="165" t="s">
        <v>8</v>
      </c>
      <c r="N29" s="169" t="s">
        <v>8</v>
      </c>
      <c r="O29" s="61">
        <v>0</v>
      </c>
      <c r="P29" s="61">
        <v>1</v>
      </c>
      <c r="Q29" s="120">
        <v>0</v>
      </c>
    </row>
    <row r="30" spans="1:23" ht="14.95" customHeight="1" thickBot="1" x14ac:dyDescent="0.3">
      <c r="A30" s="163" t="s">
        <v>268</v>
      </c>
      <c r="B30" s="176">
        <v>0</v>
      </c>
      <c r="C30" s="345">
        <v>0</v>
      </c>
      <c r="D30" s="167">
        <v>0</v>
      </c>
      <c r="E30" s="165">
        <f t="shared" si="0"/>
        <v>0</v>
      </c>
      <c r="F30" s="14" t="s">
        <v>268</v>
      </c>
      <c r="G30" s="178">
        <v>0</v>
      </c>
      <c r="H30" s="327">
        <v>0</v>
      </c>
      <c r="I30" s="107">
        <v>0</v>
      </c>
      <c r="J30" s="15">
        <f t="shared" si="1"/>
        <v>0</v>
      </c>
      <c r="K30" s="163" t="s">
        <v>379</v>
      </c>
      <c r="L30" s="165" t="s">
        <v>8</v>
      </c>
      <c r="M30" s="165" t="s">
        <v>8</v>
      </c>
      <c r="N30" s="169" t="s">
        <v>8</v>
      </c>
      <c r="O30" s="61">
        <v>3</v>
      </c>
      <c r="P30" s="61">
        <v>3</v>
      </c>
      <c r="Q30" s="120">
        <v>100</v>
      </c>
    </row>
    <row r="31" spans="1:23" ht="14.95" customHeight="1" thickBot="1" x14ac:dyDescent="0.3">
      <c r="A31" s="163" t="s">
        <v>265</v>
      </c>
      <c r="B31" s="176">
        <v>1</v>
      </c>
      <c r="C31" s="345">
        <v>0</v>
      </c>
      <c r="D31" s="167">
        <v>0</v>
      </c>
      <c r="E31" s="165">
        <f t="shared" si="0"/>
        <v>1</v>
      </c>
      <c r="F31" s="14" t="s">
        <v>265</v>
      </c>
      <c r="G31" s="178">
        <v>7</v>
      </c>
      <c r="H31" s="327">
        <v>0</v>
      </c>
      <c r="I31" s="107">
        <v>0</v>
      </c>
      <c r="J31" s="15">
        <f t="shared" si="1"/>
        <v>7</v>
      </c>
    </row>
    <row r="32" spans="1:23" ht="14.95" customHeight="1" thickBot="1" x14ac:dyDescent="0.3">
      <c r="A32" s="163" t="s">
        <v>274</v>
      </c>
      <c r="B32" s="176">
        <v>4</v>
      </c>
      <c r="C32" s="345">
        <v>2</v>
      </c>
      <c r="D32" s="167">
        <v>0</v>
      </c>
      <c r="E32" s="165">
        <f t="shared" si="0"/>
        <v>6</v>
      </c>
      <c r="F32" s="14" t="s">
        <v>274</v>
      </c>
      <c r="G32" s="178">
        <v>20</v>
      </c>
      <c r="H32" s="327">
        <v>10</v>
      </c>
      <c r="I32" s="107">
        <v>0</v>
      </c>
      <c r="J32" s="15">
        <f t="shared" si="1"/>
        <v>30</v>
      </c>
      <c r="K32" s="477" t="s">
        <v>509</v>
      </c>
      <c r="L32" s="447">
        <v>2024</v>
      </c>
      <c r="M32" s="448"/>
      <c r="N32" s="449"/>
      <c r="O32" s="447">
        <v>2023</v>
      </c>
      <c r="P32" s="448"/>
      <c r="Q32" s="449"/>
    </row>
    <row r="33" spans="1:17" ht="14.95" customHeight="1" thickBot="1" x14ac:dyDescent="0.3">
      <c r="A33" s="163" t="s">
        <v>382</v>
      </c>
      <c r="B33" s="176">
        <v>0</v>
      </c>
      <c r="C33" s="345">
        <v>0</v>
      </c>
      <c r="D33" s="167">
        <v>0</v>
      </c>
      <c r="E33" s="165">
        <f t="shared" si="0"/>
        <v>0</v>
      </c>
      <c r="F33" s="14" t="s">
        <v>382</v>
      </c>
      <c r="G33" s="178">
        <v>0</v>
      </c>
      <c r="H33" s="327">
        <v>0</v>
      </c>
      <c r="I33" s="107">
        <v>0</v>
      </c>
      <c r="J33" s="15">
        <f t="shared" si="1"/>
        <v>0</v>
      </c>
      <c r="K33" s="478"/>
      <c r="L33" s="450"/>
      <c r="M33" s="451"/>
      <c r="N33" s="452"/>
      <c r="O33" s="450"/>
      <c r="P33" s="451"/>
      <c r="Q33" s="452"/>
    </row>
    <row r="34" spans="1:17" ht="14.95" customHeight="1" thickBot="1" x14ac:dyDescent="0.3">
      <c r="A34" s="163" t="s">
        <v>277</v>
      </c>
      <c r="B34" s="176">
        <v>0</v>
      </c>
      <c r="C34" s="345">
        <v>0</v>
      </c>
      <c r="D34" s="167">
        <v>0</v>
      </c>
      <c r="E34" s="165">
        <f t="shared" si="0"/>
        <v>0</v>
      </c>
      <c r="F34" s="14" t="s">
        <v>277</v>
      </c>
      <c r="G34" s="178">
        <v>0</v>
      </c>
      <c r="H34" s="327">
        <v>0</v>
      </c>
      <c r="I34" s="107">
        <v>0</v>
      </c>
      <c r="J34" s="15">
        <f t="shared" si="1"/>
        <v>0</v>
      </c>
      <c r="K34" s="231"/>
      <c r="L34" s="61" t="s">
        <v>17</v>
      </c>
      <c r="M34" s="61" t="s">
        <v>5</v>
      </c>
      <c r="N34" s="61" t="s">
        <v>6</v>
      </c>
      <c r="O34" s="61" t="s">
        <v>17</v>
      </c>
      <c r="P34" s="61" t="s">
        <v>5</v>
      </c>
      <c r="Q34" s="61" t="s">
        <v>6</v>
      </c>
    </row>
    <row r="35" spans="1:17" ht="14.95" customHeight="1" thickBot="1" x14ac:dyDescent="0.3">
      <c r="A35" s="163" t="s">
        <v>212</v>
      </c>
      <c r="B35" s="176">
        <v>0</v>
      </c>
      <c r="C35" s="345">
        <v>0</v>
      </c>
      <c r="D35" s="167">
        <v>0</v>
      </c>
      <c r="E35" s="165">
        <f t="shared" si="0"/>
        <v>0</v>
      </c>
      <c r="F35" s="14" t="s">
        <v>212</v>
      </c>
      <c r="G35" s="178">
        <v>0</v>
      </c>
      <c r="H35" s="327">
        <v>0</v>
      </c>
      <c r="I35" s="107">
        <v>0</v>
      </c>
      <c r="J35" s="15">
        <f t="shared" si="1"/>
        <v>0</v>
      </c>
      <c r="K35" s="163" t="s">
        <v>377</v>
      </c>
      <c r="L35" s="61">
        <v>3</v>
      </c>
      <c r="M35" s="61">
        <v>5</v>
      </c>
      <c r="N35" s="120">
        <f>SUM(L35/M35)*100</f>
        <v>60</v>
      </c>
      <c r="O35" s="61" t="s">
        <v>8</v>
      </c>
      <c r="P35" s="61" t="s">
        <v>8</v>
      </c>
      <c r="Q35" s="120" t="s">
        <v>8</v>
      </c>
    </row>
    <row r="36" spans="1:17" ht="14.95" customHeight="1" thickBot="1" x14ac:dyDescent="0.3">
      <c r="A36" s="163" t="s">
        <v>383</v>
      </c>
      <c r="B36" s="176">
        <v>0</v>
      </c>
      <c r="C36" s="345">
        <v>0</v>
      </c>
      <c r="D36" s="167">
        <v>0</v>
      </c>
      <c r="E36" s="165">
        <f t="shared" si="0"/>
        <v>0</v>
      </c>
      <c r="F36" s="14" t="s">
        <v>383</v>
      </c>
      <c r="G36" s="178">
        <v>0</v>
      </c>
      <c r="H36" s="327">
        <v>0</v>
      </c>
      <c r="I36" s="107">
        <v>0</v>
      </c>
      <c r="J36" s="15">
        <f t="shared" si="1"/>
        <v>0</v>
      </c>
      <c r="K36" s="163" t="s">
        <v>379</v>
      </c>
      <c r="L36" s="61" t="s">
        <v>8</v>
      </c>
      <c r="M36" s="61" t="s">
        <v>8</v>
      </c>
      <c r="N36" s="120" t="s">
        <v>8</v>
      </c>
      <c r="O36" s="61">
        <v>10</v>
      </c>
      <c r="P36" s="61">
        <v>12</v>
      </c>
      <c r="Q36" s="120">
        <v>100</v>
      </c>
    </row>
    <row r="37" spans="1:17" ht="14.95" customHeight="1" thickBot="1" x14ac:dyDescent="0.3">
      <c r="A37" s="163" t="s">
        <v>385</v>
      </c>
      <c r="B37" s="176">
        <v>0</v>
      </c>
      <c r="C37" s="345">
        <v>0</v>
      </c>
      <c r="D37" s="167">
        <v>0</v>
      </c>
      <c r="E37" s="165">
        <f t="shared" si="0"/>
        <v>0</v>
      </c>
      <c r="F37" s="14" t="s">
        <v>385</v>
      </c>
      <c r="G37" s="178">
        <v>2</v>
      </c>
      <c r="H37" s="327">
        <v>0</v>
      </c>
      <c r="I37" s="107">
        <v>0</v>
      </c>
      <c r="J37" s="15">
        <f t="shared" si="1"/>
        <v>2</v>
      </c>
      <c r="K37" s="163" t="s">
        <v>236</v>
      </c>
      <c r="L37" s="61">
        <v>5</v>
      </c>
      <c r="M37" s="61">
        <v>7</v>
      </c>
      <c r="N37" s="120">
        <f>SUM(L37/M37)*100</f>
        <v>71.428571428571431</v>
      </c>
      <c r="O37" s="61" t="s">
        <v>8</v>
      </c>
      <c r="P37" s="61" t="s">
        <v>8</v>
      </c>
      <c r="Q37" s="120" t="s">
        <v>8</v>
      </c>
    </row>
    <row r="38" spans="1:17" ht="14.95" customHeight="1" thickBot="1" x14ac:dyDescent="0.3">
      <c r="A38" s="163" t="s">
        <v>384</v>
      </c>
      <c r="B38" s="176">
        <v>0</v>
      </c>
      <c r="C38" s="345">
        <v>0</v>
      </c>
      <c r="D38" s="167">
        <v>0</v>
      </c>
      <c r="E38" s="165">
        <f t="shared" si="0"/>
        <v>0</v>
      </c>
      <c r="F38" s="14" t="s">
        <v>384</v>
      </c>
      <c r="G38" s="178">
        <v>0</v>
      </c>
      <c r="H38" s="327">
        <v>0</v>
      </c>
      <c r="I38" s="107">
        <v>0</v>
      </c>
      <c r="J38" s="15">
        <f t="shared" si="1"/>
        <v>0</v>
      </c>
    </row>
    <row r="39" spans="1:17" ht="14.95" thickBot="1" x14ac:dyDescent="0.3">
      <c r="A39" s="163" t="s">
        <v>236</v>
      </c>
      <c r="B39" s="176">
        <v>0</v>
      </c>
      <c r="C39" s="345">
        <v>3</v>
      </c>
      <c r="D39" s="167">
        <v>0</v>
      </c>
      <c r="E39" s="165">
        <f t="shared" si="0"/>
        <v>3</v>
      </c>
      <c r="F39" s="14" t="s">
        <v>236</v>
      </c>
      <c r="G39" s="178">
        <v>0</v>
      </c>
      <c r="H39" s="327">
        <v>15</v>
      </c>
      <c r="I39" s="107">
        <v>0</v>
      </c>
      <c r="J39" s="15">
        <f t="shared" si="1"/>
        <v>15</v>
      </c>
    </row>
    <row r="40" spans="1:17" ht="14.95" thickBot="1" x14ac:dyDescent="0.3">
      <c r="A40" s="163" t="s">
        <v>508</v>
      </c>
      <c r="B40" s="176">
        <v>0</v>
      </c>
      <c r="C40" s="345">
        <v>0</v>
      </c>
      <c r="D40" s="167">
        <v>0</v>
      </c>
      <c r="E40" s="165">
        <f t="shared" si="0"/>
        <v>0</v>
      </c>
      <c r="F40" s="14" t="s">
        <v>508</v>
      </c>
      <c r="G40" s="178">
        <v>0</v>
      </c>
      <c r="H40" s="327">
        <v>0</v>
      </c>
      <c r="I40" s="107">
        <v>0</v>
      </c>
      <c r="J40" s="15">
        <f t="shared" si="1"/>
        <v>0</v>
      </c>
    </row>
    <row r="41" spans="1:17" ht="14.95" thickBot="1" x14ac:dyDescent="0.3">
      <c r="A41" s="163" t="s">
        <v>270</v>
      </c>
      <c r="B41" s="176">
        <v>0</v>
      </c>
      <c r="C41" s="345">
        <v>1</v>
      </c>
      <c r="D41" s="167">
        <v>2</v>
      </c>
      <c r="E41" s="165">
        <f t="shared" si="0"/>
        <v>3</v>
      </c>
      <c r="F41" s="14" t="s">
        <v>270</v>
      </c>
      <c r="G41" s="178">
        <v>0</v>
      </c>
      <c r="H41" s="327">
        <v>5</v>
      </c>
      <c r="I41" s="107">
        <v>10</v>
      </c>
      <c r="J41" s="15">
        <f t="shared" si="1"/>
        <v>15</v>
      </c>
    </row>
    <row r="42" spans="1:17" ht="14.95" thickBot="1" x14ac:dyDescent="0.3">
      <c r="A42" s="163" t="s">
        <v>705</v>
      </c>
      <c r="B42" s="176">
        <v>1</v>
      </c>
      <c r="C42" s="345">
        <v>0</v>
      </c>
      <c r="D42" s="167">
        <v>0</v>
      </c>
      <c r="E42" s="165">
        <f t="shared" si="0"/>
        <v>1</v>
      </c>
      <c r="F42" s="14" t="s">
        <v>705</v>
      </c>
      <c r="G42" s="178">
        <v>5</v>
      </c>
      <c r="H42" s="327">
        <v>0</v>
      </c>
      <c r="I42" s="107">
        <v>0</v>
      </c>
      <c r="J42" s="15">
        <f t="shared" si="1"/>
        <v>5</v>
      </c>
    </row>
    <row r="43" spans="1:17" ht="14.95" customHeight="1" thickBot="1" x14ac:dyDescent="0.3">
      <c r="A43" s="163" t="s">
        <v>840</v>
      </c>
      <c r="B43" s="176">
        <v>3</v>
      </c>
      <c r="C43" s="345">
        <v>0</v>
      </c>
      <c r="D43" s="167">
        <v>0</v>
      </c>
      <c r="E43" s="165">
        <f t="shared" si="0"/>
        <v>3</v>
      </c>
      <c r="F43" s="14" t="s">
        <v>840</v>
      </c>
      <c r="G43" s="178">
        <v>15</v>
      </c>
      <c r="H43" s="327">
        <v>0</v>
      </c>
      <c r="I43" s="107">
        <v>0</v>
      </c>
      <c r="J43" s="15">
        <f t="shared" si="1"/>
        <v>15</v>
      </c>
    </row>
    <row r="44" spans="1:17" ht="14.95" thickBot="1" x14ac:dyDescent="0.3">
      <c r="A44" s="163" t="s">
        <v>615</v>
      </c>
      <c r="B44" s="176">
        <v>0</v>
      </c>
      <c r="C44" s="345">
        <v>0</v>
      </c>
      <c r="D44" s="167">
        <v>0</v>
      </c>
      <c r="E44" s="165">
        <f t="shared" si="0"/>
        <v>0</v>
      </c>
      <c r="F44" s="14" t="s">
        <v>615</v>
      </c>
      <c r="G44" s="178">
        <v>0</v>
      </c>
      <c r="H44" s="327">
        <v>0</v>
      </c>
      <c r="I44" s="107">
        <v>0</v>
      </c>
      <c r="J44" s="15">
        <f t="shared" si="1"/>
        <v>0</v>
      </c>
    </row>
    <row r="45" spans="1:17" ht="14.95" thickBot="1" x14ac:dyDescent="0.3">
      <c r="A45" s="163" t="s">
        <v>440</v>
      </c>
      <c r="B45" s="176">
        <v>0</v>
      </c>
      <c r="C45" s="345">
        <v>0</v>
      </c>
      <c r="D45" s="167">
        <v>0</v>
      </c>
      <c r="E45" s="165">
        <f t="shared" si="0"/>
        <v>0</v>
      </c>
      <c r="F45" s="14" t="s">
        <v>440</v>
      </c>
      <c r="G45" s="178">
        <v>26</v>
      </c>
      <c r="H45" s="327">
        <v>0</v>
      </c>
      <c r="I45" s="107">
        <v>0</v>
      </c>
      <c r="J45" s="15">
        <f t="shared" si="1"/>
        <v>26</v>
      </c>
    </row>
    <row r="46" spans="1:17" ht="14.95" thickBot="1" x14ac:dyDescent="0.3">
      <c r="A46" s="163" t="s">
        <v>3</v>
      </c>
      <c r="B46" s="176">
        <f>SUM(B3:B45)</f>
        <v>22</v>
      </c>
      <c r="C46" s="345">
        <f>SUM(C3:C45)</f>
        <v>19</v>
      </c>
      <c r="D46" s="167">
        <f>SUM(D3:D45)</f>
        <v>12</v>
      </c>
      <c r="E46" s="165">
        <f t="shared" si="0"/>
        <v>53</v>
      </c>
      <c r="F46" s="170" t="s">
        <v>3</v>
      </c>
      <c r="G46" s="179">
        <f>SUM(G3:G45)</f>
        <v>142</v>
      </c>
      <c r="H46" s="328">
        <f>SUM(H3:H45)</f>
        <v>122</v>
      </c>
      <c r="I46" s="106">
        <f>SUM(I3:I45)</f>
        <v>73</v>
      </c>
      <c r="J46" s="72">
        <f t="shared" si="1"/>
        <v>337</v>
      </c>
    </row>
    <row r="47" spans="1:17" x14ac:dyDescent="0.25">
      <c r="A47" s="22"/>
      <c r="B47" s="192"/>
      <c r="C47" s="192"/>
      <c r="D47" s="193"/>
      <c r="E47" s="21"/>
      <c r="F47" s="22"/>
      <c r="G47" s="192"/>
      <c r="H47" s="192"/>
      <c r="I47" s="194"/>
      <c r="J47" s="21"/>
    </row>
    <row r="48" spans="1:17" ht="14.95" thickBot="1" x14ac:dyDescent="0.3">
      <c r="A48" s="547" t="s">
        <v>7</v>
      </c>
      <c r="B48" s="497"/>
      <c r="C48" s="497"/>
      <c r="D48" s="497"/>
    </row>
    <row r="49" spans="1:10" ht="14.95" thickBot="1" x14ac:dyDescent="0.3">
      <c r="A49" s="162" t="s">
        <v>0</v>
      </c>
      <c r="B49" s="175" t="s">
        <v>444</v>
      </c>
      <c r="C49" s="344" t="s">
        <v>734</v>
      </c>
      <c r="D49" s="166" t="s">
        <v>11</v>
      </c>
      <c r="E49" s="164" t="s">
        <v>1</v>
      </c>
      <c r="F49" s="71" t="s">
        <v>2</v>
      </c>
      <c r="G49" s="177" t="s">
        <v>444</v>
      </c>
      <c r="H49" s="326" t="s">
        <v>734</v>
      </c>
      <c r="I49" s="106" t="s">
        <v>11</v>
      </c>
      <c r="J49" s="72" t="s">
        <v>1</v>
      </c>
    </row>
    <row r="50" spans="1:10" ht="14.95" thickBot="1" x14ac:dyDescent="0.3">
      <c r="A50" s="163" t="s">
        <v>540</v>
      </c>
      <c r="B50" s="176">
        <v>0</v>
      </c>
      <c r="C50" s="345">
        <v>4</v>
      </c>
      <c r="D50" s="167">
        <v>3</v>
      </c>
      <c r="E50" s="165">
        <f t="shared" ref="E50:E92" si="4">SUM(B50:D50)</f>
        <v>7</v>
      </c>
      <c r="F50" s="13" t="s">
        <v>501</v>
      </c>
      <c r="G50" s="178">
        <v>17</v>
      </c>
      <c r="H50" s="327">
        <v>27</v>
      </c>
      <c r="I50" s="107">
        <v>5</v>
      </c>
      <c r="J50" s="15">
        <f t="shared" ref="J50:J92" si="5">SUM(G50:I50)</f>
        <v>49</v>
      </c>
    </row>
    <row r="51" spans="1:10" ht="14.95" thickBot="1" x14ac:dyDescent="0.3">
      <c r="A51" s="163" t="s">
        <v>274</v>
      </c>
      <c r="B51" s="176">
        <v>4</v>
      </c>
      <c r="C51" s="345">
        <v>2</v>
      </c>
      <c r="D51" s="167">
        <v>0</v>
      </c>
      <c r="E51" s="165">
        <f t="shared" si="4"/>
        <v>6</v>
      </c>
      <c r="F51" s="13" t="s">
        <v>540</v>
      </c>
      <c r="G51" s="178">
        <v>0</v>
      </c>
      <c r="H51" s="327">
        <v>20</v>
      </c>
      <c r="I51" s="107">
        <v>15</v>
      </c>
      <c r="J51" s="15">
        <f t="shared" si="5"/>
        <v>35</v>
      </c>
    </row>
    <row r="52" spans="1:10" ht="14.95" thickBot="1" x14ac:dyDescent="0.3">
      <c r="A52" s="163" t="s">
        <v>700</v>
      </c>
      <c r="B52" s="176">
        <v>0</v>
      </c>
      <c r="C52" s="345">
        <v>3</v>
      </c>
      <c r="D52" s="167">
        <v>2</v>
      </c>
      <c r="E52" s="165">
        <f t="shared" si="4"/>
        <v>5</v>
      </c>
      <c r="F52" s="14" t="s">
        <v>274</v>
      </c>
      <c r="G52" s="178">
        <v>20</v>
      </c>
      <c r="H52" s="327">
        <v>10</v>
      </c>
      <c r="I52" s="107">
        <v>0</v>
      </c>
      <c r="J52" s="15">
        <f t="shared" si="5"/>
        <v>30</v>
      </c>
    </row>
    <row r="53" spans="1:10" ht="14.95" thickBot="1" x14ac:dyDescent="0.3">
      <c r="A53" s="163" t="s">
        <v>501</v>
      </c>
      <c r="B53" s="176">
        <v>3</v>
      </c>
      <c r="C53" s="345">
        <v>0</v>
      </c>
      <c r="D53" s="167">
        <v>1</v>
      </c>
      <c r="E53" s="165">
        <f t="shared" si="4"/>
        <v>4</v>
      </c>
      <c r="F53" s="14" t="s">
        <v>440</v>
      </c>
      <c r="G53" s="178">
        <v>26</v>
      </c>
      <c r="H53" s="327">
        <v>0</v>
      </c>
      <c r="I53" s="107">
        <v>0</v>
      </c>
      <c r="J53" s="15">
        <f t="shared" si="5"/>
        <v>26</v>
      </c>
    </row>
    <row r="54" spans="1:10" ht="14.95" thickBot="1" x14ac:dyDescent="0.3">
      <c r="A54" s="163" t="s">
        <v>381</v>
      </c>
      <c r="B54" s="176">
        <v>2</v>
      </c>
      <c r="C54" s="345">
        <v>2</v>
      </c>
      <c r="D54" s="167">
        <v>0</v>
      </c>
      <c r="E54" s="165">
        <f t="shared" si="4"/>
        <v>4</v>
      </c>
      <c r="F54" s="14" t="s">
        <v>700</v>
      </c>
      <c r="G54" s="178">
        <v>0</v>
      </c>
      <c r="H54" s="327">
        <v>15</v>
      </c>
      <c r="I54" s="107">
        <v>10</v>
      </c>
      <c r="J54" s="15">
        <f t="shared" si="5"/>
        <v>25</v>
      </c>
    </row>
    <row r="55" spans="1:10" ht="14.95" thickBot="1" x14ac:dyDescent="0.3">
      <c r="A55" s="163" t="s">
        <v>841</v>
      </c>
      <c r="B55" s="176">
        <v>4</v>
      </c>
      <c r="C55" s="345">
        <v>0</v>
      </c>
      <c r="D55" s="167">
        <v>0</v>
      </c>
      <c r="E55" s="165">
        <f t="shared" si="4"/>
        <v>4</v>
      </c>
      <c r="F55" s="14" t="s">
        <v>377</v>
      </c>
      <c r="G55" s="178">
        <v>0</v>
      </c>
      <c r="H55" s="327">
        <v>0</v>
      </c>
      <c r="I55" s="107">
        <v>23</v>
      </c>
      <c r="J55" s="15">
        <f t="shared" si="5"/>
        <v>23</v>
      </c>
    </row>
    <row r="56" spans="1:10" ht="14.95" thickBot="1" x14ac:dyDescent="0.3">
      <c r="A56" s="163" t="s">
        <v>236</v>
      </c>
      <c r="B56" s="176">
        <v>0</v>
      </c>
      <c r="C56" s="345">
        <v>3</v>
      </c>
      <c r="D56" s="167">
        <v>0</v>
      </c>
      <c r="E56" s="165">
        <f t="shared" si="4"/>
        <v>3</v>
      </c>
      <c r="F56" s="14" t="s">
        <v>381</v>
      </c>
      <c r="G56" s="178">
        <v>10</v>
      </c>
      <c r="H56" s="327">
        <v>10</v>
      </c>
      <c r="I56" s="107">
        <v>0</v>
      </c>
      <c r="J56" s="15">
        <f t="shared" si="5"/>
        <v>20</v>
      </c>
    </row>
    <row r="57" spans="1:10" ht="14.95" thickBot="1" x14ac:dyDescent="0.3">
      <c r="A57" s="163" t="s">
        <v>270</v>
      </c>
      <c r="B57" s="176">
        <v>0</v>
      </c>
      <c r="C57" s="345">
        <v>1</v>
      </c>
      <c r="D57" s="167">
        <v>2</v>
      </c>
      <c r="E57" s="165">
        <f t="shared" si="4"/>
        <v>3</v>
      </c>
      <c r="F57" s="14" t="s">
        <v>841</v>
      </c>
      <c r="G57" s="178">
        <v>20</v>
      </c>
      <c r="H57" s="327">
        <v>0</v>
      </c>
      <c r="I57" s="107">
        <v>0</v>
      </c>
      <c r="J57" s="15">
        <f t="shared" si="5"/>
        <v>20</v>
      </c>
    </row>
    <row r="58" spans="1:10" ht="14.95" thickBot="1" x14ac:dyDescent="0.3">
      <c r="A58" s="163" t="s">
        <v>840</v>
      </c>
      <c r="B58" s="176">
        <v>3</v>
      </c>
      <c r="C58" s="345">
        <v>0</v>
      </c>
      <c r="D58" s="167">
        <v>0</v>
      </c>
      <c r="E58" s="165">
        <f t="shared" si="4"/>
        <v>3</v>
      </c>
      <c r="F58" s="14" t="s">
        <v>236</v>
      </c>
      <c r="G58" s="178">
        <v>0</v>
      </c>
      <c r="H58" s="327">
        <v>15</v>
      </c>
      <c r="I58" s="107">
        <v>0</v>
      </c>
      <c r="J58" s="15">
        <f t="shared" si="5"/>
        <v>15</v>
      </c>
    </row>
    <row r="59" spans="1:10" ht="14.95" thickBot="1" x14ac:dyDescent="0.3">
      <c r="A59" s="163" t="s">
        <v>377</v>
      </c>
      <c r="B59" s="176">
        <v>0</v>
      </c>
      <c r="C59" s="345">
        <v>0</v>
      </c>
      <c r="D59" s="167">
        <v>2</v>
      </c>
      <c r="E59" s="165">
        <f t="shared" si="4"/>
        <v>2</v>
      </c>
      <c r="F59" s="14" t="s">
        <v>270</v>
      </c>
      <c r="G59" s="178">
        <v>0</v>
      </c>
      <c r="H59" s="327">
        <v>5</v>
      </c>
      <c r="I59" s="107">
        <v>10</v>
      </c>
      <c r="J59" s="15">
        <f t="shared" si="5"/>
        <v>15</v>
      </c>
    </row>
    <row r="60" spans="1:10" ht="14.95" thickBot="1" x14ac:dyDescent="0.3">
      <c r="A60" s="163" t="s">
        <v>379</v>
      </c>
      <c r="B60" s="176">
        <v>0</v>
      </c>
      <c r="C60" s="345">
        <v>2</v>
      </c>
      <c r="D60" s="167">
        <v>0</v>
      </c>
      <c r="E60" s="165">
        <f t="shared" si="4"/>
        <v>2</v>
      </c>
      <c r="F60" s="14" t="s">
        <v>840</v>
      </c>
      <c r="G60" s="178">
        <v>15</v>
      </c>
      <c r="H60" s="327">
        <v>0</v>
      </c>
      <c r="I60" s="107">
        <v>0</v>
      </c>
      <c r="J60" s="15">
        <f t="shared" si="5"/>
        <v>15</v>
      </c>
    </row>
    <row r="61" spans="1:10" ht="14.95" thickBot="1" x14ac:dyDescent="0.3">
      <c r="A61" s="163" t="s">
        <v>272</v>
      </c>
      <c r="B61" s="176">
        <v>0</v>
      </c>
      <c r="C61" s="345">
        <v>1</v>
      </c>
      <c r="D61" s="167">
        <v>1</v>
      </c>
      <c r="E61" s="165">
        <f t="shared" si="4"/>
        <v>2</v>
      </c>
      <c r="F61" s="14" t="s">
        <v>379</v>
      </c>
      <c r="G61" s="178">
        <v>0</v>
      </c>
      <c r="H61" s="327">
        <v>10</v>
      </c>
      <c r="I61" s="107">
        <v>0</v>
      </c>
      <c r="J61" s="15">
        <f t="shared" si="5"/>
        <v>10</v>
      </c>
    </row>
    <row r="62" spans="1:10" ht="14.95" thickBot="1" x14ac:dyDescent="0.3">
      <c r="A62" s="163" t="s">
        <v>838</v>
      </c>
      <c r="B62" s="176">
        <v>1</v>
      </c>
      <c r="C62" s="345">
        <v>0</v>
      </c>
      <c r="D62" s="167">
        <v>0</v>
      </c>
      <c r="E62" s="165">
        <f t="shared" si="4"/>
        <v>1</v>
      </c>
      <c r="F62" s="14" t="s">
        <v>272</v>
      </c>
      <c r="G62" s="178">
        <v>0</v>
      </c>
      <c r="H62" s="327">
        <v>5</v>
      </c>
      <c r="I62" s="107">
        <v>5</v>
      </c>
      <c r="J62" s="15">
        <f t="shared" si="5"/>
        <v>10</v>
      </c>
    </row>
    <row r="63" spans="1:10" ht="14.95" thickBot="1" x14ac:dyDescent="0.3">
      <c r="A63" s="163" t="s">
        <v>839</v>
      </c>
      <c r="B63" s="176">
        <v>1</v>
      </c>
      <c r="C63" s="345">
        <v>0</v>
      </c>
      <c r="D63" s="167">
        <v>0</v>
      </c>
      <c r="E63" s="165">
        <f t="shared" si="4"/>
        <v>1</v>
      </c>
      <c r="F63" s="14" t="s">
        <v>265</v>
      </c>
      <c r="G63" s="178">
        <v>7</v>
      </c>
      <c r="H63" s="327">
        <v>0</v>
      </c>
      <c r="I63" s="107">
        <v>0</v>
      </c>
      <c r="J63" s="15">
        <f t="shared" si="5"/>
        <v>7</v>
      </c>
    </row>
    <row r="64" spans="1:10" ht="14.95" thickBot="1" x14ac:dyDescent="0.3">
      <c r="A64" s="163" t="s">
        <v>273</v>
      </c>
      <c r="B64" s="176">
        <v>0</v>
      </c>
      <c r="C64" s="345">
        <v>0</v>
      </c>
      <c r="D64" s="167">
        <v>1</v>
      </c>
      <c r="E64" s="165">
        <f t="shared" si="4"/>
        <v>1</v>
      </c>
      <c r="F64" s="14" t="s">
        <v>838</v>
      </c>
      <c r="G64" s="178">
        <v>5</v>
      </c>
      <c r="H64" s="327">
        <v>0</v>
      </c>
      <c r="I64" s="107">
        <v>0</v>
      </c>
      <c r="J64" s="15">
        <f t="shared" si="5"/>
        <v>5</v>
      </c>
    </row>
    <row r="65" spans="1:10" ht="14.95" thickBot="1" x14ac:dyDescent="0.3">
      <c r="A65" s="163" t="s">
        <v>380</v>
      </c>
      <c r="B65" s="176">
        <v>0</v>
      </c>
      <c r="C65" s="345">
        <v>1</v>
      </c>
      <c r="D65" s="167">
        <v>0</v>
      </c>
      <c r="E65" s="165">
        <f t="shared" si="4"/>
        <v>1</v>
      </c>
      <c r="F65" s="14" t="s">
        <v>839</v>
      </c>
      <c r="G65" s="178">
        <v>5</v>
      </c>
      <c r="H65" s="327">
        <v>0</v>
      </c>
      <c r="I65" s="107">
        <v>0</v>
      </c>
      <c r="J65" s="15">
        <f t="shared" si="5"/>
        <v>5</v>
      </c>
    </row>
    <row r="66" spans="1:10" ht="14.95" thickBot="1" x14ac:dyDescent="0.3">
      <c r="A66" s="163" t="s">
        <v>267</v>
      </c>
      <c r="B66" s="176">
        <v>1</v>
      </c>
      <c r="C66" s="345">
        <v>0</v>
      </c>
      <c r="D66" s="167">
        <v>0</v>
      </c>
      <c r="E66" s="165">
        <f t="shared" si="4"/>
        <v>1</v>
      </c>
      <c r="F66" s="14" t="s">
        <v>273</v>
      </c>
      <c r="G66" s="178">
        <v>0</v>
      </c>
      <c r="H66" s="327">
        <v>0</v>
      </c>
      <c r="I66" s="107">
        <v>5</v>
      </c>
      <c r="J66" s="15">
        <f t="shared" si="5"/>
        <v>5</v>
      </c>
    </row>
    <row r="67" spans="1:10" ht="14.95" thickBot="1" x14ac:dyDescent="0.3">
      <c r="A67" s="163" t="s">
        <v>890</v>
      </c>
      <c r="B67" s="176">
        <v>1</v>
      </c>
      <c r="C67" s="345">
        <v>0</v>
      </c>
      <c r="D67" s="167">
        <v>0</v>
      </c>
      <c r="E67" s="165">
        <f t="shared" si="4"/>
        <v>1</v>
      </c>
      <c r="F67" s="14" t="s">
        <v>380</v>
      </c>
      <c r="G67" s="178">
        <v>0</v>
      </c>
      <c r="H67" s="327">
        <v>5</v>
      </c>
      <c r="I67" s="107">
        <v>0</v>
      </c>
      <c r="J67" s="15">
        <f t="shared" si="5"/>
        <v>5</v>
      </c>
    </row>
    <row r="68" spans="1:10" ht="14.95" thickBot="1" x14ac:dyDescent="0.3">
      <c r="A68" s="163" t="s">
        <v>265</v>
      </c>
      <c r="B68" s="176">
        <v>1</v>
      </c>
      <c r="C68" s="345">
        <v>0</v>
      </c>
      <c r="D68" s="167">
        <v>0</v>
      </c>
      <c r="E68" s="165">
        <f t="shared" si="4"/>
        <v>1</v>
      </c>
      <c r="F68" s="14" t="s">
        <v>267</v>
      </c>
      <c r="G68" s="178">
        <v>5</v>
      </c>
      <c r="H68" s="327">
        <v>0</v>
      </c>
      <c r="I68" s="107">
        <v>0</v>
      </c>
      <c r="J68" s="15">
        <f t="shared" si="5"/>
        <v>5</v>
      </c>
    </row>
    <row r="69" spans="1:10" ht="14.95" thickBot="1" x14ac:dyDescent="0.3">
      <c r="A69" s="163" t="s">
        <v>705</v>
      </c>
      <c r="B69" s="176">
        <v>1</v>
      </c>
      <c r="C69" s="345">
        <v>0</v>
      </c>
      <c r="D69" s="167">
        <v>0</v>
      </c>
      <c r="E69" s="165">
        <f t="shared" si="4"/>
        <v>1</v>
      </c>
      <c r="F69" s="14" t="s">
        <v>890</v>
      </c>
      <c r="G69" s="178">
        <v>5</v>
      </c>
      <c r="H69" s="327">
        <v>0</v>
      </c>
      <c r="I69" s="107">
        <v>0</v>
      </c>
      <c r="J69" s="15">
        <f t="shared" si="5"/>
        <v>5</v>
      </c>
    </row>
    <row r="70" spans="1:10" ht="14.95" thickBot="1" x14ac:dyDescent="0.3">
      <c r="A70" s="163" t="s">
        <v>375</v>
      </c>
      <c r="B70" s="176">
        <v>0</v>
      </c>
      <c r="C70" s="345">
        <v>0</v>
      </c>
      <c r="D70" s="167">
        <v>0</v>
      </c>
      <c r="E70" s="165">
        <f t="shared" si="4"/>
        <v>0</v>
      </c>
      <c r="F70" s="14" t="s">
        <v>705</v>
      </c>
      <c r="G70" s="178">
        <v>5</v>
      </c>
      <c r="H70" s="327">
        <v>0</v>
      </c>
      <c r="I70" s="107">
        <v>0</v>
      </c>
      <c r="J70" s="15">
        <f t="shared" si="5"/>
        <v>5</v>
      </c>
    </row>
    <row r="71" spans="1:10" ht="14.95" thickBot="1" x14ac:dyDescent="0.3">
      <c r="A71" s="163" t="s">
        <v>266</v>
      </c>
      <c r="B71" s="176">
        <v>0</v>
      </c>
      <c r="C71" s="345">
        <v>0</v>
      </c>
      <c r="D71" s="167">
        <v>0</v>
      </c>
      <c r="E71" s="165">
        <f t="shared" si="4"/>
        <v>0</v>
      </c>
      <c r="F71" s="14" t="s">
        <v>385</v>
      </c>
      <c r="G71" s="178">
        <v>2</v>
      </c>
      <c r="H71" s="327">
        <v>0</v>
      </c>
      <c r="I71" s="107">
        <v>0</v>
      </c>
      <c r="J71" s="15">
        <f t="shared" si="5"/>
        <v>2</v>
      </c>
    </row>
    <row r="72" spans="1:10" ht="14.95" thickBot="1" x14ac:dyDescent="0.3">
      <c r="A72" s="163" t="s">
        <v>376</v>
      </c>
      <c r="B72" s="176">
        <v>0</v>
      </c>
      <c r="C72" s="345">
        <v>0</v>
      </c>
      <c r="D72" s="167">
        <v>0</v>
      </c>
      <c r="E72" s="165">
        <f t="shared" si="4"/>
        <v>0</v>
      </c>
      <c r="F72" s="14" t="s">
        <v>375</v>
      </c>
      <c r="G72" s="178">
        <v>0</v>
      </c>
      <c r="H72" s="327">
        <v>0</v>
      </c>
      <c r="I72" s="107">
        <v>0</v>
      </c>
      <c r="J72" s="15">
        <f t="shared" si="5"/>
        <v>0</v>
      </c>
    </row>
    <row r="73" spans="1:10" ht="14.95" thickBot="1" x14ac:dyDescent="0.3">
      <c r="A73" s="163" t="s">
        <v>271</v>
      </c>
      <c r="B73" s="176">
        <v>0</v>
      </c>
      <c r="C73" s="345">
        <v>0</v>
      </c>
      <c r="D73" s="167">
        <v>0</v>
      </c>
      <c r="E73" s="165">
        <f t="shared" si="4"/>
        <v>0</v>
      </c>
      <c r="F73" s="14" t="s">
        <v>266</v>
      </c>
      <c r="G73" s="178">
        <v>0</v>
      </c>
      <c r="H73" s="327">
        <v>0</v>
      </c>
      <c r="I73" s="107">
        <v>0</v>
      </c>
      <c r="J73" s="15">
        <f t="shared" si="5"/>
        <v>0</v>
      </c>
    </row>
    <row r="74" spans="1:10" ht="14.95" thickBot="1" x14ac:dyDescent="0.3">
      <c r="A74" s="163" t="s">
        <v>502</v>
      </c>
      <c r="B74" s="176">
        <v>0</v>
      </c>
      <c r="C74" s="345">
        <v>0</v>
      </c>
      <c r="D74" s="167">
        <v>0</v>
      </c>
      <c r="E74" s="165">
        <f t="shared" si="4"/>
        <v>0</v>
      </c>
      <c r="F74" s="14" t="s">
        <v>376</v>
      </c>
      <c r="G74" s="178">
        <v>0</v>
      </c>
      <c r="H74" s="327">
        <v>0</v>
      </c>
      <c r="I74" s="107">
        <v>0</v>
      </c>
      <c r="J74" s="15">
        <f t="shared" si="5"/>
        <v>0</v>
      </c>
    </row>
    <row r="75" spans="1:10" ht="14.95" thickBot="1" x14ac:dyDescent="0.3">
      <c r="A75" s="163" t="s">
        <v>269</v>
      </c>
      <c r="B75" s="176">
        <v>0</v>
      </c>
      <c r="C75" s="345">
        <v>0</v>
      </c>
      <c r="D75" s="167">
        <v>0</v>
      </c>
      <c r="E75" s="165">
        <f t="shared" si="4"/>
        <v>0</v>
      </c>
      <c r="F75" s="14" t="s">
        <v>271</v>
      </c>
      <c r="G75" s="178">
        <v>0</v>
      </c>
      <c r="H75" s="327">
        <v>0</v>
      </c>
      <c r="I75" s="107">
        <v>0</v>
      </c>
      <c r="J75" s="15">
        <f t="shared" si="5"/>
        <v>0</v>
      </c>
    </row>
    <row r="76" spans="1:10" ht="14.95" thickBot="1" x14ac:dyDescent="0.3">
      <c r="A76" s="163" t="s">
        <v>406</v>
      </c>
      <c r="B76" s="176">
        <v>0</v>
      </c>
      <c r="C76" s="345">
        <v>0</v>
      </c>
      <c r="D76" s="167">
        <v>0</v>
      </c>
      <c r="E76" s="165">
        <f t="shared" si="4"/>
        <v>0</v>
      </c>
      <c r="F76" s="14" t="s">
        <v>502</v>
      </c>
      <c r="G76" s="178">
        <v>0</v>
      </c>
      <c r="H76" s="327">
        <v>0</v>
      </c>
      <c r="I76" s="107">
        <v>0</v>
      </c>
      <c r="J76" s="15">
        <f t="shared" si="5"/>
        <v>0</v>
      </c>
    </row>
    <row r="77" spans="1:10" ht="14.95" thickBot="1" x14ac:dyDescent="0.3">
      <c r="A77" s="163" t="s">
        <v>378</v>
      </c>
      <c r="B77" s="176">
        <v>0</v>
      </c>
      <c r="C77" s="345">
        <v>0</v>
      </c>
      <c r="D77" s="167">
        <v>0</v>
      </c>
      <c r="E77" s="165">
        <f t="shared" si="4"/>
        <v>0</v>
      </c>
      <c r="F77" s="14" t="s">
        <v>269</v>
      </c>
      <c r="G77" s="178">
        <v>0</v>
      </c>
      <c r="H77" s="327">
        <v>0</v>
      </c>
      <c r="I77" s="107">
        <v>0</v>
      </c>
      <c r="J77" s="15">
        <f t="shared" si="5"/>
        <v>0</v>
      </c>
    </row>
    <row r="78" spans="1:10" ht="14.95" thickBot="1" x14ac:dyDescent="0.3">
      <c r="A78" s="163" t="s">
        <v>275</v>
      </c>
      <c r="B78" s="176">
        <v>0</v>
      </c>
      <c r="C78" s="345">
        <v>0</v>
      </c>
      <c r="D78" s="167">
        <v>0</v>
      </c>
      <c r="E78" s="165">
        <f t="shared" si="4"/>
        <v>0</v>
      </c>
      <c r="F78" s="14" t="s">
        <v>406</v>
      </c>
      <c r="G78" s="178">
        <v>0</v>
      </c>
      <c r="H78" s="327">
        <v>0</v>
      </c>
      <c r="I78" s="107">
        <v>0</v>
      </c>
      <c r="J78" s="15">
        <f t="shared" si="5"/>
        <v>0</v>
      </c>
    </row>
    <row r="79" spans="1:10" ht="14.95" thickBot="1" x14ac:dyDescent="0.3">
      <c r="A79" s="163" t="s">
        <v>449</v>
      </c>
      <c r="B79" s="176">
        <v>0</v>
      </c>
      <c r="C79" s="345">
        <v>0</v>
      </c>
      <c r="D79" s="167">
        <v>0</v>
      </c>
      <c r="E79" s="165">
        <f t="shared" si="4"/>
        <v>0</v>
      </c>
      <c r="F79" s="14" t="s">
        <v>378</v>
      </c>
      <c r="G79" s="178">
        <v>0</v>
      </c>
      <c r="H79" s="327">
        <v>0</v>
      </c>
      <c r="I79" s="107">
        <v>0</v>
      </c>
      <c r="J79" s="15">
        <f t="shared" si="5"/>
        <v>0</v>
      </c>
    </row>
    <row r="80" spans="1:10" ht="14.95" thickBot="1" x14ac:dyDescent="0.3">
      <c r="A80" s="163" t="s">
        <v>276</v>
      </c>
      <c r="B80" s="176">
        <v>0</v>
      </c>
      <c r="C80" s="345">
        <v>0</v>
      </c>
      <c r="D80" s="167">
        <v>0</v>
      </c>
      <c r="E80" s="165">
        <f t="shared" si="4"/>
        <v>0</v>
      </c>
      <c r="F80" s="14" t="s">
        <v>275</v>
      </c>
      <c r="G80" s="178">
        <v>0</v>
      </c>
      <c r="H80" s="327">
        <v>0</v>
      </c>
      <c r="I80" s="107">
        <v>0</v>
      </c>
      <c r="J80" s="15">
        <f t="shared" si="5"/>
        <v>0</v>
      </c>
    </row>
    <row r="81" spans="1:10" ht="14.95" thickBot="1" x14ac:dyDescent="0.3">
      <c r="A81" s="163" t="s">
        <v>439</v>
      </c>
      <c r="B81" s="176">
        <v>0</v>
      </c>
      <c r="C81" s="345">
        <v>0</v>
      </c>
      <c r="D81" s="167">
        <v>0</v>
      </c>
      <c r="E81" s="165">
        <f t="shared" si="4"/>
        <v>0</v>
      </c>
      <c r="F81" s="14" t="s">
        <v>449</v>
      </c>
      <c r="G81" s="178">
        <v>0</v>
      </c>
      <c r="H81" s="327">
        <v>0</v>
      </c>
      <c r="I81" s="107">
        <v>0</v>
      </c>
      <c r="J81" s="15">
        <f t="shared" si="5"/>
        <v>0</v>
      </c>
    </row>
    <row r="82" spans="1:10" ht="14.95" thickBot="1" x14ac:dyDescent="0.3">
      <c r="A82" s="163" t="s">
        <v>629</v>
      </c>
      <c r="B82" s="176">
        <v>0</v>
      </c>
      <c r="C82" s="345">
        <v>0</v>
      </c>
      <c r="D82" s="167">
        <v>0</v>
      </c>
      <c r="E82" s="165">
        <f t="shared" si="4"/>
        <v>0</v>
      </c>
      <c r="F82" s="14" t="s">
        <v>276</v>
      </c>
      <c r="G82" s="178">
        <v>0</v>
      </c>
      <c r="H82" s="327">
        <v>0</v>
      </c>
      <c r="I82" s="107">
        <v>0</v>
      </c>
      <c r="J82" s="15">
        <f t="shared" si="5"/>
        <v>0</v>
      </c>
    </row>
    <row r="83" spans="1:10" ht="14.95" thickBot="1" x14ac:dyDescent="0.3">
      <c r="A83" s="163" t="s">
        <v>268</v>
      </c>
      <c r="B83" s="176">
        <v>0</v>
      </c>
      <c r="C83" s="345">
        <v>0</v>
      </c>
      <c r="D83" s="167">
        <v>0</v>
      </c>
      <c r="E83" s="165">
        <f t="shared" si="4"/>
        <v>0</v>
      </c>
      <c r="F83" s="14" t="s">
        <v>439</v>
      </c>
      <c r="G83" s="178">
        <v>0</v>
      </c>
      <c r="H83" s="327">
        <v>0</v>
      </c>
      <c r="I83" s="107">
        <v>0</v>
      </c>
      <c r="J83" s="15">
        <f t="shared" si="5"/>
        <v>0</v>
      </c>
    </row>
    <row r="84" spans="1:10" ht="14.95" thickBot="1" x14ac:dyDescent="0.3">
      <c r="A84" s="163" t="s">
        <v>382</v>
      </c>
      <c r="B84" s="176">
        <v>0</v>
      </c>
      <c r="C84" s="345">
        <v>0</v>
      </c>
      <c r="D84" s="167">
        <v>0</v>
      </c>
      <c r="E84" s="165">
        <f t="shared" si="4"/>
        <v>0</v>
      </c>
      <c r="F84" s="14" t="s">
        <v>629</v>
      </c>
      <c r="G84" s="178">
        <v>0</v>
      </c>
      <c r="H84" s="327">
        <v>0</v>
      </c>
      <c r="I84" s="107">
        <v>0</v>
      </c>
      <c r="J84" s="15">
        <f t="shared" si="5"/>
        <v>0</v>
      </c>
    </row>
    <row r="85" spans="1:10" ht="14.95" thickBot="1" x14ac:dyDescent="0.3">
      <c r="A85" s="163" t="s">
        <v>277</v>
      </c>
      <c r="B85" s="176">
        <v>0</v>
      </c>
      <c r="C85" s="345">
        <v>0</v>
      </c>
      <c r="D85" s="167">
        <v>0</v>
      </c>
      <c r="E85" s="165">
        <f t="shared" si="4"/>
        <v>0</v>
      </c>
      <c r="F85" s="14" t="s">
        <v>268</v>
      </c>
      <c r="G85" s="178">
        <v>0</v>
      </c>
      <c r="H85" s="327">
        <v>0</v>
      </c>
      <c r="I85" s="107">
        <v>0</v>
      </c>
      <c r="J85" s="15">
        <f t="shared" si="5"/>
        <v>0</v>
      </c>
    </row>
    <row r="86" spans="1:10" ht="14.95" thickBot="1" x14ac:dyDescent="0.3">
      <c r="A86" s="163" t="s">
        <v>212</v>
      </c>
      <c r="B86" s="176">
        <v>0</v>
      </c>
      <c r="C86" s="345">
        <v>0</v>
      </c>
      <c r="D86" s="167">
        <v>0</v>
      </c>
      <c r="E86" s="165">
        <f t="shared" si="4"/>
        <v>0</v>
      </c>
      <c r="F86" s="14" t="s">
        <v>382</v>
      </c>
      <c r="G86" s="178">
        <v>0</v>
      </c>
      <c r="H86" s="327">
        <v>0</v>
      </c>
      <c r="I86" s="107">
        <v>0</v>
      </c>
      <c r="J86" s="15">
        <f t="shared" si="5"/>
        <v>0</v>
      </c>
    </row>
    <row r="87" spans="1:10" ht="14.95" thickBot="1" x14ac:dyDescent="0.3">
      <c r="A87" s="163" t="s">
        <v>383</v>
      </c>
      <c r="B87" s="176">
        <v>0</v>
      </c>
      <c r="C87" s="345">
        <v>0</v>
      </c>
      <c r="D87" s="167">
        <v>0</v>
      </c>
      <c r="E87" s="165">
        <f t="shared" si="4"/>
        <v>0</v>
      </c>
      <c r="F87" s="14" t="s">
        <v>277</v>
      </c>
      <c r="G87" s="178">
        <v>0</v>
      </c>
      <c r="H87" s="327">
        <v>0</v>
      </c>
      <c r="I87" s="107">
        <v>0</v>
      </c>
      <c r="J87" s="15">
        <f t="shared" si="5"/>
        <v>0</v>
      </c>
    </row>
    <row r="88" spans="1:10" ht="14.95" thickBot="1" x14ac:dyDescent="0.3">
      <c r="A88" s="163" t="s">
        <v>385</v>
      </c>
      <c r="B88" s="176">
        <v>0</v>
      </c>
      <c r="C88" s="345">
        <v>0</v>
      </c>
      <c r="D88" s="167">
        <v>0</v>
      </c>
      <c r="E88" s="165">
        <f t="shared" si="4"/>
        <v>0</v>
      </c>
      <c r="F88" s="14" t="s">
        <v>212</v>
      </c>
      <c r="G88" s="178">
        <v>0</v>
      </c>
      <c r="H88" s="327">
        <v>0</v>
      </c>
      <c r="I88" s="107">
        <v>0</v>
      </c>
      <c r="J88" s="15">
        <f t="shared" si="5"/>
        <v>0</v>
      </c>
    </row>
    <row r="89" spans="1:10" ht="14.95" thickBot="1" x14ac:dyDescent="0.3">
      <c r="A89" s="163" t="s">
        <v>384</v>
      </c>
      <c r="B89" s="176">
        <v>0</v>
      </c>
      <c r="C89" s="345">
        <v>0</v>
      </c>
      <c r="D89" s="167">
        <v>0</v>
      </c>
      <c r="E89" s="165">
        <f t="shared" si="4"/>
        <v>0</v>
      </c>
      <c r="F89" s="14" t="s">
        <v>383</v>
      </c>
      <c r="G89" s="178">
        <v>0</v>
      </c>
      <c r="H89" s="327">
        <v>0</v>
      </c>
      <c r="I89" s="107">
        <v>0</v>
      </c>
      <c r="J89" s="15">
        <f t="shared" si="5"/>
        <v>0</v>
      </c>
    </row>
    <row r="90" spans="1:10" ht="14.95" thickBot="1" x14ac:dyDescent="0.3">
      <c r="A90" s="163" t="s">
        <v>508</v>
      </c>
      <c r="B90" s="176">
        <v>0</v>
      </c>
      <c r="C90" s="345">
        <v>0</v>
      </c>
      <c r="D90" s="167">
        <v>0</v>
      </c>
      <c r="E90" s="165">
        <f t="shared" si="4"/>
        <v>0</v>
      </c>
      <c r="F90" s="14" t="s">
        <v>384</v>
      </c>
      <c r="G90" s="178">
        <v>0</v>
      </c>
      <c r="H90" s="327">
        <v>0</v>
      </c>
      <c r="I90" s="107">
        <v>0</v>
      </c>
      <c r="J90" s="15">
        <f t="shared" si="5"/>
        <v>0</v>
      </c>
    </row>
    <row r="91" spans="1:10" ht="14.95" thickBot="1" x14ac:dyDescent="0.3">
      <c r="A91" s="163" t="s">
        <v>615</v>
      </c>
      <c r="B91" s="176">
        <v>0</v>
      </c>
      <c r="C91" s="345">
        <v>0</v>
      </c>
      <c r="D91" s="167">
        <v>0</v>
      </c>
      <c r="E91" s="165">
        <f t="shared" si="4"/>
        <v>0</v>
      </c>
      <c r="F91" s="14" t="s">
        <v>508</v>
      </c>
      <c r="G91" s="178">
        <v>0</v>
      </c>
      <c r="H91" s="327">
        <v>0</v>
      </c>
      <c r="I91" s="107">
        <v>0</v>
      </c>
      <c r="J91" s="15">
        <f t="shared" si="5"/>
        <v>0</v>
      </c>
    </row>
    <row r="92" spans="1:10" ht="14.95" thickBot="1" x14ac:dyDescent="0.3">
      <c r="A92" s="163" t="s">
        <v>440</v>
      </c>
      <c r="B92" s="176">
        <v>0</v>
      </c>
      <c r="C92" s="345">
        <v>0</v>
      </c>
      <c r="D92" s="167">
        <v>0</v>
      </c>
      <c r="E92" s="165">
        <f t="shared" si="4"/>
        <v>0</v>
      </c>
      <c r="F92" s="14" t="s">
        <v>615</v>
      </c>
      <c r="G92" s="178">
        <v>0</v>
      </c>
      <c r="H92" s="327">
        <v>0</v>
      </c>
      <c r="I92" s="107">
        <v>0</v>
      </c>
      <c r="J92" s="15">
        <f t="shared" si="5"/>
        <v>0</v>
      </c>
    </row>
    <row r="93" spans="1:10" ht="14.95" thickBot="1" x14ac:dyDescent="0.3">
      <c r="A93" s="163" t="s">
        <v>3</v>
      </c>
      <c r="B93" s="176">
        <f>SUM(B50:B92)</f>
        <v>22</v>
      </c>
      <c r="C93" s="345">
        <f>SUM(C50:C92)</f>
        <v>19</v>
      </c>
      <c r="D93" s="167">
        <f>SUM(D50:D92)</f>
        <v>12</v>
      </c>
      <c r="E93" s="165">
        <f t="shared" ref="E93" si="6">SUM(B93:D93)</f>
        <v>53</v>
      </c>
      <c r="F93" s="170" t="s">
        <v>3</v>
      </c>
      <c r="G93" s="179">
        <f>SUM(G50:G92)</f>
        <v>142</v>
      </c>
      <c r="H93" s="328">
        <f>SUM(H50:H92)</f>
        <v>122</v>
      </c>
      <c r="I93" s="106">
        <f>SUM(I50:I92)</f>
        <v>73</v>
      </c>
      <c r="J93" s="72">
        <f t="shared" ref="J93" si="7">SUM(G93:I93)</f>
        <v>337</v>
      </c>
    </row>
    <row r="94" spans="1:10" ht="16.3" x14ac:dyDescent="0.3">
      <c r="A94" s="455" t="s">
        <v>10</v>
      </c>
      <c r="B94" s="456"/>
      <c r="C94" s="456"/>
      <c r="D94" s="456"/>
    </row>
  </sheetData>
  <sortState xmlns:xlrd2="http://schemas.microsoft.com/office/spreadsheetml/2017/richdata2" ref="F50:J92">
    <sortCondition descending="1" ref="J50:J92"/>
  </sortState>
  <mergeCells count="21">
    <mergeCell ref="O32:Q33"/>
    <mergeCell ref="V1:X2"/>
    <mergeCell ref="U13:W14"/>
    <mergeCell ref="A94:D94"/>
    <mergeCell ref="K25:K26"/>
    <mergeCell ref="L25:N26"/>
    <mergeCell ref="R1:R2"/>
    <mergeCell ref="K13:K14"/>
    <mergeCell ref="L13:N14"/>
    <mergeCell ref="A48:D48"/>
    <mergeCell ref="A1:J1"/>
    <mergeCell ref="K1:K2"/>
    <mergeCell ref="L1:N2"/>
    <mergeCell ref="O1:Q2"/>
    <mergeCell ref="K32:K33"/>
    <mergeCell ref="L32:N33"/>
    <mergeCell ref="AA1:AC2"/>
    <mergeCell ref="O13:Q14"/>
    <mergeCell ref="O25:Q26"/>
    <mergeCell ref="S1:U2"/>
    <mergeCell ref="R13:T1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7915-576F-4CC9-B954-0C4C0989AD8B}">
  <dimension ref="A1:R64"/>
  <sheetViews>
    <sheetView workbookViewId="0">
      <selection activeCell="K74" sqref="K74"/>
    </sheetView>
  </sheetViews>
  <sheetFormatPr defaultRowHeight="14.3" x14ac:dyDescent="0.25"/>
  <cols>
    <col min="1" max="1" width="16.75" customWidth="1"/>
    <col min="2" max="5" width="4.5" customWidth="1"/>
    <col min="6" max="6" width="16.75" customWidth="1"/>
    <col min="7" max="10" width="4.5" customWidth="1"/>
    <col min="11" max="11" width="16.625" customWidth="1"/>
    <col min="12" max="24" width="5.625" customWidth="1"/>
  </cols>
  <sheetData>
    <row r="1" spans="1:18" ht="14.95" customHeight="1" thickBot="1" x14ac:dyDescent="0.3">
      <c r="A1" s="551" t="s">
        <v>916</v>
      </c>
      <c r="B1" s="552"/>
      <c r="C1" s="552"/>
      <c r="D1" s="552"/>
      <c r="E1" s="552"/>
      <c r="F1" s="552"/>
      <c r="G1" s="552"/>
      <c r="H1" s="552"/>
      <c r="I1" s="552"/>
      <c r="J1" s="553"/>
      <c r="K1" s="554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</row>
    <row r="2" spans="1:18" ht="14.95" customHeight="1" thickBot="1" x14ac:dyDescent="0.3">
      <c r="A2" s="274" t="s">
        <v>0</v>
      </c>
      <c r="B2" s="137" t="s">
        <v>780</v>
      </c>
      <c r="C2" s="181" t="s">
        <v>734</v>
      </c>
      <c r="D2" s="76" t="s">
        <v>11</v>
      </c>
      <c r="E2" s="406" t="s">
        <v>1</v>
      </c>
      <c r="F2" s="276" t="s">
        <v>2</v>
      </c>
      <c r="G2" s="139" t="s">
        <v>780</v>
      </c>
      <c r="H2" s="106" t="s">
        <v>734</v>
      </c>
      <c r="I2" s="72" t="s">
        <v>11</v>
      </c>
      <c r="J2" s="80" t="s">
        <v>1</v>
      </c>
      <c r="K2" s="555"/>
      <c r="L2" s="436"/>
      <c r="M2" s="437"/>
      <c r="N2" s="438"/>
      <c r="O2" s="436"/>
      <c r="P2" s="437"/>
      <c r="Q2" s="438"/>
      <c r="R2" s="454"/>
    </row>
    <row r="3" spans="1:18" ht="14.95" customHeight="1" thickBot="1" x14ac:dyDescent="0.3">
      <c r="A3" s="275" t="s">
        <v>905</v>
      </c>
      <c r="B3" s="138">
        <v>1</v>
      </c>
      <c r="C3" s="407">
        <v>1</v>
      </c>
      <c r="D3" s="41">
        <v>1</v>
      </c>
      <c r="E3" s="280">
        <f t="shared" ref="E3:E31" si="0">SUM(B3:D3)</f>
        <v>3</v>
      </c>
      <c r="F3" s="277" t="s">
        <v>905</v>
      </c>
      <c r="G3" s="140">
        <v>5</v>
      </c>
      <c r="H3" s="408">
        <v>5</v>
      </c>
      <c r="I3" s="15">
        <v>5</v>
      </c>
      <c r="J3" s="69">
        <f t="shared" ref="J3:J31" si="1">SUM(G3:I3)</f>
        <v>15</v>
      </c>
      <c r="K3" s="172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275" t="s">
        <v>963</v>
      </c>
      <c r="B4" s="138">
        <v>0</v>
      </c>
      <c r="C4" s="407">
        <v>1</v>
      </c>
      <c r="D4" s="41">
        <v>0</v>
      </c>
      <c r="E4" s="280">
        <f t="shared" si="0"/>
        <v>1</v>
      </c>
      <c r="F4" s="277" t="s">
        <v>963</v>
      </c>
      <c r="G4" s="140">
        <v>0</v>
      </c>
      <c r="H4" s="408">
        <v>5</v>
      </c>
      <c r="I4" s="15">
        <v>0</v>
      </c>
      <c r="J4" s="69">
        <f t="shared" si="1"/>
        <v>5</v>
      </c>
      <c r="K4" s="275" t="s">
        <v>782</v>
      </c>
      <c r="L4" s="280">
        <v>22</v>
      </c>
      <c r="M4" s="280">
        <v>33</v>
      </c>
      <c r="N4" s="281">
        <f t="shared" ref="N4:N7" si="2">SUM(L4/M4)*100</f>
        <v>66.666666666666657</v>
      </c>
      <c r="O4" s="280">
        <v>2</v>
      </c>
      <c r="P4" s="280">
        <v>2</v>
      </c>
      <c r="Q4" s="281">
        <f t="shared" ref="Q4" si="3">SUM(O4/P4)*100</f>
        <v>100</v>
      </c>
      <c r="R4" s="283">
        <v>2</v>
      </c>
    </row>
    <row r="5" spans="1:18" ht="14.95" customHeight="1" thickBot="1" x14ac:dyDescent="0.3">
      <c r="A5" s="275" t="s">
        <v>782</v>
      </c>
      <c r="B5" s="138">
        <v>0</v>
      </c>
      <c r="C5" s="407">
        <v>0</v>
      </c>
      <c r="D5" s="41">
        <v>1</v>
      </c>
      <c r="E5" s="280">
        <f t="shared" si="0"/>
        <v>1</v>
      </c>
      <c r="F5" s="277" t="s">
        <v>782</v>
      </c>
      <c r="G5" s="140">
        <v>16</v>
      </c>
      <c r="H5" s="408">
        <v>9</v>
      </c>
      <c r="I5" s="15">
        <v>28</v>
      </c>
      <c r="J5" s="69">
        <f t="shared" si="1"/>
        <v>53</v>
      </c>
      <c r="K5" s="275" t="s">
        <v>932</v>
      </c>
      <c r="L5" s="280">
        <v>7</v>
      </c>
      <c r="M5" s="280">
        <v>11</v>
      </c>
      <c r="N5" s="281">
        <f t="shared" si="2"/>
        <v>63.636363636363633</v>
      </c>
      <c r="O5" s="280" t="s">
        <v>8</v>
      </c>
      <c r="P5" s="280" t="s">
        <v>8</v>
      </c>
      <c r="Q5" s="281" t="s">
        <v>8</v>
      </c>
      <c r="R5" s="282">
        <v>2</v>
      </c>
    </row>
    <row r="6" spans="1:18" ht="14.95" customHeight="1" thickBot="1" x14ac:dyDescent="0.3">
      <c r="A6" s="275" t="s">
        <v>934</v>
      </c>
      <c r="B6" s="138">
        <v>1</v>
      </c>
      <c r="C6" s="407">
        <v>2</v>
      </c>
      <c r="D6" s="41">
        <v>0</v>
      </c>
      <c r="E6" s="280">
        <f t="shared" si="0"/>
        <v>3</v>
      </c>
      <c r="F6" s="277" t="s">
        <v>934</v>
      </c>
      <c r="G6" s="140">
        <v>5</v>
      </c>
      <c r="H6" s="408">
        <v>10</v>
      </c>
      <c r="I6" s="15">
        <v>0</v>
      </c>
      <c r="J6" s="69">
        <f t="shared" si="1"/>
        <v>15</v>
      </c>
      <c r="K6" s="275" t="s">
        <v>927</v>
      </c>
      <c r="L6" s="280">
        <v>3</v>
      </c>
      <c r="M6" s="280">
        <v>3</v>
      </c>
      <c r="N6" s="281">
        <f t="shared" si="2"/>
        <v>100</v>
      </c>
      <c r="O6" s="280">
        <v>1</v>
      </c>
      <c r="P6" s="280">
        <v>1</v>
      </c>
      <c r="Q6" s="281">
        <f t="shared" ref="Q6" si="4">SUM(O6/P6)*100</f>
        <v>100</v>
      </c>
      <c r="R6" s="282">
        <v>3</v>
      </c>
    </row>
    <row r="7" spans="1:18" ht="14.95" customHeight="1" thickBot="1" x14ac:dyDescent="0.3">
      <c r="A7" s="275" t="s">
        <v>933</v>
      </c>
      <c r="B7" s="138">
        <v>1</v>
      </c>
      <c r="C7" s="407">
        <v>0</v>
      </c>
      <c r="D7" s="41">
        <v>0</v>
      </c>
      <c r="E7" s="280">
        <f t="shared" ref="E7:E8" si="5">SUM(B7:D7)</f>
        <v>1</v>
      </c>
      <c r="F7" s="277" t="s">
        <v>933</v>
      </c>
      <c r="G7" s="140">
        <v>5</v>
      </c>
      <c r="H7" s="408">
        <v>0</v>
      </c>
      <c r="I7" s="15">
        <v>0</v>
      </c>
      <c r="J7" s="69">
        <f t="shared" ref="J7:J8" si="6">SUM(G7:I7)</f>
        <v>5</v>
      </c>
      <c r="K7" s="275" t="s">
        <v>717</v>
      </c>
      <c r="L7" s="280">
        <v>0</v>
      </c>
      <c r="M7" s="280">
        <v>1</v>
      </c>
      <c r="N7" s="281">
        <f t="shared" si="2"/>
        <v>0</v>
      </c>
      <c r="O7" s="280" t="s">
        <v>8</v>
      </c>
      <c r="P7" s="280" t="s">
        <v>8</v>
      </c>
      <c r="Q7" s="281" t="s">
        <v>8</v>
      </c>
      <c r="R7" s="282">
        <v>-1</v>
      </c>
    </row>
    <row r="8" spans="1:18" ht="14.95" customHeight="1" thickBot="1" x14ac:dyDescent="0.3">
      <c r="A8" s="275" t="s">
        <v>898</v>
      </c>
      <c r="B8" s="138">
        <v>0</v>
      </c>
      <c r="C8" s="407">
        <v>1</v>
      </c>
      <c r="D8" s="41">
        <v>1</v>
      </c>
      <c r="E8" s="280">
        <f t="shared" si="5"/>
        <v>2</v>
      </c>
      <c r="F8" s="278" t="s">
        <v>898</v>
      </c>
      <c r="G8" s="140">
        <v>0</v>
      </c>
      <c r="H8" s="408">
        <v>5</v>
      </c>
      <c r="I8" s="15">
        <v>5</v>
      </c>
      <c r="J8" s="69">
        <f t="shared" si="6"/>
        <v>10</v>
      </c>
      <c r="O8" s="9"/>
      <c r="P8" s="9"/>
      <c r="Q8" s="9"/>
    </row>
    <row r="9" spans="1:18" ht="14.95" customHeight="1" thickBot="1" x14ac:dyDescent="0.3">
      <c r="A9" s="275" t="s">
        <v>937</v>
      </c>
      <c r="B9" s="138">
        <v>0</v>
      </c>
      <c r="C9" s="407">
        <v>0</v>
      </c>
      <c r="D9" s="41">
        <v>0</v>
      </c>
      <c r="E9" s="280">
        <f t="shared" si="0"/>
        <v>0</v>
      </c>
      <c r="F9" s="278" t="s">
        <v>937</v>
      </c>
      <c r="G9" s="140">
        <v>0</v>
      </c>
      <c r="H9" s="408">
        <v>0</v>
      </c>
      <c r="I9" s="15">
        <v>0</v>
      </c>
      <c r="J9" s="69">
        <f t="shared" si="1"/>
        <v>0</v>
      </c>
      <c r="K9" s="556" t="s">
        <v>779</v>
      </c>
      <c r="L9" s="433">
        <v>2025</v>
      </c>
      <c r="M9" s="434"/>
      <c r="N9" s="435"/>
    </row>
    <row r="10" spans="1:18" ht="14.95" customHeight="1" thickBot="1" x14ac:dyDescent="0.3">
      <c r="A10" s="275" t="s">
        <v>781</v>
      </c>
      <c r="B10" s="138">
        <v>0</v>
      </c>
      <c r="C10" s="407">
        <v>0</v>
      </c>
      <c r="D10" s="41">
        <v>1</v>
      </c>
      <c r="E10" s="280">
        <f t="shared" ref="E10:E11" si="7">SUM(B10:D10)</f>
        <v>1</v>
      </c>
      <c r="F10" s="278" t="s">
        <v>781</v>
      </c>
      <c r="G10" s="140">
        <v>0</v>
      </c>
      <c r="H10" s="408">
        <v>0</v>
      </c>
      <c r="I10" s="15">
        <v>5</v>
      </c>
      <c r="J10" s="69">
        <f t="shared" ref="J10:J11" si="8">SUM(G10:I10)</f>
        <v>5</v>
      </c>
      <c r="K10" s="557"/>
      <c r="L10" s="436"/>
      <c r="M10" s="437"/>
      <c r="N10" s="438"/>
    </row>
    <row r="11" spans="1:18" ht="14.95" customHeight="1" thickBot="1" x14ac:dyDescent="0.3">
      <c r="A11" s="275" t="s">
        <v>932</v>
      </c>
      <c r="B11" s="138">
        <v>2</v>
      </c>
      <c r="C11" s="407">
        <v>0</v>
      </c>
      <c r="D11" s="41">
        <v>0</v>
      </c>
      <c r="E11" s="280">
        <f t="shared" si="7"/>
        <v>2</v>
      </c>
      <c r="F11" s="278" t="s">
        <v>932</v>
      </c>
      <c r="G11" s="140">
        <v>24</v>
      </c>
      <c r="H11" s="408">
        <v>0</v>
      </c>
      <c r="I11" s="15">
        <v>0</v>
      </c>
      <c r="J11" s="69">
        <f t="shared" si="8"/>
        <v>24</v>
      </c>
      <c r="K11" s="141"/>
      <c r="L11" s="29" t="s">
        <v>17</v>
      </c>
      <c r="M11" s="29" t="s">
        <v>5</v>
      </c>
      <c r="N11" s="29" t="s">
        <v>6</v>
      </c>
    </row>
    <row r="12" spans="1:18" ht="14.95" customHeight="1" thickBot="1" x14ac:dyDescent="0.3">
      <c r="A12" s="275" t="s">
        <v>938</v>
      </c>
      <c r="B12" s="138">
        <v>0</v>
      </c>
      <c r="C12" s="407">
        <v>0</v>
      </c>
      <c r="D12" s="41">
        <v>0</v>
      </c>
      <c r="E12" s="280">
        <f t="shared" si="0"/>
        <v>0</v>
      </c>
      <c r="F12" s="278" t="s">
        <v>938</v>
      </c>
      <c r="G12" s="140">
        <v>0</v>
      </c>
      <c r="H12" s="408">
        <v>0</v>
      </c>
      <c r="I12" s="15">
        <v>0</v>
      </c>
      <c r="J12" s="69">
        <f t="shared" si="1"/>
        <v>0</v>
      </c>
      <c r="K12" s="275" t="s">
        <v>782</v>
      </c>
      <c r="L12" s="280">
        <v>7</v>
      </c>
      <c r="M12" s="280">
        <v>9</v>
      </c>
      <c r="N12" s="281">
        <f t="shared" ref="N12:N13" si="9">SUM(L12/M12)*100</f>
        <v>77.777777777777786</v>
      </c>
    </row>
    <row r="13" spans="1:18" ht="14.95" customHeight="1" thickBot="1" x14ac:dyDescent="0.3">
      <c r="A13" s="275" t="s">
        <v>939</v>
      </c>
      <c r="B13" s="138">
        <v>1</v>
      </c>
      <c r="C13" s="407">
        <v>0</v>
      </c>
      <c r="D13" s="41">
        <v>0</v>
      </c>
      <c r="E13" s="280">
        <f t="shared" si="0"/>
        <v>1</v>
      </c>
      <c r="F13" s="278" t="s">
        <v>939</v>
      </c>
      <c r="G13" s="140">
        <v>5</v>
      </c>
      <c r="H13" s="408">
        <v>0</v>
      </c>
      <c r="I13" s="15">
        <v>0</v>
      </c>
      <c r="J13" s="69">
        <f t="shared" si="1"/>
        <v>5</v>
      </c>
      <c r="K13" s="274" t="s">
        <v>932</v>
      </c>
      <c r="L13" s="404">
        <v>7</v>
      </c>
      <c r="M13" s="404">
        <v>11</v>
      </c>
      <c r="N13" s="405">
        <f t="shared" si="9"/>
        <v>63.636363636363633</v>
      </c>
    </row>
    <row r="14" spans="1:18" ht="14.95" customHeight="1" thickBot="1" x14ac:dyDescent="0.3">
      <c r="A14" s="275" t="s">
        <v>940</v>
      </c>
      <c r="B14" s="138">
        <v>1</v>
      </c>
      <c r="C14" s="407">
        <v>0</v>
      </c>
      <c r="D14" s="41">
        <v>1</v>
      </c>
      <c r="E14" s="280">
        <f t="shared" si="0"/>
        <v>2</v>
      </c>
      <c r="F14" s="278" t="s">
        <v>940</v>
      </c>
      <c r="G14" s="140">
        <v>5</v>
      </c>
      <c r="H14" s="408">
        <v>0</v>
      </c>
      <c r="I14" s="15">
        <v>5</v>
      </c>
      <c r="J14" s="69">
        <f t="shared" si="1"/>
        <v>10</v>
      </c>
    </row>
    <row r="15" spans="1:18" ht="14.95" customHeight="1" thickBot="1" x14ac:dyDescent="0.3">
      <c r="A15" s="275" t="s">
        <v>904</v>
      </c>
      <c r="B15" s="138">
        <v>0</v>
      </c>
      <c r="C15" s="407">
        <v>0</v>
      </c>
      <c r="D15" s="41">
        <v>3</v>
      </c>
      <c r="E15" s="280">
        <f t="shared" si="0"/>
        <v>3</v>
      </c>
      <c r="F15" s="278" t="s">
        <v>904</v>
      </c>
      <c r="G15" s="140">
        <v>0</v>
      </c>
      <c r="H15" s="408">
        <v>0</v>
      </c>
      <c r="I15" s="15">
        <v>15</v>
      </c>
      <c r="J15" s="69">
        <f t="shared" si="1"/>
        <v>15</v>
      </c>
      <c r="K15" s="459" t="s">
        <v>351</v>
      </c>
      <c r="L15" s="433">
        <v>2025</v>
      </c>
      <c r="M15" s="434"/>
      <c r="N15" s="435"/>
    </row>
    <row r="16" spans="1:18" ht="14.95" customHeight="1" thickBot="1" x14ac:dyDescent="0.3">
      <c r="A16" s="275" t="s">
        <v>941</v>
      </c>
      <c r="B16" s="138">
        <v>0</v>
      </c>
      <c r="C16" s="407">
        <v>0</v>
      </c>
      <c r="D16" s="41">
        <v>0</v>
      </c>
      <c r="E16" s="280">
        <f t="shared" si="0"/>
        <v>0</v>
      </c>
      <c r="F16" s="278" t="s">
        <v>941</v>
      </c>
      <c r="G16" s="140">
        <v>0</v>
      </c>
      <c r="H16" s="408">
        <v>0</v>
      </c>
      <c r="I16" s="15">
        <v>0</v>
      </c>
      <c r="J16" s="69">
        <f t="shared" si="1"/>
        <v>0</v>
      </c>
      <c r="K16" s="460"/>
      <c r="L16" s="436"/>
      <c r="M16" s="437"/>
      <c r="N16" s="438"/>
    </row>
    <row r="17" spans="1:17" ht="14.95" customHeight="1" thickBot="1" x14ac:dyDescent="0.3">
      <c r="A17" s="275" t="s">
        <v>930</v>
      </c>
      <c r="B17" s="138">
        <v>0</v>
      </c>
      <c r="C17" s="407">
        <v>0</v>
      </c>
      <c r="D17" s="41">
        <v>2</v>
      </c>
      <c r="E17" s="280">
        <f t="shared" ref="E17" si="10">SUM(B17:D17)</f>
        <v>2</v>
      </c>
      <c r="F17" s="277" t="s">
        <v>930</v>
      </c>
      <c r="G17" s="140">
        <v>0</v>
      </c>
      <c r="H17" s="408">
        <v>0</v>
      </c>
      <c r="I17" s="15">
        <v>10</v>
      </c>
      <c r="J17" s="69">
        <f t="shared" ref="J17" si="11">SUM(G17:I17)</f>
        <v>10</v>
      </c>
      <c r="K17" s="317"/>
      <c r="L17" s="29" t="s">
        <v>17</v>
      </c>
      <c r="M17" s="29" t="s">
        <v>5</v>
      </c>
      <c r="N17" s="29" t="s">
        <v>6</v>
      </c>
    </row>
    <row r="18" spans="1:17" ht="14.95" customHeight="1" thickBot="1" x14ac:dyDescent="0.3">
      <c r="A18" s="275" t="s">
        <v>927</v>
      </c>
      <c r="B18" s="138">
        <v>2</v>
      </c>
      <c r="C18" s="407">
        <v>1</v>
      </c>
      <c r="D18" s="41">
        <v>1</v>
      </c>
      <c r="E18" s="280">
        <f t="shared" si="0"/>
        <v>4</v>
      </c>
      <c r="F18" s="278" t="s">
        <v>927</v>
      </c>
      <c r="G18" s="140">
        <v>10</v>
      </c>
      <c r="H18" s="408">
        <v>7</v>
      </c>
      <c r="I18" s="15">
        <v>9</v>
      </c>
      <c r="J18" s="69">
        <f t="shared" si="1"/>
        <v>26</v>
      </c>
      <c r="K18" s="275" t="s">
        <v>782</v>
      </c>
      <c r="L18" s="280">
        <v>4</v>
      </c>
      <c r="M18" s="280">
        <v>8</v>
      </c>
      <c r="N18" s="281">
        <f t="shared" ref="N18:N20" si="12">SUM(L18/M18)*100</f>
        <v>50</v>
      </c>
    </row>
    <row r="19" spans="1:17" ht="14.95" customHeight="1" thickBot="1" x14ac:dyDescent="0.3">
      <c r="A19" s="275" t="s">
        <v>212</v>
      </c>
      <c r="B19" s="138">
        <v>0</v>
      </c>
      <c r="C19" s="407">
        <v>0</v>
      </c>
      <c r="D19" s="41">
        <v>0</v>
      </c>
      <c r="E19" s="280">
        <f t="shared" si="0"/>
        <v>0</v>
      </c>
      <c r="F19" s="278" t="s">
        <v>212</v>
      </c>
      <c r="G19" s="140">
        <v>0</v>
      </c>
      <c r="H19" s="408">
        <v>0</v>
      </c>
      <c r="I19" s="15">
        <v>0</v>
      </c>
      <c r="J19" s="69">
        <f t="shared" si="1"/>
        <v>0</v>
      </c>
      <c r="K19" s="275" t="s">
        <v>927</v>
      </c>
      <c r="L19" s="280">
        <v>1</v>
      </c>
      <c r="M19" s="280">
        <v>1</v>
      </c>
      <c r="N19" s="281">
        <f t="shared" si="12"/>
        <v>100</v>
      </c>
    </row>
    <row r="20" spans="1:17" ht="14.95" customHeight="1" thickBot="1" x14ac:dyDescent="0.3">
      <c r="A20" s="275" t="s">
        <v>928</v>
      </c>
      <c r="B20" s="138">
        <v>0</v>
      </c>
      <c r="C20" s="407">
        <v>0</v>
      </c>
      <c r="D20" s="41">
        <v>1</v>
      </c>
      <c r="E20" s="280">
        <f t="shared" si="0"/>
        <v>1</v>
      </c>
      <c r="F20" s="278" t="s">
        <v>928</v>
      </c>
      <c r="G20" s="140">
        <v>0</v>
      </c>
      <c r="H20" s="408">
        <v>0</v>
      </c>
      <c r="I20" s="15">
        <v>5</v>
      </c>
      <c r="J20" s="69">
        <f t="shared" si="1"/>
        <v>5</v>
      </c>
      <c r="K20" s="275" t="s">
        <v>717</v>
      </c>
      <c r="L20" s="280">
        <v>0</v>
      </c>
      <c r="M20" s="280">
        <v>1</v>
      </c>
      <c r="N20" s="281">
        <f t="shared" si="12"/>
        <v>0</v>
      </c>
      <c r="O20" s="9"/>
      <c r="P20" s="9"/>
      <c r="Q20" s="9"/>
    </row>
    <row r="21" spans="1:17" ht="14.95" customHeight="1" thickBot="1" x14ac:dyDescent="0.3">
      <c r="A21" s="275" t="s">
        <v>921</v>
      </c>
      <c r="B21" s="138">
        <v>0</v>
      </c>
      <c r="C21" s="407">
        <v>1</v>
      </c>
      <c r="D21" s="41">
        <v>0</v>
      </c>
      <c r="E21" s="280">
        <f t="shared" ref="E21:E22" si="13">SUM(B21:D21)</f>
        <v>1</v>
      </c>
      <c r="F21" s="278" t="s">
        <v>921</v>
      </c>
      <c r="G21" s="140">
        <v>0</v>
      </c>
      <c r="H21" s="408">
        <v>5</v>
      </c>
      <c r="I21" s="15">
        <v>0</v>
      </c>
      <c r="J21" s="69">
        <f t="shared" ref="J21:J22" si="14">SUM(G21:I21)</f>
        <v>5</v>
      </c>
    </row>
    <row r="22" spans="1:17" ht="14.95" customHeight="1" thickBot="1" x14ac:dyDescent="0.3">
      <c r="A22" s="275" t="s">
        <v>936</v>
      </c>
      <c r="B22" s="138">
        <v>2</v>
      </c>
      <c r="C22" s="407">
        <v>0</v>
      </c>
      <c r="D22" s="41">
        <v>0</v>
      </c>
      <c r="E22" s="280">
        <f t="shared" si="13"/>
        <v>2</v>
      </c>
      <c r="F22" s="278" t="s">
        <v>936</v>
      </c>
      <c r="G22" s="140">
        <v>10</v>
      </c>
      <c r="H22" s="408">
        <v>0</v>
      </c>
      <c r="I22" s="15">
        <v>0</v>
      </c>
      <c r="J22" s="69">
        <f t="shared" si="14"/>
        <v>10</v>
      </c>
      <c r="K22" s="477" t="s">
        <v>509</v>
      </c>
      <c r="L22" s="447">
        <v>2024</v>
      </c>
      <c r="M22" s="448"/>
      <c r="N22" s="449"/>
      <c r="O22" s="447">
        <v>2023</v>
      </c>
      <c r="P22" s="448"/>
      <c r="Q22" s="449"/>
    </row>
    <row r="23" spans="1:17" ht="14.95" customHeight="1" thickBot="1" x14ac:dyDescent="0.3">
      <c r="A23" s="275" t="s">
        <v>717</v>
      </c>
      <c r="B23" s="138">
        <v>1</v>
      </c>
      <c r="C23" s="407">
        <v>0</v>
      </c>
      <c r="D23" s="41">
        <v>3</v>
      </c>
      <c r="E23" s="280">
        <f t="shared" ref="E23:E25" si="15">SUM(B23:D23)</f>
        <v>4</v>
      </c>
      <c r="F23" s="278" t="s">
        <v>717</v>
      </c>
      <c r="G23" s="140">
        <v>5</v>
      </c>
      <c r="H23" s="408">
        <v>0</v>
      </c>
      <c r="I23" s="15">
        <v>15</v>
      </c>
      <c r="J23" s="69">
        <f t="shared" ref="J23:J25" si="16">SUM(G23:I23)</f>
        <v>20</v>
      </c>
      <c r="K23" s="478"/>
      <c r="L23" s="450"/>
      <c r="M23" s="451"/>
      <c r="N23" s="452"/>
      <c r="O23" s="450"/>
      <c r="P23" s="451"/>
      <c r="Q23" s="452"/>
    </row>
    <row r="24" spans="1:17" ht="14.95" customHeight="1" thickBot="1" x14ac:dyDescent="0.3">
      <c r="A24" s="275" t="s">
        <v>920</v>
      </c>
      <c r="B24" s="138">
        <v>1</v>
      </c>
      <c r="C24" s="407">
        <v>0</v>
      </c>
      <c r="D24" s="41">
        <v>1</v>
      </c>
      <c r="E24" s="280">
        <f t="shared" si="15"/>
        <v>2</v>
      </c>
      <c r="F24" s="278" t="s">
        <v>920</v>
      </c>
      <c r="G24" s="140">
        <v>5</v>
      </c>
      <c r="H24" s="408">
        <v>0</v>
      </c>
      <c r="I24" s="15">
        <v>5</v>
      </c>
      <c r="J24" s="69">
        <f t="shared" si="16"/>
        <v>10</v>
      </c>
      <c r="K24" s="231"/>
      <c r="L24" s="61" t="s">
        <v>17</v>
      </c>
      <c r="M24" s="61" t="s">
        <v>5</v>
      </c>
      <c r="N24" s="61" t="s">
        <v>6</v>
      </c>
      <c r="O24" s="61" t="s">
        <v>17</v>
      </c>
      <c r="P24" s="61" t="s">
        <v>5</v>
      </c>
      <c r="Q24" s="61" t="s">
        <v>6</v>
      </c>
    </row>
    <row r="25" spans="1:17" ht="14.95" customHeight="1" thickBot="1" x14ac:dyDescent="0.3">
      <c r="A25" s="275" t="s">
        <v>935</v>
      </c>
      <c r="B25" s="138">
        <v>1</v>
      </c>
      <c r="C25" s="407">
        <v>0</v>
      </c>
      <c r="D25" s="41">
        <v>0</v>
      </c>
      <c r="E25" s="280">
        <f t="shared" si="15"/>
        <v>1</v>
      </c>
      <c r="F25" s="278" t="s">
        <v>935</v>
      </c>
      <c r="G25" s="140">
        <v>5</v>
      </c>
      <c r="H25" s="408">
        <v>0</v>
      </c>
      <c r="I25" s="15">
        <v>0</v>
      </c>
      <c r="J25" s="69">
        <f t="shared" si="16"/>
        <v>5</v>
      </c>
      <c r="K25" s="275" t="s">
        <v>782</v>
      </c>
      <c r="L25" s="61">
        <v>5</v>
      </c>
      <c r="M25" s="61">
        <v>8</v>
      </c>
      <c r="N25" s="120">
        <f t="shared" ref="N25" si="17">SUM(L25/M25)*100</f>
        <v>62.5</v>
      </c>
      <c r="O25" s="61">
        <v>10</v>
      </c>
      <c r="P25" s="61">
        <v>13</v>
      </c>
      <c r="Q25" s="120">
        <v>77</v>
      </c>
    </row>
    <row r="26" spans="1:17" ht="14.95" customHeight="1" thickBot="1" x14ac:dyDescent="0.3">
      <c r="A26" s="275" t="s">
        <v>929</v>
      </c>
      <c r="B26" s="138">
        <v>1</v>
      </c>
      <c r="C26" s="407">
        <v>1</v>
      </c>
      <c r="D26" s="41">
        <v>1</v>
      </c>
      <c r="E26" s="280">
        <f t="shared" si="0"/>
        <v>3</v>
      </c>
      <c r="F26" s="278" t="s">
        <v>929</v>
      </c>
      <c r="G26" s="140">
        <v>5</v>
      </c>
      <c r="H26" s="408">
        <v>5</v>
      </c>
      <c r="I26" s="15">
        <v>5</v>
      </c>
      <c r="J26" s="69">
        <f t="shared" si="1"/>
        <v>15</v>
      </c>
      <c r="K26" s="275" t="s">
        <v>927</v>
      </c>
      <c r="L26" s="61">
        <v>1</v>
      </c>
      <c r="M26" s="61">
        <v>2</v>
      </c>
      <c r="N26" s="120">
        <v>50</v>
      </c>
      <c r="O26" s="61" t="s">
        <v>8</v>
      </c>
      <c r="P26" s="61" t="s">
        <v>8</v>
      </c>
      <c r="Q26" s="120" t="s">
        <v>8</v>
      </c>
    </row>
    <row r="27" spans="1:17" ht="14.95" customHeight="1" thickBot="1" x14ac:dyDescent="0.3">
      <c r="A27" s="275" t="s">
        <v>1009</v>
      </c>
      <c r="B27" s="138">
        <v>0</v>
      </c>
      <c r="C27" s="407">
        <v>1</v>
      </c>
      <c r="D27" s="41">
        <v>0</v>
      </c>
      <c r="E27" s="280">
        <f t="shared" si="0"/>
        <v>1</v>
      </c>
      <c r="F27" s="278" t="s">
        <v>1009</v>
      </c>
      <c r="G27" s="140">
        <v>0</v>
      </c>
      <c r="H27" s="408">
        <v>5</v>
      </c>
      <c r="I27" s="15">
        <v>0</v>
      </c>
      <c r="J27" s="69">
        <f t="shared" si="1"/>
        <v>5</v>
      </c>
      <c r="K27" s="275" t="s">
        <v>717</v>
      </c>
      <c r="L27" s="61">
        <v>3</v>
      </c>
      <c r="M27" s="61">
        <v>3</v>
      </c>
      <c r="N27" s="120">
        <v>100</v>
      </c>
      <c r="O27" s="61">
        <v>2</v>
      </c>
      <c r="P27" s="61">
        <v>2</v>
      </c>
      <c r="Q27" s="120">
        <v>100</v>
      </c>
    </row>
    <row r="28" spans="1:17" ht="14.95" customHeight="1" thickBot="1" x14ac:dyDescent="0.3">
      <c r="A28" s="275" t="s">
        <v>849</v>
      </c>
      <c r="B28" s="138">
        <v>1</v>
      </c>
      <c r="C28" s="407">
        <v>0</v>
      </c>
      <c r="D28" s="41">
        <v>0</v>
      </c>
      <c r="E28" s="280">
        <f t="shared" si="0"/>
        <v>1</v>
      </c>
      <c r="F28" s="278" t="s">
        <v>849</v>
      </c>
      <c r="G28" s="140">
        <v>5</v>
      </c>
      <c r="H28" s="408">
        <v>0</v>
      </c>
      <c r="I28" s="15">
        <v>0</v>
      </c>
      <c r="J28" s="69">
        <f t="shared" si="1"/>
        <v>5</v>
      </c>
    </row>
    <row r="29" spans="1:17" ht="14.95" customHeight="1" thickBot="1" x14ac:dyDescent="0.3">
      <c r="A29" s="275" t="s">
        <v>853</v>
      </c>
      <c r="B29" s="138">
        <v>0</v>
      </c>
      <c r="C29" s="407">
        <v>0</v>
      </c>
      <c r="D29" s="41">
        <v>0</v>
      </c>
      <c r="E29" s="280">
        <f t="shared" si="0"/>
        <v>0</v>
      </c>
      <c r="F29" s="278" t="s">
        <v>853</v>
      </c>
      <c r="G29" s="140">
        <v>0</v>
      </c>
      <c r="H29" s="408">
        <v>0</v>
      </c>
      <c r="I29" s="15">
        <v>0</v>
      </c>
      <c r="J29" s="69">
        <f t="shared" si="1"/>
        <v>0</v>
      </c>
    </row>
    <row r="30" spans="1:17" ht="14.95" customHeight="1" thickBot="1" x14ac:dyDescent="0.3">
      <c r="A30" s="275" t="s">
        <v>931</v>
      </c>
      <c r="B30" s="138">
        <v>1</v>
      </c>
      <c r="C30" s="407">
        <v>0</v>
      </c>
      <c r="D30" s="41">
        <v>0</v>
      </c>
      <c r="E30" s="280">
        <f t="shared" si="0"/>
        <v>1</v>
      </c>
      <c r="F30" s="278" t="s">
        <v>931</v>
      </c>
      <c r="G30" s="140">
        <v>5</v>
      </c>
      <c r="H30" s="408">
        <v>0</v>
      </c>
      <c r="I30" s="15">
        <v>0</v>
      </c>
      <c r="J30" s="69">
        <f t="shared" si="1"/>
        <v>5</v>
      </c>
    </row>
    <row r="31" spans="1:17" ht="14.95" customHeight="1" thickBot="1" x14ac:dyDescent="0.3">
      <c r="A31" s="275" t="s">
        <v>3</v>
      </c>
      <c r="B31" s="138">
        <f>SUM(B3:B30)</f>
        <v>17</v>
      </c>
      <c r="C31" s="407">
        <f>SUM(C3:C30)</f>
        <v>9</v>
      </c>
      <c r="D31" s="41">
        <f>SUM(D3:D30)</f>
        <v>17</v>
      </c>
      <c r="E31" s="280">
        <f t="shared" si="0"/>
        <v>43</v>
      </c>
      <c r="F31" s="279" t="s">
        <v>3</v>
      </c>
      <c r="G31" s="139">
        <f>SUM(G3:G30)</f>
        <v>115</v>
      </c>
      <c r="H31" s="401">
        <f>SUM(H3:H30)</f>
        <v>56</v>
      </c>
      <c r="I31" s="72">
        <f>SUM(I3:I30)</f>
        <v>112</v>
      </c>
      <c r="J31" s="80">
        <f t="shared" si="1"/>
        <v>283</v>
      </c>
    </row>
    <row r="32" spans="1:17" ht="16.3" x14ac:dyDescent="0.25">
      <c r="D32" s="52"/>
      <c r="F32" s="3"/>
      <c r="G32" s="3"/>
      <c r="H32" s="3"/>
      <c r="I32" s="53"/>
      <c r="J32" s="3"/>
    </row>
    <row r="33" spans="1:10" ht="17" thickBot="1" x14ac:dyDescent="0.3">
      <c r="A33" t="s">
        <v>7</v>
      </c>
      <c r="D33" s="52"/>
      <c r="F33" s="3"/>
      <c r="G33" s="3"/>
      <c r="H33" s="3"/>
      <c r="I33" s="53"/>
      <c r="J33" s="3"/>
    </row>
    <row r="34" spans="1:10" ht="14.95" thickBot="1" x14ac:dyDescent="0.3">
      <c r="A34" s="274" t="s">
        <v>0</v>
      </c>
      <c r="B34" s="137" t="s">
        <v>780</v>
      </c>
      <c r="C34" s="181" t="s">
        <v>734</v>
      </c>
      <c r="D34" s="76" t="s">
        <v>11</v>
      </c>
      <c r="E34" s="406" t="s">
        <v>1</v>
      </c>
      <c r="F34" s="276" t="s">
        <v>2</v>
      </c>
      <c r="G34" s="139" t="s">
        <v>780</v>
      </c>
      <c r="H34" s="106" t="s">
        <v>734</v>
      </c>
      <c r="I34" s="72" t="s">
        <v>11</v>
      </c>
      <c r="J34" s="80" t="s">
        <v>1</v>
      </c>
    </row>
    <row r="35" spans="1:10" ht="14.95" thickBot="1" x14ac:dyDescent="0.3">
      <c r="A35" s="275" t="s">
        <v>927</v>
      </c>
      <c r="B35" s="138">
        <v>2</v>
      </c>
      <c r="C35" s="407">
        <v>1</v>
      </c>
      <c r="D35" s="41">
        <v>1</v>
      </c>
      <c r="E35" s="280">
        <f t="shared" ref="E35:E62" si="18">SUM(B35:D35)</f>
        <v>4</v>
      </c>
      <c r="F35" s="277" t="s">
        <v>782</v>
      </c>
      <c r="G35" s="140">
        <v>16</v>
      </c>
      <c r="H35" s="408">
        <v>9</v>
      </c>
      <c r="I35" s="15">
        <v>28</v>
      </c>
      <c r="J35" s="69">
        <f t="shared" ref="J35:J62" si="19">SUM(G35:I35)</f>
        <v>53</v>
      </c>
    </row>
    <row r="36" spans="1:10" ht="14.95" thickBot="1" x14ac:dyDescent="0.3">
      <c r="A36" s="275" t="s">
        <v>717</v>
      </c>
      <c r="B36" s="138">
        <v>1</v>
      </c>
      <c r="C36" s="407">
        <v>0</v>
      </c>
      <c r="D36" s="41">
        <v>3</v>
      </c>
      <c r="E36" s="280">
        <f t="shared" si="18"/>
        <v>4</v>
      </c>
      <c r="F36" s="277" t="s">
        <v>927</v>
      </c>
      <c r="G36" s="140">
        <v>10</v>
      </c>
      <c r="H36" s="408">
        <v>7</v>
      </c>
      <c r="I36" s="15">
        <v>9</v>
      </c>
      <c r="J36" s="69">
        <f t="shared" si="19"/>
        <v>26</v>
      </c>
    </row>
    <row r="37" spans="1:10" ht="14.95" thickBot="1" x14ac:dyDescent="0.3">
      <c r="A37" s="275" t="s">
        <v>905</v>
      </c>
      <c r="B37" s="138">
        <v>1</v>
      </c>
      <c r="C37" s="407">
        <v>1</v>
      </c>
      <c r="D37" s="41">
        <v>1</v>
      </c>
      <c r="E37" s="280">
        <f t="shared" si="18"/>
        <v>3</v>
      </c>
      <c r="F37" s="277" t="s">
        <v>932</v>
      </c>
      <c r="G37" s="140">
        <v>24</v>
      </c>
      <c r="H37" s="408">
        <v>0</v>
      </c>
      <c r="I37" s="15">
        <v>0</v>
      </c>
      <c r="J37" s="69">
        <f t="shared" si="19"/>
        <v>24</v>
      </c>
    </row>
    <row r="38" spans="1:10" ht="14.95" thickBot="1" x14ac:dyDescent="0.3">
      <c r="A38" s="275" t="s">
        <v>934</v>
      </c>
      <c r="B38" s="138">
        <v>1</v>
      </c>
      <c r="C38" s="407">
        <v>2</v>
      </c>
      <c r="D38" s="41">
        <v>0</v>
      </c>
      <c r="E38" s="280">
        <f t="shared" si="18"/>
        <v>3</v>
      </c>
      <c r="F38" s="277" t="s">
        <v>717</v>
      </c>
      <c r="G38" s="140">
        <v>5</v>
      </c>
      <c r="H38" s="408">
        <v>0</v>
      </c>
      <c r="I38" s="15">
        <v>15</v>
      </c>
      <c r="J38" s="69">
        <f t="shared" si="19"/>
        <v>20</v>
      </c>
    </row>
    <row r="39" spans="1:10" ht="14.95" thickBot="1" x14ac:dyDescent="0.3">
      <c r="A39" s="275" t="s">
        <v>904</v>
      </c>
      <c r="B39" s="138">
        <v>0</v>
      </c>
      <c r="C39" s="407">
        <v>0</v>
      </c>
      <c r="D39" s="41">
        <v>3</v>
      </c>
      <c r="E39" s="280">
        <f t="shared" si="18"/>
        <v>3</v>
      </c>
      <c r="F39" s="277" t="s">
        <v>905</v>
      </c>
      <c r="G39" s="140">
        <v>5</v>
      </c>
      <c r="H39" s="408">
        <v>5</v>
      </c>
      <c r="I39" s="15">
        <v>5</v>
      </c>
      <c r="J39" s="69">
        <f t="shared" si="19"/>
        <v>15</v>
      </c>
    </row>
    <row r="40" spans="1:10" ht="14.95" thickBot="1" x14ac:dyDescent="0.3">
      <c r="A40" s="275" t="s">
        <v>929</v>
      </c>
      <c r="B40" s="138">
        <v>1</v>
      </c>
      <c r="C40" s="407">
        <v>1</v>
      </c>
      <c r="D40" s="41">
        <v>1</v>
      </c>
      <c r="E40" s="280">
        <f t="shared" si="18"/>
        <v>3</v>
      </c>
      <c r="F40" s="278" t="s">
        <v>934</v>
      </c>
      <c r="G40" s="140">
        <v>5</v>
      </c>
      <c r="H40" s="408">
        <v>10</v>
      </c>
      <c r="I40" s="15">
        <v>0</v>
      </c>
      <c r="J40" s="69">
        <f t="shared" si="19"/>
        <v>15</v>
      </c>
    </row>
    <row r="41" spans="1:10" ht="14.95" thickBot="1" x14ac:dyDescent="0.3">
      <c r="A41" s="275" t="s">
        <v>898</v>
      </c>
      <c r="B41" s="138">
        <v>0</v>
      </c>
      <c r="C41" s="407">
        <v>1</v>
      </c>
      <c r="D41" s="41">
        <v>1</v>
      </c>
      <c r="E41" s="280">
        <f t="shared" si="18"/>
        <v>2</v>
      </c>
      <c r="F41" s="278" t="s">
        <v>904</v>
      </c>
      <c r="G41" s="140">
        <v>0</v>
      </c>
      <c r="H41" s="408">
        <v>0</v>
      </c>
      <c r="I41" s="15">
        <v>15</v>
      </c>
      <c r="J41" s="69">
        <f t="shared" si="19"/>
        <v>15</v>
      </c>
    </row>
    <row r="42" spans="1:10" ht="14.95" thickBot="1" x14ac:dyDescent="0.3">
      <c r="A42" s="275" t="s">
        <v>932</v>
      </c>
      <c r="B42" s="138">
        <v>2</v>
      </c>
      <c r="C42" s="407">
        <v>0</v>
      </c>
      <c r="D42" s="41">
        <v>0</v>
      </c>
      <c r="E42" s="280">
        <f t="shared" si="18"/>
        <v>2</v>
      </c>
      <c r="F42" s="278" t="s">
        <v>929</v>
      </c>
      <c r="G42" s="140">
        <v>5</v>
      </c>
      <c r="H42" s="408">
        <v>5</v>
      </c>
      <c r="I42" s="15">
        <v>5</v>
      </c>
      <c r="J42" s="69">
        <f t="shared" si="19"/>
        <v>15</v>
      </c>
    </row>
    <row r="43" spans="1:10" ht="14.95" thickBot="1" x14ac:dyDescent="0.3">
      <c r="A43" s="275" t="s">
        <v>940</v>
      </c>
      <c r="B43" s="138">
        <v>1</v>
      </c>
      <c r="C43" s="407">
        <v>0</v>
      </c>
      <c r="D43" s="41">
        <v>1</v>
      </c>
      <c r="E43" s="280">
        <f t="shared" si="18"/>
        <v>2</v>
      </c>
      <c r="F43" s="278" t="s">
        <v>898</v>
      </c>
      <c r="G43" s="140">
        <v>0</v>
      </c>
      <c r="H43" s="408">
        <v>5</v>
      </c>
      <c r="I43" s="15">
        <v>5</v>
      </c>
      <c r="J43" s="69">
        <f t="shared" si="19"/>
        <v>10</v>
      </c>
    </row>
    <row r="44" spans="1:10" ht="14.95" thickBot="1" x14ac:dyDescent="0.3">
      <c r="A44" s="275" t="s">
        <v>930</v>
      </c>
      <c r="B44" s="138">
        <v>0</v>
      </c>
      <c r="C44" s="407">
        <v>0</v>
      </c>
      <c r="D44" s="41">
        <v>2</v>
      </c>
      <c r="E44" s="280">
        <f t="shared" si="18"/>
        <v>2</v>
      </c>
      <c r="F44" s="278" t="s">
        <v>940</v>
      </c>
      <c r="G44" s="140">
        <v>5</v>
      </c>
      <c r="H44" s="408">
        <v>0</v>
      </c>
      <c r="I44" s="15">
        <v>5</v>
      </c>
      <c r="J44" s="69">
        <f t="shared" si="19"/>
        <v>10</v>
      </c>
    </row>
    <row r="45" spans="1:10" ht="14.95" thickBot="1" x14ac:dyDescent="0.3">
      <c r="A45" s="275" t="s">
        <v>936</v>
      </c>
      <c r="B45" s="138">
        <v>2</v>
      </c>
      <c r="C45" s="407">
        <v>0</v>
      </c>
      <c r="D45" s="41">
        <v>0</v>
      </c>
      <c r="E45" s="280">
        <f t="shared" si="18"/>
        <v>2</v>
      </c>
      <c r="F45" s="278" t="s">
        <v>930</v>
      </c>
      <c r="G45" s="140">
        <v>0</v>
      </c>
      <c r="H45" s="408">
        <v>0</v>
      </c>
      <c r="I45" s="15">
        <v>10</v>
      </c>
      <c r="J45" s="69">
        <f t="shared" si="19"/>
        <v>10</v>
      </c>
    </row>
    <row r="46" spans="1:10" ht="14.95" thickBot="1" x14ac:dyDescent="0.3">
      <c r="A46" s="275" t="s">
        <v>920</v>
      </c>
      <c r="B46" s="138">
        <v>1</v>
      </c>
      <c r="C46" s="407">
        <v>0</v>
      </c>
      <c r="D46" s="41">
        <v>1</v>
      </c>
      <c r="E46" s="280">
        <f t="shared" si="18"/>
        <v>2</v>
      </c>
      <c r="F46" s="278" t="s">
        <v>936</v>
      </c>
      <c r="G46" s="140">
        <v>10</v>
      </c>
      <c r="H46" s="408">
        <v>0</v>
      </c>
      <c r="I46" s="15">
        <v>0</v>
      </c>
      <c r="J46" s="69">
        <f t="shared" si="19"/>
        <v>10</v>
      </c>
    </row>
    <row r="47" spans="1:10" ht="14.95" thickBot="1" x14ac:dyDescent="0.3">
      <c r="A47" s="275" t="s">
        <v>963</v>
      </c>
      <c r="B47" s="138">
        <v>0</v>
      </c>
      <c r="C47" s="407">
        <v>1</v>
      </c>
      <c r="D47" s="41">
        <v>0</v>
      </c>
      <c r="E47" s="280">
        <f t="shared" si="18"/>
        <v>1</v>
      </c>
      <c r="F47" s="278" t="s">
        <v>920</v>
      </c>
      <c r="G47" s="140">
        <v>5</v>
      </c>
      <c r="H47" s="408">
        <v>0</v>
      </c>
      <c r="I47" s="15">
        <v>5</v>
      </c>
      <c r="J47" s="69">
        <f t="shared" si="19"/>
        <v>10</v>
      </c>
    </row>
    <row r="48" spans="1:10" ht="14.95" thickBot="1" x14ac:dyDescent="0.3">
      <c r="A48" s="275" t="s">
        <v>782</v>
      </c>
      <c r="B48" s="138">
        <v>0</v>
      </c>
      <c r="C48" s="407">
        <v>0</v>
      </c>
      <c r="D48" s="41">
        <v>1</v>
      </c>
      <c r="E48" s="280">
        <f t="shared" si="18"/>
        <v>1</v>
      </c>
      <c r="F48" s="278" t="s">
        <v>963</v>
      </c>
      <c r="G48" s="140">
        <v>0</v>
      </c>
      <c r="H48" s="408">
        <v>5</v>
      </c>
      <c r="I48" s="15">
        <v>0</v>
      </c>
      <c r="J48" s="69">
        <f t="shared" si="19"/>
        <v>5</v>
      </c>
    </row>
    <row r="49" spans="1:10" ht="14.95" thickBot="1" x14ac:dyDescent="0.3">
      <c r="A49" s="275" t="s">
        <v>933</v>
      </c>
      <c r="B49" s="138">
        <v>1</v>
      </c>
      <c r="C49" s="407">
        <v>0</v>
      </c>
      <c r="D49" s="41">
        <v>0</v>
      </c>
      <c r="E49" s="280">
        <f t="shared" si="18"/>
        <v>1</v>
      </c>
      <c r="F49" s="277" t="s">
        <v>933</v>
      </c>
      <c r="G49" s="140">
        <v>5</v>
      </c>
      <c r="H49" s="408">
        <v>0</v>
      </c>
      <c r="I49" s="15">
        <v>0</v>
      </c>
      <c r="J49" s="69">
        <f t="shared" si="19"/>
        <v>5</v>
      </c>
    </row>
    <row r="50" spans="1:10" ht="14.95" thickBot="1" x14ac:dyDescent="0.3">
      <c r="A50" s="275" t="s">
        <v>781</v>
      </c>
      <c r="B50" s="138">
        <v>0</v>
      </c>
      <c r="C50" s="407">
        <v>0</v>
      </c>
      <c r="D50" s="41">
        <v>1</v>
      </c>
      <c r="E50" s="280">
        <f t="shared" si="18"/>
        <v>1</v>
      </c>
      <c r="F50" s="278" t="s">
        <v>781</v>
      </c>
      <c r="G50" s="140">
        <v>0</v>
      </c>
      <c r="H50" s="408">
        <v>0</v>
      </c>
      <c r="I50" s="15">
        <v>5</v>
      </c>
      <c r="J50" s="69">
        <f t="shared" si="19"/>
        <v>5</v>
      </c>
    </row>
    <row r="51" spans="1:10" ht="14.95" thickBot="1" x14ac:dyDescent="0.3">
      <c r="A51" s="275" t="s">
        <v>939</v>
      </c>
      <c r="B51" s="138">
        <v>1</v>
      </c>
      <c r="C51" s="407">
        <v>0</v>
      </c>
      <c r="D51" s="41">
        <v>0</v>
      </c>
      <c r="E51" s="280">
        <f t="shared" si="18"/>
        <v>1</v>
      </c>
      <c r="F51" s="278" t="s">
        <v>939</v>
      </c>
      <c r="G51" s="140">
        <v>5</v>
      </c>
      <c r="H51" s="408">
        <v>0</v>
      </c>
      <c r="I51" s="15">
        <v>0</v>
      </c>
      <c r="J51" s="69">
        <f t="shared" si="19"/>
        <v>5</v>
      </c>
    </row>
    <row r="52" spans="1:10" ht="14.95" thickBot="1" x14ac:dyDescent="0.3">
      <c r="A52" s="275" t="s">
        <v>928</v>
      </c>
      <c r="B52" s="138">
        <v>0</v>
      </c>
      <c r="C52" s="407">
        <v>0</v>
      </c>
      <c r="D52" s="41">
        <v>1</v>
      </c>
      <c r="E52" s="280">
        <f t="shared" si="18"/>
        <v>1</v>
      </c>
      <c r="F52" s="278" t="s">
        <v>928</v>
      </c>
      <c r="G52" s="140">
        <v>0</v>
      </c>
      <c r="H52" s="408">
        <v>0</v>
      </c>
      <c r="I52" s="15">
        <v>5</v>
      </c>
      <c r="J52" s="69">
        <f t="shared" si="19"/>
        <v>5</v>
      </c>
    </row>
    <row r="53" spans="1:10" ht="14.95" thickBot="1" x14ac:dyDescent="0.3">
      <c r="A53" s="275" t="s">
        <v>921</v>
      </c>
      <c r="B53" s="138">
        <v>0</v>
      </c>
      <c r="C53" s="407">
        <v>1</v>
      </c>
      <c r="D53" s="41">
        <v>0</v>
      </c>
      <c r="E53" s="280">
        <f t="shared" si="18"/>
        <v>1</v>
      </c>
      <c r="F53" s="278" t="s">
        <v>921</v>
      </c>
      <c r="G53" s="140">
        <v>0</v>
      </c>
      <c r="H53" s="408">
        <v>5</v>
      </c>
      <c r="I53" s="15">
        <v>0</v>
      </c>
      <c r="J53" s="69">
        <f t="shared" si="19"/>
        <v>5</v>
      </c>
    </row>
    <row r="54" spans="1:10" ht="14.95" thickBot="1" x14ac:dyDescent="0.3">
      <c r="A54" s="275" t="s">
        <v>935</v>
      </c>
      <c r="B54" s="138">
        <v>1</v>
      </c>
      <c r="C54" s="407">
        <v>0</v>
      </c>
      <c r="D54" s="41">
        <v>0</v>
      </c>
      <c r="E54" s="280">
        <f t="shared" si="18"/>
        <v>1</v>
      </c>
      <c r="F54" s="278" t="s">
        <v>935</v>
      </c>
      <c r="G54" s="140">
        <v>5</v>
      </c>
      <c r="H54" s="408">
        <v>0</v>
      </c>
      <c r="I54" s="15">
        <v>0</v>
      </c>
      <c r="J54" s="69">
        <f t="shared" si="19"/>
        <v>5</v>
      </c>
    </row>
    <row r="55" spans="1:10" ht="14.95" thickBot="1" x14ac:dyDescent="0.3">
      <c r="A55" s="275" t="s">
        <v>1009</v>
      </c>
      <c r="B55" s="138">
        <v>0</v>
      </c>
      <c r="C55" s="407">
        <v>1</v>
      </c>
      <c r="D55" s="41">
        <v>0</v>
      </c>
      <c r="E55" s="280">
        <f t="shared" si="18"/>
        <v>1</v>
      </c>
      <c r="F55" s="278" t="s">
        <v>1009</v>
      </c>
      <c r="G55" s="140">
        <v>0</v>
      </c>
      <c r="H55" s="408">
        <v>5</v>
      </c>
      <c r="I55" s="15">
        <v>0</v>
      </c>
      <c r="J55" s="69">
        <f t="shared" si="19"/>
        <v>5</v>
      </c>
    </row>
    <row r="56" spans="1:10" ht="14.95" thickBot="1" x14ac:dyDescent="0.3">
      <c r="A56" s="275" t="s">
        <v>849</v>
      </c>
      <c r="B56" s="138">
        <v>1</v>
      </c>
      <c r="C56" s="407">
        <v>0</v>
      </c>
      <c r="D56" s="41">
        <v>0</v>
      </c>
      <c r="E56" s="280">
        <f t="shared" si="18"/>
        <v>1</v>
      </c>
      <c r="F56" s="278" t="s">
        <v>849</v>
      </c>
      <c r="G56" s="140">
        <v>5</v>
      </c>
      <c r="H56" s="408">
        <v>0</v>
      </c>
      <c r="I56" s="15">
        <v>0</v>
      </c>
      <c r="J56" s="69">
        <f t="shared" si="19"/>
        <v>5</v>
      </c>
    </row>
    <row r="57" spans="1:10" ht="14.95" thickBot="1" x14ac:dyDescent="0.3">
      <c r="A57" s="275" t="s">
        <v>931</v>
      </c>
      <c r="B57" s="138">
        <v>1</v>
      </c>
      <c r="C57" s="407">
        <v>0</v>
      </c>
      <c r="D57" s="41">
        <v>0</v>
      </c>
      <c r="E57" s="280">
        <f t="shared" si="18"/>
        <v>1</v>
      </c>
      <c r="F57" s="278" t="s">
        <v>931</v>
      </c>
      <c r="G57" s="140">
        <v>5</v>
      </c>
      <c r="H57" s="408">
        <v>0</v>
      </c>
      <c r="I57" s="15">
        <v>0</v>
      </c>
      <c r="J57" s="69">
        <f t="shared" si="19"/>
        <v>5</v>
      </c>
    </row>
    <row r="58" spans="1:10" ht="14.95" thickBot="1" x14ac:dyDescent="0.3">
      <c r="A58" s="275" t="s">
        <v>937</v>
      </c>
      <c r="B58" s="138">
        <v>0</v>
      </c>
      <c r="C58" s="407">
        <v>0</v>
      </c>
      <c r="D58" s="41">
        <v>0</v>
      </c>
      <c r="E58" s="280">
        <f t="shared" si="18"/>
        <v>0</v>
      </c>
      <c r="F58" s="278" t="s">
        <v>937</v>
      </c>
      <c r="G58" s="140">
        <v>0</v>
      </c>
      <c r="H58" s="408">
        <v>0</v>
      </c>
      <c r="I58" s="15">
        <v>0</v>
      </c>
      <c r="J58" s="69">
        <f t="shared" si="19"/>
        <v>0</v>
      </c>
    </row>
    <row r="59" spans="1:10" ht="14.95" thickBot="1" x14ac:dyDescent="0.3">
      <c r="A59" s="275" t="s">
        <v>938</v>
      </c>
      <c r="B59" s="138">
        <v>0</v>
      </c>
      <c r="C59" s="407">
        <v>0</v>
      </c>
      <c r="D59" s="41">
        <v>0</v>
      </c>
      <c r="E59" s="280">
        <f t="shared" si="18"/>
        <v>0</v>
      </c>
      <c r="F59" s="278" t="s">
        <v>938</v>
      </c>
      <c r="G59" s="140">
        <v>0</v>
      </c>
      <c r="H59" s="408">
        <v>0</v>
      </c>
      <c r="I59" s="15">
        <v>0</v>
      </c>
      <c r="J59" s="69">
        <f t="shared" si="19"/>
        <v>0</v>
      </c>
    </row>
    <row r="60" spans="1:10" ht="14.95" thickBot="1" x14ac:dyDescent="0.3">
      <c r="A60" s="275" t="s">
        <v>941</v>
      </c>
      <c r="B60" s="138">
        <v>0</v>
      </c>
      <c r="C60" s="407">
        <v>0</v>
      </c>
      <c r="D60" s="41">
        <v>0</v>
      </c>
      <c r="E60" s="280">
        <f t="shared" si="18"/>
        <v>0</v>
      </c>
      <c r="F60" s="278" t="s">
        <v>941</v>
      </c>
      <c r="G60" s="140">
        <v>0</v>
      </c>
      <c r="H60" s="408">
        <v>0</v>
      </c>
      <c r="I60" s="15">
        <v>0</v>
      </c>
      <c r="J60" s="69">
        <f t="shared" si="19"/>
        <v>0</v>
      </c>
    </row>
    <row r="61" spans="1:10" ht="14.3" customHeight="1" thickBot="1" x14ac:dyDescent="0.3">
      <c r="A61" s="275" t="s">
        <v>212</v>
      </c>
      <c r="B61" s="138">
        <v>0</v>
      </c>
      <c r="C61" s="407">
        <v>0</v>
      </c>
      <c r="D61" s="41">
        <v>0</v>
      </c>
      <c r="E61" s="280">
        <f t="shared" si="18"/>
        <v>0</v>
      </c>
      <c r="F61" s="278" t="s">
        <v>212</v>
      </c>
      <c r="G61" s="140">
        <v>0</v>
      </c>
      <c r="H61" s="408">
        <v>0</v>
      </c>
      <c r="I61" s="15">
        <v>0</v>
      </c>
      <c r="J61" s="69">
        <f t="shared" si="19"/>
        <v>0</v>
      </c>
    </row>
    <row r="62" spans="1:10" ht="14.95" thickBot="1" x14ac:dyDescent="0.3">
      <c r="A62" s="275" t="s">
        <v>853</v>
      </c>
      <c r="B62" s="138">
        <v>0</v>
      </c>
      <c r="C62" s="407">
        <v>0</v>
      </c>
      <c r="D62" s="41">
        <v>0</v>
      </c>
      <c r="E62" s="280">
        <f t="shared" si="18"/>
        <v>0</v>
      </c>
      <c r="F62" s="278" t="s">
        <v>853</v>
      </c>
      <c r="G62" s="140">
        <v>0</v>
      </c>
      <c r="H62" s="408">
        <v>0</v>
      </c>
      <c r="I62" s="15">
        <v>0</v>
      </c>
      <c r="J62" s="69">
        <f t="shared" si="19"/>
        <v>0</v>
      </c>
    </row>
    <row r="63" spans="1:10" ht="14.3" customHeight="1" thickBot="1" x14ac:dyDescent="0.3">
      <c r="A63" s="275" t="s">
        <v>3</v>
      </c>
      <c r="B63" s="138">
        <f>SUM(B35:B62)</f>
        <v>17</v>
      </c>
      <c r="C63" s="407">
        <f>SUM(C35:C62)</f>
        <v>9</v>
      </c>
      <c r="D63" s="41">
        <f>SUM(D35:D62)</f>
        <v>17</v>
      </c>
      <c r="E63" s="280">
        <f t="shared" ref="E63" si="20">SUM(B63:D63)</f>
        <v>43</v>
      </c>
      <c r="F63" s="279" t="s">
        <v>3</v>
      </c>
      <c r="G63" s="139">
        <f>SUM(G35:G62)</f>
        <v>115</v>
      </c>
      <c r="H63" s="401">
        <f>SUM(H35:H62)</f>
        <v>56</v>
      </c>
      <c r="I63" s="72">
        <f>SUM(I35:I62)</f>
        <v>112</v>
      </c>
      <c r="J63" s="80">
        <f t="shared" ref="J63" si="21">SUM(G63:I63)</f>
        <v>283</v>
      </c>
    </row>
    <row r="64" spans="1:10" ht="16.3" x14ac:dyDescent="0.3">
      <c r="A64" s="455" t="s">
        <v>10</v>
      </c>
      <c r="B64" s="455"/>
      <c r="C64" s="455"/>
      <c r="D64" s="456"/>
    </row>
  </sheetData>
  <sortState xmlns:xlrd2="http://schemas.microsoft.com/office/spreadsheetml/2017/richdata2" ref="F35:J62">
    <sortCondition descending="1" ref="J35:J62"/>
  </sortState>
  <mergeCells count="13">
    <mergeCell ref="A64:D64"/>
    <mergeCell ref="R1:R2"/>
    <mergeCell ref="A1:J1"/>
    <mergeCell ref="K22:K23"/>
    <mergeCell ref="L22:N23"/>
    <mergeCell ref="O22:Q23"/>
    <mergeCell ref="K1:K2"/>
    <mergeCell ref="L1:N2"/>
    <mergeCell ref="O1:Q2"/>
    <mergeCell ref="K15:K16"/>
    <mergeCell ref="L15:N16"/>
    <mergeCell ref="K9:K10"/>
    <mergeCell ref="L9:N10"/>
  </mergeCells>
  <pageMargins left="0.7" right="0.7" top="0.75" bottom="0.75" header="0.3" footer="0.3"/>
  <ignoredErrors>
    <ignoredError sqref="E17" formula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1366-8D95-4958-879E-5D32C53AC51C}">
  <dimension ref="A1:AC90"/>
  <sheetViews>
    <sheetView workbookViewId="0">
      <selection activeCell="M98" sqref="M98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558" t="s">
        <v>788</v>
      </c>
      <c r="B1" s="559"/>
      <c r="C1" s="559"/>
      <c r="D1" s="559"/>
      <c r="E1" s="559"/>
      <c r="F1" s="559"/>
      <c r="G1" s="559"/>
      <c r="H1" s="559"/>
      <c r="I1" s="559"/>
      <c r="J1" s="560"/>
      <c r="K1" s="561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1">
        <v>2024</v>
      </c>
      <c r="T1" s="442"/>
      <c r="U1" s="443"/>
      <c r="V1" s="447">
        <v>2023</v>
      </c>
      <c r="W1" s="448"/>
      <c r="X1" s="449"/>
      <c r="Y1" s="272"/>
      <c r="Z1" s="272"/>
      <c r="AA1" s="447">
        <v>2022</v>
      </c>
      <c r="AB1" s="448"/>
      <c r="AC1" s="449"/>
    </row>
    <row r="2" spans="1:29" ht="14.95" customHeight="1" thickBot="1" x14ac:dyDescent="0.3">
      <c r="A2" s="261" t="s">
        <v>0</v>
      </c>
      <c r="B2" s="78" t="s">
        <v>227</v>
      </c>
      <c r="C2" s="309" t="s">
        <v>734</v>
      </c>
      <c r="D2" s="246" t="s">
        <v>11</v>
      </c>
      <c r="E2" s="263" t="s">
        <v>1</v>
      </c>
      <c r="F2" s="218" t="s">
        <v>2</v>
      </c>
      <c r="G2" s="339" t="s">
        <v>227</v>
      </c>
      <c r="H2" s="153" t="s">
        <v>734</v>
      </c>
      <c r="I2" s="121" t="s">
        <v>11</v>
      </c>
      <c r="J2" s="121" t="s">
        <v>1</v>
      </c>
      <c r="K2" s="562"/>
      <c r="L2" s="436"/>
      <c r="M2" s="437"/>
      <c r="N2" s="438"/>
      <c r="O2" s="436"/>
      <c r="P2" s="437"/>
      <c r="Q2" s="438"/>
      <c r="R2" s="454"/>
      <c r="S2" s="444"/>
      <c r="T2" s="445"/>
      <c r="U2" s="446"/>
      <c r="V2" s="450"/>
      <c r="W2" s="451"/>
      <c r="X2" s="452"/>
      <c r="Y2" s="59"/>
      <c r="Z2" s="59"/>
      <c r="AA2" s="450"/>
      <c r="AB2" s="451"/>
      <c r="AC2" s="452"/>
    </row>
    <row r="3" spans="1:29" ht="14.95" customHeight="1" thickBot="1" x14ac:dyDescent="0.3">
      <c r="A3" s="262" t="s">
        <v>296</v>
      </c>
      <c r="B3" s="340">
        <v>0</v>
      </c>
      <c r="C3" s="310">
        <v>0</v>
      </c>
      <c r="D3" s="245">
        <v>0</v>
      </c>
      <c r="E3" s="264">
        <f t="shared" ref="E3:E44" si="0">SUM(B3:D3)</f>
        <v>0</v>
      </c>
      <c r="F3" s="122" t="s">
        <v>296</v>
      </c>
      <c r="G3" s="323">
        <v>0</v>
      </c>
      <c r="H3" s="311">
        <v>0</v>
      </c>
      <c r="I3" s="29">
        <v>0</v>
      </c>
      <c r="J3" s="29">
        <f t="shared" ref="J3:J44" si="1">SUM(G3:I3)</f>
        <v>0</v>
      </c>
      <c r="K3" s="144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227" t="s">
        <v>17</v>
      </c>
      <c r="T3" s="227" t="s">
        <v>5</v>
      </c>
      <c r="U3" s="227" t="s">
        <v>6</v>
      </c>
      <c r="V3" s="271" t="s">
        <v>17</v>
      </c>
      <c r="W3" s="61" t="s">
        <v>5</v>
      </c>
      <c r="X3" s="61" t="s">
        <v>6</v>
      </c>
      <c r="Y3" s="24"/>
      <c r="Z3" s="24"/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262" t="s">
        <v>996</v>
      </c>
      <c r="B4" s="340">
        <v>0</v>
      </c>
      <c r="C4" s="310">
        <v>1</v>
      </c>
      <c r="D4" s="245">
        <v>0</v>
      </c>
      <c r="E4" s="264">
        <f t="shared" si="0"/>
        <v>1</v>
      </c>
      <c r="F4" s="123" t="s">
        <v>996</v>
      </c>
      <c r="G4" s="323">
        <v>0</v>
      </c>
      <c r="H4" s="311">
        <v>5</v>
      </c>
      <c r="I4" s="29">
        <v>0</v>
      </c>
      <c r="J4" s="29">
        <f t="shared" si="1"/>
        <v>5</v>
      </c>
      <c r="K4" s="262" t="s">
        <v>569</v>
      </c>
      <c r="L4" s="264" t="s">
        <v>8</v>
      </c>
      <c r="M4" s="264" t="s">
        <v>8</v>
      </c>
      <c r="N4" s="265" t="s">
        <v>8</v>
      </c>
      <c r="O4" s="264" t="s">
        <v>8</v>
      </c>
      <c r="P4" s="264" t="s">
        <v>8</v>
      </c>
      <c r="Q4" s="265" t="s">
        <v>8</v>
      </c>
      <c r="R4" s="266">
        <v>-1</v>
      </c>
      <c r="S4" s="227" t="s">
        <v>8</v>
      </c>
      <c r="T4" s="227" t="s">
        <v>8</v>
      </c>
      <c r="U4" s="313" t="s">
        <v>8</v>
      </c>
      <c r="V4" s="271">
        <v>0</v>
      </c>
      <c r="W4" s="61">
        <v>1</v>
      </c>
      <c r="X4" s="120">
        <f>SUM(V4/W4)*100</f>
        <v>0</v>
      </c>
      <c r="Y4" s="24"/>
      <c r="Z4" s="25"/>
      <c r="AA4" s="271" t="s">
        <v>8</v>
      </c>
      <c r="AB4" s="61" t="s">
        <v>8</v>
      </c>
      <c r="AC4" s="120" t="s">
        <v>8</v>
      </c>
    </row>
    <row r="5" spans="1:29" ht="14.95" customHeight="1" thickBot="1" x14ac:dyDescent="0.3">
      <c r="A5" s="262" t="s">
        <v>305</v>
      </c>
      <c r="B5" s="340">
        <v>0</v>
      </c>
      <c r="C5" s="310">
        <v>0</v>
      </c>
      <c r="D5" s="245">
        <v>0</v>
      </c>
      <c r="E5" s="264">
        <f t="shared" si="0"/>
        <v>0</v>
      </c>
      <c r="F5" s="123" t="s">
        <v>305</v>
      </c>
      <c r="G5" s="323">
        <v>0</v>
      </c>
      <c r="H5" s="311">
        <v>0</v>
      </c>
      <c r="I5" s="29">
        <v>0</v>
      </c>
      <c r="J5" s="29">
        <f t="shared" si="1"/>
        <v>0</v>
      </c>
      <c r="K5" s="262" t="s">
        <v>234</v>
      </c>
      <c r="L5" s="264">
        <v>5</v>
      </c>
      <c r="M5" s="264">
        <v>7</v>
      </c>
      <c r="N5" s="265">
        <f>SUM(L5/M5)*100</f>
        <v>71.428571428571431</v>
      </c>
      <c r="O5" s="264">
        <v>5</v>
      </c>
      <c r="P5" s="264">
        <v>7</v>
      </c>
      <c r="Q5" s="265">
        <f>SUM(O5/P5)*100</f>
        <v>71.428571428571431</v>
      </c>
      <c r="R5" s="266">
        <v>3</v>
      </c>
      <c r="S5" s="227">
        <v>8</v>
      </c>
      <c r="T5" s="227">
        <v>13</v>
      </c>
      <c r="U5" s="313">
        <f>SUM(S5/T5)*100</f>
        <v>61.53846153846154</v>
      </c>
      <c r="V5" s="271">
        <v>10</v>
      </c>
      <c r="W5" s="61">
        <v>18</v>
      </c>
      <c r="X5" s="120">
        <f>SUM(V5/W5)*100</f>
        <v>55.555555555555557</v>
      </c>
      <c r="Y5" s="24"/>
      <c r="Z5" s="25"/>
      <c r="AA5" s="271">
        <v>7</v>
      </c>
      <c r="AB5" s="61">
        <v>13</v>
      </c>
      <c r="AC5" s="120">
        <f>SUM(AA5/AB5)*100</f>
        <v>53.846153846153847</v>
      </c>
    </row>
    <row r="6" spans="1:29" ht="14.95" customHeight="1" thickBot="1" x14ac:dyDescent="0.3">
      <c r="A6" s="262" t="s">
        <v>568</v>
      </c>
      <c r="B6" s="340">
        <v>0</v>
      </c>
      <c r="C6" s="310">
        <v>0</v>
      </c>
      <c r="D6" s="245">
        <v>0</v>
      </c>
      <c r="E6" s="264">
        <f t="shared" si="0"/>
        <v>0</v>
      </c>
      <c r="F6" s="123" t="s">
        <v>568</v>
      </c>
      <c r="G6" s="323">
        <v>0</v>
      </c>
      <c r="H6" s="311">
        <v>0</v>
      </c>
      <c r="I6" s="29">
        <v>0</v>
      </c>
      <c r="J6" s="29">
        <f t="shared" si="1"/>
        <v>0</v>
      </c>
      <c r="K6" s="262" t="s">
        <v>309</v>
      </c>
      <c r="L6" s="264" t="s">
        <v>8</v>
      </c>
      <c r="M6" s="264" t="s">
        <v>8</v>
      </c>
      <c r="N6" s="265" t="s">
        <v>8</v>
      </c>
      <c r="O6" s="264" t="s">
        <v>8</v>
      </c>
      <c r="P6" s="264" t="s">
        <v>8</v>
      </c>
      <c r="Q6" s="265" t="s">
        <v>8</v>
      </c>
      <c r="R6" s="266">
        <v>1</v>
      </c>
      <c r="S6" s="227" t="s">
        <v>8</v>
      </c>
      <c r="T6" s="227" t="s">
        <v>8</v>
      </c>
      <c r="U6" s="313" t="s">
        <v>8</v>
      </c>
      <c r="V6" s="271">
        <v>1</v>
      </c>
      <c r="W6" s="61">
        <v>1</v>
      </c>
      <c r="X6" s="120">
        <f>SUM(V6/W6)*100</f>
        <v>100</v>
      </c>
      <c r="Y6" s="24"/>
      <c r="Z6" s="25"/>
      <c r="AA6" s="271" t="s">
        <v>8</v>
      </c>
      <c r="AB6" s="61" t="s">
        <v>8</v>
      </c>
      <c r="AC6" s="120" t="s">
        <v>8</v>
      </c>
    </row>
    <row r="7" spans="1:29" ht="14.95" customHeight="1" thickBot="1" x14ac:dyDescent="0.3">
      <c r="A7" s="262" t="s">
        <v>234</v>
      </c>
      <c r="B7" s="340">
        <v>0</v>
      </c>
      <c r="C7" s="310">
        <v>0</v>
      </c>
      <c r="D7" s="245">
        <v>0</v>
      </c>
      <c r="E7" s="264">
        <f t="shared" si="0"/>
        <v>0</v>
      </c>
      <c r="F7" s="123" t="s">
        <v>234</v>
      </c>
      <c r="G7" s="323">
        <v>0</v>
      </c>
      <c r="H7" s="311">
        <v>10</v>
      </c>
      <c r="I7" s="29">
        <v>0</v>
      </c>
      <c r="J7" s="29">
        <f t="shared" si="1"/>
        <v>10</v>
      </c>
      <c r="K7" s="262" t="s">
        <v>246</v>
      </c>
      <c r="L7" s="264" t="s">
        <v>8</v>
      </c>
      <c r="M7" s="264" t="s">
        <v>8</v>
      </c>
      <c r="N7" s="265" t="s">
        <v>8</v>
      </c>
      <c r="O7" s="264" t="s">
        <v>8</v>
      </c>
      <c r="P7" s="264" t="s">
        <v>8</v>
      </c>
      <c r="Q7" s="265" t="s">
        <v>8</v>
      </c>
      <c r="R7" s="266">
        <v>2</v>
      </c>
      <c r="S7" s="227" t="s">
        <v>8</v>
      </c>
      <c r="T7" s="227" t="s">
        <v>8</v>
      </c>
      <c r="U7" s="313" t="s">
        <v>8</v>
      </c>
      <c r="V7" s="271" t="s">
        <v>8</v>
      </c>
      <c r="W7" s="61" t="s">
        <v>8</v>
      </c>
      <c r="X7" s="120" t="s">
        <v>8</v>
      </c>
      <c r="Y7" s="24"/>
      <c r="Z7" s="25"/>
      <c r="AA7" s="271">
        <v>2</v>
      </c>
      <c r="AB7" s="61">
        <v>2</v>
      </c>
      <c r="AC7" s="120">
        <f>SUM(AA7/AB7)*100</f>
        <v>100</v>
      </c>
    </row>
    <row r="8" spans="1:29" ht="14.95" customHeight="1" thickBot="1" x14ac:dyDescent="0.3">
      <c r="A8" s="262" t="s">
        <v>294</v>
      </c>
      <c r="B8" s="340">
        <v>0</v>
      </c>
      <c r="C8" s="310">
        <v>0</v>
      </c>
      <c r="D8" s="245">
        <v>0</v>
      </c>
      <c r="E8" s="264">
        <f t="shared" si="0"/>
        <v>0</v>
      </c>
      <c r="F8" s="123" t="s">
        <v>294</v>
      </c>
      <c r="G8" s="323">
        <v>0</v>
      </c>
      <c r="H8" s="311">
        <v>0</v>
      </c>
      <c r="I8" s="29">
        <v>0</v>
      </c>
      <c r="J8" s="29">
        <f t="shared" si="1"/>
        <v>0</v>
      </c>
      <c r="K8" s="262" t="s">
        <v>232</v>
      </c>
      <c r="L8" s="264">
        <v>19</v>
      </c>
      <c r="M8" s="264">
        <v>28</v>
      </c>
      <c r="N8" s="265">
        <f>SUM(L8/M8)*100</f>
        <v>67.857142857142861</v>
      </c>
      <c r="O8" s="264">
        <v>0</v>
      </c>
      <c r="P8" s="264">
        <v>3</v>
      </c>
      <c r="Q8" s="265">
        <f>SUM(O8/P8)*100</f>
        <v>0</v>
      </c>
      <c r="R8" s="266">
        <v>-3</v>
      </c>
      <c r="S8" s="227">
        <v>12</v>
      </c>
      <c r="T8" s="227">
        <v>13</v>
      </c>
      <c r="U8" s="313">
        <f>SUM(S8/T8)*100</f>
        <v>92.307692307692307</v>
      </c>
      <c r="V8" s="271">
        <v>5</v>
      </c>
      <c r="W8" s="61">
        <v>7</v>
      </c>
      <c r="X8" s="120">
        <f>SUM(V8/W8)*100</f>
        <v>71.428571428571431</v>
      </c>
      <c r="Y8" s="24"/>
      <c r="Z8" s="25"/>
      <c r="AA8" s="271">
        <v>0</v>
      </c>
      <c r="AB8" s="61">
        <v>1</v>
      </c>
      <c r="AC8" s="120">
        <f>SUM(AA8/AB8)*100</f>
        <v>0</v>
      </c>
    </row>
    <row r="9" spans="1:29" ht="14.95" customHeight="1" thickBot="1" x14ac:dyDescent="0.3">
      <c r="A9" s="262" t="s">
        <v>789</v>
      </c>
      <c r="B9" s="340">
        <v>0</v>
      </c>
      <c r="C9" s="310">
        <v>1</v>
      </c>
      <c r="D9" s="245">
        <v>2</v>
      </c>
      <c r="E9" s="264">
        <f t="shared" si="0"/>
        <v>3</v>
      </c>
      <c r="F9" s="123" t="s">
        <v>789</v>
      </c>
      <c r="G9" s="323">
        <v>0</v>
      </c>
      <c r="H9" s="311">
        <v>5</v>
      </c>
      <c r="I9" s="29">
        <v>10</v>
      </c>
      <c r="J9" s="29">
        <f t="shared" si="1"/>
        <v>15</v>
      </c>
      <c r="K9" s="262" t="s">
        <v>287</v>
      </c>
      <c r="L9" s="264" t="s">
        <v>8</v>
      </c>
      <c r="M9" s="264" t="s">
        <v>8</v>
      </c>
      <c r="N9" s="265" t="s">
        <v>8</v>
      </c>
      <c r="O9" s="264" t="s">
        <v>8</v>
      </c>
      <c r="P9" s="264" t="s">
        <v>8</v>
      </c>
      <c r="Q9" s="265" t="s">
        <v>8</v>
      </c>
      <c r="R9" s="266">
        <v>2</v>
      </c>
      <c r="S9" s="227" t="s">
        <v>8</v>
      </c>
      <c r="T9" s="227" t="s">
        <v>8</v>
      </c>
      <c r="U9" s="313" t="s">
        <v>8</v>
      </c>
      <c r="V9" s="271" t="s">
        <v>8</v>
      </c>
      <c r="W9" s="61" t="s">
        <v>8</v>
      </c>
      <c r="X9" s="120" t="s">
        <v>8</v>
      </c>
      <c r="Y9" s="24"/>
      <c r="Z9" s="25"/>
      <c r="AA9" s="271">
        <v>8</v>
      </c>
      <c r="AB9" s="61">
        <v>10</v>
      </c>
      <c r="AC9" s="120">
        <f>SUM(AA9/AB9)*100</f>
        <v>80</v>
      </c>
    </row>
    <row r="10" spans="1:29" ht="14.95" customHeight="1" thickBot="1" x14ac:dyDescent="0.3">
      <c r="A10" s="262" t="s">
        <v>307</v>
      </c>
      <c r="B10" s="340">
        <v>0</v>
      </c>
      <c r="C10" s="310">
        <v>0</v>
      </c>
      <c r="D10" s="245">
        <v>0</v>
      </c>
      <c r="E10" s="264">
        <f t="shared" si="0"/>
        <v>0</v>
      </c>
      <c r="F10" s="123" t="s">
        <v>307</v>
      </c>
      <c r="G10" s="323">
        <v>0</v>
      </c>
      <c r="H10" s="311">
        <v>0</v>
      </c>
      <c r="I10" s="29">
        <v>0</v>
      </c>
      <c r="J10" s="29">
        <f t="shared" si="1"/>
        <v>0</v>
      </c>
      <c r="K10" s="45"/>
      <c r="L10" s="45"/>
      <c r="M10" s="45"/>
      <c r="N10" s="45"/>
      <c r="O10" s="45"/>
      <c r="P10" s="45"/>
      <c r="Q10" s="45"/>
    </row>
    <row r="11" spans="1:29" ht="14.95" customHeight="1" thickBot="1" x14ac:dyDescent="0.3">
      <c r="A11" s="262" t="s">
        <v>309</v>
      </c>
      <c r="B11" s="340">
        <v>0</v>
      </c>
      <c r="C11" s="310">
        <v>0</v>
      </c>
      <c r="D11" s="245">
        <v>0</v>
      </c>
      <c r="E11" s="264">
        <f t="shared" si="0"/>
        <v>0</v>
      </c>
      <c r="F11" s="123" t="s">
        <v>309</v>
      </c>
      <c r="G11" s="323">
        <v>0</v>
      </c>
      <c r="H11" s="311">
        <v>0</v>
      </c>
      <c r="I11" s="29">
        <v>0</v>
      </c>
      <c r="J11" s="29">
        <f t="shared" si="1"/>
        <v>0</v>
      </c>
      <c r="K11" s="439" t="s">
        <v>230</v>
      </c>
      <c r="L11" s="433">
        <v>2025</v>
      </c>
      <c r="M11" s="434"/>
      <c r="N11" s="435"/>
      <c r="O11" s="447">
        <v>2024</v>
      </c>
      <c r="P11" s="448"/>
      <c r="Q11" s="449"/>
      <c r="R11" s="447">
        <v>2023</v>
      </c>
      <c r="S11" s="448"/>
      <c r="T11" s="449"/>
      <c r="U11" s="447">
        <v>2022</v>
      </c>
      <c r="V11" s="448"/>
      <c r="W11" s="449"/>
    </row>
    <row r="12" spans="1:29" ht="14.95" customHeight="1" thickBot="1" x14ac:dyDescent="0.3">
      <c r="A12" s="262" t="s">
        <v>246</v>
      </c>
      <c r="B12" s="340">
        <v>0</v>
      </c>
      <c r="C12" s="310">
        <v>0</v>
      </c>
      <c r="D12" s="245">
        <v>0</v>
      </c>
      <c r="E12" s="264">
        <f t="shared" si="0"/>
        <v>0</v>
      </c>
      <c r="F12" s="123" t="s">
        <v>246</v>
      </c>
      <c r="G12" s="323">
        <v>0</v>
      </c>
      <c r="H12" s="311">
        <v>0</v>
      </c>
      <c r="I12" s="29">
        <v>0</v>
      </c>
      <c r="J12" s="29">
        <f t="shared" si="1"/>
        <v>0</v>
      </c>
      <c r="K12" s="440"/>
      <c r="L12" s="436"/>
      <c r="M12" s="437"/>
      <c r="N12" s="438"/>
      <c r="O12" s="450"/>
      <c r="P12" s="451"/>
      <c r="Q12" s="452"/>
      <c r="R12" s="450"/>
      <c r="S12" s="451"/>
      <c r="T12" s="452"/>
      <c r="U12" s="450"/>
      <c r="V12" s="451"/>
      <c r="W12" s="452"/>
    </row>
    <row r="13" spans="1:29" ht="14.95" customHeight="1" thickBot="1" x14ac:dyDescent="0.3">
      <c r="A13" s="262" t="s">
        <v>308</v>
      </c>
      <c r="B13" s="340">
        <v>0</v>
      </c>
      <c r="C13" s="310">
        <v>0</v>
      </c>
      <c r="D13" s="245">
        <v>0</v>
      </c>
      <c r="E13" s="264">
        <f t="shared" si="0"/>
        <v>0</v>
      </c>
      <c r="F13" s="123" t="s">
        <v>308</v>
      </c>
      <c r="G13" s="323">
        <v>0</v>
      </c>
      <c r="H13" s="311">
        <v>0</v>
      </c>
      <c r="I13" s="29">
        <v>0</v>
      </c>
      <c r="J13" s="29">
        <f t="shared" si="1"/>
        <v>0</v>
      </c>
      <c r="K13" s="338"/>
      <c r="L13" s="29" t="s">
        <v>17</v>
      </c>
      <c r="M13" s="29" t="s">
        <v>5</v>
      </c>
      <c r="N13" s="29" t="s">
        <v>6</v>
      </c>
      <c r="O13" s="61" t="s">
        <v>17</v>
      </c>
      <c r="P13" s="61" t="s">
        <v>5</v>
      </c>
      <c r="Q13" s="61" t="s">
        <v>6</v>
      </c>
      <c r="R13" s="61" t="s">
        <v>17</v>
      </c>
      <c r="S13" s="61" t="s">
        <v>5</v>
      </c>
      <c r="T13" s="61" t="s">
        <v>6</v>
      </c>
      <c r="U13" s="61" t="s">
        <v>17</v>
      </c>
      <c r="V13" s="61" t="s">
        <v>5</v>
      </c>
      <c r="W13" s="61" t="s">
        <v>6</v>
      </c>
    </row>
    <row r="14" spans="1:29" ht="14.95" customHeight="1" thickBot="1" x14ac:dyDescent="0.3">
      <c r="A14" s="262" t="s">
        <v>655</v>
      </c>
      <c r="B14" s="340">
        <v>0</v>
      </c>
      <c r="C14" s="310">
        <v>0</v>
      </c>
      <c r="D14" s="245">
        <v>0</v>
      </c>
      <c r="E14" s="264">
        <f t="shared" si="0"/>
        <v>0</v>
      </c>
      <c r="F14" s="123" t="s">
        <v>655</v>
      </c>
      <c r="G14" s="323">
        <v>0</v>
      </c>
      <c r="H14" s="311">
        <v>0</v>
      </c>
      <c r="I14" s="29">
        <v>0</v>
      </c>
      <c r="J14" s="29">
        <f t="shared" si="1"/>
        <v>0</v>
      </c>
      <c r="K14" s="262" t="s">
        <v>234</v>
      </c>
      <c r="L14" s="264" t="s">
        <v>8</v>
      </c>
      <c r="M14" s="264" t="s">
        <v>8</v>
      </c>
      <c r="N14" s="265" t="s">
        <v>8</v>
      </c>
      <c r="O14" s="61">
        <v>4</v>
      </c>
      <c r="P14" s="61">
        <v>7</v>
      </c>
      <c r="Q14" s="120">
        <f>SUM(O14/P14)*100</f>
        <v>57.142857142857139</v>
      </c>
      <c r="R14" s="61">
        <v>2</v>
      </c>
      <c r="S14" s="61">
        <v>2</v>
      </c>
      <c r="T14" s="120">
        <f>SUM(R14/S14)*100</f>
        <v>100</v>
      </c>
      <c r="U14" s="61">
        <v>4</v>
      </c>
      <c r="V14" s="61">
        <v>4</v>
      </c>
      <c r="W14" s="120">
        <f>SUM(U14/V14)*100</f>
        <v>100</v>
      </c>
    </row>
    <row r="15" spans="1:29" ht="14.95" customHeight="1" thickBot="1" x14ac:dyDescent="0.3">
      <c r="A15" s="262" t="s">
        <v>232</v>
      </c>
      <c r="B15" s="340">
        <v>0</v>
      </c>
      <c r="C15" s="310">
        <v>0</v>
      </c>
      <c r="D15" s="245">
        <v>0</v>
      </c>
      <c r="E15" s="264">
        <f t="shared" si="0"/>
        <v>0</v>
      </c>
      <c r="F15" s="123" t="s">
        <v>232</v>
      </c>
      <c r="G15" s="323">
        <v>12</v>
      </c>
      <c r="H15" s="311">
        <v>8</v>
      </c>
      <c r="I15" s="29">
        <v>19</v>
      </c>
      <c r="J15" s="29">
        <f t="shared" si="1"/>
        <v>39</v>
      </c>
      <c r="K15" s="262" t="s">
        <v>246</v>
      </c>
      <c r="L15" s="264" t="s">
        <v>8</v>
      </c>
      <c r="M15" s="264" t="s">
        <v>8</v>
      </c>
      <c r="N15" s="265" t="s">
        <v>8</v>
      </c>
      <c r="O15" s="61" t="s">
        <v>8</v>
      </c>
      <c r="P15" s="61" t="s">
        <v>8</v>
      </c>
      <c r="Q15" s="120" t="s">
        <v>8</v>
      </c>
      <c r="R15" s="61" t="s">
        <v>8</v>
      </c>
      <c r="S15" s="61" t="s">
        <v>8</v>
      </c>
      <c r="T15" s="120" t="s">
        <v>8</v>
      </c>
      <c r="U15" s="61">
        <v>2</v>
      </c>
      <c r="V15" s="61">
        <v>2</v>
      </c>
      <c r="W15" s="120">
        <f>SUM(U15/V15)*100</f>
        <v>100</v>
      </c>
    </row>
    <row r="16" spans="1:29" ht="14.95" customHeight="1" thickBot="1" x14ac:dyDescent="0.3">
      <c r="A16" s="262" t="s">
        <v>299</v>
      </c>
      <c r="B16" s="340">
        <v>0</v>
      </c>
      <c r="C16" s="310">
        <v>0</v>
      </c>
      <c r="D16" s="245">
        <v>0</v>
      </c>
      <c r="E16" s="264">
        <f t="shared" si="0"/>
        <v>0</v>
      </c>
      <c r="F16" s="123" t="s">
        <v>299</v>
      </c>
      <c r="G16" s="323">
        <v>0</v>
      </c>
      <c r="H16" s="311">
        <v>0</v>
      </c>
      <c r="I16" s="29">
        <v>0</v>
      </c>
      <c r="J16" s="29">
        <f t="shared" si="1"/>
        <v>0</v>
      </c>
      <c r="K16" s="262" t="s">
        <v>232</v>
      </c>
      <c r="L16" s="264">
        <v>6</v>
      </c>
      <c r="M16" s="264">
        <v>7</v>
      </c>
      <c r="N16" s="265">
        <f>SUM(L16/M16)*100</f>
        <v>85.714285714285708</v>
      </c>
      <c r="O16" s="61">
        <v>0</v>
      </c>
      <c r="P16" s="61">
        <v>1</v>
      </c>
      <c r="Q16" s="120">
        <f>SUM(O16/P16)*100</f>
        <v>0</v>
      </c>
      <c r="R16" s="61">
        <v>5</v>
      </c>
      <c r="S16" s="61">
        <v>7</v>
      </c>
      <c r="T16" s="120">
        <f>SUM(R16/S16)*100</f>
        <v>71.428571428571431</v>
      </c>
      <c r="U16" s="61">
        <v>0</v>
      </c>
      <c r="V16" s="61">
        <v>1</v>
      </c>
      <c r="W16" s="120">
        <f>SUM(U16/V16)*100</f>
        <v>0</v>
      </c>
    </row>
    <row r="17" spans="1:17" ht="14.95" customHeight="1" thickBot="1" x14ac:dyDescent="0.3">
      <c r="A17" s="262" t="s">
        <v>295</v>
      </c>
      <c r="B17" s="340">
        <v>0</v>
      </c>
      <c r="C17" s="310">
        <v>0</v>
      </c>
      <c r="D17" s="245">
        <v>2</v>
      </c>
      <c r="E17" s="264">
        <f t="shared" si="0"/>
        <v>2</v>
      </c>
      <c r="F17" s="123" t="s">
        <v>295</v>
      </c>
      <c r="G17" s="323">
        <v>0</v>
      </c>
      <c r="H17" s="311">
        <v>0</v>
      </c>
      <c r="I17" s="29">
        <v>10</v>
      </c>
      <c r="J17" s="29">
        <f t="shared" si="1"/>
        <v>10</v>
      </c>
      <c r="O17" s="9"/>
      <c r="P17" s="9"/>
      <c r="Q17" s="9"/>
    </row>
    <row r="18" spans="1:17" ht="14.95" customHeight="1" thickBot="1" x14ac:dyDescent="0.3">
      <c r="A18" s="262" t="s">
        <v>546</v>
      </c>
      <c r="B18" s="340">
        <v>0</v>
      </c>
      <c r="C18" s="310">
        <v>0</v>
      </c>
      <c r="D18" s="245">
        <v>0</v>
      </c>
      <c r="E18" s="264">
        <f t="shared" si="0"/>
        <v>0</v>
      </c>
      <c r="F18" s="123" t="s">
        <v>546</v>
      </c>
      <c r="G18" s="323">
        <v>0</v>
      </c>
      <c r="H18" s="311">
        <v>0</v>
      </c>
      <c r="I18" s="29">
        <v>0</v>
      </c>
      <c r="J18" s="29">
        <f t="shared" si="1"/>
        <v>0</v>
      </c>
      <c r="K18" s="459" t="s">
        <v>351</v>
      </c>
      <c r="L18" s="433">
        <v>2025</v>
      </c>
      <c r="M18" s="434"/>
      <c r="N18" s="435"/>
      <c r="O18" s="447">
        <v>2022</v>
      </c>
      <c r="P18" s="448"/>
      <c r="Q18" s="449"/>
    </row>
    <row r="19" spans="1:17" ht="14.95" customHeight="1" thickBot="1" x14ac:dyDescent="0.3">
      <c r="A19" s="262" t="s">
        <v>293</v>
      </c>
      <c r="B19" s="340">
        <v>0</v>
      </c>
      <c r="C19" s="310">
        <v>0</v>
      </c>
      <c r="D19" s="245">
        <v>0</v>
      </c>
      <c r="E19" s="264">
        <f t="shared" si="0"/>
        <v>0</v>
      </c>
      <c r="F19" s="123" t="s">
        <v>293</v>
      </c>
      <c r="G19" s="323">
        <v>0</v>
      </c>
      <c r="H19" s="311">
        <v>0</v>
      </c>
      <c r="I19" s="29">
        <v>0</v>
      </c>
      <c r="J19" s="29">
        <f t="shared" si="1"/>
        <v>0</v>
      </c>
      <c r="K19" s="460"/>
      <c r="L19" s="436"/>
      <c r="M19" s="437"/>
      <c r="N19" s="438"/>
      <c r="O19" s="450"/>
      <c r="P19" s="451"/>
      <c r="Q19" s="452"/>
    </row>
    <row r="20" spans="1:17" ht="14.95" customHeight="1" thickBot="1" x14ac:dyDescent="0.3">
      <c r="A20" s="262" t="s">
        <v>900</v>
      </c>
      <c r="B20" s="340">
        <v>0</v>
      </c>
      <c r="C20" s="310">
        <v>3</v>
      </c>
      <c r="D20" s="245">
        <v>1</v>
      </c>
      <c r="E20" s="264">
        <f t="shared" si="0"/>
        <v>4</v>
      </c>
      <c r="F20" s="123" t="s">
        <v>900</v>
      </c>
      <c r="G20" s="323">
        <v>0</v>
      </c>
      <c r="H20" s="311">
        <v>15</v>
      </c>
      <c r="I20" s="29">
        <v>5</v>
      </c>
      <c r="J20" s="29">
        <f t="shared" si="1"/>
        <v>20</v>
      </c>
      <c r="K20" s="317"/>
      <c r="L20" s="29" t="s">
        <v>17</v>
      </c>
      <c r="M20" s="29" t="s">
        <v>5</v>
      </c>
      <c r="N20" s="29" t="s">
        <v>6</v>
      </c>
      <c r="O20" s="61" t="s">
        <v>17</v>
      </c>
      <c r="P20" s="61" t="s">
        <v>5</v>
      </c>
      <c r="Q20" s="61" t="s">
        <v>6</v>
      </c>
    </row>
    <row r="21" spans="1:17" ht="14.95" customHeight="1" thickBot="1" x14ac:dyDescent="0.3">
      <c r="A21" s="262" t="s">
        <v>310</v>
      </c>
      <c r="B21" s="340">
        <v>0</v>
      </c>
      <c r="C21" s="310">
        <v>0</v>
      </c>
      <c r="D21" s="245">
        <v>0</v>
      </c>
      <c r="E21" s="264">
        <f t="shared" si="0"/>
        <v>0</v>
      </c>
      <c r="F21" s="123" t="s">
        <v>310</v>
      </c>
      <c r="G21" s="323">
        <v>0</v>
      </c>
      <c r="H21" s="311">
        <v>0</v>
      </c>
      <c r="I21" s="29">
        <v>0</v>
      </c>
      <c r="J21" s="29">
        <f t="shared" si="1"/>
        <v>0</v>
      </c>
      <c r="K21" s="262" t="s">
        <v>234</v>
      </c>
      <c r="L21" s="264">
        <v>5</v>
      </c>
      <c r="M21" s="264">
        <v>7</v>
      </c>
      <c r="N21" s="265">
        <f>SUM(L21/M21)*100</f>
        <v>71.428571428571431</v>
      </c>
      <c r="O21" s="61">
        <v>1</v>
      </c>
      <c r="P21" s="61">
        <v>5</v>
      </c>
      <c r="Q21" s="120">
        <v>20</v>
      </c>
    </row>
    <row r="22" spans="1:17" ht="14.95" customHeight="1" thickBot="1" x14ac:dyDescent="0.3">
      <c r="A22" s="262" t="s">
        <v>311</v>
      </c>
      <c r="B22" s="340">
        <v>0</v>
      </c>
      <c r="C22" s="310">
        <v>0</v>
      </c>
      <c r="D22" s="245">
        <v>1</v>
      </c>
      <c r="E22" s="264">
        <f t="shared" si="0"/>
        <v>1</v>
      </c>
      <c r="F22" s="123" t="s">
        <v>311</v>
      </c>
      <c r="G22" s="323">
        <v>0</v>
      </c>
      <c r="H22" s="311">
        <v>0</v>
      </c>
      <c r="I22" s="29">
        <v>5</v>
      </c>
      <c r="J22" s="29">
        <f t="shared" si="1"/>
        <v>5</v>
      </c>
      <c r="K22" s="262" t="s">
        <v>232</v>
      </c>
      <c r="L22" s="264">
        <v>4</v>
      </c>
      <c r="M22" s="264">
        <v>9</v>
      </c>
      <c r="N22" s="265">
        <f>SUM(L22/M22)*100</f>
        <v>44.444444444444443</v>
      </c>
      <c r="O22" s="61" t="s">
        <v>8</v>
      </c>
      <c r="P22" s="61" t="s">
        <v>8</v>
      </c>
      <c r="Q22" s="120" t="s">
        <v>8</v>
      </c>
    </row>
    <row r="23" spans="1:17" ht="14.95" customHeight="1" thickBot="1" x14ac:dyDescent="0.3">
      <c r="A23" s="262" t="s">
        <v>290</v>
      </c>
      <c r="B23" s="340">
        <v>0</v>
      </c>
      <c r="C23" s="310">
        <v>0</v>
      </c>
      <c r="D23" s="245">
        <v>0</v>
      </c>
      <c r="E23" s="264">
        <f t="shared" si="0"/>
        <v>0</v>
      </c>
      <c r="F23" s="123" t="s">
        <v>290</v>
      </c>
      <c r="G23" s="323">
        <v>0</v>
      </c>
      <c r="H23" s="311">
        <v>0</v>
      </c>
      <c r="I23" s="29">
        <v>0</v>
      </c>
      <c r="J23" s="29">
        <f t="shared" si="1"/>
        <v>0</v>
      </c>
      <c r="K23" s="262" t="s">
        <v>287</v>
      </c>
      <c r="L23" s="264" t="s">
        <v>8</v>
      </c>
      <c r="M23" s="264" t="s">
        <v>8</v>
      </c>
      <c r="N23" s="265" t="s">
        <v>8</v>
      </c>
      <c r="O23" s="61">
        <v>7</v>
      </c>
      <c r="P23" s="61">
        <v>8</v>
      </c>
      <c r="Q23" s="120">
        <v>88</v>
      </c>
    </row>
    <row r="24" spans="1:17" ht="14.95" customHeight="1" thickBot="1" x14ac:dyDescent="0.3">
      <c r="A24" s="262" t="s">
        <v>287</v>
      </c>
      <c r="B24" s="340">
        <v>1</v>
      </c>
      <c r="C24" s="310">
        <v>0</v>
      </c>
      <c r="D24" s="245">
        <v>1</v>
      </c>
      <c r="E24" s="264">
        <f t="shared" si="0"/>
        <v>2</v>
      </c>
      <c r="F24" s="123" t="s">
        <v>287</v>
      </c>
      <c r="G24" s="323">
        <v>5</v>
      </c>
      <c r="H24" s="311">
        <v>0</v>
      </c>
      <c r="I24" s="29">
        <v>5</v>
      </c>
      <c r="J24" s="29">
        <f t="shared" si="1"/>
        <v>10</v>
      </c>
      <c r="O24" s="9"/>
      <c r="P24" s="9"/>
      <c r="Q24" s="9"/>
    </row>
    <row r="25" spans="1:17" ht="14.95" customHeight="1" thickBot="1" x14ac:dyDescent="0.3">
      <c r="A25" s="262" t="s">
        <v>300</v>
      </c>
      <c r="B25" s="340">
        <v>0</v>
      </c>
      <c r="C25" s="310">
        <v>0</v>
      </c>
      <c r="D25" s="245">
        <v>0</v>
      </c>
      <c r="E25" s="264">
        <f t="shared" si="0"/>
        <v>0</v>
      </c>
      <c r="F25" s="123" t="s">
        <v>300</v>
      </c>
      <c r="G25" s="323">
        <v>0</v>
      </c>
      <c r="H25" s="311">
        <v>0</v>
      </c>
      <c r="I25" s="29">
        <v>0</v>
      </c>
      <c r="J25" s="29">
        <f t="shared" si="1"/>
        <v>0</v>
      </c>
      <c r="K25" s="477" t="s">
        <v>509</v>
      </c>
      <c r="L25" s="447">
        <v>2024</v>
      </c>
      <c r="M25" s="448"/>
      <c r="N25" s="449"/>
      <c r="O25" s="447">
        <v>2023</v>
      </c>
      <c r="P25" s="448"/>
      <c r="Q25" s="449"/>
    </row>
    <row r="26" spans="1:17" ht="14.95" customHeight="1" thickBot="1" x14ac:dyDescent="0.3">
      <c r="A26" s="262" t="s">
        <v>298</v>
      </c>
      <c r="B26" s="340">
        <v>0</v>
      </c>
      <c r="C26" s="310">
        <v>0</v>
      </c>
      <c r="D26" s="245">
        <v>0</v>
      </c>
      <c r="E26" s="264">
        <f t="shared" si="0"/>
        <v>0</v>
      </c>
      <c r="F26" s="123" t="s">
        <v>298</v>
      </c>
      <c r="G26" s="323">
        <v>0</v>
      </c>
      <c r="H26" s="311">
        <v>0</v>
      </c>
      <c r="I26" s="29">
        <v>0</v>
      </c>
      <c r="J26" s="29">
        <f t="shared" si="1"/>
        <v>0</v>
      </c>
      <c r="K26" s="478"/>
      <c r="L26" s="450"/>
      <c r="M26" s="451"/>
      <c r="N26" s="452"/>
      <c r="O26" s="450"/>
      <c r="P26" s="451"/>
      <c r="Q26" s="452"/>
    </row>
    <row r="27" spans="1:17" ht="14.95" customHeight="1" thickBot="1" x14ac:dyDescent="0.3">
      <c r="A27" s="262" t="s">
        <v>304</v>
      </c>
      <c r="B27" s="340">
        <v>0</v>
      </c>
      <c r="C27" s="310">
        <v>0</v>
      </c>
      <c r="D27" s="245">
        <v>0</v>
      </c>
      <c r="E27" s="264">
        <f t="shared" si="0"/>
        <v>0</v>
      </c>
      <c r="F27" s="123" t="s">
        <v>304</v>
      </c>
      <c r="G27" s="323">
        <v>0</v>
      </c>
      <c r="H27" s="311">
        <v>0</v>
      </c>
      <c r="I27" s="29">
        <v>0</v>
      </c>
      <c r="J27" s="29">
        <f t="shared" si="1"/>
        <v>0</v>
      </c>
      <c r="K27" s="231"/>
      <c r="L27" s="61" t="s">
        <v>17</v>
      </c>
      <c r="M27" s="61" t="s">
        <v>5</v>
      </c>
      <c r="N27" s="61" t="s">
        <v>6</v>
      </c>
      <c r="O27" s="61" t="s">
        <v>17</v>
      </c>
      <c r="P27" s="61" t="s">
        <v>5</v>
      </c>
      <c r="Q27" s="61" t="s">
        <v>6</v>
      </c>
    </row>
    <row r="28" spans="1:17" ht="14.95" customHeight="1" thickBot="1" x14ac:dyDescent="0.3">
      <c r="A28" s="262" t="s">
        <v>506</v>
      </c>
      <c r="B28" s="340">
        <v>0</v>
      </c>
      <c r="C28" s="310">
        <v>0</v>
      </c>
      <c r="D28" s="245">
        <v>0</v>
      </c>
      <c r="E28" s="264">
        <f t="shared" si="0"/>
        <v>0</v>
      </c>
      <c r="F28" s="123" t="s">
        <v>506</v>
      </c>
      <c r="G28" s="323">
        <v>0</v>
      </c>
      <c r="H28" s="311">
        <v>0</v>
      </c>
      <c r="I28" s="29">
        <v>0</v>
      </c>
      <c r="J28" s="29">
        <f t="shared" si="1"/>
        <v>0</v>
      </c>
      <c r="K28" s="262" t="s">
        <v>569</v>
      </c>
      <c r="L28" s="61" t="s">
        <v>8</v>
      </c>
      <c r="M28" s="61" t="s">
        <v>8</v>
      </c>
      <c r="N28" s="120" t="s">
        <v>8</v>
      </c>
      <c r="O28" s="61">
        <v>0</v>
      </c>
      <c r="P28" s="61">
        <v>1</v>
      </c>
      <c r="Q28" s="120">
        <f>SUM(O28/P28)*100</f>
        <v>0</v>
      </c>
    </row>
    <row r="29" spans="1:17" ht="14.95" customHeight="1" thickBot="1" x14ac:dyDescent="0.3">
      <c r="A29" s="262" t="s">
        <v>291</v>
      </c>
      <c r="B29" s="340">
        <v>0</v>
      </c>
      <c r="C29" s="310">
        <v>0</v>
      </c>
      <c r="D29" s="245">
        <v>1</v>
      </c>
      <c r="E29" s="264">
        <f t="shared" si="0"/>
        <v>1</v>
      </c>
      <c r="F29" s="123" t="s">
        <v>291</v>
      </c>
      <c r="G29" s="323">
        <v>0</v>
      </c>
      <c r="H29" s="311">
        <v>0</v>
      </c>
      <c r="I29" s="29">
        <v>5</v>
      </c>
      <c r="J29" s="29">
        <f t="shared" si="1"/>
        <v>5</v>
      </c>
      <c r="K29" s="262" t="s">
        <v>234</v>
      </c>
      <c r="L29" s="61" t="s">
        <v>8</v>
      </c>
      <c r="M29" s="61" t="s">
        <v>8</v>
      </c>
      <c r="N29" s="120" t="s">
        <v>8</v>
      </c>
      <c r="O29" s="61">
        <v>5</v>
      </c>
      <c r="P29" s="61">
        <v>8</v>
      </c>
      <c r="Q29" s="120">
        <f>SUM(O29/P29)*100</f>
        <v>62.5</v>
      </c>
    </row>
    <row r="30" spans="1:17" ht="14.95" customHeight="1" thickBot="1" x14ac:dyDescent="0.3">
      <c r="A30" s="262" t="s">
        <v>301</v>
      </c>
      <c r="B30" s="340">
        <v>0</v>
      </c>
      <c r="C30" s="310">
        <v>0</v>
      </c>
      <c r="D30" s="245">
        <v>0</v>
      </c>
      <c r="E30" s="264">
        <f t="shared" si="0"/>
        <v>0</v>
      </c>
      <c r="F30" s="123" t="s">
        <v>301</v>
      </c>
      <c r="G30" s="323">
        <v>0</v>
      </c>
      <c r="H30" s="311">
        <v>0</v>
      </c>
      <c r="I30" s="29">
        <v>0</v>
      </c>
      <c r="J30" s="29">
        <f t="shared" si="1"/>
        <v>0</v>
      </c>
      <c r="K30" s="262" t="s">
        <v>309</v>
      </c>
      <c r="L30" s="61" t="s">
        <v>8</v>
      </c>
      <c r="M30" s="61" t="s">
        <v>8</v>
      </c>
      <c r="N30" s="120" t="s">
        <v>8</v>
      </c>
      <c r="O30" s="61">
        <v>1</v>
      </c>
      <c r="P30" s="61">
        <v>1</v>
      </c>
      <c r="Q30" s="120">
        <f>SUM(O30/P30)*100</f>
        <v>100</v>
      </c>
    </row>
    <row r="31" spans="1:17" ht="14.95" customHeight="1" thickBot="1" x14ac:dyDescent="0.3">
      <c r="A31" s="262" t="s">
        <v>306</v>
      </c>
      <c r="B31" s="340">
        <v>0</v>
      </c>
      <c r="C31" s="310">
        <v>1</v>
      </c>
      <c r="D31" s="245">
        <v>0</v>
      </c>
      <c r="E31" s="264">
        <f t="shared" si="0"/>
        <v>1</v>
      </c>
      <c r="F31" s="123" t="s">
        <v>306</v>
      </c>
      <c r="G31" s="323">
        <v>0</v>
      </c>
      <c r="H31" s="311">
        <v>5</v>
      </c>
      <c r="I31" s="29">
        <v>0</v>
      </c>
      <c r="J31" s="29">
        <f t="shared" si="1"/>
        <v>5</v>
      </c>
      <c r="K31" s="262" t="s">
        <v>232</v>
      </c>
      <c r="L31" s="61">
        <v>7</v>
      </c>
      <c r="M31" s="61">
        <v>7</v>
      </c>
      <c r="N31" s="120">
        <f>SUM(L31/M31)*100</f>
        <v>100</v>
      </c>
      <c r="O31" s="61" t="s">
        <v>8</v>
      </c>
      <c r="P31" s="61" t="s">
        <v>8</v>
      </c>
      <c r="Q31" s="120" t="s">
        <v>8</v>
      </c>
    </row>
    <row r="32" spans="1:17" ht="14.95" customHeight="1" thickBot="1" x14ac:dyDescent="0.3">
      <c r="A32" s="262" t="s">
        <v>212</v>
      </c>
      <c r="B32" s="340">
        <v>0</v>
      </c>
      <c r="C32" s="310">
        <v>0</v>
      </c>
      <c r="D32" s="245">
        <v>0</v>
      </c>
      <c r="E32" s="264">
        <f t="shared" si="0"/>
        <v>0</v>
      </c>
      <c r="F32" s="123" t="s">
        <v>212</v>
      </c>
      <c r="G32" s="323">
        <v>0</v>
      </c>
      <c r="H32" s="311">
        <v>0</v>
      </c>
      <c r="I32" s="29">
        <v>0</v>
      </c>
      <c r="J32" s="29">
        <f t="shared" si="1"/>
        <v>0</v>
      </c>
    </row>
    <row r="33" spans="1:10" ht="14.95" customHeight="1" thickBot="1" x14ac:dyDescent="0.3">
      <c r="A33" s="262" t="s">
        <v>297</v>
      </c>
      <c r="B33" s="340">
        <v>0</v>
      </c>
      <c r="C33" s="310">
        <v>0</v>
      </c>
      <c r="D33" s="245">
        <v>0</v>
      </c>
      <c r="E33" s="264">
        <f t="shared" si="0"/>
        <v>0</v>
      </c>
      <c r="F33" s="123" t="s">
        <v>297</v>
      </c>
      <c r="G33" s="323">
        <v>0</v>
      </c>
      <c r="H33" s="311">
        <v>0</v>
      </c>
      <c r="I33" s="29">
        <v>0</v>
      </c>
      <c r="J33" s="29">
        <f t="shared" si="1"/>
        <v>0</v>
      </c>
    </row>
    <row r="34" spans="1:10" ht="14.95" customHeight="1" thickBot="1" x14ac:dyDescent="0.3">
      <c r="A34" s="262" t="s">
        <v>233</v>
      </c>
      <c r="B34" s="340">
        <v>4</v>
      </c>
      <c r="C34" s="310">
        <v>3</v>
      </c>
      <c r="D34" s="245">
        <v>1</v>
      </c>
      <c r="E34" s="264">
        <f t="shared" si="0"/>
        <v>8</v>
      </c>
      <c r="F34" s="123" t="s">
        <v>233</v>
      </c>
      <c r="G34" s="323">
        <v>20</v>
      </c>
      <c r="H34" s="311">
        <v>15</v>
      </c>
      <c r="I34" s="29">
        <v>5</v>
      </c>
      <c r="J34" s="29">
        <f t="shared" si="1"/>
        <v>40</v>
      </c>
    </row>
    <row r="35" spans="1:10" ht="14.95" customHeight="1" thickBot="1" x14ac:dyDescent="0.3">
      <c r="A35" s="262" t="s">
        <v>790</v>
      </c>
      <c r="B35" s="340">
        <v>0</v>
      </c>
      <c r="C35" s="310">
        <v>1</v>
      </c>
      <c r="D35" s="245">
        <v>1</v>
      </c>
      <c r="E35" s="264">
        <f t="shared" si="0"/>
        <v>2</v>
      </c>
      <c r="F35" s="123" t="s">
        <v>790</v>
      </c>
      <c r="G35" s="323">
        <v>0</v>
      </c>
      <c r="H35" s="311">
        <v>5</v>
      </c>
      <c r="I35" s="29">
        <v>5</v>
      </c>
      <c r="J35" s="29">
        <f t="shared" si="1"/>
        <v>10</v>
      </c>
    </row>
    <row r="36" spans="1:10" ht="14.95" customHeight="1" thickBot="1" x14ac:dyDescent="0.3">
      <c r="A36" s="262" t="s">
        <v>505</v>
      </c>
      <c r="B36" s="340">
        <v>0</v>
      </c>
      <c r="C36" s="310">
        <v>0</v>
      </c>
      <c r="D36" s="245">
        <v>0</v>
      </c>
      <c r="E36" s="264">
        <f t="shared" si="0"/>
        <v>0</v>
      </c>
      <c r="F36" s="123" t="s">
        <v>505</v>
      </c>
      <c r="G36" s="323">
        <v>0</v>
      </c>
      <c r="H36" s="311">
        <v>0</v>
      </c>
      <c r="I36" s="29">
        <v>0</v>
      </c>
      <c r="J36" s="29">
        <f t="shared" si="1"/>
        <v>0</v>
      </c>
    </row>
    <row r="37" spans="1:10" ht="14.95" customHeight="1" thickBot="1" x14ac:dyDescent="0.3">
      <c r="A37" s="262" t="s">
        <v>494</v>
      </c>
      <c r="B37" s="340">
        <v>1</v>
      </c>
      <c r="C37" s="310">
        <v>6</v>
      </c>
      <c r="D37" s="245">
        <v>1</v>
      </c>
      <c r="E37" s="264">
        <f t="shared" si="0"/>
        <v>8</v>
      </c>
      <c r="F37" s="123" t="s">
        <v>494</v>
      </c>
      <c r="G37" s="323">
        <v>5</v>
      </c>
      <c r="H37" s="311">
        <v>30</v>
      </c>
      <c r="I37" s="29">
        <v>5</v>
      </c>
      <c r="J37" s="29">
        <f t="shared" si="1"/>
        <v>40</v>
      </c>
    </row>
    <row r="38" spans="1:10" ht="14.95" customHeight="1" thickBot="1" x14ac:dyDescent="0.3">
      <c r="A38" s="262" t="s">
        <v>289</v>
      </c>
      <c r="B38" s="340">
        <v>0</v>
      </c>
      <c r="C38" s="310">
        <v>0</v>
      </c>
      <c r="D38" s="245">
        <v>0</v>
      </c>
      <c r="E38" s="264">
        <f t="shared" si="0"/>
        <v>0</v>
      </c>
      <c r="F38" s="123" t="s">
        <v>289</v>
      </c>
      <c r="G38" s="323">
        <v>0</v>
      </c>
      <c r="H38" s="311">
        <v>0</v>
      </c>
      <c r="I38" s="29">
        <v>0</v>
      </c>
      <c r="J38" s="29">
        <f t="shared" si="1"/>
        <v>0</v>
      </c>
    </row>
    <row r="39" spans="1:10" ht="14.95" customHeight="1" thickBot="1" x14ac:dyDescent="0.3">
      <c r="A39" s="262" t="s">
        <v>231</v>
      </c>
      <c r="B39" s="340">
        <v>0</v>
      </c>
      <c r="C39" s="310">
        <v>0</v>
      </c>
      <c r="D39" s="245">
        <v>0</v>
      </c>
      <c r="E39" s="264">
        <f t="shared" si="0"/>
        <v>0</v>
      </c>
      <c r="F39" s="123" t="s">
        <v>231</v>
      </c>
      <c r="G39" s="323">
        <v>0</v>
      </c>
      <c r="H39" s="311">
        <v>0</v>
      </c>
      <c r="I39" s="29">
        <v>0</v>
      </c>
      <c r="J39" s="29">
        <f t="shared" si="1"/>
        <v>0</v>
      </c>
    </row>
    <row r="40" spans="1:10" ht="14.95" customHeight="1" thickBot="1" x14ac:dyDescent="0.3">
      <c r="A40" s="262" t="s">
        <v>303</v>
      </c>
      <c r="B40" s="340">
        <v>0</v>
      </c>
      <c r="C40" s="310">
        <v>0</v>
      </c>
      <c r="D40" s="245">
        <v>0</v>
      </c>
      <c r="E40" s="264">
        <f t="shared" si="0"/>
        <v>0</v>
      </c>
      <c r="F40" s="123" t="s">
        <v>303</v>
      </c>
      <c r="G40" s="323">
        <v>0</v>
      </c>
      <c r="H40" s="311">
        <v>0</v>
      </c>
      <c r="I40" s="29">
        <v>0</v>
      </c>
      <c r="J40" s="29">
        <f t="shared" si="1"/>
        <v>0</v>
      </c>
    </row>
    <row r="41" spans="1:10" ht="14.95" customHeight="1" thickBot="1" x14ac:dyDescent="0.3">
      <c r="A41" s="262" t="s">
        <v>288</v>
      </c>
      <c r="B41" s="340">
        <v>0</v>
      </c>
      <c r="C41" s="310">
        <v>0</v>
      </c>
      <c r="D41" s="245">
        <v>0</v>
      </c>
      <c r="E41" s="264">
        <f t="shared" si="0"/>
        <v>0</v>
      </c>
      <c r="F41" s="123" t="s">
        <v>288</v>
      </c>
      <c r="G41" s="323">
        <v>0</v>
      </c>
      <c r="H41" s="311">
        <v>0</v>
      </c>
      <c r="I41" s="29">
        <v>0</v>
      </c>
      <c r="J41" s="29">
        <f t="shared" si="1"/>
        <v>0</v>
      </c>
    </row>
    <row r="42" spans="1:10" ht="14.95" customHeight="1" thickBot="1" x14ac:dyDescent="0.3">
      <c r="A42" s="262" t="s">
        <v>292</v>
      </c>
      <c r="B42" s="340">
        <v>0</v>
      </c>
      <c r="C42" s="310">
        <v>0</v>
      </c>
      <c r="D42" s="245">
        <v>0</v>
      </c>
      <c r="E42" s="264">
        <f t="shared" si="0"/>
        <v>0</v>
      </c>
      <c r="F42" s="123" t="s">
        <v>292</v>
      </c>
      <c r="G42" s="323">
        <v>0</v>
      </c>
      <c r="H42" s="311">
        <v>0</v>
      </c>
      <c r="I42" s="29">
        <v>0</v>
      </c>
      <c r="J42" s="29">
        <f t="shared" si="1"/>
        <v>0</v>
      </c>
    </row>
    <row r="43" spans="1:10" ht="14.95" thickBot="1" x14ac:dyDescent="0.3">
      <c r="A43" s="262" t="s">
        <v>302</v>
      </c>
      <c r="B43" s="340">
        <v>1</v>
      </c>
      <c r="C43" s="310">
        <v>0</v>
      </c>
      <c r="D43" s="245">
        <v>0</v>
      </c>
      <c r="E43" s="264">
        <f t="shared" si="0"/>
        <v>1</v>
      </c>
      <c r="F43" s="123" t="s">
        <v>302</v>
      </c>
      <c r="G43" s="323">
        <v>5</v>
      </c>
      <c r="H43" s="311">
        <v>0</v>
      </c>
      <c r="I43" s="29">
        <v>0</v>
      </c>
      <c r="J43" s="29">
        <f t="shared" si="1"/>
        <v>5</v>
      </c>
    </row>
    <row r="44" spans="1:10" ht="14.95" thickBot="1" x14ac:dyDescent="0.3">
      <c r="A44" s="262" t="s">
        <v>3</v>
      </c>
      <c r="B44" s="340">
        <f>SUM(B3:B43)</f>
        <v>7</v>
      </c>
      <c r="C44" s="310">
        <f>SUM(C3:C43)</f>
        <v>16</v>
      </c>
      <c r="D44" s="245">
        <f>SUM(D3:D43)</f>
        <v>11</v>
      </c>
      <c r="E44" s="264">
        <f t="shared" si="0"/>
        <v>34</v>
      </c>
      <c r="F44" s="124" t="s">
        <v>3</v>
      </c>
      <c r="G44" s="322">
        <f>SUM(G3:G43)</f>
        <v>47</v>
      </c>
      <c r="H44" s="312">
        <f>SUM(H3:H43)</f>
        <v>98</v>
      </c>
      <c r="I44" s="121">
        <f>SUM(I3:I43)</f>
        <v>74</v>
      </c>
      <c r="J44" s="121">
        <f t="shared" si="1"/>
        <v>219</v>
      </c>
    </row>
    <row r="45" spans="1:10" ht="16.3" x14ac:dyDescent="0.25">
      <c r="D45" s="52"/>
      <c r="F45" s="3"/>
      <c r="G45" s="3"/>
      <c r="H45" s="3"/>
      <c r="I45" s="53"/>
      <c r="J45" s="3"/>
    </row>
    <row r="46" spans="1:10" ht="17" thickBot="1" x14ac:dyDescent="0.3">
      <c r="A46" t="s">
        <v>7</v>
      </c>
      <c r="D46" s="52"/>
      <c r="F46" s="3"/>
      <c r="G46" s="3"/>
      <c r="H46" s="3"/>
      <c r="I46" s="53"/>
      <c r="J46" s="3"/>
    </row>
    <row r="47" spans="1:10" ht="14.95" thickBot="1" x14ac:dyDescent="0.3">
      <c r="A47" s="261" t="s">
        <v>0</v>
      </c>
      <c r="B47" s="78" t="s">
        <v>227</v>
      </c>
      <c r="C47" s="309" t="s">
        <v>734</v>
      </c>
      <c r="D47" s="246" t="s">
        <v>11</v>
      </c>
      <c r="E47" s="263" t="s">
        <v>1</v>
      </c>
      <c r="F47" s="218" t="s">
        <v>2</v>
      </c>
      <c r="G47" s="339" t="s">
        <v>227</v>
      </c>
      <c r="H47" s="153" t="s">
        <v>734</v>
      </c>
      <c r="I47" s="121" t="s">
        <v>11</v>
      </c>
      <c r="J47" s="121" t="s">
        <v>1</v>
      </c>
    </row>
    <row r="48" spans="1:10" ht="14.95" thickBot="1" x14ac:dyDescent="0.3">
      <c r="A48" s="262" t="s">
        <v>233</v>
      </c>
      <c r="B48" s="340">
        <v>4</v>
      </c>
      <c r="C48" s="310">
        <v>3</v>
      </c>
      <c r="D48" s="245">
        <v>1</v>
      </c>
      <c r="E48" s="264">
        <f t="shared" ref="E48:E88" si="2">SUM(B48:D48)</f>
        <v>8</v>
      </c>
      <c r="F48" s="122" t="s">
        <v>233</v>
      </c>
      <c r="G48" s="323">
        <v>20</v>
      </c>
      <c r="H48" s="311">
        <v>15</v>
      </c>
      <c r="I48" s="29">
        <v>5</v>
      </c>
      <c r="J48" s="29">
        <f t="shared" ref="J48:J88" si="3">SUM(G48:I48)</f>
        <v>40</v>
      </c>
    </row>
    <row r="49" spans="1:10" ht="14.95" thickBot="1" x14ac:dyDescent="0.3">
      <c r="A49" s="262" t="s">
        <v>494</v>
      </c>
      <c r="B49" s="340">
        <v>1</v>
      </c>
      <c r="C49" s="310">
        <v>6</v>
      </c>
      <c r="D49" s="245">
        <v>1</v>
      </c>
      <c r="E49" s="264">
        <f t="shared" si="2"/>
        <v>8</v>
      </c>
      <c r="F49" s="123" t="s">
        <v>494</v>
      </c>
      <c r="G49" s="323">
        <v>5</v>
      </c>
      <c r="H49" s="311">
        <v>30</v>
      </c>
      <c r="I49" s="29">
        <v>5</v>
      </c>
      <c r="J49" s="29">
        <f t="shared" si="3"/>
        <v>40</v>
      </c>
    </row>
    <row r="50" spans="1:10" ht="14.95" thickBot="1" x14ac:dyDescent="0.3">
      <c r="A50" s="262" t="s">
        <v>900</v>
      </c>
      <c r="B50" s="340">
        <v>0</v>
      </c>
      <c r="C50" s="310">
        <v>3</v>
      </c>
      <c r="D50" s="245">
        <v>1</v>
      </c>
      <c r="E50" s="264">
        <f t="shared" si="2"/>
        <v>4</v>
      </c>
      <c r="F50" s="123" t="s">
        <v>232</v>
      </c>
      <c r="G50" s="323">
        <v>12</v>
      </c>
      <c r="H50" s="311">
        <v>8</v>
      </c>
      <c r="I50" s="29">
        <v>19</v>
      </c>
      <c r="J50" s="29">
        <f t="shared" si="3"/>
        <v>39</v>
      </c>
    </row>
    <row r="51" spans="1:10" ht="14.95" thickBot="1" x14ac:dyDescent="0.3">
      <c r="A51" s="262" t="s">
        <v>789</v>
      </c>
      <c r="B51" s="340">
        <v>0</v>
      </c>
      <c r="C51" s="310">
        <v>1</v>
      </c>
      <c r="D51" s="245">
        <v>2</v>
      </c>
      <c r="E51" s="264">
        <f t="shared" si="2"/>
        <v>3</v>
      </c>
      <c r="F51" s="123" t="s">
        <v>900</v>
      </c>
      <c r="G51" s="323">
        <v>0</v>
      </c>
      <c r="H51" s="311">
        <v>15</v>
      </c>
      <c r="I51" s="29">
        <v>5</v>
      </c>
      <c r="J51" s="29">
        <f t="shared" si="3"/>
        <v>20</v>
      </c>
    </row>
    <row r="52" spans="1:10" ht="14.95" thickBot="1" x14ac:dyDescent="0.3">
      <c r="A52" s="262" t="s">
        <v>295</v>
      </c>
      <c r="B52" s="340">
        <v>0</v>
      </c>
      <c r="C52" s="310">
        <v>0</v>
      </c>
      <c r="D52" s="245">
        <v>2</v>
      </c>
      <c r="E52" s="264">
        <f t="shared" si="2"/>
        <v>2</v>
      </c>
      <c r="F52" s="123" t="s">
        <v>789</v>
      </c>
      <c r="G52" s="323">
        <v>0</v>
      </c>
      <c r="H52" s="311">
        <v>5</v>
      </c>
      <c r="I52" s="29">
        <v>10</v>
      </c>
      <c r="J52" s="29">
        <f t="shared" si="3"/>
        <v>15</v>
      </c>
    </row>
    <row r="53" spans="1:10" ht="14.95" thickBot="1" x14ac:dyDescent="0.3">
      <c r="A53" s="262" t="s">
        <v>287</v>
      </c>
      <c r="B53" s="340">
        <v>1</v>
      </c>
      <c r="C53" s="310">
        <v>0</v>
      </c>
      <c r="D53" s="245">
        <v>1</v>
      </c>
      <c r="E53" s="264">
        <f t="shared" si="2"/>
        <v>2</v>
      </c>
      <c r="F53" s="123" t="s">
        <v>234</v>
      </c>
      <c r="G53" s="323">
        <v>0</v>
      </c>
      <c r="H53" s="311">
        <v>10</v>
      </c>
      <c r="I53" s="29">
        <v>0</v>
      </c>
      <c r="J53" s="29">
        <f t="shared" si="3"/>
        <v>10</v>
      </c>
    </row>
    <row r="54" spans="1:10" ht="14.95" thickBot="1" x14ac:dyDescent="0.3">
      <c r="A54" s="262" t="s">
        <v>790</v>
      </c>
      <c r="B54" s="340">
        <v>0</v>
      </c>
      <c r="C54" s="310">
        <v>1</v>
      </c>
      <c r="D54" s="245">
        <v>1</v>
      </c>
      <c r="E54" s="264">
        <f t="shared" si="2"/>
        <v>2</v>
      </c>
      <c r="F54" s="123" t="s">
        <v>295</v>
      </c>
      <c r="G54" s="323">
        <v>0</v>
      </c>
      <c r="H54" s="311">
        <v>0</v>
      </c>
      <c r="I54" s="29">
        <v>10</v>
      </c>
      <c r="J54" s="29">
        <f t="shared" si="3"/>
        <v>10</v>
      </c>
    </row>
    <row r="55" spans="1:10" ht="14.95" thickBot="1" x14ac:dyDescent="0.3">
      <c r="A55" s="262" t="s">
        <v>996</v>
      </c>
      <c r="B55" s="340">
        <v>0</v>
      </c>
      <c r="C55" s="310">
        <v>1</v>
      </c>
      <c r="D55" s="245">
        <v>0</v>
      </c>
      <c r="E55" s="264">
        <f t="shared" si="2"/>
        <v>1</v>
      </c>
      <c r="F55" s="123" t="s">
        <v>287</v>
      </c>
      <c r="G55" s="323">
        <v>5</v>
      </c>
      <c r="H55" s="311">
        <v>0</v>
      </c>
      <c r="I55" s="29">
        <v>5</v>
      </c>
      <c r="J55" s="29">
        <f t="shared" si="3"/>
        <v>10</v>
      </c>
    </row>
    <row r="56" spans="1:10" ht="14.95" thickBot="1" x14ac:dyDescent="0.3">
      <c r="A56" s="262" t="s">
        <v>311</v>
      </c>
      <c r="B56" s="340">
        <v>0</v>
      </c>
      <c r="C56" s="310">
        <v>0</v>
      </c>
      <c r="D56" s="245">
        <v>1</v>
      </c>
      <c r="E56" s="264">
        <f t="shared" si="2"/>
        <v>1</v>
      </c>
      <c r="F56" s="123" t="s">
        <v>790</v>
      </c>
      <c r="G56" s="323">
        <v>0</v>
      </c>
      <c r="H56" s="311">
        <v>5</v>
      </c>
      <c r="I56" s="29">
        <v>5</v>
      </c>
      <c r="J56" s="29">
        <f t="shared" si="3"/>
        <v>10</v>
      </c>
    </row>
    <row r="57" spans="1:10" ht="14.95" thickBot="1" x14ac:dyDescent="0.3">
      <c r="A57" s="262" t="s">
        <v>291</v>
      </c>
      <c r="B57" s="340">
        <v>0</v>
      </c>
      <c r="C57" s="310">
        <v>0</v>
      </c>
      <c r="D57" s="245">
        <v>1</v>
      </c>
      <c r="E57" s="264">
        <f t="shared" si="2"/>
        <v>1</v>
      </c>
      <c r="F57" s="123" t="s">
        <v>996</v>
      </c>
      <c r="G57" s="323">
        <v>0</v>
      </c>
      <c r="H57" s="311">
        <v>5</v>
      </c>
      <c r="I57" s="29">
        <v>0</v>
      </c>
      <c r="J57" s="29">
        <f t="shared" si="3"/>
        <v>5</v>
      </c>
    </row>
    <row r="58" spans="1:10" ht="14.95" thickBot="1" x14ac:dyDescent="0.3">
      <c r="A58" s="262" t="s">
        <v>306</v>
      </c>
      <c r="B58" s="340">
        <v>0</v>
      </c>
      <c r="C58" s="310">
        <v>1</v>
      </c>
      <c r="D58" s="245">
        <v>0</v>
      </c>
      <c r="E58" s="264">
        <f t="shared" si="2"/>
        <v>1</v>
      </c>
      <c r="F58" s="123" t="s">
        <v>311</v>
      </c>
      <c r="G58" s="323">
        <v>0</v>
      </c>
      <c r="H58" s="311">
        <v>0</v>
      </c>
      <c r="I58" s="29">
        <v>5</v>
      </c>
      <c r="J58" s="29">
        <f t="shared" si="3"/>
        <v>5</v>
      </c>
    </row>
    <row r="59" spans="1:10" ht="14.95" thickBot="1" x14ac:dyDescent="0.3">
      <c r="A59" s="262" t="s">
        <v>302</v>
      </c>
      <c r="B59" s="340">
        <v>1</v>
      </c>
      <c r="C59" s="310">
        <v>0</v>
      </c>
      <c r="D59" s="245">
        <v>0</v>
      </c>
      <c r="E59" s="264">
        <f t="shared" si="2"/>
        <v>1</v>
      </c>
      <c r="F59" s="123" t="s">
        <v>291</v>
      </c>
      <c r="G59" s="323">
        <v>0</v>
      </c>
      <c r="H59" s="311">
        <v>0</v>
      </c>
      <c r="I59" s="29">
        <v>5</v>
      </c>
      <c r="J59" s="29">
        <f t="shared" si="3"/>
        <v>5</v>
      </c>
    </row>
    <row r="60" spans="1:10" ht="14.95" thickBot="1" x14ac:dyDescent="0.3">
      <c r="A60" s="262" t="s">
        <v>296</v>
      </c>
      <c r="B60" s="340">
        <v>0</v>
      </c>
      <c r="C60" s="310">
        <v>0</v>
      </c>
      <c r="D60" s="245">
        <v>0</v>
      </c>
      <c r="E60" s="264">
        <f t="shared" si="2"/>
        <v>0</v>
      </c>
      <c r="F60" s="123" t="s">
        <v>306</v>
      </c>
      <c r="G60" s="323">
        <v>0</v>
      </c>
      <c r="H60" s="311">
        <v>5</v>
      </c>
      <c r="I60" s="29">
        <v>0</v>
      </c>
      <c r="J60" s="29">
        <f t="shared" si="3"/>
        <v>5</v>
      </c>
    </row>
    <row r="61" spans="1:10" ht="14.95" thickBot="1" x14ac:dyDescent="0.3">
      <c r="A61" s="262" t="s">
        <v>305</v>
      </c>
      <c r="B61" s="340">
        <v>0</v>
      </c>
      <c r="C61" s="310">
        <v>0</v>
      </c>
      <c r="D61" s="245">
        <v>0</v>
      </c>
      <c r="E61" s="264">
        <f t="shared" si="2"/>
        <v>0</v>
      </c>
      <c r="F61" s="123" t="s">
        <v>302</v>
      </c>
      <c r="G61" s="323">
        <v>5</v>
      </c>
      <c r="H61" s="311">
        <v>0</v>
      </c>
      <c r="I61" s="29">
        <v>0</v>
      </c>
      <c r="J61" s="29">
        <f t="shared" si="3"/>
        <v>5</v>
      </c>
    </row>
    <row r="62" spans="1:10" ht="14.95" thickBot="1" x14ac:dyDescent="0.3">
      <c r="A62" s="262" t="s">
        <v>568</v>
      </c>
      <c r="B62" s="340">
        <v>0</v>
      </c>
      <c r="C62" s="310">
        <v>0</v>
      </c>
      <c r="D62" s="245">
        <v>0</v>
      </c>
      <c r="E62" s="264">
        <f t="shared" si="2"/>
        <v>0</v>
      </c>
      <c r="F62" s="123" t="s">
        <v>296</v>
      </c>
      <c r="G62" s="323">
        <v>0</v>
      </c>
      <c r="H62" s="311">
        <v>0</v>
      </c>
      <c r="I62" s="29">
        <v>0</v>
      </c>
      <c r="J62" s="29">
        <f t="shared" si="3"/>
        <v>0</v>
      </c>
    </row>
    <row r="63" spans="1:10" ht="14.95" thickBot="1" x14ac:dyDescent="0.3">
      <c r="A63" s="262" t="s">
        <v>234</v>
      </c>
      <c r="B63" s="340">
        <v>0</v>
      </c>
      <c r="C63" s="310">
        <v>0</v>
      </c>
      <c r="D63" s="245">
        <v>0</v>
      </c>
      <c r="E63" s="264">
        <f t="shared" si="2"/>
        <v>0</v>
      </c>
      <c r="F63" s="123" t="s">
        <v>305</v>
      </c>
      <c r="G63" s="323">
        <v>0</v>
      </c>
      <c r="H63" s="311">
        <v>0</v>
      </c>
      <c r="I63" s="29">
        <v>0</v>
      </c>
      <c r="J63" s="29">
        <f t="shared" si="3"/>
        <v>0</v>
      </c>
    </row>
    <row r="64" spans="1:10" ht="14.95" thickBot="1" x14ac:dyDescent="0.3">
      <c r="A64" s="262" t="s">
        <v>294</v>
      </c>
      <c r="B64" s="340">
        <v>0</v>
      </c>
      <c r="C64" s="310">
        <v>0</v>
      </c>
      <c r="D64" s="245">
        <v>0</v>
      </c>
      <c r="E64" s="264">
        <f t="shared" si="2"/>
        <v>0</v>
      </c>
      <c r="F64" s="123" t="s">
        <v>568</v>
      </c>
      <c r="G64" s="323">
        <v>0</v>
      </c>
      <c r="H64" s="311">
        <v>0</v>
      </c>
      <c r="I64" s="29">
        <v>0</v>
      </c>
      <c r="J64" s="29">
        <f t="shared" si="3"/>
        <v>0</v>
      </c>
    </row>
    <row r="65" spans="1:10" ht="14.95" thickBot="1" x14ac:dyDescent="0.3">
      <c r="A65" s="262" t="s">
        <v>307</v>
      </c>
      <c r="B65" s="340">
        <v>0</v>
      </c>
      <c r="C65" s="310">
        <v>0</v>
      </c>
      <c r="D65" s="245">
        <v>0</v>
      </c>
      <c r="E65" s="264">
        <f t="shared" si="2"/>
        <v>0</v>
      </c>
      <c r="F65" s="123" t="s">
        <v>294</v>
      </c>
      <c r="G65" s="323">
        <v>0</v>
      </c>
      <c r="H65" s="311">
        <v>0</v>
      </c>
      <c r="I65" s="29">
        <v>0</v>
      </c>
      <c r="J65" s="29">
        <f t="shared" si="3"/>
        <v>0</v>
      </c>
    </row>
    <row r="66" spans="1:10" ht="14.95" thickBot="1" x14ac:dyDescent="0.3">
      <c r="A66" s="262" t="s">
        <v>309</v>
      </c>
      <c r="B66" s="340">
        <v>0</v>
      </c>
      <c r="C66" s="310">
        <v>0</v>
      </c>
      <c r="D66" s="245">
        <v>0</v>
      </c>
      <c r="E66" s="264">
        <f t="shared" si="2"/>
        <v>0</v>
      </c>
      <c r="F66" s="123" t="s">
        <v>307</v>
      </c>
      <c r="G66" s="323">
        <v>0</v>
      </c>
      <c r="H66" s="311">
        <v>0</v>
      </c>
      <c r="I66" s="29">
        <v>0</v>
      </c>
      <c r="J66" s="29">
        <f t="shared" si="3"/>
        <v>0</v>
      </c>
    </row>
    <row r="67" spans="1:10" ht="14.95" thickBot="1" x14ac:dyDescent="0.3">
      <c r="A67" s="262" t="s">
        <v>246</v>
      </c>
      <c r="B67" s="340">
        <v>0</v>
      </c>
      <c r="C67" s="310">
        <v>0</v>
      </c>
      <c r="D67" s="245">
        <v>0</v>
      </c>
      <c r="E67" s="264">
        <f t="shared" si="2"/>
        <v>0</v>
      </c>
      <c r="F67" s="123" t="s">
        <v>309</v>
      </c>
      <c r="G67" s="323">
        <v>0</v>
      </c>
      <c r="H67" s="311">
        <v>0</v>
      </c>
      <c r="I67" s="29">
        <v>0</v>
      </c>
      <c r="J67" s="29">
        <f t="shared" si="3"/>
        <v>0</v>
      </c>
    </row>
    <row r="68" spans="1:10" ht="14.95" thickBot="1" x14ac:dyDescent="0.3">
      <c r="A68" s="262" t="s">
        <v>308</v>
      </c>
      <c r="B68" s="340">
        <v>0</v>
      </c>
      <c r="C68" s="310">
        <v>0</v>
      </c>
      <c r="D68" s="245">
        <v>0</v>
      </c>
      <c r="E68" s="264">
        <f t="shared" si="2"/>
        <v>0</v>
      </c>
      <c r="F68" s="123" t="s">
        <v>246</v>
      </c>
      <c r="G68" s="323">
        <v>0</v>
      </c>
      <c r="H68" s="311">
        <v>0</v>
      </c>
      <c r="I68" s="29">
        <v>0</v>
      </c>
      <c r="J68" s="29">
        <f t="shared" si="3"/>
        <v>0</v>
      </c>
    </row>
    <row r="69" spans="1:10" ht="14.95" thickBot="1" x14ac:dyDescent="0.3">
      <c r="A69" s="262" t="s">
        <v>655</v>
      </c>
      <c r="B69" s="340">
        <v>0</v>
      </c>
      <c r="C69" s="310">
        <v>0</v>
      </c>
      <c r="D69" s="245">
        <v>0</v>
      </c>
      <c r="E69" s="264">
        <f t="shared" si="2"/>
        <v>0</v>
      </c>
      <c r="F69" s="123" t="s">
        <v>308</v>
      </c>
      <c r="G69" s="323">
        <v>0</v>
      </c>
      <c r="H69" s="311">
        <v>0</v>
      </c>
      <c r="I69" s="29">
        <v>0</v>
      </c>
      <c r="J69" s="29">
        <f t="shared" si="3"/>
        <v>0</v>
      </c>
    </row>
    <row r="70" spans="1:10" ht="14.95" thickBot="1" x14ac:dyDescent="0.3">
      <c r="A70" s="262" t="s">
        <v>232</v>
      </c>
      <c r="B70" s="340">
        <v>0</v>
      </c>
      <c r="C70" s="310">
        <v>0</v>
      </c>
      <c r="D70" s="245">
        <v>0</v>
      </c>
      <c r="E70" s="264">
        <f t="shared" si="2"/>
        <v>0</v>
      </c>
      <c r="F70" s="123" t="s">
        <v>655</v>
      </c>
      <c r="G70" s="323">
        <v>0</v>
      </c>
      <c r="H70" s="311">
        <v>0</v>
      </c>
      <c r="I70" s="29">
        <v>0</v>
      </c>
      <c r="J70" s="29">
        <f t="shared" si="3"/>
        <v>0</v>
      </c>
    </row>
    <row r="71" spans="1:10" ht="14.95" thickBot="1" x14ac:dyDescent="0.3">
      <c r="A71" s="262" t="s">
        <v>299</v>
      </c>
      <c r="B71" s="340">
        <v>0</v>
      </c>
      <c r="C71" s="310">
        <v>0</v>
      </c>
      <c r="D71" s="245">
        <v>0</v>
      </c>
      <c r="E71" s="264">
        <f t="shared" si="2"/>
        <v>0</v>
      </c>
      <c r="F71" s="123" t="s">
        <v>299</v>
      </c>
      <c r="G71" s="323">
        <v>0</v>
      </c>
      <c r="H71" s="311">
        <v>0</v>
      </c>
      <c r="I71" s="29">
        <v>0</v>
      </c>
      <c r="J71" s="29">
        <f t="shared" si="3"/>
        <v>0</v>
      </c>
    </row>
    <row r="72" spans="1:10" ht="14.95" thickBot="1" x14ac:dyDescent="0.3">
      <c r="A72" s="262" t="s">
        <v>546</v>
      </c>
      <c r="B72" s="340">
        <v>0</v>
      </c>
      <c r="C72" s="310">
        <v>0</v>
      </c>
      <c r="D72" s="245">
        <v>0</v>
      </c>
      <c r="E72" s="264">
        <f t="shared" si="2"/>
        <v>0</v>
      </c>
      <c r="F72" s="123" t="s">
        <v>546</v>
      </c>
      <c r="G72" s="323">
        <v>0</v>
      </c>
      <c r="H72" s="311">
        <v>0</v>
      </c>
      <c r="I72" s="29">
        <v>0</v>
      </c>
      <c r="J72" s="29">
        <f t="shared" si="3"/>
        <v>0</v>
      </c>
    </row>
    <row r="73" spans="1:10" ht="14.95" thickBot="1" x14ac:dyDescent="0.3">
      <c r="A73" s="262" t="s">
        <v>293</v>
      </c>
      <c r="B73" s="340">
        <v>0</v>
      </c>
      <c r="C73" s="310">
        <v>0</v>
      </c>
      <c r="D73" s="245">
        <v>0</v>
      </c>
      <c r="E73" s="264">
        <f t="shared" si="2"/>
        <v>0</v>
      </c>
      <c r="F73" s="123" t="s">
        <v>293</v>
      </c>
      <c r="G73" s="323">
        <v>0</v>
      </c>
      <c r="H73" s="311">
        <v>0</v>
      </c>
      <c r="I73" s="29">
        <v>0</v>
      </c>
      <c r="J73" s="29">
        <f t="shared" si="3"/>
        <v>0</v>
      </c>
    </row>
    <row r="74" spans="1:10" ht="14.95" thickBot="1" x14ac:dyDescent="0.3">
      <c r="A74" s="262" t="s">
        <v>310</v>
      </c>
      <c r="B74" s="340">
        <v>0</v>
      </c>
      <c r="C74" s="310">
        <v>0</v>
      </c>
      <c r="D74" s="245">
        <v>0</v>
      </c>
      <c r="E74" s="264">
        <f t="shared" si="2"/>
        <v>0</v>
      </c>
      <c r="F74" s="123" t="s">
        <v>310</v>
      </c>
      <c r="G74" s="323">
        <v>0</v>
      </c>
      <c r="H74" s="311">
        <v>0</v>
      </c>
      <c r="I74" s="29">
        <v>0</v>
      </c>
      <c r="J74" s="29">
        <f t="shared" si="3"/>
        <v>0</v>
      </c>
    </row>
    <row r="75" spans="1:10" ht="14.95" thickBot="1" x14ac:dyDescent="0.3">
      <c r="A75" s="262" t="s">
        <v>290</v>
      </c>
      <c r="B75" s="340">
        <v>0</v>
      </c>
      <c r="C75" s="310">
        <v>0</v>
      </c>
      <c r="D75" s="245">
        <v>0</v>
      </c>
      <c r="E75" s="264">
        <f t="shared" si="2"/>
        <v>0</v>
      </c>
      <c r="F75" s="123" t="s">
        <v>290</v>
      </c>
      <c r="G75" s="323">
        <v>0</v>
      </c>
      <c r="H75" s="311">
        <v>0</v>
      </c>
      <c r="I75" s="29">
        <v>0</v>
      </c>
      <c r="J75" s="29">
        <f t="shared" si="3"/>
        <v>0</v>
      </c>
    </row>
    <row r="76" spans="1:10" ht="14.95" thickBot="1" x14ac:dyDescent="0.3">
      <c r="A76" s="262" t="s">
        <v>300</v>
      </c>
      <c r="B76" s="340">
        <v>0</v>
      </c>
      <c r="C76" s="310">
        <v>0</v>
      </c>
      <c r="D76" s="245">
        <v>0</v>
      </c>
      <c r="E76" s="264">
        <f t="shared" si="2"/>
        <v>0</v>
      </c>
      <c r="F76" s="123" t="s">
        <v>300</v>
      </c>
      <c r="G76" s="323">
        <v>0</v>
      </c>
      <c r="H76" s="311">
        <v>0</v>
      </c>
      <c r="I76" s="29">
        <v>0</v>
      </c>
      <c r="J76" s="29">
        <f t="shared" si="3"/>
        <v>0</v>
      </c>
    </row>
    <row r="77" spans="1:10" ht="14.95" thickBot="1" x14ac:dyDescent="0.3">
      <c r="A77" s="262" t="s">
        <v>298</v>
      </c>
      <c r="B77" s="340">
        <v>0</v>
      </c>
      <c r="C77" s="310">
        <v>0</v>
      </c>
      <c r="D77" s="245">
        <v>0</v>
      </c>
      <c r="E77" s="264">
        <f t="shared" si="2"/>
        <v>0</v>
      </c>
      <c r="F77" s="123" t="s">
        <v>298</v>
      </c>
      <c r="G77" s="323">
        <v>0</v>
      </c>
      <c r="H77" s="311">
        <v>0</v>
      </c>
      <c r="I77" s="29">
        <v>0</v>
      </c>
      <c r="J77" s="29">
        <f t="shared" si="3"/>
        <v>0</v>
      </c>
    </row>
    <row r="78" spans="1:10" ht="14.95" thickBot="1" x14ac:dyDescent="0.3">
      <c r="A78" s="262" t="s">
        <v>304</v>
      </c>
      <c r="B78" s="340">
        <v>0</v>
      </c>
      <c r="C78" s="310">
        <v>0</v>
      </c>
      <c r="D78" s="245">
        <v>0</v>
      </c>
      <c r="E78" s="264">
        <f t="shared" si="2"/>
        <v>0</v>
      </c>
      <c r="F78" s="123" t="s">
        <v>304</v>
      </c>
      <c r="G78" s="323">
        <v>0</v>
      </c>
      <c r="H78" s="311">
        <v>0</v>
      </c>
      <c r="I78" s="29">
        <v>0</v>
      </c>
      <c r="J78" s="29">
        <f t="shared" si="3"/>
        <v>0</v>
      </c>
    </row>
    <row r="79" spans="1:10" ht="14.95" thickBot="1" x14ac:dyDescent="0.3">
      <c r="A79" s="262" t="s">
        <v>506</v>
      </c>
      <c r="B79" s="340">
        <v>0</v>
      </c>
      <c r="C79" s="310">
        <v>0</v>
      </c>
      <c r="D79" s="245">
        <v>0</v>
      </c>
      <c r="E79" s="264">
        <f t="shared" si="2"/>
        <v>0</v>
      </c>
      <c r="F79" s="123" t="s">
        <v>506</v>
      </c>
      <c r="G79" s="323">
        <v>0</v>
      </c>
      <c r="H79" s="311">
        <v>0</v>
      </c>
      <c r="I79" s="29">
        <v>0</v>
      </c>
      <c r="J79" s="29">
        <f t="shared" si="3"/>
        <v>0</v>
      </c>
    </row>
    <row r="80" spans="1:10" ht="14.95" thickBot="1" x14ac:dyDescent="0.3">
      <c r="A80" s="262" t="s">
        <v>301</v>
      </c>
      <c r="B80" s="340">
        <v>0</v>
      </c>
      <c r="C80" s="310">
        <v>0</v>
      </c>
      <c r="D80" s="245">
        <v>0</v>
      </c>
      <c r="E80" s="264">
        <f t="shared" si="2"/>
        <v>0</v>
      </c>
      <c r="F80" s="123" t="s">
        <v>301</v>
      </c>
      <c r="G80" s="323">
        <v>0</v>
      </c>
      <c r="H80" s="311">
        <v>0</v>
      </c>
      <c r="I80" s="29">
        <v>0</v>
      </c>
      <c r="J80" s="29">
        <f t="shared" si="3"/>
        <v>0</v>
      </c>
    </row>
    <row r="81" spans="1:10" ht="14.95" thickBot="1" x14ac:dyDescent="0.3">
      <c r="A81" s="262" t="s">
        <v>212</v>
      </c>
      <c r="B81" s="340">
        <v>0</v>
      </c>
      <c r="C81" s="310">
        <v>0</v>
      </c>
      <c r="D81" s="245">
        <v>0</v>
      </c>
      <c r="E81" s="264">
        <f t="shared" si="2"/>
        <v>0</v>
      </c>
      <c r="F81" s="123" t="s">
        <v>212</v>
      </c>
      <c r="G81" s="323">
        <v>0</v>
      </c>
      <c r="H81" s="311">
        <v>0</v>
      </c>
      <c r="I81" s="29">
        <v>0</v>
      </c>
      <c r="J81" s="29">
        <f t="shared" si="3"/>
        <v>0</v>
      </c>
    </row>
    <row r="82" spans="1:10" ht="14.95" thickBot="1" x14ac:dyDescent="0.3">
      <c r="A82" s="262" t="s">
        <v>297</v>
      </c>
      <c r="B82" s="340">
        <v>0</v>
      </c>
      <c r="C82" s="310">
        <v>0</v>
      </c>
      <c r="D82" s="245">
        <v>0</v>
      </c>
      <c r="E82" s="264">
        <f t="shared" si="2"/>
        <v>0</v>
      </c>
      <c r="F82" s="123" t="s">
        <v>297</v>
      </c>
      <c r="G82" s="323">
        <v>0</v>
      </c>
      <c r="H82" s="311">
        <v>0</v>
      </c>
      <c r="I82" s="29">
        <v>0</v>
      </c>
      <c r="J82" s="29">
        <f t="shared" si="3"/>
        <v>0</v>
      </c>
    </row>
    <row r="83" spans="1:10" ht="14.95" thickBot="1" x14ac:dyDescent="0.3">
      <c r="A83" s="262" t="s">
        <v>505</v>
      </c>
      <c r="B83" s="340">
        <v>0</v>
      </c>
      <c r="C83" s="310">
        <v>0</v>
      </c>
      <c r="D83" s="245">
        <v>0</v>
      </c>
      <c r="E83" s="264">
        <f t="shared" si="2"/>
        <v>0</v>
      </c>
      <c r="F83" s="123" t="s">
        <v>505</v>
      </c>
      <c r="G83" s="323">
        <v>0</v>
      </c>
      <c r="H83" s="311">
        <v>0</v>
      </c>
      <c r="I83" s="29">
        <v>0</v>
      </c>
      <c r="J83" s="29">
        <f t="shared" si="3"/>
        <v>0</v>
      </c>
    </row>
    <row r="84" spans="1:10" ht="14.95" thickBot="1" x14ac:dyDescent="0.3">
      <c r="A84" s="262" t="s">
        <v>289</v>
      </c>
      <c r="B84" s="340">
        <v>0</v>
      </c>
      <c r="C84" s="310">
        <v>0</v>
      </c>
      <c r="D84" s="245">
        <v>0</v>
      </c>
      <c r="E84" s="264">
        <f t="shared" si="2"/>
        <v>0</v>
      </c>
      <c r="F84" s="123" t="s">
        <v>289</v>
      </c>
      <c r="G84" s="323">
        <v>0</v>
      </c>
      <c r="H84" s="311">
        <v>0</v>
      </c>
      <c r="I84" s="29">
        <v>0</v>
      </c>
      <c r="J84" s="29">
        <f t="shared" si="3"/>
        <v>0</v>
      </c>
    </row>
    <row r="85" spans="1:10" ht="14.95" thickBot="1" x14ac:dyDescent="0.3">
      <c r="A85" s="262" t="s">
        <v>231</v>
      </c>
      <c r="B85" s="340">
        <v>0</v>
      </c>
      <c r="C85" s="310">
        <v>0</v>
      </c>
      <c r="D85" s="245">
        <v>0</v>
      </c>
      <c r="E85" s="264">
        <f t="shared" si="2"/>
        <v>0</v>
      </c>
      <c r="F85" s="123" t="s">
        <v>231</v>
      </c>
      <c r="G85" s="323">
        <v>0</v>
      </c>
      <c r="H85" s="311">
        <v>0</v>
      </c>
      <c r="I85" s="29">
        <v>0</v>
      </c>
      <c r="J85" s="29">
        <f t="shared" si="3"/>
        <v>0</v>
      </c>
    </row>
    <row r="86" spans="1:10" ht="14.95" thickBot="1" x14ac:dyDescent="0.3">
      <c r="A86" s="262" t="s">
        <v>303</v>
      </c>
      <c r="B86" s="340">
        <v>0</v>
      </c>
      <c r="C86" s="310">
        <v>0</v>
      </c>
      <c r="D86" s="245">
        <v>0</v>
      </c>
      <c r="E86" s="264">
        <f t="shared" si="2"/>
        <v>0</v>
      </c>
      <c r="F86" s="123" t="s">
        <v>303</v>
      </c>
      <c r="G86" s="323">
        <v>0</v>
      </c>
      <c r="H86" s="311">
        <v>0</v>
      </c>
      <c r="I86" s="29">
        <v>0</v>
      </c>
      <c r="J86" s="29">
        <f t="shared" si="3"/>
        <v>0</v>
      </c>
    </row>
    <row r="87" spans="1:10" ht="14.95" thickBot="1" x14ac:dyDescent="0.3">
      <c r="A87" s="262" t="s">
        <v>288</v>
      </c>
      <c r="B87" s="340">
        <v>0</v>
      </c>
      <c r="C87" s="310">
        <v>0</v>
      </c>
      <c r="D87" s="245">
        <v>0</v>
      </c>
      <c r="E87" s="264">
        <f t="shared" si="2"/>
        <v>0</v>
      </c>
      <c r="F87" s="123" t="s">
        <v>288</v>
      </c>
      <c r="G87" s="323">
        <v>0</v>
      </c>
      <c r="H87" s="311">
        <v>0</v>
      </c>
      <c r="I87" s="29">
        <v>0</v>
      </c>
      <c r="J87" s="29">
        <f t="shared" si="3"/>
        <v>0</v>
      </c>
    </row>
    <row r="88" spans="1:10" ht="14.95" thickBot="1" x14ac:dyDescent="0.3">
      <c r="A88" s="262" t="s">
        <v>292</v>
      </c>
      <c r="B88" s="340">
        <v>0</v>
      </c>
      <c r="C88" s="310">
        <v>0</v>
      </c>
      <c r="D88" s="245">
        <v>0</v>
      </c>
      <c r="E88" s="264">
        <f t="shared" si="2"/>
        <v>0</v>
      </c>
      <c r="F88" s="123" t="s">
        <v>292</v>
      </c>
      <c r="G88" s="323">
        <v>0</v>
      </c>
      <c r="H88" s="311">
        <v>0</v>
      </c>
      <c r="I88" s="29">
        <v>0</v>
      </c>
      <c r="J88" s="29">
        <f t="shared" si="3"/>
        <v>0</v>
      </c>
    </row>
    <row r="89" spans="1:10" ht="14.95" thickBot="1" x14ac:dyDescent="0.3">
      <c r="A89" s="262" t="s">
        <v>3</v>
      </c>
      <c r="B89" s="340">
        <f>SUM(B48:B88)</f>
        <v>7</v>
      </c>
      <c r="C89" s="310">
        <f>SUM(C48:C88)</f>
        <v>16</v>
      </c>
      <c r="D89" s="245">
        <f>SUM(D48:D88)</f>
        <v>11</v>
      </c>
      <c r="E89" s="264">
        <f t="shared" ref="E89" si="4">SUM(B89:D89)</f>
        <v>34</v>
      </c>
      <c r="F89" s="124" t="s">
        <v>3</v>
      </c>
      <c r="G89" s="322">
        <f>SUM(G48:G88)</f>
        <v>47</v>
      </c>
      <c r="H89" s="312">
        <f>SUM(H48:H88)</f>
        <v>98</v>
      </c>
      <c r="I89" s="121">
        <f>SUM(I48:I88)</f>
        <v>74</v>
      </c>
      <c r="J89" s="121">
        <f t="shared" ref="J89" si="5">SUM(G89:I89)</f>
        <v>219</v>
      </c>
    </row>
    <row r="90" spans="1:10" ht="16.3" x14ac:dyDescent="0.3">
      <c r="A90" s="455" t="s">
        <v>10</v>
      </c>
      <c r="B90" s="455"/>
      <c r="C90" s="455"/>
      <c r="D90" s="456"/>
    </row>
  </sheetData>
  <sortState xmlns:xlrd2="http://schemas.microsoft.com/office/spreadsheetml/2017/richdata2" ref="F48:J88">
    <sortCondition descending="1" ref="J48:J88"/>
  </sortState>
  <mergeCells count="20">
    <mergeCell ref="AA1:AC2"/>
    <mergeCell ref="O25:Q26"/>
    <mergeCell ref="U11:W12"/>
    <mergeCell ref="O1:Q2"/>
    <mergeCell ref="R1:R2"/>
    <mergeCell ref="O18:Q19"/>
    <mergeCell ref="O11:Q12"/>
    <mergeCell ref="A90:D90"/>
    <mergeCell ref="K11:K12"/>
    <mergeCell ref="L11:N12"/>
    <mergeCell ref="V1:X2"/>
    <mergeCell ref="R11:T12"/>
    <mergeCell ref="S1:U2"/>
    <mergeCell ref="A1:J1"/>
    <mergeCell ref="K1:K2"/>
    <mergeCell ref="L1:N2"/>
    <mergeCell ref="K18:K19"/>
    <mergeCell ref="K25:K26"/>
    <mergeCell ref="L25:N26"/>
    <mergeCell ref="L18:N1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92"/>
  <sheetViews>
    <sheetView workbookViewId="0">
      <selection activeCell="X22" sqref="X22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4.5" customWidth="1"/>
    <col min="8" max="8" width="4.875" customWidth="1"/>
    <col min="9" max="9" width="4.5" customWidth="1"/>
    <col min="10" max="10" width="4.75" customWidth="1"/>
    <col min="11" max="11" width="14.5" customWidth="1"/>
    <col min="12" max="29" width="5.5" customWidth="1"/>
  </cols>
  <sheetData>
    <row r="1" spans="1:29" ht="17" thickBot="1" x14ac:dyDescent="0.35">
      <c r="A1" s="563" t="s">
        <v>737</v>
      </c>
      <c r="B1" s="564"/>
      <c r="C1" s="564"/>
      <c r="D1" s="564"/>
      <c r="E1" s="564"/>
      <c r="F1" s="564"/>
      <c r="G1" s="564"/>
      <c r="H1" s="564"/>
      <c r="I1" s="564"/>
      <c r="J1" s="565"/>
      <c r="K1" s="566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Y1" s="58"/>
      <c r="Z1" s="58"/>
      <c r="AA1" s="447">
        <v>2022</v>
      </c>
      <c r="AB1" s="448"/>
      <c r="AC1" s="449"/>
    </row>
    <row r="2" spans="1:29" ht="14.95" customHeight="1" thickBot="1" x14ac:dyDescent="0.3">
      <c r="A2" s="75" t="s">
        <v>0</v>
      </c>
      <c r="B2" s="301" t="s">
        <v>14</v>
      </c>
      <c r="C2" s="324" t="s">
        <v>734</v>
      </c>
      <c r="D2" s="90" t="s">
        <v>11</v>
      </c>
      <c r="E2" s="76" t="s">
        <v>1</v>
      </c>
      <c r="F2" s="297" t="s">
        <v>2</v>
      </c>
      <c r="G2" s="291" t="s">
        <v>14</v>
      </c>
      <c r="H2" s="153" t="s">
        <v>734</v>
      </c>
      <c r="I2" s="399" t="s">
        <v>11</v>
      </c>
      <c r="J2" s="182" t="s">
        <v>1</v>
      </c>
      <c r="K2" s="567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Y2" s="58"/>
      <c r="Z2" s="58"/>
      <c r="AA2" s="450"/>
      <c r="AB2" s="451"/>
      <c r="AC2" s="452"/>
    </row>
    <row r="3" spans="1:29" ht="14.95" customHeight="1" thickBot="1" x14ac:dyDescent="0.3">
      <c r="A3" s="40" t="s">
        <v>184</v>
      </c>
      <c r="B3" s="302">
        <v>0</v>
      </c>
      <c r="C3" s="418">
        <v>0</v>
      </c>
      <c r="D3" s="42">
        <v>0</v>
      </c>
      <c r="E3" s="41">
        <f t="shared" ref="E3:E45" si="0">SUM(B3:D3)</f>
        <v>0</v>
      </c>
      <c r="F3" s="298" t="s">
        <v>184</v>
      </c>
      <c r="G3" s="292">
        <v>16</v>
      </c>
      <c r="H3" s="154">
        <v>3</v>
      </c>
      <c r="I3" s="400">
        <v>6</v>
      </c>
      <c r="J3" s="183">
        <f t="shared" ref="J3:J45" si="1">SUM(G3:I3)</f>
        <v>25</v>
      </c>
      <c r="K3" s="4"/>
      <c r="L3" s="1" t="s">
        <v>17</v>
      </c>
      <c r="M3" s="1" t="s">
        <v>5</v>
      </c>
      <c r="N3" s="1" t="s">
        <v>6</v>
      </c>
      <c r="O3" s="74" t="s">
        <v>17</v>
      </c>
      <c r="P3" s="1" t="s">
        <v>5</v>
      </c>
      <c r="Q3" s="1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Y3" s="58"/>
      <c r="Z3" s="58"/>
      <c r="AA3" s="271" t="s">
        <v>17</v>
      </c>
      <c r="AB3" s="61" t="s">
        <v>5</v>
      </c>
      <c r="AC3" s="61" t="s">
        <v>6</v>
      </c>
    </row>
    <row r="4" spans="1:29" ht="14.95" thickBot="1" x14ac:dyDescent="0.3">
      <c r="A4" s="40" t="s">
        <v>712</v>
      </c>
      <c r="B4" s="302">
        <v>1</v>
      </c>
      <c r="C4" s="418">
        <v>0</v>
      </c>
      <c r="D4" s="42">
        <v>0</v>
      </c>
      <c r="E4" s="41">
        <f t="shared" si="0"/>
        <v>1</v>
      </c>
      <c r="F4" s="298" t="s">
        <v>712</v>
      </c>
      <c r="G4" s="292">
        <v>5</v>
      </c>
      <c r="H4" s="154">
        <v>0</v>
      </c>
      <c r="I4" s="400">
        <v>0</v>
      </c>
      <c r="J4" s="183">
        <f t="shared" si="1"/>
        <v>5</v>
      </c>
      <c r="K4" s="111" t="s">
        <v>184</v>
      </c>
      <c r="L4" s="41">
        <v>12</v>
      </c>
      <c r="M4" s="41">
        <v>21</v>
      </c>
      <c r="N4" s="43">
        <f>SUM(L4/M4)*100</f>
        <v>57.142857142857139</v>
      </c>
      <c r="O4" s="41">
        <v>0</v>
      </c>
      <c r="P4" s="41">
        <v>4</v>
      </c>
      <c r="Q4" s="43">
        <f t="shared" ref="Q4:Q5" si="2">SUM(O4/P4)*100</f>
        <v>0</v>
      </c>
      <c r="R4" s="41">
        <v>-4</v>
      </c>
      <c r="S4" s="61">
        <v>17</v>
      </c>
      <c r="T4" s="61">
        <v>25</v>
      </c>
      <c r="U4" s="120">
        <f>SUM(S4/T4)*100</f>
        <v>68</v>
      </c>
      <c r="V4" s="61">
        <v>18</v>
      </c>
      <c r="W4" s="61">
        <v>25</v>
      </c>
      <c r="X4" s="120">
        <f>SUM(V4/W4)*100</f>
        <v>72</v>
      </c>
      <c r="Y4" s="58"/>
      <c r="Z4" s="58"/>
      <c r="AA4" s="271">
        <v>4</v>
      </c>
      <c r="AB4" s="61">
        <v>6</v>
      </c>
      <c r="AC4" s="120">
        <f>SUM(AA4/AB4)*100</f>
        <v>66.666666666666657</v>
      </c>
    </row>
    <row r="5" spans="1:29" ht="14.95" thickBot="1" x14ac:dyDescent="0.3">
      <c r="A5" s="40" t="s">
        <v>170</v>
      </c>
      <c r="B5" s="302">
        <v>0</v>
      </c>
      <c r="C5" s="418">
        <v>2</v>
      </c>
      <c r="D5" s="42">
        <v>0</v>
      </c>
      <c r="E5" s="41">
        <f t="shared" si="0"/>
        <v>2</v>
      </c>
      <c r="F5" s="298" t="s">
        <v>170</v>
      </c>
      <c r="G5" s="292">
        <v>0</v>
      </c>
      <c r="H5" s="154">
        <v>10</v>
      </c>
      <c r="I5" s="400">
        <v>0</v>
      </c>
      <c r="J5" s="183">
        <f t="shared" si="1"/>
        <v>10</v>
      </c>
      <c r="K5" s="111" t="s">
        <v>4</v>
      </c>
      <c r="L5" s="41">
        <v>0</v>
      </c>
      <c r="M5" s="41">
        <v>1</v>
      </c>
      <c r="N5" s="43">
        <f t="shared" ref="N5" si="3">SUM(L5/M5)*100</f>
        <v>0</v>
      </c>
      <c r="O5" s="41">
        <v>0</v>
      </c>
      <c r="P5" s="41">
        <v>1</v>
      </c>
      <c r="Q5" s="43">
        <f t="shared" si="2"/>
        <v>0</v>
      </c>
      <c r="R5" s="41">
        <v>-1</v>
      </c>
      <c r="S5" s="61">
        <v>4</v>
      </c>
      <c r="T5" s="61">
        <v>5</v>
      </c>
      <c r="U5" s="120">
        <f>SUM(S5/T5)*100</f>
        <v>80</v>
      </c>
      <c r="V5" s="61">
        <v>5</v>
      </c>
      <c r="W5" s="61">
        <v>7</v>
      </c>
      <c r="X5" s="120">
        <f>SUM(V5/W5)*100</f>
        <v>71.428571428571431</v>
      </c>
      <c r="Y5" s="58"/>
      <c r="Z5" s="58"/>
      <c r="AA5" s="271" t="s">
        <v>8</v>
      </c>
      <c r="AB5" s="61" t="s">
        <v>8</v>
      </c>
      <c r="AC5" s="120" t="s">
        <v>8</v>
      </c>
    </row>
    <row r="6" spans="1:29" ht="14.95" thickBot="1" x14ac:dyDescent="0.3">
      <c r="A6" s="40" t="s">
        <v>642</v>
      </c>
      <c r="B6" s="302">
        <v>1</v>
      </c>
      <c r="C6" s="418">
        <v>1</v>
      </c>
      <c r="D6" s="42">
        <v>0</v>
      </c>
      <c r="E6" s="41">
        <f t="shared" si="0"/>
        <v>2</v>
      </c>
      <c r="F6" s="298" t="s">
        <v>642</v>
      </c>
      <c r="G6" s="292">
        <v>5</v>
      </c>
      <c r="H6" s="154">
        <v>5</v>
      </c>
      <c r="I6" s="400">
        <v>0</v>
      </c>
      <c r="J6" s="183">
        <f t="shared" si="1"/>
        <v>10</v>
      </c>
      <c r="K6" s="111" t="s">
        <v>54</v>
      </c>
      <c r="L6" s="41" t="s">
        <v>8</v>
      </c>
      <c r="M6" s="41" t="s">
        <v>8</v>
      </c>
      <c r="N6" s="43" t="s">
        <v>8</v>
      </c>
      <c r="O6" s="41" t="s">
        <v>8</v>
      </c>
      <c r="P6" s="41" t="s">
        <v>8</v>
      </c>
      <c r="Q6" s="43" t="s">
        <v>8</v>
      </c>
      <c r="R6" s="41">
        <v>-1</v>
      </c>
      <c r="S6" s="61">
        <v>0</v>
      </c>
      <c r="T6" s="61">
        <v>1</v>
      </c>
      <c r="U6" s="120">
        <f>SUM(S6/T6)*100</f>
        <v>0</v>
      </c>
      <c r="V6" s="61" t="s">
        <v>8</v>
      </c>
      <c r="W6" s="61" t="s">
        <v>8</v>
      </c>
      <c r="X6" s="120" t="s">
        <v>8</v>
      </c>
      <c r="Y6" s="58"/>
      <c r="Z6" s="58"/>
      <c r="AA6" s="271" t="s">
        <v>8</v>
      </c>
      <c r="AB6" s="61" t="s">
        <v>8</v>
      </c>
      <c r="AC6" s="120" t="s">
        <v>8</v>
      </c>
    </row>
    <row r="7" spans="1:29" ht="14.95" thickBot="1" x14ac:dyDescent="0.3">
      <c r="A7" s="40" t="s">
        <v>766</v>
      </c>
      <c r="B7" s="302">
        <v>1</v>
      </c>
      <c r="C7" s="418">
        <v>0</v>
      </c>
      <c r="D7" s="42">
        <v>0</v>
      </c>
      <c r="E7" s="41">
        <f t="shared" si="0"/>
        <v>1</v>
      </c>
      <c r="F7" s="298" t="s">
        <v>766</v>
      </c>
      <c r="G7" s="292">
        <v>5</v>
      </c>
      <c r="H7" s="154">
        <v>0</v>
      </c>
      <c r="I7" s="400">
        <v>0</v>
      </c>
      <c r="J7" s="183">
        <f t="shared" si="1"/>
        <v>5</v>
      </c>
      <c r="K7" s="40" t="s">
        <v>194</v>
      </c>
      <c r="L7" s="41" t="s">
        <v>8</v>
      </c>
      <c r="M7" s="41" t="s">
        <v>8</v>
      </c>
      <c r="N7" s="43" t="s">
        <v>8</v>
      </c>
      <c r="O7" s="41" t="s">
        <v>8</v>
      </c>
      <c r="P7" s="41" t="s">
        <v>8</v>
      </c>
      <c r="Q7" s="43" t="s">
        <v>8</v>
      </c>
      <c r="R7" s="41">
        <v>2</v>
      </c>
      <c r="S7" s="61" t="s">
        <v>8</v>
      </c>
      <c r="T7" s="61" t="s">
        <v>8</v>
      </c>
      <c r="U7" s="120" t="s">
        <v>8</v>
      </c>
      <c r="V7" s="61">
        <v>1</v>
      </c>
      <c r="W7" s="61">
        <v>1</v>
      </c>
      <c r="X7" s="120">
        <f>SUM(V7/W7)*100</f>
        <v>100</v>
      </c>
      <c r="Y7" s="58"/>
      <c r="Z7" s="58"/>
      <c r="AA7" s="271">
        <v>2</v>
      </c>
      <c r="AB7" s="61">
        <v>5</v>
      </c>
      <c r="AC7" s="120">
        <f>SUM(AA7/AB7)*100</f>
        <v>40</v>
      </c>
    </row>
    <row r="8" spans="1:29" ht="14.95" thickBot="1" x14ac:dyDescent="0.3">
      <c r="A8" s="40" t="s">
        <v>902</v>
      </c>
      <c r="B8" s="302">
        <v>0</v>
      </c>
      <c r="C8" s="418">
        <v>0</v>
      </c>
      <c r="D8" s="42">
        <v>1</v>
      </c>
      <c r="E8" s="41">
        <f t="shared" si="0"/>
        <v>1</v>
      </c>
      <c r="F8" s="298" t="s">
        <v>902</v>
      </c>
      <c r="G8" s="292">
        <v>0</v>
      </c>
      <c r="H8" s="154">
        <v>0</v>
      </c>
      <c r="I8" s="400">
        <v>5</v>
      </c>
      <c r="J8" s="183">
        <f t="shared" si="1"/>
        <v>5</v>
      </c>
      <c r="R8" s="7"/>
      <c r="S8" s="58"/>
      <c r="T8" s="58"/>
      <c r="U8" s="58"/>
      <c r="V8" s="58"/>
      <c r="W8" s="58"/>
    </row>
    <row r="9" spans="1:29" ht="14.95" thickBot="1" x14ac:dyDescent="0.3">
      <c r="A9" s="40" t="s">
        <v>153</v>
      </c>
      <c r="B9" s="302">
        <v>0</v>
      </c>
      <c r="C9" s="418">
        <v>0</v>
      </c>
      <c r="D9" s="42">
        <v>0</v>
      </c>
      <c r="E9" s="41">
        <f t="shared" si="0"/>
        <v>0</v>
      </c>
      <c r="F9" s="298" t="s">
        <v>153</v>
      </c>
      <c r="G9" s="292">
        <v>0</v>
      </c>
      <c r="H9" s="154">
        <v>0</v>
      </c>
      <c r="I9" s="400">
        <v>0</v>
      </c>
      <c r="J9" s="183">
        <f t="shared" si="1"/>
        <v>0</v>
      </c>
      <c r="K9" s="494" t="s">
        <v>13</v>
      </c>
      <c r="L9" s="433">
        <v>2025</v>
      </c>
      <c r="M9" s="434"/>
      <c r="N9" s="435"/>
      <c r="O9" s="447">
        <v>2024</v>
      </c>
      <c r="P9" s="448"/>
      <c r="Q9" s="449"/>
      <c r="R9" s="447">
        <v>2023</v>
      </c>
      <c r="S9" s="448"/>
      <c r="T9" s="449"/>
      <c r="U9" s="447">
        <v>2022</v>
      </c>
      <c r="V9" s="448"/>
      <c r="W9" s="449"/>
      <c r="X9" s="58"/>
      <c r="Y9" s="58"/>
      <c r="Z9" s="58"/>
      <c r="AA9" s="58"/>
      <c r="AB9" s="58"/>
      <c r="AC9" s="58"/>
    </row>
    <row r="10" spans="1:29" ht="14.95" customHeight="1" thickBot="1" x14ac:dyDescent="0.3">
      <c r="A10" s="40" t="s">
        <v>171</v>
      </c>
      <c r="B10" s="302">
        <v>1</v>
      </c>
      <c r="C10" s="418">
        <v>0</v>
      </c>
      <c r="D10" s="42">
        <v>0</v>
      </c>
      <c r="E10" s="41">
        <f t="shared" si="0"/>
        <v>1</v>
      </c>
      <c r="F10" s="298" t="s">
        <v>171</v>
      </c>
      <c r="G10" s="292">
        <v>5</v>
      </c>
      <c r="H10" s="154">
        <v>0</v>
      </c>
      <c r="I10" s="400">
        <v>0</v>
      </c>
      <c r="J10" s="183">
        <f t="shared" si="1"/>
        <v>5</v>
      </c>
      <c r="K10" s="495"/>
      <c r="L10" s="436"/>
      <c r="M10" s="437"/>
      <c r="N10" s="438"/>
      <c r="O10" s="450"/>
      <c r="P10" s="451"/>
      <c r="Q10" s="452"/>
      <c r="R10" s="450"/>
      <c r="S10" s="451"/>
      <c r="T10" s="452"/>
      <c r="U10" s="450"/>
      <c r="V10" s="451"/>
      <c r="W10" s="452"/>
      <c r="X10" s="58"/>
      <c r="Y10" s="58"/>
      <c r="Z10" s="58"/>
      <c r="AA10" s="58"/>
      <c r="AB10" s="58"/>
      <c r="AC10" s="58"/>
    </row>
    <row r="11" spans="1:29" ht="14.95" customHeight="1" thickBot="1" x14ac:dyDescent="0.3">
      <c r="A11" s="40" t="s">
        <v>4</v>
      </c>
      <c r="B11" s="302">
        <v>0</v>
      </c>
      <c r="C11" s="418">
        <v>0</v>
      </c>
      <c r="D11" s="42">
        <v>0</v>
      </c>
      <c r="E11" s="41">
        <f t="shared" si="0"/>
        <v>0</v>
      </c>
      <c r="F11" s="298" t="s">
        <v>4</v>
      </c>
      <c r="G11" s="292">
        <v>0</v>
      </c>
      <c r="H11" s="154">
        <v>0</v>
      </c>
      <c r="I11" s="400">
        <v>0</v>
      </c>
      <c r="J11" s="183">
        <f t="shared" si="1"/>
        <v>0</v>
      </c>
      <c r="K11" s="288"/>
      <c r="L11" s="1" t="s">
        <v>17</v>
      </c>
      <c r="M11" s="1" t="s">
        <v>5</v>
      </c>
      <c r="N11" s="1" t="s">
        <v>6</v>
      </c>
      <c r="O11" s="61" t="s">
        <v>17</v>
      </c>
      <c r="P11" s="61" t="s">
        <v>5</v>
      </c>
      <c r="Q11" s="61" t="s">
        <v>6</v>
      </c>
      <c r="R11" s="61" t="s">
        <v>17</v>
      </c>
      <c r="S11" s="61" t="s">
        <v>5</v>
      </c>
      <c r="T11" s="61" t="s">
        <v>6</v>
      </c>
      <c r="U11" s="61" t="s">
        <v>17</v>
      </c>
      <c r="V11" s="61" t="s">
        <v>5</v>
      </c>
      <c r="W11" s="61" t="s">
        <v>6</v>
      </c>
      <c r="X11" s="58"/>
      <c r="Y11" s="58"/>
      <c r="Z11" s="58"/>
      <c r="AA11" s="58"/>
      <c r="AB11" s="58"/>
      <c r="AC11" s="58"/>
    </row>
    <row r="12" spans="1:29" ht="14.95" customHeight="1" thickBot="1" x14ac:dyDescent="0.3">
      <c r="A12" s="40" t="s">
        <v>172</v>
      </c>
      <c r="B12" s="302">
        <v>0</v>
      </c>
      <c r="C12" s="418">
        <v>0</v>
      </c>
      <c r="D12" s="42">
        <v>0</v>
      </c>
      <c r="E12" s="41">
        <f t="shared" si="0"/>
        <v>0</v>
      </c>
      <c r="F12" s="298" t="s">
        <v>172</v>
      </c>
      <c r="G12" s="292">
        <v>0</v>
      </c>
      <c r="H12" s="154">
        <v>0</v>
      </c>
      <c r="I12" s="400">
        <v>0</v>
      </c>
      <c r="J12" s="183">
        <f t="shared" si="1"/>
        <v>0</v>
      </c>
      <c r="K12" s="111" t="s">
        <v>184</v>
      </c>
      <c r="L12" s="41">
        <v>8</v>
      </c>
      <c r="M12" s="41">
        <v>11</v>
      </c>
      <c r="N12" s="43">
        <f>SUM(L12/M12)*100</f>
        <v>72.727272727272734</v>
      </c>
      <c r="O12" s="61">
        <v>5</v>
      </c>
      <c r="P12" s="61">
        <v>6</v>
      </c>
      <c r="Q12" s="120">
        <f>SUM(O12/P12)*100</f>
        <v>83.333333333333343</v>
      </c>
      <c r="R12" s="61">
        <v>10</v>
      </c>
      <c r="S12" s="61">
        <v>15</v>
      </c>
      <c r="T12" s="120">
        <f>SUM(R12/S12)*100</f>
        <v>66.666666666666657</v>
      </c>
      <c r="U12" s="61">
        <v>2</v>
      </c>
      <c r="V12" s="61">
        <v>3</v>
      </c>
      <c r="W12" s="120">
        <f>SUM(U12/V12)*100</f>
        <v>66.666666666666657</v>
      </c>
      <c r="X12" s="58"/>
      <c r="Y12" s="58"/>
      <c r="Z12" s="58"/>
      <c r="AA12" s="58"/>
      <c r="AB12" s="58"/>
      <c r="AC12" s="58"/>
    </row>
    <row r="13" spans="1:29" ht="14.95" customHeight="1" thickBot="1" x14ac:dyDescent="0.3">
      <c r="A13" s="40" t="s">
        <v>173</v>
      </c>
      <c r="B13" s="302">
        <v>0</v>
      </c>
      <c r="C13" s="418">
        <v>0</v>
      </c>
      <c r="D13" s="42">
        <v>0</v>
      </c>
      <c r="E13" s="41">
        <f t="shared" si="0"/>
        <v>0</v>
      </c>
      <c r="F13" s="298" t="s">
        <v>173</v>
      </c>
      <c r="G13" s="292">
        <v>0</v>
      </c>
      <c r="H13" s="154">
        <v>0</v>
      </c>
      <c r="I13" s="400">
        <v>0</v>
      </c>
      <c r="J13" s="183">
        <f t="shared" si="1"/>
        <v>0</v>
      </c>
      <c r="K13" s="111" t="s">
        <v>4</v>
      </c>
      <c r="L13" s="41" t="s">
        <v>8</v>
      </c>
      <c r="M13" s="41" t="s">
        <v>8</v>
      </c>
      <c r="N13" s="43" t="s">
        <v>8</v>
      </c>
      <c r="O13" s="61">
        <v>3</v>
      </c>
      <c r="P13" s="61">
        <v>4</v>
      </c>
      <c r="Q13" s="120">
        <f>SUM(O13/P13)*100</f>
        <v>75</v>
      </c>
      <c r="R13" s="61" t="s">
        <v>8</v>
      </c>
      <c r="S13" s="61" t="s">
        <v>8</v>
      </c>
      <c r="T13" s="120" t="s">
        <v>8</v>
      </c>
      <c r="U13" s="61" t="s">
        <v>8</v>
      </c>
      <c r="V13" s="61" t="s">
        <v>8</v>
      </c>
      <c r="W13" s="120" t="s">
        <v>8</v>
      </c>
      <c r="X13" s="58"/>
      <c r="Y13" s="58"/>
      <c r="Z13" s="58"/>
      <c r="AA13" s="58"/>
    </row>
    <row r="14" spans="1:29" ht="14.95" customHeight="1" thickBot="1" x14ac:dyDescent="0.3">
      <c r="A14" s="40" t="s">
        <v>185</v>
      </c>
      <c r="B14" s="302">
        <v>0</v>
      </c>
      <c r="C14" s="418">
        <v>0</v>
      </c>
      <c r="D14" s="42">
        <v>0</v>
      </c>
      <c r="E14" s="41">
        <f t="shared" si="0"/>
        <v>0</v>
      </c>
      <c r="F14" s="298" t="s">
        <v>185</v>
      </c>
      <c r="G14" s="292">
        <v>0</v>
      </c>
      <c r="H14" s="154">
        <v>0</v>
      </c>
      <c r="I14" s="400">
        <v>0</v>
      </c>
      <c r="J14" s="183">
        <f t="shared" si="1"/>
        <v>0</v>
      </c>
      <c r="K14" s="111" t="s">
        <v>54</v>
      </c>
      <c r="L14" s="41" t="s">
        <v>8</v>
      </c>
      <c r="M14" s="41" t="s">
        <v>8</v>
      </c>
      <c r="N14" s="43" t="s">
        <v>8</v>
      </c>
      <c r="O14" s="61">
        <v>0</v>
      </c>
      <c r="P14" s="61">
        <v>1</v>
      </c>
      <c r="Q14" s="120">
        <f>SUM(O14/P14)*100</f>
        <v>0</v>
      </c>
      <c r="R14" s="61" t="s">
        <v>8</v>
      </c>
      <c r="S14" s="61" t="s">
        <v>8</v>
      </c>
      <c r="T14" s="120" t="s">
        <v>8</v>
      </c>
      <c r="U14" s="61" t="s">
        <v>8</v>
      </c>
      <c r="V14" s="61" t="s">
        <v>8</v>
      </c>
      <c r="W14" s="120" t="s">
        <v>8</v>
      </c>
      <c r="X14" s="58"/>
      <c r="Y14" s="58"/>
      <c r="Z14" s="58"/>
      <c r="AA14" s="58"/>
    </row>
    <row r="15" spans="1:29" ht="14.95" customHeight="1" thickBot="1" x14ac:dyDescent="0.3">
      <c r="A15" s="40" t="s">
        <v>643</v>
      </c>
      <c r="B15" s="302">
        <v>0</v>
      </c>
      <c r="C15" s="418">
        <v>0</v>
      </c>
      <c r="D15" s="42">
        <v>0</v>
      </c>
      <c r="E15" s="41">
        <f t="shared" si="0"/>
        <v>0</v>
      </c>
      <c r="F15" s="298" t="s">
        <v>643</v>
      </c>
      <c r="G15" s="292">
        <v>0</v>
      </c>
      <c r="H15" s="154">
        <v>0</v>
      </c>
      <c r="I15" s="400">
        <v>0</v>
      </c>
      <c r="J15" s="183">
        <f t="shared" si="1"/>
        <v>0</v>
      </c>
      <c r="K15" s="109" t="s">
        <v>194</v>
      </c>
      <c r="L15" s="41" t="s">
        <v>8</v>
      </c>
      <c r="M15" s="41" t="s">
        <v>8</v>
      </c>
      <c r="N15" s="43" t="s">
        <v>8</v>
      </c>
      <c r="O15" s="61" t="s">
        <v>8</v>
      </c>
      <c r="P15" s="61" t="s">
        <v>8</v>
      </c>
      <c r="Q15" s="120" t="s">
        <v>8</v>
      </c>
      <c r="R15" s="61" t="s">
        <v>8</v>
      </c>
      <c r="S15" s="61" t="s">
        <v>8</v>
      </c>
      <c r="T15" s="120" t="s">
        <v>8</v>
      </c>
      <c r="U15" s="61">
        <v>2</v>
      </c>
      <c r="V15" s="61">
        <v>5</v>
      </c>
      <c r="W15" s="120">
        <f>SUM(U15/V15)*100</f>
        <v>40</v>
      </c>
      <c r="X15" s="58"/>
      <c r="Y15" s="44"/>
      <c r="Z15" s="44"/>
    </row>
    <row r="16" spans="1:29" ht="14.95" customHeight="1" thickBot="1" x14ac:dyDescent="0.3">
      <c r="A16" s="40" t="s">
        <v>596</v>
      </c>
      <c r="B16" s="302">
        <v>0</v>
      </c>
      <c r="C16" s="418">
        <v>0</v>
      </c>
      <c r="D16" s="42">
        <v>0</v>
      </c>
      <c r="E16" s="41">
        <f t="shared" si="0"/>
        <v>0</v>
      </c>
      <c r="F16" s="298" t="s">
        <v>596</v>
      </c>
      <c r="G16" s="292">
        <v>0</v>
      </c>
      <c r="H16" s="154">
        <v>0</v>
      </c>
      <c r="I16" s="400">
        <v>0</v>
      </c>
      <c r="J16" s="183">
        <f t="shared" si="1"/>
        <v>0</v>
      </c>
      <c r="K16" s="8"/>
      <c r="L16" s="24"/>
      <c r="M16" s="24"/>
      <c r="N16" s="25"/>
      <c r="S16" s="58"/>
      <c r="T16" s="58"/>
    </row>
    <row r="17" spans="1:23" ht="14.95" customHeight="1" thickBot="1" x14ac:dyDescent="0.3">
      <c r="A17" s="40" t="s">
        <v>174</v>
      </c>
      <c r="B17" s="302">
        <v>0</v>
      </c>
      <c r="C17" s="418">
        <v>0</v>
      </c>
      <c r="D17" s="42">
        <v>0</v>
      </c>
      <c r="E17" s="41">
        <f t="shared" si="0"/>
        <v>0</v>
      </c>
      <c r="F17" s="298" t="s">
        <v>174</v>
      </c>
      <c r="G17" s="292">
        <v>0</v>
      </c>
      <c r="H17" s="154">
        <v>0</v>
      </c>
      <c r="I17" s="400">
        <v>0</v>
      </c>
      <c r="J17" s="183">
        <f t="shared" si="1"/>
        <v>0</v>
      </c>
      <c r="K17" s="459" t="s">
        <v>351</v>
      </c>
      <c r="L17" s="433">
        <v>2025</v>
      </c>
      <c r="M17" s="434"/>
      <c r="N17" s="435"/>
      <c r="O17" s="447">
        <v>2022</v>
      </c>
      <c r="P17" s="448"/>
      <c r="Q17" s="449"/>
      <c r="V17" s="58"/>
      <c r="W17" s="58"/>
    </row>
    <row r="18" spans="1:23" ht="14.95" customHeight="1" thickBot="1" x14ac:dyDescent="0.3">
      <c r="A18" s="40" t="s">
        <v>175</v>
      </c>
      <c r="B18" s="302">
        <v>0</v>
      </c>
      <c r="C18" s="418">
        <v>0</v>
      </c>
      <c r="D18" s="42">
        <v>0</v>
      </c>
      <c r="E18" s="41">
        <f t="shared" si="0"/>
        <v>0</v>
      </c>
      <c r="F18" s="298" t="s">
        <v>175</v>
      </c>
      <c r="G18" s="292">
        <v>0</v>
      </c>
      <c r="H18" s="154">
        <v>0</v>
      </c>
      <c r="I18" s="400">
        <v>0</v>
      </c>
      <c r="J18" s="183">
        <f t="shared" si="1"/>
        <v>0</v>
      </c>
      <c r="K18" s="460"/>
      <c r="L18" s="436"/>
      <c r="M18" s="437"/>
      <c r="N18" s="438"/>
      <c r="O18" s="450"/>
      <c r="P18" s="451"/>
      <c r="Q18" s="452"/>
      <c r="V18" s="58"/>
      <c r="W18" s="58"/>
    </row>
    <row r="19" spans="1:23" ht="14.95" customHeight="1" thickBot="1" x14ac:dyDescent="0.3">
      <c r="A19" s="40" t="s">
        <v>176</v>
      </c>
      <c r="B19" s="302">
        <v>0</v>
      </c>
      <c r="C19" s="418">
        <v>0</v>
      </c>
      <c r="D19" s="42">
        <v>0</v>
      </c>
      <c r="E19" s="41">
        <f t="shared" si="0"/>
        <v>0</v>
      </c>
      <c r="F19" s="298" t="s">
        <v>176</v>
      </c>
      <c r="G19" s="292">
        <v>0</v>
      </c>
      <c r="H19" s="154">
        <v>0</v>
      </c>
      <c r="I19" s="400">
        <v>0</v>
      </c>
      <c r="J19" s="183">
        <f t="shared" si="1"/>
        <v>0</v>
      </c>
      <c r="K19" s="317"/>
      <c r="L19" s="1" t="s">
        <v>17</v>
      </c>
      <c r="M19" s="1" t="s">
        <v>5</v>
      </c>
      <c r="N19" s="1" t="s">
        <v>6</v>
      </c>
      <c r="O19" s="61" t="s">
        <v>17</v>
      </c>
      <c r="P19" s="61" t="s">
        <v>5</v>
      </c>
      <c r="Q19" s="61" t="s">
        <v>6</v>
      </c>
      <c r="R19" s="24"/>
      <c r="S19" s="24"/>
      <c r="T19" s="25"/>
      <c r="V19" s="58"/>
      <c r="W19" s="58"/>
    </row>
    <row r="20" spans="1:23" ht="14.95" customHeight="1" thickBot="1" x14ac:dyDescent="0.3">
      <c r="A20" s="40" t="s">
        <v>908</v>
      </c>
      <c r="B20" s="302">
        <v>0</v>
      </c>
      <c r="C20" s="418">
        <v>0</v>
      </c>
      <c r="D20" s="42">
        <v>0</v>
      </c>
      <c r="E20" s="41">
        <f t="shared" si="0"/>
        <v>0</v>
      </c>
      <c r="F20" s="298" t="s">
        <v>908</v>
      </c>
      <c r="G20" s="292">
        <v>0</v>
      </c>
      <c r="H20" s="154">
        <v>0</v>
      </c>
      <c r="I20" s="400">
        <v>0</v>
      </c>
      <c r="J20" s="183">
        <f t="shared" si="1"/>
        <v>0</v>
      </c>
      <c r="K20" s="111" t="s">
        <v>184</v>
      </c>
      <c r="L20" s="41">
        <v>1</v>
      </c>
      <c r="M20" s="41">
        <v>6</v>
      </c>
      <c r="N20" s="43">
        <f>SUM(L20/M20)*100</f>
        <v>16.666666666666664</v>
      </c>
      <c r="O20" s="61">
        <v>2</v>
      </c>
      <c r="P20" s="61">
        <v>3</v>
      </c>
      <c r="Q20" s="120">
        <v>67</v>
      </c>
      <c r="S20" s="24"/>
      <c r="T20" s="24"/>
      <c r="V20" s="58"/>
      <c r="W20" s="58"/>
    </row>
    <row r="21" spans="1:23" ht="14.95" customHeight="1" thickBot="1" x14ac:dyDescent="0.3">
      <c r="A21" s="40" t="s">
        <v>663</v>
      </c>
      <c r="B21" s="302">
        <v>0</v>
      </c>
      <c r="C21" s="418">
        <v>0</v>
      </c>
      <c r="D21" s="42">
        <v>1</v>
      </c>
      <c r="E21" s="41">
        <f t="shared" si="0"/>
        <v>1</v>
      </c>
      <c r="F21" s="298" t="s">
        <v>663</v>
      </c>
      <c r="G21" s="292">
        <v>0</v>
      </c>
      <c r="H21" s="154">
        <v>0</v>
      </c>
      <c r="I21" s="400">
        <v>5</v>
      </c>
      <c r="J21" s="183">
        <f t="shared" si="1"/>
        <v>5</v>
      </c>
      <c r="K21" s="111" t="s">
        <v>4</v>
      </c>
      <c r="L21" s="419">
        <v>0</v>
      </c>
      <c r="M21" s="41">
        <v>1</v>
      </c>
      <c r="N21" s="43">
        <f t="shared" ref="N21" si="4">SUM(L21/M21)*100</f>
        <v>0</v>
      </c>
      <c r="O21" s="61" t="s">
        <v>8</v>
      </c>
      <c r="P21" s="61" t="s">
        <v>8</v>
      </c>
      <c r="Q21" s="120" t="s">
        <v>8</v>
      </c>
      <c r="S21" s="24"/>
      <c r="T21" s="24"/>
      <c r="V21" s="58"/>
      <c r="W21" s="58"/>
    </row>
    <row r="22" spans="1:23" ht="14.95" customHeight="1" thickBot="1" x14ac:dyDescent="0.3">
      <c r="A22" s="40" t="s">
        <v>186</v>
      </c>
      <c r="B22" s="302">
        <v>0</v>
      </c>
      <c r="C22" s="418">
        <v>0</v>
      </c>
      <c r="D22" s="42">
        <v>0</v>
      </c>
      <c r="E22" s="41">
        <f t="shared" si="0"/>
        <v>0</v>
      </c>
      <c r="F22" s="298" t="s">
        <v>186</v>
      </c>
      <c r="G22" s="292">
        <v>0</v>
      </c>
      <c r="H22" s="154">
        <v>0</v>
      </c>
      <c r="I22" s="400">
        <v>0</v>
      </c>
      <c r="J22" s="183">
        <f t="shared" si="1"/>
        <v>0</v>
      </c>
      <c r="S22" s="58"/>
      <c r="T22" s="58"/>
    </row>
    <row r="23" spans="1:23" ht="14.95" customHeight="1" thickBot="1" x14ac:dyDescent="0.3">
      <c r="A23" s="40" t="s">
        <v>188</v>
      </c>
      <c r="B23" s="302">
        <v>0</v>
      </c>
      <c r="C23" s="418">
        <v>0</v>
      </c>
      <c r="D23" s="42">
        <v>0</v>
      </c>
      <c r="E23" s="41">
        <f t="shared" si="0"/>
        <v>0</v>
      </c>
      <c r="F23" s="298" t="s">
        <v>188</v>
      </c>
      <c r="G23" s="292">
        <v>0</v>
      </c>
      <c r="H23" s="154">
        <v>0</v>
      </c>
      <c r="I23" s="400">
        <v>0</v>
      </c>
      <c r="J23" s="183">
        <f t="shared" si="1"/>
        <v>0</v>
      </c>
      <c r="K23" s="477" t="s">
        <v>509</v>
      </c>
      <c r="L23" s="447">
        <v>2024</v>
      </c>
      <c r="M23" s="448"/>
      <c r="N23" s="449"/>
      <c r="O23" s="447">
        <v>2023</v>
      </c>
      <c r="P23" s="448"/>
      <c r="Q23" s="449"/>
      <c r="S23" s="58"/>
      <c r="T23" s="58"/>
    </row>
    <row r="24" spans="1:23" ht="14.95" customHeight="1" thickBot="1" x14ac:dyDescent="0.3">
      <c r="A24" s="40" t="s">
        <v>177</v>
      </c>
      <c r="B24" s="302">
        <v>0</v>
      </c>
      <c r="C24" s="418">
        <v>0</v>
      </c>
      <c r="D24" s="42">
        <v>0</v>
      </c>
      <c r="E24" s="41">
        <f t="shared" si="0"/>
        <v>0</v>
      </c>
      <c r="F24" s="298" t="s">
        <v>177</v>
      </c>
      <c r="G24" s="292">
        <v>0</v>
      </c>
      <c r="H24" s="154">
        <v>0</v>
      </c>
      <c r="I24" s="400">
        <v>0</v>
      </c>
      <c r="J24" s="183">
        <f t="shared" si="1"/>
        <v>0</v>
      </c>
      <c r="K24" s="478"/>
      <c r="L24" s="450"/>
      <c r="M24" s="451"/>
      <c r="N24" s="452"/>
      <c r="O24" s="450"/>
      <c r="P24" s="451"/>
      <c r="Q24" s="452"/>
    </row>
    <row r="25" spans="1:23" ht="14.95" customHeight="1" thickBot="1" x14ac:dyDescent="0.3">
      <c r="A25" s="40" t="s">
        <v>187</v>
      </c>
      <c r="B25" s="302">
        <v>0</v>
      </c>
      <c r="C25" s="418">
        <v>0</v>
      </c>
      <c r="D25" s="42">
        <v>0</v>
      </c>
      <c r="E25" s="41">
        <f t="shared" si="0"/>
        <v>0</v>
      </c>
      <c r="F25" s="298" t="s">
        <v>187</v>
      </c>
      <c r="G25" s="292">
        <v>0</v>
      </c>
      <c r="H25" s="154">
        <v>0</v>
      </c>
      <c r="I25" s="400">
        <v>0</v>
      </c>
      <c r="J25" s="183">
        <f t="shared" si="1"/>
        <v>0</v>
      </c>
      <c r="K25" s="231"/>
      <c r="L25" s="61" t="s">
        <v>17</v>
      </c>
      <c r="M25" s="61" t="s">
        <v>5</v>
      </c>
      <c r="N25" s="61" t="s">
        <v>6</v>
      </c>
      <c r="O25" s="61" t="s">
        <v>17</v>
      </c>
      <c r="P25" s="61" t="s">
        <v>5</v>
      </c>
      <c r="Q25" s="61" t="s">
        <v>6</v>
      </c>
    </row>
    <row r="26" spans="1:23" ht="14.95" customHeight="1" thickBot="1" x14ac:dyDescent="0.3">
      <c r="A26" s="40" t="s">
        <v>189</v>
      </c>
      <c r="B26" s="302">
        <v>0</v>
      </c>
      <c r="C26" s="418">
        <v>0</v>
      </c>
      <c r="D26" s="42">
        <v>0</v>
      </c>
      <c r="E26" s="41">
        <f t="shared" si="0"/>
        <v>0</v>
      </c>
      <c r="F26" s="298" t="s">
        <v>189</v>
      </c>
      <c r="G26" s="292">
        <v>0</v>
      </c>
      <c r="H26" s="154">
        <v>0</v>
      </c>
      <c r="I26" s="400">
        <v>0</v>
      </c>
      <c r="J26" s="183">
        <f t="shared" si="1"/>
        <v>0</v>
      </c>
      <c r="K26" s="111" t="s">
        <v>184</v>
      </c>
      <c r="L26" s="61">
        <v>2</v>
      </c>
      <c r="M26" s="61">
        <v>5</v>
      </c>
      <c r="N26" s="120">
        <f>SUM(L26/M26)*100</f>
        <v>40</v>
      </c>
      <c r="O26" s="61">
        <v>4</v>
      </c>
      <c r="P26" s="61">
        <v>5</v>
      </c>
      <c r="Q26" s="120">
        <f>SUM(O26/P26)*100</f>
        <v>80</v>
      </c>
    </row>
    <row r="27" spans="1:23" ht="14.95" customHeight="1" thickBot="1" x14ac:dyDescent="0.3">
      <c r="A27" s="40" t="s">
        <v>967</v>
      </c>
      <c r="B27" s="302">
        <v>0</v>
      </c>
      <c r="C27" s="418">
        <v>0</v>
      </c>
      <c r="D27" s="42">
        <v>2</v>
      </c>
      <c r="E27" s="41">
        <f t="shared" si="0"/>
        <v>2</v>
      </c>
      <c r="F27" s="298" t="s">
        <v>967</v>
      </c>
      <c r="G27" s="292">
        <v>0</v>
      </c>
      <c r="H27" s="154">
        <v>0</v>
      </c>
      <c r="I27" s="400">
        <v>10</v>
      </c>
      <c r="J27" s="183">
        <f t="shared" si="1"/>
        <v>10</v>
      </c>
      <c r="K27" s="111" t="s">
        <v>4</v>
      </c>
      <c r="L27" s="61" t="s">
        <v>8</v>
      </c>
      <c r="M27" s="61" t="s">
        <v>8</v>
      </c>
      <c r="N27" s="120" t="s">
        <v>8</v>
      </c>
      <c r="O27" s="61">
        <v>0</v>
      </c>
      <c r="P27" s="61">
        <v>1</v>
      </c>
      <c r="Q27" s="120">
        <f>SUM(O27/P27)*100</f>
        <v>0</v>
      </c>
    </row>
    <row r="28" spans="1:23" ht="14.95" customHeight="1" thickBot="1" x14ac:dyDescent="0.3">
      <c r="A28" s="40" t="s">
        <v>190</v>
      </c>
      <c r="B28" s="302">
        <v>0</v>
      </c>
      <c r="C28" s="418">
        <v>1</v>
      </c>
      <c r="D28" s="42">
        <v>0</v>
      </c>
      <c r="E28" s="41">
        <f t="shared" si="0"/>
        <v>1</v>
      </c>
      <c r="F28" s="298" t="s">
        <v>190</v>
      </c>
      <c r="G28" s="292">
        <v>0</v>
      </c>
      <c r="H28" s="154">
        <v>5</v>
      </c>
      <c r="I28" s="400">
        <v>0</v>
      </c>
      <c r="J28" s="183">
        <f t="shared" si="1"/>
        <v>5</v>
      </c>
      <c r="K28" s="40" t="s">
        <v>194</v>
      </c>
      <c r="L28" s="61" t="s">
        <v>8</v>
      </c>
      <c r="M28" s="61" t="s">
        <v>8</v>
      </c>
      <c r="N28" s="120" t="s">
        <v>8</v>
      </c>
      <c r="O28" s="61">
        <v>1</v>
      </c>
      <c r="P28" s="61">
        <v>1</v>
      </c>
      <c r="Q28" s="120">
        <f>SUM(O28/P28)*100</f>
        <v>100</v>
      </c>
    </row>
    <row r="29" spans="1:23" ht="14.95" customHeight="1" thickBot="1" x14ac:dyDescent="0.3">
      <c r="A29" s="40" t="s">
        <v>212</v>
      </c>
      <c r="B29" s="302">
        <v>0</v>
      </c>
      <c r="C29" s="418">
        <v>0</v>
      </c>
      <c r="D29" s="42">
        <v>0</v>
      </c>
      <c r="E29" s="41">
        <f t="shared" si="0"/>
        <v>0</v>
      </c>
      <c r="F29" s="298" t="s">
        <v>212</v>
      </c>
      <c r="G29" s="292">
        <v>0</v>
      </c>
      <c r="H29" s="154">
        <v>0</v>
      </c>
      <c r="I29" s="400">
        <v>0</v>
      </c>
      <c r="J29" s="183">
        <f t="shared" si="1"/>
        <v>0</v>
      </c>
    </row>
    <row r="30" spans="1:23" ht="14.95" customHeight="1" thickBot="1" x14ac:dyDescent="0.3">
      <c r="A30" s="40" t="s">
        <v>179</v>
      </c>
      <c r="B30" s="302">
        <v>1</v>
      </c>
      <c r="C30" s="418">
        <v>0</v>
      </c>
      <c r="D30" s="42">
        <v>0</v>
      </c>
      <c r="E30" s="41">
        <f t="shared" si="0"/>
        <v>1</v>
      </c>
      <c r="F30" s="298" t="s">
        <v>179</v>
      </c>
      <c r="G30" s="292">
        <v>5</v>
      </c>
      <c r="H30" s="154">
        <v>0</v>
      </c>
      <c r="I30" s="400">
        <v>0</v>
      </c>
      <c r="J30" s="183">
        <f t="shared" si="1"/>
        <v>5</v>
      </c>
    </row>
    <row r="31" spans="1:23" ht="14.95" customHeight="1" thickBot="1" x14ac:dyDescent="0.3">
      <c r="A31" s="40" t="s">
        <v>178</v>
      </c>
      <c r="B31" s="302">
        <v>0</v>
      </c>
      <c r="C31" s="418">
        <v>0</v>
      </c>
      <c r="D31" s="42">
        <v>0</v>
      </c>
      <c r="E31" s="41">
        <f t="shared" si="0"/>
        <v>0</v>
      </c>
      <c r="F31" s="298" t="s">
        <v>178</v>
      </c>
      <c r="G31" s="292">
        <v>0</v>
      </c>
      <c r="H31" s="154">
        <v>0</v>
      </c>
      <c r="I31" s="400">
        <v>0</v>
      </c>
      <c r="J31" s="183">
        <f t="shared" si="1"/>
        <v>0</v>
      </c>
    </row>
    <row r="32" spans="1:23" ht="14.95" customHeight="1" thickBot="1" x14ac:dyDescent="0.3">
      <c r="A32" s="40" t="s">
        <v>54</v>
      </c>
      <c r="B32" s="302">
        <v>0</v>
      </c>
      <c r="C32" s="418">
        <v>1</v>
      </c>
      <c r="D32" s="42">
        <v>0</v>
      </c>
      <c r="E32" s="41">
        <f t="shared" si="0"/>
        <v>1</v>
      </c>
      <c r="F32" s="298" t="s">
        <v>54</v>
      </c>
      <c r="G32" s="292">
        <v>0</v>
      </c>
      <c r="H32" s="154">
        <v>5</v>
      </c>
      <c r="I32" s="400">
        <v>0</v>
      </c>
      <c r="J32" s="183">
        <f t="shared" si="1"/>
        <v>5</v>
      </c>
    </row>
    <row r="33" spans="1:10" ht="14.95" customHeight="1" thickBot="1" x14ac:dyDescent="0.3">
      <c r="A33" s="40" t="s">
        <v>180</v>
      </c>
      <c r="B33" s="302">
        <v>2</v>
      </c>
      <c r="C33" s="418">
        <v>0</v>
      </c>
      <c r="D33" s="42">
        <v>0</v>
      </c>
      <c r="E33" s="41">
        <f t="shared" si="0"/>
        <v>2</v>
      </c>
      <c r="F33" s="298" t="s">
        <v>180</v>
      </c>
      <c r="G33" s="292">
        <v>10</v>
      </c>
      <c r="H33" s="154">
        <v>0</v>
      </c>
      <c r="I33" s="400">
        <v>0</v>
      </c>
      <c r="J33" s="183">
        <f t="shared" si="1"/>
        <v>10</v>
      </c>
    </row>
    <row r="34" spans="1:10" ht="14.95" customHeight="1" thickBot="1" x14ac:dyDescent="0.3">
      <c r="A34" s="40" t="s">
        <v>664</v>
      </c>
      <c r="B34" s="302">
        <v>0</v>
      </c>
      <c r="C34" s="418">
        <v>0</v>
      </c>
      <c r="D34" s="42">
        <v>0</v>
      </c>
      <c r="E34" s="41">
        <f t="shared" si="0"/>
        <v>0</v>
      </c>
      <c r="F34" s="298" t="s">
        <v>664</v>
      </c>
      <c r="G34" s="292">
        <v>0</v>
      </c>
      <c r="H34" s="154">
        <v>0</v>
      </c>
      <c r="I34" s="400">
        <v>0</v>
      </c>
      <c r="J34" s="183">
        <f t="shared" si="1"/>
        <v>0</v>
      </c>
    </row>
    <row r="35" spans="1:10" ht="14.95" customHeight="1" thickBot="1" x14ac:dyDescent="0.3">
      <c r="A35" s="40" t="s">
        <v>181</v>
      </c>
      <c r="B35" s="302">
        <v>0</v>
      </c>
      <c r="C35" s="418">
        <v>0</v>
      </c>
      <c r="D35" s="42">
        <v>0</v>
      </c>
      <c r="E35" s="41">
        <f t="shared" si="0"/>
        <v>0</v>
      </c>
      <c r="F35" s="298" t="s">
        <v>181</v>
      </c>
      <c r="G35" s="292">
        <v>0</v>
      </c>
      <c r="H35" s="154">
        <v>0</v>
      </c>
      <c r="I35" s="400">
        <v>0</v>
      </c>
      <c r="J35" s="183">
        <f t="shared" si="1"/>
        <v>0</v>
      </c>
    </row>
    <row r="36" spans="1:10" ht="14.95" thickBot="1" x14ac:dyDescent="0.3">
      <c r="A36" s="40" t="s">
        <v>66</v>
      </c>
      <c r="B36" s="302">
        <v>0</v>
      </c>
      <c r="C36" s="418">
        <v>0</v>
      </c>
      <c r="D36" s="42">
        <v>0</v>
      </c>
      <c r="E36" s="41">
        <f t="shared" si="0"/>
        <v>0</v>
      </c>
      <c r="F36" s="298" t="s">
        <v>66</v>
      </c>
      <c r="G36" s="292">
        <v>0</v>
      </c>
      <c r="H36" s="154">
        <v>0</v>
      </c>
      <c r="I36" s="400">
        <v>0</v>
      </c>
      <c r="J36" s="183">
        <f t="shared" si="1"/>
        <v>0</v>
      </c>
    </row>
    <row r="37" spans="1:10" ht="14.95" thickBot="1" x14ac:dyDescent="0.3">
      <c r="A37" s="40" t="s">
        <v>182</v>
      </c>
      <c r="B37" s="302">
        <v>1</v>
      </c>
      <c r="C37" s="418">
        <v>0</v>
      </c>
      <c r="D37" s="42">
        <v>0</v>
      </c>
      <c r="E37" s="41">
        <f t="shared" si="0"/>
        <v>1</v>
      </c>
      <c r="F37" s="298" t="s">
        <v>182</v>
      </c>
      <c r="G37" s="292">
        <v>5</v>
      </c>
      <c r="H37" s="154">
        <v>0</v>
      </c>
      <c r="I37" s="400">
        <v>0</v>
      </c>
      <c r="J37" s="183">
        <f t="shared" si="1"/>
        <v>5</v>
      </c>
    </row>
    <row r="38" spans="1:10" ht="14.95" thickBot="1" x14ac:dyDescent="0.3">
      <c r="A38" s="40" t="s">
        <v>192</v>
      </c>
      <c r="B38" s="302">
        <v>0</v>
      </c>
      <c r="C38" s="418">
        <v>0</v>
      </c>
      <c r="D38" s="42">
        <v>0</v>
      </c>
      <c r="E38" s="41">
        <f t="shared" si="0"/>
        <v>0</v>
      </c>
      <c r="F38" s="298" t="s">
        <v>192</v>
      </c>
      <c r="G38" s="292">
        <v>0</v>
      </c>
      <c r="H38" s="154">
        <v>0</v>
      </c>
      <c r="I38" s="400">
        <v>0</v>
      </c>
      <c r="J38" s="183">
        <f t="shared" si="1"/>
        <v>0</v>
      </c>
    </row>
    <row r="39" spans="1:10" ht="14.95" thickBot="1" x14ac:dyDescent="0.3">
      <c r="A39" s="40" t="s">
        <v>191</v>
      </c>
      <c r="B39" s="302">
        <v>0</v>
      </c>
      <c r="C39" s="418">
        <v>0</v>
      </c>
      <c r="D39" s="42">
        <v>0</v>
      </c>
      <c r="E39" s="41">
        <f t="shared" si="0"/>
        <v>0</v>
      </c>
      <c r="F39" s="298" t="s">
        <v>191</v>
      </c>
      <c r="G39" s="292">
        <v>0</v>
      </c>
      <c r="H39" s="154">
        <v>0</v>
      </c>
      <c r="I39" s="400">
        <v>0</v>
      </c>
      <c r="J39" s="183">
        <f t="shared" si="1"/>
        <v>0</v>
      </c>
    </row>
    <row r="40" spans="1:10" ht="14.95" thickBot="1" x14ac:dyDescent="0.3">
      <c r="A40" s="40" t="s">
        <v>193</v>
      </c>
      <c r="B40" s="302">
        <v>0</v>
      </c>
      <c r="C40" s="418">
        <v>0</v>
      </c>
      <c r="D40" s="42">
        <v>0</v>
      </c>
      <c r="E40" s="41">
        <f t="shared" si="0"/>
        <v>0</v>
      </c>
      <c r="F40" s="298" t="s">
        <v>193</v>
      </c>
      <c r="G40" s="292">
        <v>0</v>
      </c>
      <c r="H40" s="154">
        <v>0</v>
      </c>
      <c r="I40" s="400">
        <v>0</v>
      </c>
      <c r="J40" s="183">
        <f t="shared" si="1"/>
        <v>0</v>
      </c>
    </row>
    <row r="41" spans="1:10" ht="14.95" thickBot="1" x14ac:dyDescent="0.3">
      <c r="A41" s="40" t="s">
        <v>18</v>
      </c>
      <c r="B41" s="302">
        <v>0</v>
      </c>
      <c r="C41" s="418">
        <v>0</v>
      </c>
      <c r="D41" s="42">
        <v>0</v>
      </c>
      <c r="E41" s="41">
        <f t="shared" si="0"/>
        <v>0</v>
      </c>
      <c r="F41" s="298" t="s">
        <v>18</v>
      </c>
      <c r="G41" s="292">
        <v>0</v>
      </c>
      <c r="H41" s="154">
        <v>0</v>
      </c>
      <c r="I41" s="400">
        <v>0</v>
      </c>
      <c r="J41" s="183">
        <f t="shared" si="1"/>
        <v>0</v>
      </c>
    </row>
    <row r="42" spans="1:10" ht="14.95" thickBot="1" x14ac:dyDescent="0.3">
      <c r="A42" s="40" t="s">
        <v>183</v>
      </c>
      <c r="B42" s="302">
        <v>0</v>
      </c>
      <c r="C42" s="418">
        <v>1</v>
      </c>
      <c r="D42" s="42">
        <v>0</v>
      </c>
      <c r="E42" s="41">
        <f t="shared" si="0"/>
        <v>1</v>
      </c>
      <c r="F42" s="298" t="s">
        <v>183</v>
      </c>
      <c r="G42" s="292">
        <v>0</v>
      </c>
      <c r="H42" s="154">
        <v>5</v>
      </c>
      <c r="I42" s="400">
        <v>0</v>
      </c>
      <c r="J42" s="183">
        <f t="shared" si="1"/>
        <v>5</v>
      </c>
    </row>
    <row r="43" spans="1:10" ht="14.95" thickBot="1" x14ac:dyDescent="0.3">
      <c r="A43" s="40" t="s">
        <v>656</v>
      </c>
      <c r="B43" s="302">
        <v>0</v>
      </c>
      <c r="C43" s="418">
        <v>0</v>
      </c>
      <c r="D43" s="42">
        <v>0</v>
      </c>
      <c r="E43" s="41">
        <f t="shared" si="0"/>
        <v>0</v>
      </c>
      <c r="F43" s="298" t="s">
        <v>656</v>
      </c>
      <c r="G43" s="292">
        <v>0</v>
      </c>
      <c r="H43" s="154">
        <v>0</v>
      </c>
      <c r="I43" s="400">
        <v>0</v>
      </c>
      <c r="J43" s="183">
        <f t="shared" si="1"/>
        <v>0</v>
      </c>
    </row>
    <row r="44" spans="1:10" ht="14.95" thickBot="1" x14ac:dyDescent="0.3">
      <c r="A44" s="40" t="s">
        <v>350</v>
      </c>
      <c r="B44" s="302">
        <v>3</v>
      </c>
      <c r="C44" s="418">
        <v>0</v>
      </c>
      <c r="D44" s="42">
        <v>0</v>
      </c>
      <c r="E44" s="41">
        <f t="shared" si="0"/>
        <v>3</v>
      </c>
      <c r="F44" s="303" t="s">
        <v>350</v>
      </c>
      <c r="G44" s="292">
        <v>15</v>
      </c>
      <c r="H44" s="154">
        <v>0</v>
      </c>
      <c r="I44" s="400">
        <v>0</v>
      </c>
      <c r="J44" s="183">
        <f t="shared" si="1"/>
        <v>15</v>
      </c>
    </row>
    <row r="45" spans="1:10" ht="14.95" thickBot="1" x14ac:dyDescent="0.3">
      <c r="A45" s="40" t="s">
        <v>3</v>
      </c>
      <c r="B45" s="302">
        <f>SUM(B3:B44)</f>
        <v>11</v>
      </c>
      <c r="C45" s="418">
        <f>SUM(C3:C44)</f>
        <v>6</v>
      </c>
      <c r="D45" s="42">
        <f>SUM(D3:D44)</f>
        <v>4</v>
      </c>
      <c r="E45" s="41">
        <f t="shared" si="0"/>
        <v>21</v>
      </c>
      <c r="F45" s="303" t="s">
        <v>3</v>
      </c>
      <c r="G45" s="292">
        <f>SUM(G3:G44)</f>
        <v>71</v>
      </c>
      <c r="H45" s="154">
        <f>SUM(H3:H44)</f>
        <v>33</v>
      </c>
      <c r="I45" s="400">
        <f>SUM(I3:I44)</f>
        <v>26</v>
      </c>
      <c r="J45" s="183">
        <f t="shared" si="1"/>
        <v>130</v>
      </c>
    </row>
    <row r="46" spans="1:10" x14ac:dyDescent="0.25">
      <c r="B46" s="10"/>
      <c r="C46" s="10"/>
      <c r="F46" s="7"/>
      <c r="G46" s="11"/>
      <c r="H46" s="11"/>
      <c r="I46" s="7"/>
    </row>
    <row r="47" spans="1:10" ht="14.95" customHeight="1" thickBot="1" x14ac:dyDescent="0.3">
      <c r="A47" t="s">
        <v>7</v>
      </c>
      <c r="B47" s="10"/>
      <c r="C47" s="10"/>
      <c r="F47" s="6"/>
      <c r="G47" s="5"/>
      <c r="H47" s="5"/>
      <c r="I47" s="6"/>
      <c r="J47" s="6"/>
    </row>
    <row r="48" spans="1:10" ht="14.95" thickBot="1" x14ac:dyDescent="0.3">
      <c r="A48" s="75" t="s">
        <v>0</v>
      </c>
      <c r="B48" s="301" t="s">
        <v>14</v>
      </c>
      <c r="C48" s="324" t="s">
        <v>734</v>
      </c>
      <c r="D48" s="90" t="s">
        <v>11</v>
      </c>
      <c r="E48" s="76" t="s">
        <v>1</v>
      </c>
      <c r="F48" s="297" t="s">
        <v>2</v>
      </c>
      <c r="G48" s="291" t="s">
        <v>14</v>
      </c>
      <c r="H48" s="153" t="s">
        <v>734</v>
      </c>
      <c r="I48" s="399" t="s">
        <v>11</v>
      </c>
      <c r="J48" s="182" t="s">
        <v>1</v>
      </c>
    </row>
    <row r="49" spans="1:10" ht="14.95" thickBot="1" x14ac:dyDescent="0.3">
      <c r="A49" s="40" t="s">
        <v>350</v>
      </c>
      <c r="B49" s="302">
        <v>3</v>
      </c>
      <c r="C49" s="418">
        <v>0</v>
      </c>
      <c r="D49" s="42">
        <v>0</v>
      </c>
      <c r="E49" s="41">
        <f t="shared" ref="E49:E90" si="5">SUM(B49:D49)</f>
        <v>3</v>
      </c>
      <c r="F49" s="298" t="s">
        <v>184</v>
      </c>
      <c r="G49" s="292">
        <v>16</v>
      </c>
      <c r="H49" s="154">
        <v>3</v>
      </c>
      <c r="I49" s="400">
        <v>6</v>
      </c>
      <c r="J49" s="183">
        <f t="shared" ref="J49:J90" si="6">SUM(G49:I49)</f>
        <v>25</v>
      </c>
    </row>
    <row r="50" spans="1:10" ht="14.95" thickBot="1" x14ac:dyDescent="0.3">
      <c r="A50" s="40" t="s">
        <v>170</v>
      </c>
      <c r="B50" s="302">
        <v>0</v>
      </c>
      <c r="C50" s="418">
        <v>2</v>
      </c>
      <c r="D50" s="42">
        <v>0</v>
      </c>
      <c r="E50" s="41">
        <f t="shared" si="5"/>
        <v>2</v>
      </c>
      <c r="F50" s="298" t="s">
        <v>350</v>
      </c>
      <c r="G50" s="292">
        <v>15</v>
      </c>
      <c r="H50" s="154">
        <v>0</v>
      </c>
      <c r="I50" s="400">
        <v>0</v>
      </c>
      <c r="J50" s="183">
        <f t="shared" si="6"/>
        <v>15</v>
      </c>
    </row>
    <row r="51" spans="1:10" ht="14.95" thickBot="1" x14ac:dyDescent="0.3">
      <c r="A51" s="40" t="s">
        <v>642</v>
      </c>
      <c r="B51" s="302">
        <v>1</v>
      </c>
      <c r="C51" s="418">
        <v>1</v>
      </c>
      <c r="D51" s="42">
        <v>0</v>
      </c>
      <c r="E51" s="41">
        <f t="shared" si="5"/>
        <v>2</v>
      </c>
      <c r="F51" s="298" t="s">
        <v>170</v>
      </c>
      <c r="G51" s="292">
        <v>0</v>
      </c>
      <c r="H51" s="154">
        <v>10</v>
      </c>
      <c r="I51" s="400">
        <v>0</v>
      </c>
      <c r="J51" s="183">
        <f t="shared" si="6"/>
        <v>10</v>
      </c>
    </row>
    <row r="52" spans="1:10" ht="14.95" thickBot="1" x14ac:dyDescent="0.3">
      <c r="A52" s="40" t="s">
        <v>967</v>
      </c>
      <c r="B52" s="302">
        <v>0</v>
      </c>
      <c r="C52" s="418">
        <v>0</v>
      </c>
      <c r="D52" s="42">
        <v>2</v>
      </c>
      <c r="E52" s="41">
        <f t="shared" si="5"/>
        <v>2</v>
      </c>
      <c r="F52" s="298" t="s">
        <v>642</v>
      </c>
      <c r="G52" s="292">
        <v>5</v>
      </c>
      <c r="H52" s="154">
        <v>5</v>
      </c>
      <c r="I52" s="400">
        <v>0</v>
      </c>
      <c r="J52" s="183">
        <f t="shared" si="6"/>
        <v>10</v>
      </c>
    </row>
    <row r="53" spans="1:10" ht="14.95" thickBot="1" x14ac:dyDescent="0.3">
      <c r="A53" s="40" t="s">
        <v>180</v>
      </c>
      <c r="B53" s="302">
        <v>2</v>
      </c>
      <c r="C53" s="418">
        <v>0</v>
      </c>
      <c r="D53" s="42">
        <v>0</v>
      </c>
      <c r="E53" s="41">
        <f t="shared" si="5"/>
        <v>2</v>
      </c>
      <c r="F53" s="298" t="s">
        <v>967</v>
      </c>
      <c r="G53" s="292">
        <v>0</v>
      </c>
      <c r="H53" s="154">
        <v>0</v>
      </c>
      <c r="I53" s="400">
        <v>10</v>
      </c>
      <c r="J53" s="183">
        <f t="shared" si="6"/>
        <v>10</v>
      </c>
    </row>
    <row r="54" spans="1:10" ht="14.95" thickBot="1" x14ac:dyDescent="0.3">
      <c r="A54" s="40" t="s">
        <v>712</v>
      </c>
      <c r="B54" s="302">
        <v>1</v>
      </c>
      <c r="C54" s="418">
        <v>0</v>
      </c>
      <c r="D54" s="42">
        <v>0</v>
      </c>
      <c r="E54" s="41">
        <f t="shared" si="5"/>
        <v>1</v>
      </c>
      <c r="F54" s="298" t="s">
        <v>180</v>
      </c>
      <c r="G54" s="292">
        <v>10</v>
      </c>
      <c r="H54" s="154">
        <v>0</v>
      </c>
      <c r="I54" s="400">
        <v>0</v>
      </c>
      <c r="J54" s="183">
        <f t="shared" si="6"/>
        <v>10</v>
      </c>
    </row>
    <row r="55" spans="1:10" ht="14.95" thickBot="1" x14ac:dyDescent="0.3">
      <c r="A55" s="40" t="s">
        <v>766</v>
      </c>
      <c r="B55" s="302">
        <v>1</v>
      </c>
      <c r="C55" s="418">
        <v>0</v>
      </c>
      <c r="D55" s="42">
        <v>0</v>
      </c>
      <c r="E55" s="41">
        <f t="shared" si="5"/>
        <v>1</v>
      </c>
      <c r="F55" s="298" t="s">
        <v>712</v>
      </c>
      <c r="G55" s="292">
        <v>5</v>
      </c>
      <c r="H55" s="154">
        <v>0</v>
      </c>
      <c r="I55" s="400">
        <v>0</v>
      </c>
      <c r="J55" s="183">
        <f t="shared" si="6"/>
        <v>5</v>
      </c>
    </row>
    <row r="56" spans="1:10" ht="14.95" thickBot="1" x14ac:dyDescent="0.3">
      <c r="A56" s="40" t="s">
        <v>902</v>
      </c>
      <c r="B56" s="302">
        <v>0</v>
      </c>
      <c r="C56" s="418">
        <v>0</v>
      </c>
      <c r="D56" s="42">
        <v>1</v>
      </c>
      <c r="E56" s="41">
        <f t="shared" si="5"/>
        <v>1</v>
      </c>
      <c r="F56" s="298" t="s">
        <v>766</v>
      </c>
      <c r="G56" s="292">
        <v>5</v>
      </c>
      <c r="H56" s="154">
        <v>0</v>
      </c>
      <c r="I56" s="400">
        <v>0</v>
      </c>
      <c r="J56" s="183">
        <f t="shared" si="6"/>
        <v>5</v>
      </c>
    </row>
    <row r="57" spans="1:10" ht="14.95" thickBot="1" x14ac:dyDescent="0.3">
      <c r="A57" s="40" t="s">
        <v>171</v>
      </c>
      <c r="B57" s="302">
        <v>1</v>
      </c>
      <c r="C57" s="418">
        <v>0</v>
      </c>
      <c r="D57" s="42">
        <v>0</v>
      </c>
      <c r="E57" s="41">
        <f t="shared" si="5"/>
        <v>1</v>
      </c>
      <c r="F57" s="298" t="s">
        <v>902</v>
      </c>
      <c r="G57" s="292">
        <v>0</v>
      </c>
      <c r="H57" s="154">
        <v>0</v>
      </c>
      <c r="I57" s="400">
        <v>5</v>
      </c>
      <c r="J57" s="183">
        <f t="shared" si="6"/>
        <v>5</v>
      </c>
    </row>
    <row r="58" spans="1:10" ht="14.95" thickBot="1" x14ac:dyDescent="0.3">
      <c r="A58" s="40" t="s">
        <v>663</v>
      </c>
      <c r="B58" s="302">
        <v>0</v>
      </c>
      <c r="C58" s="418">
        <v>0</v>
      </c>
      <c r="D58" s="42">
        <v>1</v>
      </c>
      <c r="E58" s="41">
        <f t="shared" si="5"/>
        <v>1</v>
      </c>
      <c r="F58" s="298" t="s">
        <v>171</v>
      </c>
      <c r="G58" s="292">
        <v>5</v>
      </c>
      <c r="H58" s="154">
        <v>0</v>
      </c>
      <c r="I58" s="400">
        <v>0</v>
      </c>
      <c r="J58" s="183">
        <f t="shared" si="6"/>
        <v>5</v>
      </c>
    </row>
    <row r="59" spans="1:10" ht="14.95" thickBot="1" x14ac:dyDescent="0.3">
      <c r="A59" s="40" t="s">
        <v>190</v>
      </c>
      <c r="B59" s="302">
        <v>0</v>
      </c>
      <c r="C59" s="418">
        <v>1</v>
      </c>
      <c r="D59" s="42">
        <v>0</v>
      </c>
      <c r="E59" s="41">
        <f t="shared" si="5"/>
        <v>1</v>
      </c>
      <c r="F59" s="298" t="s">
        <v>663</v>
      </c>
      <c r="G59" s="292">
        <v>0</v>
      </c>
      <c r="H59" s="154">
        <v>0</v>
      </c>
      <c r="I59" s="400">
        <v>5</v>
      </c>
      <c r="J59" s="183">
        <f t="shared" si="6"/>
        <v>5</v>
      </c>
    </row>
    <row r="60" spans="1:10" ht="14.95" thickBot="1" x14ac:dyDescent="0.3">
      <c r="A60" s="40" t="s">
        <v>179</v>
      </c>
      <c r="B60" s="302">
        <v>1</v>
      </c>
      <c r="C60" s="418">
        <v>0</v>
      </c>
      <c r="D60" s="42">
        <v>0</v>
      </c>
      <c r="E60" s="41">
        <f t="shared" si="5"/>
        <v>1</v>
      </c>
      <c r="F60" s="298" t="s">
        <v>190</v>
      </c>
      <c r="G60" s="292">
        <v>0</v>
      </c>
      <c r="H60" s="154">
        <v>5</v>
      </c>
      <c r="I60" s="400">
        <v>0</v>
      </c>
      <c r="J60" s="183">
        <f t="shared" si="6"/>
        <v>5</v>
      </c>
    </row>
    <row r="61" spans="1:10" ht="14.95" thickBot="1" x14ac:dyDescent="0.3">
      <c r="A61" s="40" t="s">
        <v>54</v>
      </c>
      <c r="B61" s="302">
        <v>0</v>
      </c>
      <c r="C61" s="418">
        <v>1</v>
      </c>
      <c r="D61" s="42">
        <v>0</v>
      </c>
      <c r="E61" s="41">
        <f t="shared" si="5"/>
        <v>1</v>
      </c>
      <c r="F61" s="298" t="s">
        <v>179</v>
      </c>
      <c r="G61" s="292">
        <v>5</v>
      </c>
      <c r="H61" s="154">
        <v>0</v>
      </c>
      <c r="I61" s="400">
        <v>0</v>
      </c>
      <c r="J61" s="183">
        <f t="shared" si="6"/>
        <v>5</v>
      </c>
    </row>
    <row r="62" spans="1:10" ht="14.95" thickBot="1" x14ac:dyDescent="0.3">
      <c r="A62" s="40" t="s">
        <v>182</v>
      </c>
      <c r="B62" s="302">
        <v>1</v>
      </c>
      <c r="C62" s="418">
        <v>0</v>
      </c>
      <c r="D62" s="42">
        <v>0</v>
      </c>
      <c r="E62" s="41">
        <f t="shared" si="5"/>
        <v>1</v>
      </c>
      <c r="F62" s="298" t="s">
        <v>54</v>
      </c>
      <c r="G62" s="292">
        <v>0</v>
      </c>
      <c r="H62" s="154">
        <v>5</v>
      </c>
      <c r="I62" s="400">
        <v>0</v>
      </c>
      <c r="J62" s="183">
        <f t="shared" si="6"/>
        <v>5</v>
      </c>
    </row>
    <row r="63" spans="1:10" ht="14.95" thickBot="1" x14ac:dyDescent="0.3">
      <c r="A63" s="40" t="s">
        <v>183</v>
      </c>
      <c r="B63" s="302">
        <v>0</v>
      </c>
      <c r="C63" s="418">
        <v>1</v>
      </c>
      <c r="D63" s="42">
        <v>0</v>
      </c>
      <c r="E63" s="41">
        <f t="shared" si="5"/>
        <v>1</v>
      </c>
      <c r="F63" s="298" t="s">
        <v>182</v>
      </c>
      <c r="G63" s="292">
        <v>5</v>
      </c>
      <c r="H63" s="154">
        <v>0</v>
      </c>
      <c r="I63" s="400">
        <v>0</v>
      </c>
      <c r="J63" s="183">
        <f t="shared" si="6"/>
        <v>5</v>
      </c>
    </row>
    <row r="64" spans="1:10" ht="14.95" thickBot="1" x14ac:dyDescent="0.3">
      <c r="A64" s="40" t="s">
        <v>184</v>
      </c>
      <c r="B64" s="302">
        <v>0</v>
      </c>
      <c r="C64" s="418">
        <v>0</v>
      </c>
      <c r="D64" s="42">
        <v>0</v>
      </c>
      <c r="E64" s="41">
        <f t="shared" si="5"/>
        <v>0</v>
      </c>
      <c r="F64" s="298" t="s">
        <v>183</v>
      </c>
      <c r="G64" s="292">
        <v>0</v>
      </c>
      <c r="H64" s="154">
        <v>5</v>
      </c>
      <c r="I64" s="400">
        <v>0</v>
      </c>
      <c r="J64" s="183">
        <f t="shared" si="6"/>
        <v>5</v>
      </c>
    </row>
    <row r="65" spans="1:10" ht="14.95" thickBot="1" x14ac:dyDescent="0.3">
      <c r="A65" s="40" t="s">
        <v>153</v>
      </c>
      <c r="B65" s="302">
        <v>0</v>
      </c>
      <c r="C65" s="418">
        <v>0</v>
      </c>
      <c r="D65" s="42">
        <v>0</v>
      </c>
      <c r="E65" s="41">
        <f t="shared" si="5"/>
        <v>0</v>
      </c>
      <c r="F65" s="298" t="s">
        <v>153</v>
      </c>
      <c r="G65" s="292">
        <v>0</v>
      </c>
      <c r="H65" s="154">
        <v>0</v>
      </c>
      <c r="I65" s="400">
        <v>0</v>
      </c>
      <c r="J65" s="183">
        <f t="shared" si="6"/>
        <v>0</v>
      </c>
    </row>
    <row r="66" spans="1:10" ht="14.95" thickBot="1" x14ac:dyDescent="0.3">
      <c r="A66" s="40" t="s">
        <v>4</v>
      </c>
      <c r="B66" s="302">
        <v>0</v>
      </c>
      <c r="C66" s="418">
        <v>0</v>
      </c>
      <c r="D66" s="42">
        <v>0</v>
      </c>
      <c r="E66" s="41">
        <f t="shared" si="5"/>
        <v>0</v>
      </c>
      <c r="F66" s="298" t="s">
        <v>4</v>
      </c>
      <c r="G66" s="292">
        <v>0</v>
      </c>
      <c r="H66" s="154">
        <v>0</v>
      </c>
      <c r="I66" s="400">
        <v>0</v>
      </c>
      <c r="J66" s="183">
        <f t="shared" si="6"/>
        <v>0</v>
      </c>
    </row>
    <row r="67" spans="1:10" ht="14.95" thickBot="1" x14ac:dyDescent="0.3">
      <c r="A67" s="40" t="s">
        <v>172</v>
      </c>
      <c r="B67" s="302">
        <v>0</v>
      </c>
      <c r="C67" s="418">
        <v>0</v>
      </c>
      <c r="D67" s="42">
        <v>0</v>
      </c>
      <c r="E67" s="41">
        <f t="shared" si="5"/>
        <v>0</v>
      </c>
      <c r="F67" s="298" t="s">
        <v>172</v>
      </c>
      <c r="G67" s="292">
        <v>0</v>
      </c>
      <c r="H67" s="154">
        <v>0</v>
      </c>
      <c r="I67" s="400">
        <v>0</v>
      </c>
      <c r="J67" s="183">
        <f t="shared" si="6"/>
        <v>0</v>
      </c>
    </row>
    <row r="68" spans="1:10" ht="14.95" thickBot="1" x14ac:dyDescent="0.3">
      <c r="A68" s="40" t="s">
        <v>173</v>
      </c>
      <c r="B68" s="302">
        <v>0</v>
      </c>
      <c r="C68" s="418">
        <v>0</v>
      </c>
      <c r="D68" s="42">
        <v>0</v>
      </c>
      <c r="E68" s="41">
        <f t="shared" si="5"/>
        <v>0</v>
      </c>
      <c r="F68" s="298" t="s">
        <v>173</v>
      </c>
      <c r="G68" s="292">
        <v>0</v>
      </c>
      <c r="H68" s="154">
        <v>0</v>
      </c>
      <c r="I68" s="400">
        <v>0</v>
      </c>
      <c r="J68" s="183">
        <f t="shared" si="6"/>
        <v>0</v>
      </c>
    </row>
    <row r="69" spans="1:10" ht="14.95" thickBot="1" x14ac:dyDescent="0.3">
      <c r="A69" s="40" t="s">
        <v>185</v>
      </c>
      <c r="B69" s="302">
        <v>0</v>
      </c>
      <c r="C69" s="418">
        <v>0</v>
      </c>
      <c r="D69" s="42">
        <v>0</v>
      </c>
      <c r="E69" s="41">
        <f t="shared" si="5"/>
        <v>0</v>
      </c>
      <c r="F69" s="298" t="s">
        <v>185</v>
      </c>
      <c r="G69" s="292">
        <v>0</v>
      </c>
      <c r="H69" s="154">
        <v>0</v>
      </c>
      <c r="I69" s="400">
        <v>0</v>
      </c>
      <c r="J69" s="183">
        <f t="shared" si="6"/>
        <v>0</v>
      </c>
    </row>
    <row r="70" spans="1:10" ht="14.95" thickBot="1" x14ac:dyDescent="0.3">
      <c r="A70" s="40" t="s">
        <v>643</v>
      </c>
      <c r="B70" s="302">
        <v>0</v>
      </c>
      <c r="C70" s="418">
        <v>0</v>
      </c>
      <c r="D70" s="42">
        <v>0</v>
      </c>
      <c r="E70" s="41">
        <f t="shared" si="5"/>
        <v>0</v>
      </c>
      <c r="F70" s="298" t="s">
        <v>643</v>
      </c>
      <c r="G70" s="292">
        <v>0</v>
      </c>
      <c r="H70" s="154">
        <v>0</v>
      </c>
      <c r="I70" s="400">
        <v>0</v>
      </c>
      <c r="J70" s="183">
        <f t="shared" si="6"/>
        <v>0</v>
      </c>
    </row>
    <row r="71" spans="1:10" ht="14.95" thickBot="1" x14ac:dyDescent="0.3">
      <c r="A71" s="40" t="s">
        <v>596</v>
      </c>
      <c r="B71" s="302">
        <v>0</v>
      </c>
      <c r="C71" s="418">
        <v>0</v>
      </c>
      <c r="D71" s="42">
        <v>0</v>
      </c>
      <c r="E71" s="41">
        <f t="shared" si="5"/>
        <v>0</v>
      </c>
      <c r="F71" s="298" t="s">
        <v>596</v>
      </c>
      <c r="G71" s="292">
        <v>0</v>
      </c>
      <c r="H71" s="154">
        <v>0</v>
      </c>
      <c r="I71" s="400">
        <v>0</v>
      </c>
      <c r="J71" s="183">
        <f t="shared" si="6"/>
        <v>0</v>
      </c>
    </row>
    <row r="72" spans="1:10" ht="14.95" thickBot="1" x14ac:dyDescent="0.3">
      <c r="A72" s="40" t="s">
        <v>174</v>
      </c>
      <c r="B72" s="302">
        <v>0</v>
      </c>
      <c r="C72" s="418">
        <v>0</v>
      </c>
      <c r="D72" s="42">
        <v>0</v>
      </c>
      <c r="E72" s="41">
        <f t="shared" si="5"/>
        <v>0</v>
      </c>
      <c r="F72" s="298" t="s">
        <v>174</v>
      </c>
      <c r="G72" s="292">
        <v>0</v>
      </c>
      <c r="H72" s="154">
        <v>0</v>
      </c>
      <c r="I72" s="400">
        <v>0</v>
      </c>
      <c r="J72" s="183">
        <f t="shared" si="6"/>
        <v>0</v>
      </c>
    </row>
    <row r="73" spans="1:10" ht="14.95" thickBot="1" x14ac:dyDescent="0.3">
      <c r="A73" s="40" t="s">
        <v>175</v>
      </c>
      <c r="B73" s="302">
        <v>0</v>
      </c>
      <c r="C73" s="418">
        <v>0</v>
      </c>
      <c r="D73" s="42">
        <v>0</v>
      </c>
      <c r="E73" s="41">
        <f t="shared" si="5"/>
        <v>0</v>
      </c>
      <c r="F73" s="298" t="s">
        <v>175</v>
      </c>
      <c r="G73" s="292">
        <v>0</v>
      </c>
      <c r="H73" s="154">
        <v>0</v>
      </c>
      <c r="I73" s="400">
        <v>0</v>
      </c>
      <c r="J73" s="183">
        <f t="shared" si="6"/>
        <v>0</v>
      </c>
    </row>
    <row r="74" spans="1:10" ht="14.95" thickBot="1" x14ac:dyDescent="0.3">
      <c r="A74" s="40" t="s">
        <v>176</v>
      </c>
      <c r="B74" s="302">
        <v>0</v>
      </c>
      <c r="C74" s="418">
        <v>0</v>
      </c>
      <c r="D74" s="42">
        <v>0</v>
      </c>
      <c r="E74" s="41">
        <f t="shared" si="5"/>
        <v>0</v>
      </c>
      <c r="F74" s="298" t="s">
        <v>176</v>
      </c>
      <c r="G74" s="292">
        <v>0</v>
      </c>
      <c r="H74" s="154">
        <v>0</v>
      </c>
      <c r="I74" s="400">
        <v>0</v>
      </c>
      <c r="J74" s="183">
        <f t="shared" si="6"/>
        <v>0</v>
      </c>
    </row>
    <row r="75" spans="1:10" ht="14.95" thickBot="1" x14ac:dyDescent="0.3">
      <c r="A75" s="40" t="s">
        <v>908</v>
      </c>
      <c r="B75" s="302">
        <v>0</v>
      </c>
      <c r="C75" s="418">
        <v>0</v>
      </c>
      <c r="D75" s="42">
        <v>0</v>
      </c>
      <c r="E75" s="41">
        <f t="shared" si="5"/>
        <v>0</v>
      </c>
      <c r="F75" s="298" t="s">
        <v>908</v>
      </c>
      <c r="G75" s="292">
        <v>0</v>
      </c>
      <c r="H75" s="154">
        <v>0</v>
      </c>
      <c r="I75" s="400">
        <v>0</v>
      </c>
      <c r="J75" s="183">
        <f t="shared" si="6"/>
        <v>0</v>
      </c>
    </row>
    <row r="76" spans="1:10" ht="14.95" thickBot="1" x14ac:dyDescent="0.3">
      <c r="A76" s="40" t="s">
        <v>186</v>
      </c>
      <c r="B76" s="302">
        <v>0</v>
      </c>
      <c r="C76" s="418">
        <v>0</v>
      </c>
      <c r="D76" s="42">
        <v>0</v>
      </c>
      <c r="E76" s="41">
        <f t="shared" si="5"/>
        <v>0</v>
      </c>
      <c r="F76" s="298" t="s">
        <v>186</v>
      </c>
      <c r="G76" s="292">
        <v>0</v>
      </c>
      <c r="H76" s="154">
        <v>0</v>
      </c>
      <c r="I76" s="400">
        <v>0</v>
      </c>
      <c r="J76" s="183">
        <f t="shared" si="6"/>
        <v>0</v>
      </c>
    </row>
    <row r="77" spans="1:10" ht="14.95" thickBot="1" x14ac:dyDescent="0.3">
      <c r="A77" s="40" t="s">
        <v>188</v>
      </c>
      <c r="B77" s="302">
        <v>0</v>
      </c>
      <c r="C77" s="418">
        <v>0</v>
      </c>
      <c r="D77" s="42">
        <v>0</v>
      </c>
      <c r="E77" s="41">
        <f t="shared" si="5"/>
        <v>0</v>
      </c>
      <c r="F77" s="298" t="s">
        <v>188</v>
      </c>
      <c r="G77" s="292">
        <v>0</v>
      </c>
      <c r="H77" s="154">
        <v>0</v>
      </c>
      <c r="I77" s="400">
        <v>0</v>
      </c>
      <c r="J77" s="183">
        <f t="shared" si="6"/>
        <v>0</v>
      </c>
    </row>
    <row r="78" spans="1:10" ht="14.95" thickBot="1" x14ac:dyDescent="0.3">
      <c r="A78" s="40" t="s">
        <v>177</v>
      </c>
      <c r="B78" s="302">
        <v>0</v>
      </c>
      <c r="C78" s="418">
        <v>0</v>
      </c>
      <c r="D78" s="42">
        <v>0</v>
      </c>
      <c r="E78" s="41">
        <f t="shared" si="5"/>
        <v>0</v>
      </c>
      <c r="F78" s="298" t="s">
        <v>177</v>
      </c>
      <c r="G78" s="292">
        <v>0</v>
      </c>
      <c r="H78" s="154">
        <v>0</v>
      </c>
      <c r="I78" s="400">
        <v>0</v>
      </c>
      <c r="J78" s="183">
        <f t="shared" si="6"/>
        <v>0</v>
      </c>
    </row>
    <row r="79" spans="1:10" ht="14.95" thickBot="1" x14ac:dyDescent="0.3">
      <c r="A79" s="40" t="s">
        <v>187</v>
      </c>
      <c r="B79" s="302">
        <v>0</v>
      </c>
      <c r="C79" s="418">
        <v>0</v>
      </c>
      <c r="D79" s="42">
        <v>0</v>
      </c>
      <c r="E79" s="41">
        <f t="shared" si="5"/>
        <v>0</v>
      </c>
      <c r="F79" s="298" t="s">
        <v>187</v>
      </c>
      <c r="G79" s="292">
        <v>0</v>
      </c>
      <c r="H79" s="154">
        <v>0</v>
      </c>
      <c r="I79" s="400">
        <v>0</v>
      </c>
      <c r="J79" s="183">
        <f t="shared" si="6"/>
        <v>0</v>
      </c>
    </row>
    <row r="80" spans="1:10" ht="14.95" thickBot="1" x14ac:dyDescent="0.3">
      <c r="A80" s="40" t="s">
        <v>189</v>
      </c>
      <c r="B80" s="302">
        <v>0</v>
      </c>
      <c r="C80" s="418">
        <v>0</v>
      </c>
      <c r="D80" s="42">
        <v>0</v>
      </c>
      <c r="E80" s="41">
        <f t="shared" si="5"/>
        <v>0</v>
      </c>
      <c r="F80" s="298" t="s">
        <v>189</v>
      </c>
      <c r="G80" s="292">
        <v>0</v>
      </c>
      <c r="H80" s="154">
        <v>0</v>
      </c>
      <c r="I80" s="400">
        <v>0</v>
      </c>
      <c r="J80" s="183">
        <f t="shared" si="6"/>
        <v>0</v>
      </c>
    </row>
    <row r="81" spans="1:10" ht="14.95" thickBot="1" x14ac:dyDescent="0.3">
      <c r="A81" s="40" t="s">
        <v>212</v>
      </c>
      <c r="B81" s="302">
        <v>0</v>
      </c>
      <c r="C81" s="418">
        <v>0</v>
      </c>
      <c r="D81" s="42">
        <v>0</v>
      </c>
      <c r="E81" s="41">
        <f t="shared" si="5"/>
        <v>0</v>
      </c>
      <c r="F81" s="298" t="s">
        <v>212</v>
      </c>
      <c r="G81" s="292">
        <v>0</v>
      </c>
      <c r="H81" s="154">
        <v>0</v>
      </c>
      <c r="I81" s="400">
        <v>0</v>
      </c>
      <c r="J81" s="183">
        <f t="shared" si="6"/>
        <v>0</v>
      </c>
    </row>
    <row r="82" spans="1:10" ht="14.95" thickBot="1" x14ac:dyDescent="0.3">
      <c r="A82" s="40" t="s">
        <v>178</v>
      </c>
      <c r="B82" s="302">
        <v>0</v>
      </c>
      <c r="C82" s="418">
        <v>0</v>
      </c>
      <c r="D82" s="42">
        <v>0</v>
      </c>
      <c r="E82" s="41">
        <f t="shared" si="5"/>
        <v>0</v>
      </c>
      <c r="F82" s="298" t="s">
        <v>178</v>
      </c>
      <c r="G82" s="292">
        <v>0</v>
      </c>
      <c r="H82" s="154">
        <v>0</v>
      </c>
      <c r="I82" s="400">
        <v>0</v>
      </c>
      <c r="J82" s="183">
        <f t="shared" si="6"/>
        <v>0</v>
      </c>
    </row>
    <row r="83" spans="1:10" ht="14.95" thickBot="1" x14ac:dyDescent="0.3">
      <c r="A83" s="40" t="s">
        <v>664</v>
      </c>
      <c r="B83" s="302">
        <v>0</v>
      </c>
      <c r="C83" s="418">
        <v>0</v>
      </c>
      <c r="D83" s="42">
        <v>0</v>
      </c>
      <c r="E83" s="41">
        <f t="shared" si="5"/>
        <v>0</v>
      </c>
      <c r="F83" s="298" t="s">
        <v>664</v>
      </c>
      <c r="G83" s="292">
        <v>0</v>
      </c>
      <c r="H83" s="154">
        <v>0</v>
      </c>
      <c r="I83" s="400">
        <v>0</v>
      </c>
      <c r="J83" s="183">
        <f t="shared" si="6"/>
        <v>0</v>
      </c>
    </row>
    <row r="84" spans="1:10" ht="14.95" thickBot="1" x14ac:dyDescent="0.3">
      <c r="A84" s="40" t="s">
        <v>181</v>
      </c>
      <c r="B84" s="302">
        <v>0</v>
      </c>
      <c r="C84" s="418">
        <v>0</v>
      </c>
      <c r="D84" s="42">
        <v>0</v>
      </c>
      <c r="E84" s="41">
        <f t="shared" si="5"/>
        <v>0</v>
      </c>
      <c r="F84" s="298" t="s">
        <v>181</v>
      </c>
      <c r="G84" s="292">
        <v>0</v>
      </c>
      <c r="H84" s="154">
        <v>0</v>
      </c>
      <c r="I84" s="400">
        <v>0</v>
      </c>
      <c r="J84" s="183">
        <f t="shared" si="6"/>
        <v>0</v>
      </c>
    </row>
    <row r="85" spans="1:10" ht="14.95" thickBot="1" x14ac:dyDescent="0.3">
      <c r="A85" s="40" t="s">
        <v>66</v>
      </c>
      <c r="B85" s="302">
        <v>0</v>
      </c>
      <c r="C85" s="418">
        <v>0</v>
      </c>
      <c r="D85" s="42">
        <v>0</v>
      </c>
      <c r="E85" s="41">
        <f t="shared" si="5"/>
        <v>0</v>
      </c>
      <c r="F85" s="298" t="s">
        <v>66</v>
      </c>
      <c r="G85" s="292">
        <v>0</v>
      </c>
      <c r="H85" s="154">
        <v>0</v>
      </c>
      <c r="I85" s="400">
        <v>0</v>
      </c>
      <c r="J85" s="183">
        <f t="shared" si="6"/>
        <v>0</v>
      </c>
    </row>
    <row r="86" spans="1:10" ht="14.95" thickBot="1" x14ac:dyDescent="0.3">
      <c r="A86" s="40" t="s">
        <v>192</v>
      </c>
      <c r="B86" s="302">
        <v>0</v>
      </c>
      <c r="C86" s="418">
        <v>0</v>
      </c>
      <c r="D86" s="42">
        <v>0</v>
      </c>
      <c r="E86" s="41">
        <f t="shared" si="5"/>
        <v>0</v>
      </c>
      <c r="F86" s="298" t="s">
        <v>192</v>
      </c>
      <c r="G86" s="292">
        <v>0</v>
      </c>
      <c r="H86" s="154">
        <v>0</v>
      </c>
      <c r="I86" s="400">
        <v>0</v>
      </c>
      <c r="J86" s="183">
        <f t="shared" si="6"/>
        <v>0</v>
      </c>
    </row>
    <row r="87" spans="1:10" ht="14.95" thickBot="1" x14ac:dyDescent="0.3">
      <c r="A87" s="40" t="s">
        <v>191</v>
      </c>
      <c r="B87" s="302">
        <v>0</v>
      </c>
      <c r="C87" s="418">
        <v>0</v>
      </c>
      <c r="D87" s="42">
        <v>0</v>
      </c>
      <c r="E87" s="41">
        <f t="shared" si="5"/>
        <v>0</v>
      </c>
      <c r="F87" s="298" t="s">
        <v>191</v>
      </c>
      <c r="G87" s="292">
        <v>0</v>
      </c>
      <c r="H87" s="154">
        <v>0</v>
      </c>
      <c r="I87" s="400">
        <v>0</v>
      </c>
      <c r="J87" s="183">
        <f t="shared" si="6"/>
        <v>0</v>
      </c>
    </row>
    <row r="88" spans="1:10" ht="14.95" thickBot="1" x14ac:dyDescent="0.3">
      <c r="A88" s="40" t="s">
        <v>193</v>
      </c>
      <c r="B88" s="302">
        <v>0</v>
      </c>
      <c r="C88" s="418">
        <v>0</v>
      </c>
      <c r="D88" s="42">
        <v>0</v>
      </c>
      <c r="E88" s="41">
        <f t="shared" si="5"/>
        <v>0</v>
      </c>
      <c r="F88" s="298" t="s">
        <v>193</v>
      </c>
      <c r="G88" s="292">
        <v>0</v>
      </c>
      <c r="H88" s="154">
        <v>0</v>
      </c>
      <c r="I88" s="400">
        <v>0</v>
      </c>
      <c r="J88" s="183">
        <f t="shared" si="6"/>
        <v>0</v>
      </c>
    </row>
    <row r="89" spans="1:10" ht="14.95" thickBot="1" x14ac:dyDescent="0.3">
      <c r="A89" s="40" t="s">
        <v>18</v>
      </c>
      <c r="B89" s="302">
        <v>0</v>
      </c>
      <c r="C89" s="418">
        <v>0</v>
      </c>
      <c r="D89" s="42">
        <v>0</v>
      </c>
      <c r="E89" s="41">
        <f t="shared" si="5"/>
        <v>0</v>
      </c>
      <c r="F89" s="298" t="s">
        <v>18</v>
      </c>
      <c r="G89" s="292">
        <v>0</v>
      </c>
      <c r="H89" s="154">
        <v>0</v>
      </c>
      <c r="I89" s="400">
        <v>0</v>
      </c>
      <c r="J89" s="183">
        <f t="shared" si="6"/>
        <v>0</v>
      </c>
    </row>
    <row r="90" spans="1:10" ht="14.95" thickBot="1" x14ac:dyDescent="0.3">
      <c r="A90" s="40" t="s">
        <v>656</v>
      </c>
      <c r="B90" s="302">
        <v>0</v>
      </c>
      <c r="C90" s="418">
        <v>0</v>
      </c>
      <c r="D90" s="42">
        <v>0</v>
      </c>
      <c r="E90" s="41">
        <f t="shared" si="5"/>
        <v>0</v>
      </c>
      <c r="F90" s="303" t="s">
        <v>656</v>
      </c>
      <c r="G90" s="292">
        <v>0</v>
      </c>
      <c r="H90" s="154">
        <v>0</v>
      </c>
      <c r="I90" s="400">
        <v>0</v>
      </c>
      <c r="J90" s="183">
        <f t="shared" si="6"/>
        <v>0</v>
      </c>
    </row>
    <row r="91" spans="1:10" ht="14.95" thickBot="1" x14ac:dyDescent="0.3">
      <c r="A91" s="40" t="s">
        <v>3</v>
      </c>
      <c r="B91" s="302">
        <f>SUM(B49:B90)</f>
        <v>11</v>
      </c>
      <c r="C91" s="418">
        <f>SUM(C49:C90)</f>
        <v>6</v>
      </c>
      <c r="D91" s="42">
        <f>SUM(D49:D90)</f>
        <v>4</v>
      </c>
      <c r="E91" s="41">
        <f t="shared" ref="E91" si="7">SUM(B91:D91)</f>
        <v>21</v>
      </c>
      <c r="F91" s="303" t="s">
        <v>3</v>
      </c>
      <c r="G91" s="292">
        <f>SUM(G49:G90)</f>
        <v>71</v>
      </c>
      <c r="H91" s="154">
        <f>SUM(H49:H90)</f>
        <v>33</v>
      </c>
      <c r="I91" s="400">
        <f>SUM(I49:I90)</f>
        <v>26</v>
      </c>
      <c r="J91" s="183">
        <f t="shared" ref="J91" si="8">SUM(G91:I91)</f>
        <v>130</v>
      </c>
    </row>
    <row r="92" spans="1:10" ht="16.3" x14ac:dyDescent="0.3">
      <c r="A92" s="455" t="s">
        <v>10</v>
      </c>
      <c r="B92" s="455"/>
      <c r="C92" s="455"/>
      <c r="D92" s="456"/>
    </row>
  </sheetData>
  <sortState xmlns:xlrd2="http://schemas.microsoft.com/office/spreadsheetml/2017/richdata2" ref="F49:J90">
    <sortCondition descending="1" ref="J49:J90"/>
  </sortState>
  <mergeCells count="20">
    <mergeCell ref="AA1:AC2"/>
    <mergeCell ref="O9:Q10"/>
    <mergeCell ref="S1:U2"/>
    <mergeCell ref="A1:J1"/>
    <mergeCell ref="L1:N2"/>
    <mergeCell ref="K9:K10"/>
    <mergeCell ref="R1:R2"/>
    <mergeCell ref="O1:Q2"/>
    <mergeCell ref="L9:N10"/>
    <mergeCell ref="K1:K2"/>
    <mergeCell ref="L23:N24"/>
    <mergeCell ref="R9:T10"/>
    <mergeCell ref="O23:Q24"/>
    <mergeCell ref="A92:D92"/>
    <mergeCell ref="V1:X2"/>
    <mergeCell ref="U9:W10"/>
    <mergeCell ref="K17:K18"/>
    <mergeCell ref="O17:Q18"/>
    <mergeCell ref="K23:K24"/>
    <mergeCell ref="L17:N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1"/>
  <sheetViews>
    <sheetView workbookViewId="0">
      <selection activeCell="N22" sqref="N22"/>
    </sheetView>
  </sheetViews>
  <sheetFormatPr defaultRowHeight="14.3" x14ac:dyDescent="0.25"/>
  <cols>
    <col min="1" max="1" width="16.75" customWidth="1"/>
    <col min="2" max="3" width="5.75" customWidth="1"/>
    <col min="4" max="4" width="16.75" customWidth="1"/>
    <col min="5" max="6" width="5.75" customWidth="1"/>
    <col min="7" max="7" width="16.75" customWidth="1"/>
    <col min="8" max="11" width="5.75" customWidth="1"/>
  </cols>
  <sheetData>
    <row r="1" spans="1:11" x14ac:dyDescent="0.25">
      <c r="A1" s="306" t="s">
        <v>744</v>
      </c>
      <c r="B1" s="306"/>
      <c r="C1" s="307"/>
      <c r="D1" s="307"/>
    </row>
    <row r="2" spans="1:11" ht="14.95" thickBot="1" x14ac:dyDescent="0.3">
      <c r="A2" s="229" t="s">
        <v>785</v>
      </c>
    </row>
    <row r="3" spans="1:11" ht="14.95" customHeight="1" thickBot="1" x14ac:dyDescent="0.3">
      <c r="A3" s="56" t="s">
        <v>0</v>
      </c>
      <c r="B3" s="91" t="s">
        <v>24</v>
      </c>
      <c r="C3" s="49" t="s">
        <v>9</v>
      </c>
      <c r="D3" s="48" t="s">
        <v>2</v>
      </c>
      <c r="E3" s="48" t="s">
        <v>24</v>
      </c>
      <c r="F3" s="50" t="s">
        <v>9</v>
      </c>
      <c r="G3" s="63" t="s">
        <v>29</v>
      </c>
      <c r="H3" s="93" t="s">
        <v>24</v>
      </c>
      <c r="I3" s="55" t="s">
        <v>25</v>
      </c>
      <c r="J3" s="55" t="s">
        <v>26</v>
      </c>
      <c r="K3" s="55" t="s">
        <v>6</v>
      </c>
    </row>
    <row r="4" spans="1:11" ht="14.95" customHeight="1" thickBot="1" x14ac:dyDescent="0.3">
      <c r="A4" s="14" t="s">
        <v>196</v>
      </c>
      <c r="B4" s="13" t="s">
        <v>20</v>
      </c>
      <c r="C4" s="304">
        <f>Dowengtries</f>
        <v>6</v>
      </c>
      <c r="D4" s="57" t="s">
        <v>411</v>
      </c>
      <c r="E4" s="92" t="s">
        <v>27</v>
      </c>
      <c r="F4" s="305">
        <f>Dantyfra6npts</f>
        <v>73</v>
      </c>
      <c r="G4" s="14" t="s">
        <v>411</v>
      </c>
      <c r="H4" s="13" t="s">
        <v>27</v>
      </c>
      <c r="I4" s="15">
        <f>Bourgeoisfra6ngls</f>
        <v>26</v>
      </c>
      <c r="J4" s="15">
        <f>Bourgeoisfra6natt</f>
        <v>32</v>
      </c>
      <c r="K4" s="62">
        <f t="shared" ref="K4:K13" si="0">SUM(I4/J4)*100</f>
        <v>81.25</v>
      </c>
    </row>
    <row r="5" spans="1:11" ht="14.95" customHeight="1" thickBot="1" x14ac:dyDescent="0.3">
      <c r="A5" s="14" t="s">
        <v>760</v>
      </c>
      <c r="B5" s="13" t="s">
        <v>19</v>
      </c>
      <c r="C5" s="304">
        <f>Conanire6ntries</f>
        <v>4</v>
      </c>
      <c r="D5" s="57" t="s">
        <v>584</v>
      </c>
      <c r="E5" s="92" t="s">
        <v>20</v>
      </c>
      <c r="F5" s="305">
        <f>Harrisoneng6npts</f>
        <v>37</v>
      </c>
      <c r="G5" s="14" t="s">
        <v>197</v>
      </c>
      <c r="H5" s="13" t="s">
        <v>20</v>
      </c>
      <c r="I5" s="15">
        <f>Aitchisoneng6ngls</f>
        <v>8</v>
      </c>
      <c r="J5" s="15">
        <f>Aitchisoneng6natt</f>
        <v>10</v>
      </c>
      <c r="K5" s="62">
        <f t="shared" si="0"/>
        <v>80</v>
      </c>
    </row>
    <row r="6" spans="1:11" ht="14.95" customHeight="1" thickBot="1" x14ac:dyDescent="0.3">
      <c r="A6" s="14" t="s">
        <v>216</v>
      </c>
      <c r="B6" s="13" t="s">
        <v>20</v>
      </c>
      <c r="C6" s="304">
        <f>Kildunneeng6ntries</f>
        <v>4</v>
      </c>
      <c r="D6" s="57" t="s">
        <v>196</v>
      </c>
      <c r="E6" s="92" t="s">
        <v>20</v>
      </c>
      <c r="F6" s="305">
        <f>Dowengpts</f>
        <v>30</v>
      </c>
      <c r="G6" s="14" t="s">
        <v>198</v>
      </c>
      <c r="H6" s="13" t="s">
        <v>21</v>
      </c>
      <c r="I6" s="15">
        <f>Nelsonsco6ngls</f>
        <v>11</v>
      </c>
      <c r="J6" s="15">
        <f>nelsonsco6nAtt</f>
        <v>15</v>
      </c>
      <c r="K6" s="62">
        <f t="shared" si="0"/>
        <v>73.333333333333329</v>
      </c>
    </row>
    <row r="7" spans="1:11" ht="14.95" customHeight="1" thickBot="1" x14ac:dyDescent="0.3">
      <c r="A7" s="14" t="s">
        <v>414</v>
      </c>
      <c r="B7" s="13" t="s">
        <v>20</v>
      </c>
      <c r="C7" s="304">
        <f>MacDonaldeng6ntries</f>
        <v>4</v>
      </c>
      <c r="D7" s="57" t="s">
        <v>198</v>
      </c>
      <c r="E7" s="92" t="s">
        <v>21</v>
      </c>
      <c r="F7" s="305">
        <f>Nelsonsco6npts</f>
        <v>24</v>
      </c>
      <c r="G7" s="14" t="s">
        <v>206</v>
      </c>
      <c r="H7" s="13" t="s">
        <v>23</v>
      </c>
      <c r="I7" s="15">
        <f>Bevanwal6nglscorrect</f>
        <v>8</v>
      </c>
      <c r="J7" s="15">
        <f>bevanwal6natt</f>
        <v>11</v>
      </c>
      <c r="K7" s="62">
        <f t="shared" si="0"/>
        <v>72.727272727272734</v>
      </c>
    </row>
    <row r="8" spans="1:11" ht="14.95" customHeight="1" thickBot="1" x14ac:dyDescent="0.3">
      <c r="A8" s="14" t="s">
        <v>533</v>
      </c>
      <c r="B8" s="13" t="s">
        <v>22</v>
      </c>
      <c r="C8" s="304">
        <f>Muzzoita6ntries</f>
        <v>4</v>
      </c>
      <c r="D8" s="57" t="s">
        <v>402</v>
      </c>
      <c r="E8" s="92" t="s">
        <v>19</v>
      </c>
      <c r="F8" s="305">
        <f>O_Brienire6npts</f>
        <v>24</v>
      </c>
      <c r="G8" s="14" t="s">
        <v>584</v>
      </c>
      <c r="H8" s="13" t="s">
        <v>20</v>
      </c>
      <c r="I8" s="15">
        <f>Harrisoneng6ngls</f>
        <v>16</v>
      </c>
      <c r="J8" s="15">
        <f>harrisoneng6natt</f>
        <v>24</v>
      </c>
      <c r="K8" s="62">
        <f t="shared" si="0"/>
        <v>66.666666666666657</v>
      </c>
    </row>
    <row r="9" spans="1:11" ht="14.95" customHeight="1" thickBot="1" x14ac:dyDescent="0.3">
      <c r="A9" s="14" t="s">
        <v>577</v>
      </c>
      <c r="B9" s="13" t="s">
        <v>19</v>
      </c>
      <c r="C9" s="304">
        <f>Waferire6ntries</f>
        <v>4</v>
      </c>
      <c r="D9" s="57" t="s">
        <v>209</v>
      </c>
      <c r="E9" s="92" t="s">
        <v>20</v>
      </c>
      <c r="F9" s="305">
        <f>Singeng6npts</f>
        <v>21</v>
      </c>
      <c r="G9" s="14" t="s">
        <v>402</v>
      </c>
      <c r="H9" s="13" t="s">
        <v>19</v>
      </c>
      <c r="I9" s="15">
        <f>O_Brienire6ngls</f>
        <v>12</v>
      </c>
      <c r="J9" s="15">
        <f>O_Brienire6natt</f>
        <v>18</v>
      </c>
      <c r="K9" s="62">
        <f t="shared" si="0"/>
        <v>66.666666666666657</v>
      </c>
    </row>
    <row r="10" spans="1:11" ht="14.95" customHeight="1" thickBot="1" x14ac:dyDescent="0.3">
      <c r="A10" s="14" t="s">
        <v>531</v>
      </c>
      <c r="B10" s="13" t="s">
        <v>20</v>
      </c>
      <c r="C10" s="304">
        <f>Berneng6ntries</f>
        <v>3</v>
      </c>
      <c r="D10" s="57" t="s">
        <v>760</v>
      </c>
      <c r="E10" s="92" t="s">
        <v>19</v>
      </c>
      <c r="F10" s="305">
        <f>Conanire6npts</f>
        <v>20</v>
      </c>
      <c r="G10" s="14" t="s">
        <v>202</v>
      </c>
      <c r="H10" s="13" t="s">
        <v>22</v>
      </c>
      <c r="I10" s="15">
        <f>Sillariita6ngls</f>
        <v>9</v>
      </c>
      <c r="J10" s="15">
        <f>sillarita6natt</f>
        <v>14</v>
      </c>
      <c r="K10" s="62">
        <f t="shared" si="0"/>
        <v>64.285714285714292</v>
      </c>
    </row>
    <row r="11" spans="1:11" ht="14.95" customHeight="1" thickBot="1" x14ac:dyDescent="0.3">
      <c r="A11" s="14" t="s">
        <v>421</v>
      </c>
      <c r="B11" s="13" t="s">
        <v>27</v>
      </c>
      <c r="C11" s="304">
        <f>Boulard_Efra6ntries</f>
        <v>3</v>
      </c>
      <c r="D11" s="57" t="s">
        <v>216</v>
      </c>
      <c r="E11" s="92" t="s">
        <v>20</v>
      </c>
      <c r="F11" s="305">
        <f>Kildunneeng6npts</f>
        <v>20</v>
      </c>
      <c r="G11" s="14" t="s">
        <v>776</v>
      </c>
      <c r="H11" s="13" t="s">
        <v>19</v>
      </c>
      <c r="I11" s="15">
        <f>Breenire6nglscorrect</f>
        <v>2</v>
      </c>
      <c r="J11" s="110">
        <f>Breenire6nattcorrect</f>
        <v>3</v>
      </c>
      <c r="K11" s="62">
        <f t="shared" si="0"/>
        <v>66.666666666666657</v>
      </c>
    </row>
    <row r="12" spans="1:11" ht="14.95" customHeight="1" thickBot="1" x14ac:dyDescent="0.3">
      <c r="A12" s="14" t="s">
        <v>411</v>
      </c>
      <c r="B12" s="13" t="s">
        <v>27</v>
      </c>
      <c r="C12" s="304">
        <f>Dantyfra6ntries</f>
        <v>3</v>
      </c>
      <c r="D12" s="57" t="s">
        <v>414</v>
      </c>
      <c r="E12" s="92" t="s">
        <v>20</v>
      </c>
      <c r="F12" s="305">
        <f>MacDonaldeng6npts</f>
        <v>20</v>
      </c>
      <c r="G12" s="14" t="s">
        <v>209</v>
      </c>
      <c r="H12" s="13" t="s">
        <v>20</v>
      </c>
      <c r="I12" s="15">
        <f>Singeng6ngls</f>
        <v>3</v>
      </c>
      <c r="J12" s="110">
        <f>singeng6natt</f>
        <v>5</v>
      </c>
      <c r="K12" s="62">
        <f t="shared" si="0"/>
        <v>60</v>
      </c>
    </row>
    <row r="13" spans="1:11" ht="14.95" customHeight="1" thickBot="1" x14ac:dyDescent="0.3">
      <c r="A13" s="14" t="s">
        <v>759</v>
      </c>
      <c r="B13" s="13" t="s">
        <v>19</v>
      </c>
      <c r="C13" s="304">
        <f>Croninire6ntries</f>
        <v>3</v>
      </c>
      <c r="D13" s="57" t="s">
        <v>533</v>
      </c>
      <c r="E13" s="92" t="s">
        <v>22</v>
      </c>
      <c r="F13" s="305">
        <f>Muzzoita6npts</f>
        <v>20</v>
      </c>
      <c r="G13" s="14" t="s">
        <v>535</v>
      </c>
      <c r="H13" s="13" t="s">
        <v>22</v>
      </c>
      <c r="I13" s="15">
        <f>Rigoniita6ngls</f>
        <v>1</v>
      </c>
      <c r="J13" s="110">
        <f>rigoniia6natt</f>
        <v>5</v>
      </c>
      <c r="K13" s="62">
        <f t="shared" si="0"/>
        <v>20</v>
      </c>
    </row>
    <row r="14" spans="1:11" ht="14.95" customHeight="1" thickBot="1" x14ac:dyDescent="0.3">
      <c r="A14" s="14" t="s">
        <v>758</v>
      </c>
      <c r="B14" s="13" t="s">
        <v>19</v>
      </c>
      <c r="C14" s="304">
        <f>McGannire6ntries</f>
        <v>3</v>
      </c>
      <c r="D14" s="57" t="s">
        <v>202</v>
      </c>
      <c r="E14" s="92" t="s">
        <v>22</v>
      </c>
      <c r="F14" s="305">
        <f>Sillariita6npts</f>
        <v>20</v>
      </c>
      <c r="G14" s="95" t="s">
        <v>586</v>
      </c>
      <c r="H14" s="7"/>
    </row>
    <row r="15" spans="1:11" ht="14.95" customHeight="1" thickBot="1" x14ac:dyDescent="0.3">
      <c r="A15" s="14" t="s">
        <v>89</v>
      </c>
      <c r="B15" s="13" t="s">
        <v>27</v>
      </c>
      <c r="C15" s="304">
        <f>Menager_Mfra6ntries</f>
        <v>3</v>
      </c>
      <c r="D15" s="57" t="s">
        <v>577</v>
      </c>
      <c r="E15" s="92" t="s">
        <v>19</v>
      </c>
      <c r="F15" s="305">
        <f>Waferire6npts</f>
        <v>20</v>
      </c>
    </row>
    <row r="16" spans="1:11" ht="14.95" customHeight="1" thickBot="1" x14ac:dyDescent="0.3">
      <c r="A16" s="14" t="s">
        <v>573</v>
      </c>
      <c r="B16" s="13" t="s">
        <v>21</v>
      </c>
      <c r="C16" s="304">
        <f>Orrsco6ntries</f>
        <v>3</v>
      </c>
      <c r="D16" s="57" t="s">
        <v>197</v>
      </c>
      <c r="E16" s="92" t="s">
        <v>20</v>
      </c>
      <c r="F16" s="305">
        <f>Aitchisonengpts</f>
        <v>16</v>
      </c>
    </row>
    <row r="17" spans="1:6" ht="14.95" customHeight="1" thickBot="1" x14ac:dyDescent="0.3">
      <c r="A17" s="14" t="s">
        <v>209</v>
      </c>
      <c r="B17" s="13" t="s">
        <v>20</v>
      </c>
      <c r="C17" s="304">
        <f>Singeng6ntries</f>
        <v>3</v>
      </c>
      <c r="D17" s="57" t="s">
        <v>206</v>
      </c>
      <c r="E17" s="92" t="s">
        <v>23</v>
      </c>
      <c r="F17" s="305">
        <f>AdamsWAL6NPTS</f>
        <v>16</v>
      </c>
    </row>
    <row r="18" spans="1:6" ht="14.95" customHeight="1" thickBot="1" x14ac:dyDescent="0.3">
      <c r="A18" s="14" t="s">
        <v>762</v>
      </c>
      <c r="B18" s="13" t="s">
        <v>19</v>
      </c>
      <c r="C18" s="304">
        <f>Wallire6ntries</f>
        <v>3</v>
      </c>
      <c r="D18" s="57" t="s">
        <v>531</v>
      </c>
      <c r="E18" s="92" t="s">
        <v>20</v>
      </c>
      <c r="F18" s="305">
        <f>Berneng6npts</f>
        <v>15</v>
      </c>
    </row>
    <row r="19" spans="1:6" ht="14.95" customHeight="1" thickBot="1" x14ac:dyDescent="0.3">
      <c r="A19" s="14" t="s">
        <v>754</v>
      </c>
      <c r="B19" s="13" t="s">
        <v>23</v>
      </c>
      <c r="C19" s="304">
        <f>Williamswal6ntries</f>
        <v>3</v>
      </c>
      <c r="D19" s="57" t="s">
        <v>421</v>
      </c>
      <c r="E19" s="92" t="s">
        <v>27</v>
      </c>
      <c r="F19" s="305">
        <f>Boulard_Efra6npts</f>
        <v>15</v>
      </c>
    </row>
    <row r="20" spans="1:6" ht="14.95" customHeight="1" thickBot="1" x14ac:dyDescent="0.3">
      <c r="A20" s="14" t="s">
        <v>433</v>
      </c>
      <c r="B20" s="13" t="s">
        <v>20</v>
      </c>
      <c r="C20" s="304">
        <f>Aldcrofteng6ntries</f>
        <v>2</v>
      </c>
      <c r="D20" s="57" t="s">
        <v>759</v>
      </c>
      <c r="E20" s="92" t="s">
        <v>19</v>
      </c>
      <c r="F20" s="305">
        <f>Croninire6npts</f>
        <v>15</v>
      </c>
    </row>
    <row r="21" spans="1:6" ht="14.95" customHeight="1" thickBot="1" x14ac:dyDescent="0.3">
      <c r="A21" s="14" t="s">
        <v>400</v>
      </c>
      <c r="B21" s="13" t="s">
        <v>27</v>
      </c>
      <c r="C21" s="304">
        <f>ArbezFRA6NTRIES</f>
        <v>2</v>
      </c>
      <c r="D21" s="57" t="s">
        <v>758</v>
      </c>
      <c r="E21" s="92" t="s">
        <v>19</v>
      </c>
      <c r="F21" s="305">
        <f>McGannire6npts</f>
        <v>15</v>
      </c>
    </row>
    <row r="22" spans="1:6" ht="14.95" customHeight="1" thickBot="1" x14ac:dyDescent="0.3">
      <c r="A22" s="14" t="s">
        <v>518</v>
      </c>
      <c r="B22" s="13" t="s">
        <v>20</v>
      </c>
      <c r="C22" s="304">
        <f>atkindavieseng6ntries</f>
        <v>2</v>
      </c>
      <c r="D22" s="57" t="s">
        <v>89</v>
      </c>
      <c r="E22" s="92" t="s">
        <v>27</v>
      </c>
      <c r="F22" s="305">
        <f>Menager_Mfra6npts</f>
        <v>15</v>
      </c>
    </row>
    <row r="23" spans="1:6" ht="14.95" customHeight="1" thickBot="1" x14ac:dyDescent="0.3">
      <c r="A23" s="14" t="s">
        <v>757</v>
      </c>
      <c r="B23" s="13" t="s">
        <v>20</v>
      </c>
      <c r="C23" s="304">
        <f>Burtoneng6ntries</f>
        <v>2</v>
      </c>
      <c r="D23" s="57" t="s">
        <v>573</v>
      </c>
      <c r="E23" s="92" t="s">
        <v>21</v>
      </c>
      <c r="F23" s="305">
        <f>Orrsco6npts</f>
        <v>15</v>
      </c>
    </row>
    <row r="24" spans="1:6" ht="14.95" customHeight="1" thickBot="1" x14ac:dyDescent="0.3">
      <c r="A24" s="14" t="s">
        <v>770</v>
      </c>
      <c r="B24" s="13" t="s">
        <v>20</v>
      </c>
      <c r="C24" s="304">
        <f>Cliffordeng6ntriescorrect</f>
        <v>2</v>
      </c>
      <c r="D24" s="57" t="s">
        <v>762</v>
      </c>
      <c r="E24" s="92" t="s">
        <v>19</v>
      </c>
      <c r="F24" s="305">
        <f>Wallire6npts</f>
        <v>15</v>
      </c>
    </row>
    <row r="25" spans="1:6" ht="14.95" customHeight="1" thickBot="1" x14ac:dyDescent="0.3">
      <c r="A25" s="14" t="s">
        <v>604</v>
      </c>
      <c r="B25" s="13" t="s">
        <v>20</v>
      </c>
      <c r="C25" s="304">
        <f>Feaunatieng6ntries</f>
        <v>2</v>
      </c>
      <c r="D25" s="57" t="s">
        <v>754</v>
      </c>
      <c r="E25" s="92" t="s">
        <v>23</v>
      </c>
      <c r="F25" s="305">
        <f>Williamswal6npts</f>
        <v>15</v>
      </c>
    </row>
    <row r="26" spans="1:6" ht="14.95" customHeight="1" thickBot="1" x14ac:dyDescent="0.3">
      <c r="A26" s="14" t="s">
        <v>534</v>
      </c>
      <c r="B26" s="13" t="s">
        <v>22</v>
      </c>
      <c r="C26" s="304">
        <f>Granzottoita6ntries</f>
        <v>2</v>
      </c>
      <c r="D26" s="57" t="s">
        <v>433</v>
      </c>
      <c r="E26" s="92" t="s">
        <v>20</v>
      </c>
      <c r="F26" s="305">
        <f>Aldcrofteng6npts</f>
        <v>10</v>
      </c>
    </row>
    <row r="27" spans="1:6" ht="14.95" customHeight="1" thickBot="1" x14ac:dyDescent="0.3">
      <c r="A27" s="14" t="s">
        <v>605</v>
      </c>
      <c r="B27" s="13" t="s">
        <v>27</v>
      </c>
      <c r="C27" s="304">
        <f>Grisezfra6ntries</f>
        <v>2</v>
      </c>
      <c r="D27" s="57" t="s">
        <v>400</v>
      </c>
      <c r="E27" s="92" t="s">
        <v>27</v>
      </c>
      <c r="F27" s="305">
        <f>ArbezFRA6NPTS</f>
        <v>10</v>
      </c>
    </row>
    <row r="28" spans="1:6" ht="14.95" customHeight="1" thickBot="1" x14ac:dyDescent="0.3">
      <c r="A28" s="14" t="s">
        <v>511</v>
      </c>
      <c r="B28" s="13" t="s">
        <v>20</v>
      </c>
      <c r="C28" s="304">
        <f>Joneseng6ntries</f>
        <v>2</v>
      </c>
      <c r="D28" s="57" t="s">
        <v>518</v>
      </c>
      <c r="E28" s="92" t="s">
        <v>20</v>
      </c>
      <c r="F28" s="305">
        <f>atkindavieseng6npts</f>
        <v>10</v>
      </c>
    </row>
    <row r="29" spans="1:6" ht="14.95" customHeight="1" thickBot="1" x14ac:dyDescent="0.3">
      <c r="A29" s="14" t="s">
        <v>432</v>
      </c>
      <c r="B29" s="13" t="s">
        <v>21</v>
      </c>
      <c r="C29" s="304">
        <f>McGhiesco6ntries</f>
        <v>2</v>
      </c>
      <c r="D29" s="57" t="s">
        <v>757</v>
      </c>
      <c r="E29" s="92" t="s">
        <v>20</v>
      </c>
      <c r="F29" s="305">
        <f>Burtoneng6npts</f>
        <v>10</v>
      </c>
    </row>
    <row r="30" spans="1:6" ht="14.95" customHeight="1" thickBot="1" x14ac:dyDescent="0.3">
      <c r="A30" s="14" t="s">
        <v>608</v>
      </c>
      <c r="B30" s="13" t="s">
        <v>22</v>
      </c>
      <c r="C30" s="304">
        <f>Minuzziita6ntries</f>
        <v>2</v>
      </c>
      <c r="D30" s="57" t="s">
        <v>770</v>
      </c>
      <c r="E30" s="92" t="s">
        <v>20</v>
      </c>
      <c r="F30" s="305">
        <f>Cliffordeng6npts</f>
        <v>10</v>
      </c>
    </row>
    <row r="31" spans="1:6" ht="14.95" customHeight="1" thickBot="1" x14ac:dyDescent="0.3">
      <c r="A31" s="14" t="s">
        <v>413</v>
      </c>
      <c r="B31" s="13" t="s">
        <v>23</v>
      </c>
      <c r="C31" s="304">
        <f>Pyrswal6ntries</f>
        <v>2</v>
      </c>
      <c r="D31" s="57" t="s">
        <v>604</v>
      </c>
      <c r="E31" s="92" t="s">
        <v>20</v>
      </c>
      <c r="F31" s="305">
        <f>Feaunatieng6npts</f>
        <v>10</v>
      </c>
    </row>
    <row r="32" spans="1:6" ht="14.95" customHeight="1" thickBot="1" x14ac:dyDescent="0.3">
      <c r="A32" s="14" t="s">
        <v>742</v>
      </c>
      <c r="B32" s="13" t="s">
        <v>22</v>
      </c>
      <c r="C32" s="304">
        <f>Sgorbiniita6ntries</f>
        <v>2</v>
      </c>
      <c r="D32" s="57" t="s">
        <v>534</v>
      </c>
      <c r="E32" s="92" t="s">
        <v>22</v>
      </c>
      <c r="F32" s="305">
        <f>Granzottoita6npts</f>
        <v>10</v>
      </c>
    </row>
    <row r="33" spans="1:6" ht="14.95" customHeight="1" thickBot="1" x14ac:dyDescent="0.3">
      <c r="A33" s="14" t="s">
        <v>419</v>
      </c>
      <c r="B33" s="13" t="s">
        <v>22</v>
      </c>
      <c r="C33" s="304">
        <f>Stefanita6ntries</f>
        <v>2</v>
      </c>
      <c r="D33" s="57" t="s">
        <v>605</v>
      </c>
      <c r="E33" s="92" t="s">
        <v>27</v>
      </c>
      <c r="F33" s="305">
        <f>Grisezfra6npts</f>
        <v>10</v>
      </c>
    </row>
    <row r="34" spans="1:6" ht="14.95" customHeight="1" thickBot="1" x14ac:dyDescent="0.3">
      <c r="A34" s="14" t="s">
        <v>691</v>
      </c>
      <c r="B34" s="13" t="s">
        <v>22</v>
      </c>
      <c r="C34" s="304">
        <f>Turaniita6ntries</f>
        <v>2</v>
      </c>
      <c r="D34" s="57" t="s">
        <v>511</v>
      </c>
      <c r="E34" s="92" t="s">
        <v>20</v>
      </c>
      <c r="F34" s="305">
        <f>Joneseng6npts</f>
        <v>10</v>
      </c>
    </row>
    <row r="35" spans="1:6" ht="14.95" customHeight="1" thickBot="1" x14ac:dyDescent="0.3">
      <c r="A35" s="14" t="s">
        <v>588</v>
      </c>
      <c r="B35" s="13" t="s">
        <v>27</v>
      </c>
      <c r="C35" s="304">
        <f>Arbeyfra6ntries</f>
        <v>1</v>
      </c>
      <c r="D35" s="57" t="s">
        <v>432</v>
      </c>
      <c r="E35" s="92" t="s">
        <v>21</v>
      </c>
      <c r="F35" s="305">
        <f>McGhiesco6npts</f>
        <v>10</v>
      </c>
    </row>
    <row r="36" spans="1:6" ht="14.95" customHeight="1" thickBot="1" x14ac:dyDescent="0.3">
      <c r="A36" s="14" t="s">
        <v>425</v>
      </c>
      <c r="B36" s="13" t="s">
        <v>21</v>
      </c>
      <c r="C36" s="304">
        <f>Bartlettsco6ntries</f>
        <v>1</v>
      </c>
      <c r="D36" s="57" t="s">
        <v>608</v>
      </c>
      <c r="E36" s="92" t="s">
        <v>22</v>
      </c>
      <c r="F36" s="305">
        <f>Minuzziita6npts</f>
        <v>10</v>
      </c>
    </row>
    <row r="37" spans="1:6" ht="14.95" customHeight="1" thickBot="1" x14ac:dyDescent="0.3">
      <c r="A37" s="14" t="s">
        <v>764</v>
      </c>
      <c r="B37" s="13" t="s">
        <v>27</v>
      </c>
      <c r="C37" s="304">
        <f>Bigotfra6ntries</f>
        <v>1</v>
      </c>
      <c r="D37" s="57" t="s">
        <v>413</v>
      </c>
      <c r="E37" s="92" t="s">
        <v>23</v>
      </c>
      <c r="F37" s="305">
        <f>Pyrswal6npts</f>
        <v>10</v>
      </c>
    </row>
    <row r="38" spans="1:6" ht="14.95" customHeight="1" thickBot="1" x14ac:dyDescent="0.3">
      <c r="A38" s="14" t="s">
        <v>574</v>
      </c>
      <c r="B38" s="13" t="s">
        <v>21</v>
      </c>
      <c r="C38" s="304">
        <f>Bonarsco6ntries</f>
        <v>1</v>
      </c>
      <c r="D38" s="57" t="s">
        <v>742</v>
      </c>
      <c r="E38" s="92" t="s">
        <v>22</v>
      </c>
      <c r="F38" s="305">
        <f>Sgorbiniits6npts</f>
        <v>10</v>
      </c>
    </row>
    <row r="39" spans="1:6" ht="14.95" customHeight="1" thickBot="1" x14ac:dyDescent="0.3">
      <c r="A39" s="14" t="s">
        <v>749</v>
      </c>
      <c r="B39" s="13" t="s">
        <v>27</v>
      </c>
      <c r="C39" s="304">
        <f>Bourdonfra6ntries</f>
        <v>1</v>
      </c>
      <c r="D39" s="57" t="s">
        <v>419</v>
      </c>
      <c r="E39" s="92" t="s">
        <v>22</v>
      </c>
      <c r="F39" s="305">
        <f>Stefanita6npts</f>
        <v>10</v>
      </c>
    </row>
    <row r="40" spans="1:6" ht="14.95" customHeight="1" thickBot="1" x14ac:dyDescent="0.3">
      <c r="A40" s="14" t="s">
        <v>774</v>
      </c>
      <c r="B40" s="13" t="s">
        <v>23</v>
      </c>
      <c r="C40" s="304">
        <f>Biggarwal6ntries</f>
        <v>1</v>
      </c>
      <c r="D40" s="57" t="s">
        <v>691</v>
      </c>
      <c r="E40" s="92" t="s">
        <v>22</v>
      </c>
      <c r="F40" s="305">
        <f>Turaniita6npts</f>
        <v>10</v>
      </c>
    </row>
    <row r="41" spans="1:6" ht="14.95" customHeight="1" thickBot="1" x14ac:dyDescent="0.3">
      <c r="A41" s="14" t="s">
        <v>773</v>
      </c>
      <c r="B41" s="13" t="s">
        <v>27</v>
      </c>
      <c r="C41" s="304">
        <f>Chambonfra6ntries</f>
        <v>1</v>
      </c>
      <c r="D41" s="57" t="s">
        <v>749</v>
      </c>
      <c r="E41" s="92" t="s">
        <v>27</v>
      </c>
      <c r="F41" s="305">
        <f>Bourdonfra6npts</f>
        <v>8</v>
      </c>
    </row>
    <row r="42" spans="1:6" ht="14.95" customHeight="1" thickBot="1" x14ac:dyDescent="0.3">
      <c r="A42" s="14" t="s">
        <v>768</v>
      </c>
      <c r="B42" s="13" t="s">
        <v>27</v>
      </c>
      <c r="C42" s="304">
        <f>DupontFRA6NTRIES</f>
        <v>1</v>
      </c>
      <c r="D42" s="57" t="s">
        <v>212</v>
      </c>
      <c r="E42" s="92" t="s">
        <v>20</v>
      </c>
      <c r="F42" s="305">
        <f>Penalty_Trieseng6npts</f>
        <v>7</v>
      </c>
    </row>
    <row r="43" spans="1:6" ht="14.95" customHeight="1" thickBot="1" x14ac:dyDescent="0.3">
      <c r="A43" s="14" t="s">
        <v>593</v>
      </c>
      <c r="B43" s="13" t="s">
        <v>20</v>
      </c>
      <c r="C43" s="304">
        <f>Cokayneeng6ntries</f>
        <v>1</v>
      </c>
      <c r="D43" s="57" t="s">
        <v>212</v>
      </c>
      <c r="E43" s="92" t="s">
        <v>27</v>
      </c>
      <c r="F43" s="305">
        <f>Penalty_Triesfra6npts</f>
        <v>7</v>
      </c>
    </row>
    <row r="44" spans="1:6" ht="14.95" customHeight="1" thickBot="1" x14ac:dyDescent="0.3">
      <c r="A44" s="14" t="s">
        <v>767</v>
      </c>
      <c r="B44" s="13" t="s">
        <v>23</v>
      </c>
      <c r="C44" s="304">
        <f>Crabbwal6ntries</f>
        <v>1</v>
      </c>
      <c r="D44" s="57" t="s">
        <v>535</v>
      </c>
      <c r="E44" s="92" t="s">
        <v>22</v>
      </c>
      <c r="F44" s="305">
        <f>Rigoniita6npts</f>
        <v>7</v>
      </c>
    </row>
    <row r="45" spans="1:6" ht="14.95" customHeight="1" thickBot="1" x14ac:dyDescent="0.3">
      <c r="A45" s="14" t="s">
        <v>578</v>
      </c>
      <c r="B45" s="13" t="s">
        <v>19</v>
      </c>
      <c r="C45" s="304">
        <f>Daltonire6ntries</f>
        <v>1</v>
      </c>
      <c r="D45" s="57" t="s">
        <v>588</v>
      </c>
      <c r="E45" s="92" t="s">
        <v>27</v>
      </c>
      <c r="F45" s="305">
        <f>Arbeyfra6npts</f>
        <v>5</v>
      </c>
    </row>
    <row r="46" spans="1:6" ht="14.95" customHeight="1" thickBot="1" x14ac:dyDescent="0.3">
      <c r="A46" s="14" t="s">
        <v>397</v>
      </c>
      <c r="B46" s="13" t="s">
        <v>22</v>
      </c>
      <c r="C46" s="304">
        <f>D_Incaita6ntries</f>
        <v>1</v>
      </c>
      <c r="D46" s="57" t="s">
        <v>425</v>
      </c>
      <c r="E46" s="92" t="s">
        <v>21</v>
      </c>
      <c r="F46" s="305">
        <f>Bartlettsco6npts</f>
        <v>5</v>
      </c>
    </row>
    <row r="47" spans="1:6" ht="14.95" customHeight="1" thickBot="1" x14ac:dyDescent="0.3">
      <c r="A47" s="14" t="s">
        <v>606</v>
      </c>
      <c r="B47" s="13" t="s">
        <v>27</v>
      </c>
      <c r="C47" s="304">
        <f>Moefanafra6ntries</f>
        <v>1</v>
      </c>
      <c r="D47" s="57" t="s">
        <v>764</v>
      </c>
      <c r="E47" s="92" t="s">
        <v>27</v>
      </c>
      <c r="F47" s="305">
        <f>Bigotfra6npts</f>
        <v>5</v>
      </c>
    </row>
    <row r="48" spans="1:6" ht="14.95" customHeight="1" thickBot="1" x14ac:dyDescent="0.3">
      <c r="A48" s="14" t="s">
        <v>688</v>
      </c>
      <c r="B48" s="13" t="s">
        <v>27</v>
      </c>
      <c r="C48" s="304">
        <f>Feleu_Tfra6Ntries</f>
        <v>1</v>
      </c>
      <c r="D48" s="57" t="s">
        <v>574</v>
      </c>
      <c r="E48" s="92" t="s">
        <v>21</v>
      </c>
      <c r="F48" s="305">
        <f>Bonarsco6npts</f>
        <v>5</v>
      </c>
    </row>
    <row r="49" spans="1:6" ht="14.95" customHeight="1" thickBot="1" x14ac:dyDescent="0.3">
      <c r="A49" s="14" t="s">
        <v>522</v>
      </c>
      <c r="B49" s="13" t="s">
        <v>23</v>
      </c>
      <c r="C49" s="304">
        <f>Flemingwal6ntries</f>
        <v>1</v>
      </c>
      <c r="D49" s="57" t="s">
        <v>774</v>
      </c>
      <c r="E49" s="92" t="s">
        <v>23</v>
      </c>
      <c r="F49" s="305">
        <f>Biggarwal6npts</f>
        <v>5</v>
      </c>
    </row>
    <row r="50" spans="1:6" ht="14.95" customHeight="1" thickBot="1" x14ac:dyDescent="0.3">
      <c r="A50" s="14" t="s">
        <v>771</v>
      </c>
      <c r="B50" s="13" t="s">
        <v>21</v>
      </c>
      <c r="C50" s="304">
        <f>HarrisSCO6NTRIES</f>
        <v>1</v>
      </c>
      <c r="D50" s="57" t="s">
        <v>773</v>
      </c>
      <c r="E50" s="92" t="s">
        <v>27</v>
      </c>
      <c r="F50" s="305">
        <f>Chambonfra6npts</f>
        <v>5</v>
      </c>
    </row>
    <row r="51" spans="1:6" ht="14.95" customHeight="1" thickBot="1" x14ac:dyDescent="0.3">
      <c r="A51" s="14" t="s">
        <v>775</v>
      </c>
      <c r="B51" s="13" t="s">
        <v>23</v>
      </c>
      <c r="C51" s="304">
        <f>Bluckwal6ntries</f>
        <v>1</v>
      </c>
      <c r="D51" s="57" t="s">
        <v>768</v>
      </c>
      <c r="E51" s="92" t="s">
        <v>27</v>
      </c>
      <c r="F51" s="305">
        <f>DupontFRA6NPTS</f>
        <v>5</v>
      </c>
    </row>
    <row r="52" spans="1:6" ht="14.95" customHeight="1" thickBot="1" x14ac:dyDescent="0.3">
      <c r="A52" s="14" t="s">
        <v>584</v>
      </c>
      <c r="B52" s="13" t="s">
        <v>20</v>
      </c>
      <c r="C52" s="304">
        <f>Harrisoneng6ntries</f>
        <v>1</v>
      </c>
      <c r="D52" s="57" t="s">
        <v>593</v>
      </c>
      <c r="E52" s="92" t="s">
        <v>20</v>
      </c>
      <c r="F52" s="305">
        <f>Cokayneeng6npts</f>
        <v>5</v>
      </c>
    </row>
    <row r="53" spans="1:6" ht="14.95" customHeight="1" thickBot="1" x14ac:dyDescent="0.3">
      <c r="A53" s="14" t="s">
        <v>761</v>
      </c>
      <c r="B53" s="13" t="s">
        <v>19</v>
      </c>
      <c r="C53" s="304">
        <f>Hoganire6ntries</f>
        <v>1</v>
      </c>
      <c r="D53" s="57" t="s">
        <v>767</v>
      </c>
      <c r="E53" s="92" t="s">
        <v>23</v>
      </c>
      <c r="F53" s="305">
        <f>Crabbwal6npts</f>
        <v>5</v>
      </c>
    </row>
    <row r="54" spans="1:6" ht="14.95" customHeight="1" thickBot="1" x14ac:dyDescent="0.3">
      <c r="A54" s="14" t="s">
        <v>590</v>
      </c>
      <c r="B54" s="13" t="s">
        <v>19</v>
      </c>
      <c r="C54" s="304">
        <f>Hansenire6nries</f>
        <v>1</v>
      </c>
      <c r="D54" s="57" t="s">
        <v>578</v>
      </c>
      <c r="E54" s="92" t="s">
        <v>19</v>
      </c>
      <c r="F54" s="305">
        <f>Daltonire6npts</f>
        <v>5</v>
      </c>
    </row>
    <row r="55" spans="1:6" ht="14.95" customHeight="1" thickBot="1" x14ac:dyDescent="0.3">
      <c r="A55" s="14" t="s">
        <v>787</v>
      </c>
      <c r="B55" s="13" t="s">
        <v>19</v>
      </c>
      <c r="C55" s="304">
        <f>Laneire6ntries</f>
        <v>1</v>
      </c>
      <c r="D55" s="57" t="s">
        <v>397</v>
      </c>
      <c r="E55" s="92" t="s">
        <v>22</v>
      </c>
      <c r="F55" s="305">
        <f>D_Incaita6npts</f>
        <v>5</v>
      </c>
    </row>
    <row r="56" spans="1:6" ht="14.95" customHeight="1" thickBot="1" x14ac:dyDescent="0.3">
      <c r="A56" s="14" t="s">
        <v>585</v>
      </c>
      <c r="B56" s="13" t="s">
        <v>21</v>
      </c>
      <c r="C56" s="304">
        <f>Martinsco6ntries</f>
        <v>1</v>
      </c>
      <c r="D56" s="57" t="s">
        <v>606</v>
      </c>
      <c r="E56" s="92" t="s">
        <v>27</v>
      </c>
      <c r="F56" s="305">
        <f>Moefana6npts</f>
        <v>5</v>
      </c>
    </row>
    <row r="57" spans="1:6" ht="14.95" customHeight="1" thickBot="1" x14ac:dyDescent="0.3">
      <c r="A57" s="14" t="s">
        <v>784</v>
      </c>
      <c r="B57" s="13" t="s">
        <v>21</v>
      </c>
      <c r="C57" s="304">
        <f>McLachlansco6ntries</f>
        <v>1</v>
      </c>
      <c r="D57" s="57" t="s">
        <v>688</v>
      </c>
      <c r="E57" s="92" t="s">
        <v>27</v>
      </c>
      <c r="F57" s="305">
        <f>Feleu_Tfra6npts</f>
        <v>5</v>
      </c>
    </row>
    <row r="58" spans="1:6" ht="14.95" customHeight="1" thickBot="1" x14ac:dyDescent="0.3">
      <c r="A58" s="14" t="s">
        <v>88</v>
      </c>
      <c r="B58" s="13" t="s">
        <v>27</v>
      </c>
      <c r="C58" s="304">
        <f>Villierefra6ntries</f>
        <v>1</v>
      </c>
      <c r="D58" s="57" t="s">
        <v>522</v>
      </c>
      <c r="E58" s="92" t="s">
        <v>23</v>
      </c>
      <c r="F58" s="305">
        <f>Flemingwal6npts</f>
        <v>5</v>
      </c>
    </row>
    <row r="59" spans="1:6" ht="14.95" customHeight="1" thickBot="1" x14ac:dyDescent="0.3">
      <c r="A59" s="14" t="s">
        <v>747</v>
      </c>
      <c r="B59" s="13" t="s">
        <v>27</v>
      </c>
      <c r="C59" s="304">
        <f>OkembaFra6Ntries</f>
        <v>1</v>
      </c>
      <c r="D59" s="57" t="s">
        <v>771</v>
      </c>
      <c r="E59" s="92" t="s">
        <v>21</v>
      </c>
      <c r="F59" s="305">
        <f>HarrisSCO6NPTS</f>
        <v>5</v>
      </c>
    </row>
    <row r="60" spans="1:6" ht="14.95" customHeight="1" thickBot="1" x14ac:dyDescent="0.3">
      <c r="A60" s="14" t="s">
        <v>64</v>
      </c>
      <c r="B60" s="13" t="s">
        <v>20</v>
      </c>
      <c r="C60" s="304">
        <f>Packer_Mengtries</f>
        <v>1</v>
      </c>
      <c r="D60" s="57" t="s">
        <v>775</v>
      </c>
      <c r="E60" s="92" t="s">
        <v>23</v>
      </c>
      <c r="F60" s="305">
        <f>Bluckwal6npts</f>
        <v>5</v>
      </c>
    </row>
    <row r="61" spans="1:6" ht="14.95" customHeight="1" thickBot="1" x14ac:dyDescent="0.3">
      <c r="A61" s="14" t="s">
        <v>212</v>
      </c>
      <c r="B61" s="13" t="s">
        <v>20</v>
      </c>
      <c r="C61" s="304">
        <f>Penalty_Trieseng6ntries</f>
        <v>1</v>
      </c>
      <c r="D61" s="57" t="s">
        <v>761</v>
      </c>
      <c r="E61" s="92" t="s">
        <v>19</v>
      </c>
      <c r="F61" s="305">
        <f>Hoganire6npts</f>
        <v>5</v>
      </c>
    </row>
    <row r="62" spans="1:6" ht="14.95" customHeight="1" thickBot="1" x14ac:dyDescent="0.3">
      <c r="A62" s="14" t="s">
        <v>212</v>
      </c>
      <c r="B62" s="13" t="s">
        <v>27</v>
      </c>
      <c r="C62" s="304">
        <f>Penalty_Triesfra6ntries</f>
        <v>1</v>
      </c>
      <c r="D62" s="57" t="s">
        <v>590</v>
      </c>
      <c r="E62" s="92" t="s">
        <v>19</v>
      </c>
      <c r="F62" s="305">
        <f>Hansenire6npts</f>
        <v>5</v>
      </c>
    </row>
    <row r="63" spans="1:6" ht="14.95" customHeight="1" thickBot="1" x14ac:dyDescent="0.3">
      <c r="A63" s="14" t="s">
        <v>515</v>
      </c>
      <c r="B63" s="13" t="s">
        <v>23</v>
      </c>
      <c r="C63" s="304">
        <f>Phillipswal6ntries</f>
        <v>1</v>
      </c>
      <c r="D63" s="57" t="s">
        <v>787</v>
      </c>
      <c r="E63" s="92" t="s">
        <v>19</v>
      </c>
      <c r="F63" s="305">
        <f>Laneire6npts</f>
        <v>5</v>
      </c>
    </row>
    <row r="64" spans="1:6" ht="14.95" customHeight="1" thickBot="1" x14ac:dyDescent="0.3">
      <c r="A64" s="14" t="s">
        <v>535</v>
      </c>
      <c r="B64" s="13" t="s">
        <v>22</v>
      </c>
      <c r="C64" s="304">
        <f>Rigoniita6ntries</f>
        <v>1</v>
      </c>
      <c r="D64" s="57" t="s">
        <v>585</v>
      </c>
      <c r="E64" s="92" t="s">
        <v>21</v>
      </c>
      <c r="F64" s="305">
        <f>Martinsco6npts</f>
        <v>5</v>
      </c>
    </row>
    <row r="65" spans="1:6" ht="14.95" customHeight="1" thickBot="1" x14ac:dyDescent="0.3">
      <c r="A65" s="14" t="s">
        <v>195</v>
      </c>
      <c r="B65" s="13" t="s">
        <v>21</v>
      </c>
      <c r="C65" s="304">
        <f>Rolliesco6ntriesthisone</f>
        <v>1</v>
      </c>
      <c r="D65" s="57" t="s">
        <v>784</v>
      </c>
      <c r="E65" s="92" t="s">
        <v>21</v>
      </c>
      <c r="F65" s="305">
        <f>McLachlansco6npts</f>
        <v>5</v>
      </c>
    </row>
    <row r="66" spans="1:6" ht="14.95" customHeight="1" thickBot="1" x14ac:dyDescent="0.3">
      <c r="A66" s="14" t="s">
        <v>743</v>
      </c>
      <c r="B66" s="13" t="s">
        <v>20</v>
      </c>
      <c r="C66" s="304">
        <f>Scarrattengtries</f>
        <v>1</v>
      </c>
      <c r="D66" s="57" t="s">
        <v>88</v>
      </c>
      <c r="E66" s="92" t="s">
        <v>27</v>
      </c>
      <c r="F66" s="305">
        <f>Villierefra6npts</f>
        <v>5</v>
      </c>
    </row>
    <row r="67" spans="1:6" ht="14.95" customHeight="1" thickBot="1" x14ac:dyDescent="0.3">
      <c r="A67" s="14" t="s">
        <v>753</v>
      </c>
      <c r="B67" s="13" t="s">
        <v>23</v>
      </c>
      <c r="C67" s="304">
        <f>Scoblewal6ntries</f>
        <v>1</v>
      </c>
      <c r="D67" s="57" t="s">
        <v>747</v>
      </c>
      <c r="E67" s="92" t="s">
        <v>27</v>
      </c>
      <c r="F67" s="305">
        <f>Okembafra6Npts</f>
        <v>5</v>
      </c>
    </row>
    <row r="68" spans="1:6" ht="14.95" customHeight="1" thickBot="1" x14ac:dyDescent="0.3">
      <c r="A68" s="14" t="s">
        <v>207</v>
      </c>
      <c r="B68" s="13" t="s">
        <v>21</v>
      </c>
      <c r="C68" s="304">
        <f>Skeldonscotries</f>
        <v>1</v>
      </c>
      <c r="D68" s="57" t="s">
        <v>64</v>
      </c>
      <c r="E68" s="92" t="s">
        <v>20</v>
      </c>
      <c r="F68" s="305">
        <f>Packer_Mengpts</f>
        <v>5</v>
      </c>
    </row>
    <row r="69" spans="1:6" ht="14.95" customHeight="1" thickBot="1" x14ac:dyDescent="0.3">
      <c r="A69" s="14" t="s">
        <v>423</v>
      </c>
      <c r="B69" s="13" t="s">
        <v>20</v>
      </c>
      <c r="C69" s="304">
        <f>Tallingeng6ntries</f>
        <v>1</v>
      </c>
      <c r="D69" s="57" t="s">
        <v>515</v>
      </c>
      <c r="E69" s="92" t="s">
        <v>23</v>
      </c>
      <c r="F69" s="305">
        <f>Phillipswal6npts</f>
        <v>5</v>
      </c>
    </row>
    <row r="70" spans="1:6" ht="14.95" customHeight="1" thickBot="1" x14ac:dyDescent="0.3">
      <c r="A70" s="14" t="s">
        <v>545</v>
      </c>
      <c r="B70" s="13" t="s">
        <v>21</v>
      </c>
      <c r="C70" s="304">
        <f>Thomsonsco6ntries</f>
        <v>1</v>
      </c>
      <c r="D70" s="57" t="s">
        <v>195</v>
      </c>
      <c r="E70" s="92" t="s">
        <v>21</v>
      </c>
      <c r="F70" s="305">
        <f>Rolliesco6nptsthisone</f>
        <v>5</v>
      </c>
    </row>
    <row r="71" spans="1:6" ht="14.95" customHeight="1" thickBot="1" x14ac:dyDescent="0.3">
      <c r="A71" s="14" t="s">
        <v>427</v>
      </c>
      <c r="B71" s="13" t="s">
        <v>22</v>
      </c>
      <c r="C71" s="304">
        <f>Vecchiniita6ntries</f>
        <v>1</v>
      </c>
      <c r="D71" s="57" t="s">
        <v>743</v>
      </c>
      <c r="E71" s="92" t="s">
        <v>20</v>
      </c>
      <c r="F71" s="305">
        <f>Scarrattengpts</f>
        <v>5</v>
      </c>
    </row>
    <row r="72" spans="1:6" ht="14.95" customHeight="1" thickBot="1" x14ac:dyDescent="0.3">
      <c r="A72" s="14" t="s">
        <v>739</v>
      </c>
      <c r="B72" s="13" t="s">
        <v>20</v>
      </c>
      <c r="C72" s="304">
        <f>Vennereng6ntries</f>
        <v>1</v>
      </c>
      <c r="D72" s="57" t="s">
        <v>753</v>
      </c>
      <c r="E72" s="92" t="s">
        <v>23</v>
      </c>
      <c r="F72" s="305">
        <f>Scoblewal6npts</f>
        <v>5</v>
      </c>
    </row>
    <row r="73" spans="1:6" ht="14.95" customHeight="1" thickBot="1" x14ac:dyDescent="0.3">
      <c r="A73" s="14" t="s">
        <v>401</v>
      </c>
      <c r="B73" s="13" t="s">
        <v>27</v>
      </c>
      <c r="C73" s="304">
        <f>VernierFRA6NTRIES</f>
        <v>1</v>
      </c>
      <c r="D73" s="57" t="s">
        <v>207</v>
      </c>
      <c r="E73" s="92" t="s">
        <v>21</v>
      </c>
      <c r="F73" s="305">
        <f>Skeldonscopts</f>
        <v>5</v>
      </c>
    </row>
    <row r="74" spans="1:6" ht="14.95" customHeight="1" thickBot="1" x14ac:dyDescent="0.3">
      <c r="A74" s="14" t="s">
        <v>583</v>
      </c>
      <c r="B74" s="13" t="s">
        <v>20</v>
      </c>
      <c r="C74" s="304">
        <f>Wardeng6ntries</f>
        <v>1</v>
      </c>
      <c r="D74" s="57" t="s">
        <v>423</v>
      </c>
      <c r="E74" s="92" t="s">
        <v>20</v>
      </c>
      <c r="F74" s="305">
        <f>Tallingeng6npts</f>
        <v>5</v>
      </c>
    </row>
    <row r="75" spans="1:6" ht="14.95" customHeight="1" thickBot="1" x14ac:dyDescent="0.3">
      <c r="A75" s="14" t="s">
        <v>197</v>
      </c>
      <c r="B75" s="13" t="s">
        <v>20</v>
      </c>
      <c r="C75" s="304">
        <f>Aitchisonengtries</f>
        <v>0</v>
      </c>
      <c r="D75" s="57" t="s">
        <v>545</v>
      </c>
      <c r="E75" s="92" t="s">
        <v>21</v>
      </c>
      <c r="F75" s="305">
        <f>Thomsonsco6npts</f>
        <v>5</v>
      </c>
    </row>
    <row r="76" spans="1:6" ht="14.95" customHeight="1" thickBot="1" x14ac:dyDescent="0.3">
      <c r="A76" s="14" t="s">
        <v>410</v>
      </c>
      <c r="B76" s="13" t="s">
        <v>27</v>
      </c>
      <c r="C76" s="304">
        <v>0</v>
      </c>
      <c r="D76" s="57" t="s">
        <v>427</v>
      </c>
      <c r="E76" s="92" t="s">
        <v>22</v>
      </c>
      <c r="F76" s="305">
        <f>Vecchiniita6npts</f>
        <v>5</v>
      </c>
    </row>
    <row r="77" spans="1:6" ht="14.95" customHeight="1" thickBot="1" x14ac:dyDescent="0.3">
      <c r="A77" s="14" t="s">
        <v>418</v>
      </c>
      <c r="B77" s="13" t="s">
        <v>20</v>
      </c>
      <c r="C77" s="304">
        <v>0</v>
      </c>
      <c r="D77" s="57" t="s">
        <v>739</v>
      </c>
      <c r="E77" s="92" t="s">
        <v>20</v>
      </c>
      <c r="F77" s="305">
        <f>Vennereng6npts</f>
        <v>5</v>
      </c>
    </row>
    <row r="78" spans="1:6" ht="14.95" customHeight="1" thickBot="1" x14ac:dyDescent="0.3">
      <c r="A78" s="14" t="s">
        <v>428</v>
      </c>
      <c r="B78" s="13" t="s">
        <v>27</v>
      </c>
      <c r="C78" s="304">
        <v>0</v>
      </c>
      <c r="D78" s="57" t="s">
        <v>401</v>
      </c>
      <c r="E78" s="92" t="s">
        <v>27</v>
      </c>
      <c r="F78" s="305">
        <f>VernierFRA6NPTS</f>
        <v>5</v>
      </c>
    </row>
    <row r="79" spans="1:6" ht="14.95" thickBot="1" x14ac:dyDescent="0.3">
      <c r="A79" s="14" t="s">
        <v>206</v>
      </c>
      <c r="B79" s="13" t="s">
        <v>23</v>
      </c>
      <c r="C79" s="304">
        <f>AdamsWAL6NTRIES</f>
        <v>0</v>
      </c>
      <c r="D79" s="57" t="s">
        <v>583</v>
      </c>
      <c r="E79" s="92" t="s">
        <v>20</v>
      </c>
      <c r="F79" s="305">
        <f>Wardeng6npts</f>
        <v>5</v>
      </c>
    </row>
    <row r="80" spans="1:6" ht="14.95" thickBot="1" x14ac:dyDescent="0.3">
      <c r="A80" s="14" t="s">
        <v>416</v>
      </c>
      <c r="B80" s="13" t="s">
        <v>20</v>
      </c>
      <c r="C80" s="304">
        <f>Dalyeng6ntries</f>
        <v>0</v>
      </c>
      <c r="D80" s="57" t="s">
        <v>776</v>
      </c>
      <c r="E80" s="92" t="s">
        <v>19</v>
      </c>
      <c r="F80" s="305">
        <f>Bairdire6npts</f>
        <v>4</v>
      </c>
    </row>
    <row r="81" spans="1:6" ht="14.95" thickBot="1" x14ac:dyDescent="0.3">
      <c r="A81" s="14" t="s">
        <v>215</v>
      </c>
      <c r="B81" s="13" t="s">
        <v>27</v>
      </c>
      <c r="C81" s="304">
        <v>0</v>
      </c>
      <c r="D81" s="57" t="s">
        <v>410</v>
      </c>
      <c r="E81" s="92" t="s">
        <v>27</v>
      </c>
      <c r="F81" s="305">
        <v>0</v>
      </c>
    </row>
    <row r="82" spans="1:6" ht="14.95" thickBot="1" x14ac:dyDescent="0.3">
      <c r="A82" s="14" t="s">
        <v>210</v>
      </c>
      <c r="B82" s="13" t="s">
        <v>20</v>
      </c>
      <c r="C82" s="304">
        <f>Dombrandteng6ntries</f>
        <v>0</v>
      </c>
      <c r="D82" s="57" t="s">
        <v>418</v>
      </c>
      <c r="E82" s="92" t="s">
        <v>20</v>
      </c>
      <c r="F82" s="305">
        <v>0</v>
      </c>
    </row>
    <row r="83" spans="1:6" ht="14.95" thickBot="1" x14ac:dyDescent="0.3">
      <c r="A83" s="14" t="s">
        <v>776</v>
      </c>
      <c r="B83" s="13" t="s">
        <v>19</v>
      </c>
      <c r="C83" s="304">
        <f>Bairdire6ntries</f>
        <v>0</v>
      </c>
      <c r="D83" s="57" t="s">
        <v>428</v>
      </c>
      <c r="E83" s="92" t="s">
        <v>27</v>
      </c>
      <c r="F83" s="305">
        <v>0</v>
      </c>
    </row>
    <row r="84" spans="1:6" ht="14.95" thickBot="1" x14ac:dyDescent="0.3">
      <c r="A84" s="14" t="s">
        <v>393</v>
      </c>
      <c r="B84" s="13" t="s">
        <v>23</v>
      </c>
      <c r="C84" s="304">
        <f>BashamWAL6NTRIES</f>
        <v>0</v>
      </c>
      <c r="D84" s="57" t="s">
        <v>416</v>
      </c>
      <c r="E84" s="92" t="s">
        <v>20</v>
      </c>
      <c r="F84" s="305">
        <f>Dalyeng6npts</f>
        <v>0</v>
      </c>
    </row>
    <row r="85" spans="1:6" ht="14.95" thickBot="1" x14ac:dyDescent="0.3">
      <c r="A85" s="14" t="s">
        <v>581</v>
      </c>
      <c r="B85" s="13" t="s">
        <v>20</v>
      </c>
      <c r="C85" s="304">
        <f>CarsonEeng6ntries</f>
        <v>0</v>
      </c>
      <c r="D85" s="57" t="s">
        <v>215</v>
      </c>
      <c r="E85" s="92" t="s">
        <v>27</v>
      </c>
      <c r="F85" s="305">
        <v>0</v>
      </c>
    </row>
    <row r="86" spans="1:6" ht="14.95" thickBot="1" x14ac:dyDescent="0.3">
      <c r="A86" s="14" t="s">
        <v>46</v>
      </c>
      <c r="B86" s="13" t="s">
        <v>20</v>
      </c>
      <c r="C86" s="304">
        <v>0</v>
      </c>
      <c r="D86" s="57" t="s">
        <v>210</v>
      </c>
      <c r="E86" s="92" t="s">
        <v>20</v>
      </c>
      <c r="F86" s="305">
        <f>Dombrandteng6npts</f>
        <v>0</v>
      </c>
    </row>
    <row r="87" spans="1:6" ht="14.95" thickBot="1" x14ac:dyDescent="0.3">
      <c r="A87" s="14" t="s">
        <v>591</v>
      </c>
      <c r="B87" s="13" t="s">
        <v>19</v>
      </c>
      <c r="C87" s="304">
        <f>Corriganire6ntries</f>
        <v>0</v>
      </c>
      <c r="D87" s="57" t="s">
        <v>393</v>
      </c>
      <c r="E87" s="92" t="s">
        <v>23</v>
      </c>
      <c r="F87" s="305">
        <f>BashamWAL6NPTS</f>
        <v>0</v>
      </c>
    </row>
    <row r="88" spans="1:6" ht="14.95" thickBot="1" x14ac:dyDescent="0.3">
      <c r="A88" s="14" t="s">
        <v>597</v>
      </c>
      <c r="B88" s="13" t="s">
        <v>27</v>
      </c>
      <c r="C88" s="304">
        <f>Fickoufra6ntries</f>
        <v>0</v>
      </c>
      <c r="D88" s="57" t="s">
        <v>581</v>
      </c>
      <c r="E88" s="92" t="s">
        <v>20</v>
      </c>
      <c r="F88" s="305">
        <f>CarsonEeng6npts</f>
        <v>0</v>
      </c>
    </row>
    <row r="89" spans="1:6" ht="14.95" thickBot="1" x14ac:dyDescent="0.3">
      <c r="A89" s="14" t="s">
        <v>409</v>
      </c>
      <c r="B89" s="13" t="s">
        <v>27</v>
      </c>
      <c r="C89" s="304">
        <f>EscuderoFRA6NTRIES</f>
        <v>0</v>
      </c>
      <c r="D89" s="57" t="s">
        <v>46</v>
      </c>
      <c r="E89" s="92" t="s">
        <v>20</v>
      </c>
      <c r="F89" s="305">
        <v>0</v>
      </c>
    </row>
    <row r="90" spans="1:6" ht="14.95" thickBot="1" x14ac:dyDescent="0.3">
      <c r="A90" s="14" t="s">
        <v>429</v>
      </c>
      <c r="B90" s="13" t="s">
        <v>23</v>
      </c>
      <c r="C90" s="304">
        <v>0</v>
      </c>
      <c r="D90" s="57" t="s">
        <v>591</v>
      </c>
      <c r="E90" s="92" t="s">
        <v>19</v>
      </c>
      <c r="F90" s="305">
        <f>Corriganire6npts</f>
        <v>0</v>
      </c>
    </row>
    <row r="91" spans="1:6" ht="14.95" thickBot="1" x14ac:dyDescent="0.3">
      <c r="A91" s="14" t="s">
        <v>750</v>
      </c>
      <c r="B91" s="13" t="s">
        <v>27</v>
      </c>
      <c r="C91" s="304">
        <f>Jelonchfra6ntries</f>
        <v>0</v>
      </c>
      <c r="D91" s="57" t="s">
        <v>597</v>
      </c>
      <c r="E91" s="92" t="s">
        <v>27</v>
      </c>
      <c r="F91" s="305">
        <f>Fickoufra6npts</f>
        <v>0</v>
      </c>
    </row>
    <row r="92" spans="1:6" ht="14.95" thickBot="1" x14ac:dyDescent="0.3">
      <c r="A92" s="14" t="s">
        <v>592</v>
      </c>
      <c r="B92" s="13" t="s">
        <v>22</v>
      </c>
      <c r="C92" s="304">
        <f>Fedrighiita6ntries</f>
        <v>0</v>
      </c>
      <c r="D92" s="57" t="s">
        <v>409</v>
      </c>
      <c r="E92" s="92" t="s">
        <v>27</v>
      </c>
      <c r="F92" s="305">
        <f>EscuderoFRA6NPTS</f>
        <v>0</v>
      </c>
    </row>
    <row r="93" spans="1:6" ht="14.95" thickBot="1" x14ac:dyDescent="0.3">
      <c r="A93" s="14" t="s">
        <v>420</v>
      </c>
      <c r="B93" s="13" t="s">
        <v>27</v>
      </c>
      <c r="C93" s="304">
        <v>0</v>
      </c>
      <c r="D93" s="57" t="s">
        <v>429</v>
      </c>
      <c r="E93" s="92" t="s">
        <v>23</v>
      </c>
      <c r="F93" s="305">
        <v>0</v>
      </c>
    </row>
    <row r="94" spans="1:6" ht="14.95" thickBot="1" x14ac:dyDescent="0.3">
      <c r="A94" s="14" t="s">
        <v>408</v>
      </c>
      <c r="B94" s="13" t="s">
        <v>27</v>
      </c>
      <c r="C94" s="304">
        <v>0</v>
      </c>
      <c r="D94" s="57" t="s">
        <v>750</v>
      </c>
      <c r="E94" s="92" t="s">
        <v>27</v>
      </c>
      <c r="F94" s="305">
        <f>Jelonchfra6npts</f>
        <v>0</v>
      </c>
    </row>
    <row r="95" spans="1:6" ht="14.95" thickBot="1" x14ac:dyDescent="0.3">
      <c r="A95" s="14" t="s">
        <v>580</v>
      </c>
      <c r="B95" s="13" t="s">
        <v>19</v>
      </c>
      <c r="C95" s="304">
        <f>Conwayire6ntries</f>
        <v>0</v>
      </c>
      <c r="D95" s="57" t="s">
        <v>592</v>
      </c>
      <c r="E95" s="92" t="s">
        <v>22</v>
      </c>
      <c r="F95" s="305">
        <f>Fedrighiita6npts</f>
        <v>0</v>
      </c>
    </row>
    <row r="96" spans="1:6" ht="14.95" thickBot="1" x14ac:dyDescent="0.3">
      <c r="A96" s="14" t="s">
        <v>398</v>
      </c>
      <c r="B96" s="13" t="s">
        <v>22</v>
      </c>
      <c r="C96" s="304">
        <v>0</v>
      </c>
      <c r="D96" s="57" t="s">
        <v>420</v>
      </c>
      <c r="E96" s="92" t="s">
        <v>27</v>
      </c>
      <c r="F96" s="305">
        <v>0</v>
      </c>
    </row>
    <row r="97" spans="1:6" ht="14.95" thickBot="1" x14ac:dyDescent="0.3">
      <c r="A97" s="14" t="s">
        <v>395</v>
      </c>
      <c r="B97" s="13" t="s">
        <v>19</v>
      </c>
      <c r="C97" s="304">
        <v>0</v>
      </c>
      <c r="D97" s="57" t="s">
        <v>408</v>
      </c>
      <c r="E97" s="92" t="s">
        <v>27</v>
      </c>
      <c r="F97" s="305">
        <v>0</v>
      </c>
    </row>
    <row r="98" spans="1:6" ht="14.95" thickBot="1" x14ac:dyDescent="0.3">
      <c r="A98" s="14" t="s">
        <v>589</v>
      </c>
      <c r="B98" s="13" t="s">
        <v>20</v>
      </c>
      <c r="C98" s="304">
        <f>Galliganeng6ntries</f>
        <v>0</v>
      </c>
      <c r="D98" s="57" t="s">
        <v>580</v>
      </c>
      <c r="E98" s="92" t="s">
        <v>19</v>
      </c>
      <c r="F98" s="305">
        <f>Conwayire6npts</f>
        <v>0</v>
      </c>
    </row>
    <row r="99" spans="1:6" ht="14.95" thickBot="1" x14ac:dyDescent="0.3">
      <c r="A99" s="14" t="s">
        <v>527</v>
      </c>
      <c r="B99" s="13" t="s">
        <v>23</v>
      </c>
      <c r="C99" s="304">
        <f>Georgewal6ntries</f>
        <v>0</v>
      </c>
      <c r="D99" s="57" t="s">
        <v>398</v>
      </c>
      <c r="E99" s="92" t="s">
        <v>22</v>
      </c>
      <c r="F99" s="305">
        <v>0</v>
      </c>
    </row>
    <row r="100" spans="1:6" ht="14.95" thickBot="1" x14ac:dyDescent="0.3">
      <c r="A100" s="14" t="s">
        <v>412</v>
      </c>
      <c r="B100" s="13" t="s">
        <v>21</v>
      </c>
      <c r="C100" s="304">
        <f>Grantsco6ntries</f>
        <v>0</v>
      </c>
      <c r="D100" s="57" t="s">
        <v>395</v>
      </c>
      <c r="E100" s="92" t="s">
        <v>19</v>
      </c>
      <c r="F100" s="305">
        <v>0</v>
      </c>
    </row>
    <row r="101" spans="1:6" ht="14.95" thickBot="1" x14ac:dyDescent="0.3">
      <c r="A101" s="14" t="s">
        <v>200</v>
      </c>
      <c r="B101" s="13" t="s">
        <v>27</v>
      </c>
      <c r="C101" s="304">
        <f>Penaudfra6ntries</f>
        <v>0</v>
      </c>
      <c r="D101" s="57" t="s">
        <v>589</v>
      </c>
      <c r="E101" s="92" t="s">
        <v>20</v>
      </c>
      <c r="F101" s="305">
        <f>Galliganeng6npts</f>
        <v>0</v>
      </c>
    </row>
    <row r="102" spans="1:6" ht="14.95" thickBot="1" x14ac:dyDescent="0.3">
      <c r="A102" s="14" t="s">
        <v>205</v>
      </c>
      <c r="B102" s="13" t="s">
        <v>23</v>
      </c>
      <c r="C102" s="304">
        <v>0</v>
      </c>
      <c r="D102" s="57" t="s">
        <v>527</v>
      </c>
      <c r="E102" s="92" t="s">
        <v>23</v>
      </c>
      <c r="F102" s="305">
        <f>Georgewal6npts</f>
        <v>0</v>
      </c>
    </row>
    <row r="103" spans="1:6" ht="14.95" thickBot="1" x14ac:dyDescent="0.3">
      <c r="A103" s="14" t="s">
        <v>389</v>
      </c>
      <c r="B103" s="13" t="s">
        <v>20</v>
      </c>
      <c r="C103" s="304">
        <v>0</v>
      </c>
      <c r="D103" s="57" t="s">
        <v>412</v>
      </c>
      <c r="E103" s="92" t="s">
        <v>21</v>
      </c>
      <c r="F103" s="305">
        <f>Grantsco6npts</f>
        <v>0</v>
      </c>
    </row>
    <row r="104" spans="1:6" ht="14.95" thickBot="1" x14ac:dyDescent="0.3">
      <c r="A104" s="14" t="s">
        <v>211</v>
      </c>
      <c r="B104" s="13" t="s">
        <v>27</v>
      </c>
      <c r="C104" s="304">
        <v>0</v>
      </c>
      <c r="D104" s="57" t="s">
        <v>200</v>
      </c>
      <c r="E104" s="92" t="s">
        <v>27</v>
      </c>
      <c r="F104" s="305">
        <f>Penaudfra6npts</f>
        <v>0</v>
      </c>
    </row>
    <row r="105" spans="1:6" ht="14.95" thickBot="1" x14ac:dyDescent="0.3">
      <c r="A105" s="14" t="s">
        <v>595</v>
      </c>
      <c r="B105" s="13" t="s">
        <v>19</v>
      </c>
      <c r="C105" s="304">
        <f>Higginsire6ntries</f>
        <v>0</v>
      </c>
      <c r="D105" s="57" t="s">
        <v>205</v>
      </c>
      <c r="E105" s="92" t="s">
        <v>23</v>
      </c>
      <c r="F105" s="305">
        <v>0</v>
      </c>
    </row>
    <row r="106" spans="1:6" ht="14.95" thickBot="1" x14ac:dyDescent="0.3">
      <c r="A106" s="14" t="s">
        <v>601</v>
      </c>
      <c r="B106" s="13" t="s">
        <v>23</v>
      </c>
      <c r="C106" s="304">
        <f>Hopkinswal6ntries</f>
        <v>0</v>
      </c>
      <c r="D106" s="57" t="s">
        <v>389</v>
      </c>
      <c r="E106" s="92" t="s">
        <v>20</v>
      </c>
      <c r="F106" s="305">
        <v>0</v>
      </c>
    </row>
    <row r="107" spans="1:6" ht="14.95" thickBot="1" x14ac:dyDescent="0.3">
      <c r="A107" s="14" t="s">
        <v>602</v>
      </c>
      <c r="B107" s="13" t="s">
        <v>20</v>
      </c>
      <c r="C107" s="304">
        <f>Huntereng6ntries</f>
        <v>0</v>
      </c>
      <c r="D107" s="57" t="s">
        <v>211</v>
      </c>
      <c r="E107" s="92" t="s">
        <v>27</v>
      </c>
      <c r="F107" s="305">
        <v>0</v>
      </c>
    </row>
    <row r="108" spans="1:6" ht="14.95" thickBot="1" x14ac:dyDescent="0.3">
      <c r="A108" s="14" t="s">
        <v>903</v>
      </c>
      <c r="B108" s="13" t="s">
        <v>23</v>
      </c>
      <c r="C108" s="304">
        <f>Dallavallewal6ntries</f>
        <v>0</v>
      </c>
      <c r="D108" s="57" t="s">
        <v>595</v>
      </c>
      <c r="E108" s="92" t="s">
        <v>19</v>
      </c>
      <c r="F108" s="305">
        <f>Higginsire6npts</f>
        <v>0</v>
      </c>
    </row>
    <row r="109" spans="1:6" ht="14.95" thickBot="1" x14ac:dyDescent="0.3">
      <c r="A109" s="14" t="s">
        <v>391</v>
      </c>
      <c r="B109" s="13" t="s">
        <v>20</v>
      </c>
      <c r="C109" s="304">
        <f>Kabeyaeng6ntries</f>
        <v>0</v>
      </c>
      <c r="D109" s="57" t="s">
        <v>601</v>
      </c>
      <c r="E109" s="92" t="s">
        <v>23</v>
      </c>
      <c r="F109" s="305">
        <f>Hopkinswal6npts</f>
        <v>0</v>
      </c>
    </row>
    <row r="110" spans="1:6" ht="14.95" thickBot="1" x14ac:dyDescent="0.3">
      <c r="A110" s="14" t="s">
        <v>598</v>
      </c>
      <c r="B110" s="13" t="s">
        <v>27</v>
      </c>
      <c r="C110" s="304">
        <f>Khalfaouifra6ntries</f>
        <v>0</v>
      </c>
      <c r="D110" s="57" t="s">
        <v>602</v>
      </c>
      <c r="E110" s="92" t="s">
        <v>20</v>
      </c>
      <c r="F110" s="305">
        <f>Huntereng6npts</f>
        <v>0</v>
      </c>
    </row>
    <row r="111" spans="1:6" ht="14.95" thickBot="1" x14ac:dyDescent="0.3">
      <c r="A111" s="14" t="s">
        <v>600</v>
      </c>
      <c r="B111" s="13" t="s">
        <v>27</v>
      </c>
      <c r="C111" s="304">
        <f>Kondefra6ntries</f>
        <v>0</v>
      </c>
      <c r="D111" s="57" t="s">
        <v>903</v>
      </c>
      <c r="E111" s="92" t="s">
        <v>23</v>
      </c>
      <c r="F111" s="305">
        <f>Dallavallewal6npts</f>
        <v>0</v>
      </c>
    </row>
    <row r="112" spans="1:6" ht="14.95" thickBot="1" x14ac:dyDescent="0.3">
      <c r="A112" s="14" t="s">
        <v>435</v>
      </c>
      <c r="B112" s="13" t="s">
        <v>23</v>
      </c>
      <c r="C112" s="304">
        <v>0</v>
      </c>
      <c r="D112" s="57" t="s">
        <v>391</v>
      </c>
      <c r="E112" s="92" t="s">
        <v>20</v>
      </c>
      <c r="F112" s="305">
        <f>Kabeyaeng6npts</f>
        <v>0</v>
      </c>
    </row>
    <row r="113" spans="1:6" ht="14.95" thickBot="1" x14ac:dyDescent="0.3">
      <c r="A113" s="14" t="s">
        <v>177</v>
      </c>
      <c r="B113" s="13" t="s">
        <v>23</v>
      </c>
      <c r="C113" s="304">
        <v>0</v>
      </c>
      <c r="D113" s="57" t="s">
        <v>598</v>
      </c>
      <c r="E113" s="92" t="s">
        <v>27</v>
      </c>
      <c r="F113" s="305">
        <f>Khalfaouifra6npts</f>
        <v>0</v>
      </c>
    </row>
    <row r="114" spans="1:6" ht="14.95" thickBot="1" x14ac:dyDescent="0.3">
      <c r="A114" s="14" t="s">
        <v>189</v>
      </c>
      <c r="B114" s="13" t="s">
        <v>23</v>
      </c>
      <c r="C114" s="304">
        <v>0</v>
      </c>
      <c r="D114" s="57" t="s">
        <v>600</v>
      </c>
      <c r="E114" s="92" t="s">
        <v>27</v>
      </c>
      <c r="F114" s="305">
        <f>Kondefra6npts</f>
        <v>0</v>
      </c>
    </row>
    <row r="115" spans="1:6" ht="14.95" thickBot="1" x14ac:dyDescent="0.3">
      <c r="A115" s="14" t="s">
        <v>203</v>
      </c>
      <c r="B115" s="13" t="s">
        <v>27</v>
      </c>
      <c r="C115" s="304">
        <f>Llorensfra6ntries</f>
        <v>0</v>
      </c>
      <c r="D115" s="57" t="s">
        <v>435</v>
      </c>
      <c r="E115" s="92" t="s">
        <v>23</v>
      </c>
      <c r="F115" s="305">
        <v>0</v>
      </c>
    </row>
    <row r="116" spans="1:6" ht="14.95" thickBot="1" x14ac:dyDescent="0.3">
      <c r="A116" s="14" t="s">
        <v>556</v>
      </c>
      <c r="B116" s="13" t="s">
        <v>21</v>
      </c>
      <c r="C116" s="304">
        <f>Lloydscpo6ntries</f>
        <v>0</v>
      </c>
      <c r="D116" s="57" t="s">
        <v>177</v>
      </c>
      <c r="E116" s="92" t="s">
        <v>23</v>
      </c>
      <c r="F116" s="305">
        <v>0</v>
      </c>
    </row>
    <row r="117" spans="1:6" ht="14.95" thickBot="1" x14ac:dyDescent="0.3">
      <c r="A117" s="14" t="s">
        <v>434</v>
      </c>
      <c r="B117" s="13" t="s">
        <v>22</v>
      </c>
      <c r="C117" s="304">
        <v>0</v>
      </c>
      <c r="D117" s="57" t="s">
        <v>189</v>
      </c>
      <c r="E117" s="92" t="s">
        <v>23</v>
      </c>
      <c r="F117" s="305">
        <v>0</v>
      </c>
    </row>
    <row r="118" spans="1:6" ht="14.95" thickBot="1" x14ac:dyDescent="0.3">
      <c r="A118" s="14" t="s">
        <v>431</v>
      </c>
      <c r="B118" s="13" t="s">
        <v>21</v>
      </c>
      <c r="C118" s="304">
        <v>0</v>
      </c>
      <c r="D118" s="57" t="s">
        <v>203</v>
      </c>
      <c r="E118" s="92" t="s">
        <v>27</v>
      </c>
      <c r="F118" s="305">
        <f>Llorensfra6npts</f>
        <v>0</v>
      </c>
    </row>
    <row r="119" spans="1:6" ht="14.95" thickBot="1" x14ac:dyDescent="0.3">
      <c r="A119" s="14" t="s">
        <v>208</v>
      </c>
      <c r="B119" s="13" t="s">
        <v>20</v>
      </c>
      <c r="C119" s="304">
        <f>Sincklereng6ntries</f>
        <v>0</v>
      </c>
      <c r="D119" s="57" t="s">
        <v>556</v>
      </c>
      <c r="E119" s="92" t="s">
        <v>21</v>
      </c>
      <c r="F119" s="305">
        <f>Lloydsco6npts</f>
        <v>0</v>
      </c>
    </row>
    <row r="120" spans="1:6" ht="14.95" thickBot="1" x14ac:dyDescent="0.3">
      <c r="A120" s="14" t="s">
        <v>426</v>
      </c>
      <c r="B120" s="13" t="s">
        <v>21</v>
      </c>
      <c r="C120" s="304">
        <v>0</v>
      </c>
      <c r="D120" s="57" t="s">
        <v>434</v>
      </c>
      <c r="E120" s="92" t="s">
        <v>22</v>
      </c>
      <c r="F120" s="305">
        <v>0</v>
      </c>
    </row>
    <row r="121" spans="1:6" ht="14.95" thickBot="1" x14ac:dyDescent="0.3">
      <c r="A121" s="14" t="s">
        <v>609</v>
      </c>
      <c r="B121" s="13" t="s">
        <v>19</v>
      </c>
      <c r="C121" s="304">
        <f>Moloneyire6ntries</f>
        <v>0</v>
      </c>
      <c r="D121" s="57" t="s">
        <v>431</v>
      </c>
      <c r="E121" s="92" t="s">
        <v>21</v>
      </c>
      <c r="F121" s="305">
        <v>0</v>
      </c>
    </row>
    <row r="122" spans="1:6" ht="14.95" thickBot="1" x14ac:dyDescent="0.3">
      <c r="A122" s="14" t="s">
        <v>417</v>
      </c>
      <c r="B122" s="13" t="s">
        <v>20</v>
      </c>
      <c r="C122" s="304">
        <f>Muireng6ntries</f>
        <v>0</v>
      </c>
      <c r="D122" s="57" t="s">
        <v>208</v>
      </c>
      <c r="E122" s="92" t="s">
        <v>20</v>
      </c>
      <c r="F122" s="305">
        <f>Sincklereng6npts</f>
        <v>0</v>
      </c>
    </row>
    <row r="123" spans="1:6" ht="14.95" thickBot="1" x14ac:dyDescent="0.3">
      <c r="A123" s="14" t="s">
        <v>198</v>
      </c>
      <c r="B123" s="13" t="s">
        <v>21</v>
      </c>
      <c r="C123" s="304">
        <f>Nelsonsco6ntries</f>
        <v>0</v>
      </c>
      <c r="D123" s="57" t="s">
        <v>426</v>
      </c>
      <c r="E123" s="92" t="s">
        <v>21</v>
      </c>
      <c r="F123" s="305">
        <v>0</v>
      </c>
    </row>
    <row r="124" spans="1:6" ht="14.95" thickBot="1" x14ac:dyDescent="0.3">
      <c r="A124" s="14" t="s">
        <v>402</v>
      </c>
      <c r="B124" s="13" t="s">
        <v>19</v>
      </c>
      <c r="C124" s="304">
        <f>O_Brienire6ntries</f>
        <v>0</v>
      </c>
      <c r="D124" s="57" t="s">
        <v>609</v>
      </c>
      <c r="E124" s="92" t="s">
        <v>19</v>
      </c>
      <c r="F124" s="305">
        <f>Moloneyire6npts</f>
        <v>0</v>
      </c>
    </row>
    <row r="125" spans="1:6" ht="14.95" thickBot="1" x14ac:dyDescent="0.3">
      <c r="A125" s="14" t="s">
        <v>63</v>
      </c>
      <c r="B125" s="13" t="s">
        <v>20</v>
      </c>
      <c r="C125" s="304">
        <v>0</v>
      </c>
      <c r="D125" s="57" t="s">
        <v>417</v>
      </c>
      <c r="E125" s="92" t="s">
        <v>20</v>
      </c>
      <c r="F125" s="305">
        <f>Muireng6npts</f>
        <v>0</v>
      </c>
    </row>
    <row r="126" spans="1:6" ht="14.95" thickBot="1" x14ac:dyDescent="0.3">
      <c r="A126" s="14" t="s">
        <v>594</v>
      </c>
      <c r="B126" s="13" t="s">
        <v>19</v>
      </c>
      <c r="C126" s="304">
        <f>Parsonsire6ntries</f>
        <v>0</v>
      </c>
      <c r="D126" s="57" t="s">
        <v>63</v>
      </c>
      <c r="E126" s="92" t="s">
        <v>20</v>
      </c>
      <c r="F126" s="305">
        <v>0</v>
      </c>
    </row>
    <row r="127" spans="1:6" ht="14.95" thickBot="1" x14ac:dyDescent="0.3">
      <c r="A127" s="14" t="s">
        <v>212</v>
      </c>
      <c r="B127" s="13" t="s">
        <v>19</v>
      </c>
      <c r="C127" s="304">
        <f>Penalty_Triesire6ntries</f>
        <v>0</v>
      </c>
      <c r="D127" s="57" t="s">
        <v>594</v>
      </c>
      <c r="E127" s="92" t="s">
        <v>19</v>
      </c>
      <c r="F127" s="305">
        <f>Parsonsire6npts</f>
        <v>0</v>
      </c>
    </row>
    <row r="128" spans="1:6" ht="14.95" thickBot="1" x14ac:dyDescent="0.3">
      <c r="A128" s="14" t="s">
        <v>582</v>
      </c>
      <c r="B128" s="13" t="s">
        <v>20</v>
      </c>
      <c r="C128" s="304">
        <f>Powellengtries</f>
        <v>0</v>
      </c>
      <c r="D128" s="57" t="s">
        <v>212</v>
      </c>
      <c r="E128" s="92" t="s">
        <v>19</v>
      </c>
      <c r="F128" s="305">
        <f>Penalty_Triesire6npts</f>
        <v>0</v>
      </c>
    </row>
    <row r="129" spans="1:6" ht="14.95" thickBot="1" x14ac:dyDescent="0.3">
      <c r="A129" s="14" t="s">
        <v>576</v>
      </c>
      <c r="B129" s="13" t="s">
        <v>27</v>
      </c>
      <c r="C129" s="304">
        <f>Queyroifra6ntries</f>
        <v>0</v>
      </c>
      <c r="D129" s="57" t="s">
        <v>582</v>
      </c>
      <c r="E129" s="92" t="s">
        <v>20</v>
      </c>
      <c r="F129" s="305">
        <f>Powellengpts</f>
        <v>0</v>
      </c>
    </row>
    <row r="130" spans="1:6" ht="14.95" thickBot="1" x14ac:dyDescent="0.3">
      <c r="A130" s="14" t="s">
        <v>575</v>
      </c>
      <c r="B130" s="13" t="s">
        <v>27</v>
      </c>
      <c r="C130" s="304">
        <f>Sansusfra6ntries</f>
        <v>0</v>
      </c>
      <c r="D130" s="57" t="s">
        <v>576</v>
      </c>
      <c r="E130" s="92" t="s">
        <v>27</v>
      </c>
      <c r="F130" s="305">
        <f>Queyroifra6npts</f>
        <v>0</v>
      </c>
    </row>
    <row r="131" spans="1:6" ht="14.95" thickBot="1" x14ac:dyDescent="0.3">
      <c r="A131" s="14" t="s">
        <v>424</v>
      </c>
      <c r="B131" s="13" t="s">
        <v>20</v>
      </c>
      <c r="C131" s="304">
        <f>Rowlandengtries</f>
        <v>0</v>
      </c>
      <c r="D131" s="57" t="s">
        <v>575</v>
      </c>
      <c r="E131" s="92" t="s">
        <v>27</v>
      </c>
      <c r="F131" s="305">
        <f>Sansusfra6npts</f>
        <v>0</v>
      </c>
    </row>
    <row r="132" spans="1:6" ht="14.95" thickBot="1" x14ac:dyDescent="0.3">
      <c r="A132" s="14" t="s">
        <v>202</v>
      </c>
      <c r="B132" s="13" t="s">
        <v>22</v>
      </c>
      <c r="C132" s="304">
        <f>Sillariita6ntries</f>
        <v>0</v>
      </c>
      <c r="D132" s="57" t="s">
        <v>424</v>
      </c>
      <c r="E132" s="92" t="s">
        <v>20</v>
      </c>
      <c r="F132" s="305">
        <f>Rowlandengpts</f>
        <v>0</v>
      </c>
    </row>
    <row r="133" spans="1:6" ht="14.95" thickBot="1" x14ac:dyDescent="0.3">
      <c r="A133" s="14" t="s">
        <v>31</v>
      </c>
      <c r="B133" s="13" t="s">
        <v>21</v>
      </c>
      <c r="C133" s="304">
        <v>0</v>
      </c>
      <c r="D133" s="57" t="s">
        <v>31</v>
      </c>
      <c r="E133" s="92" t="s">
        <v>21</v>
      </c>
      <c r="F133" s="305">
        <v>0</v>
      </c>
    </row>
    <row r="134" spans="1:6" ht="14.95" thickBot="1" x14ac:dyDescent="0.3">
      <c r="A134" s="14" t="s">
        <v>607</v>
      </c>
      <c r="B134" s="13" t="s">
        <v>22</v>
      </c>
      <c r="C134" s="304">
        <f>Stevaninita6ntries</f>
        <v>0</v>
      </c>
      <c r="D134" s="57" t="s">
        <v>607</v>
      </c>
      <c r="E134" s="92" t="s">
        <v>22</v>
      </c>
      <c r="F134" s="305">
        <f>Stevaninita6npts</f>
        <v>0</v>
      </c>
    </row>
    <row r="135" spans="1:6" ht="14.95" thickBot="1" x14ac:dyDescent="0.3">
      <c r="A135" s="14" t="s">
        <v>415</v>
      </c>
      <c r="B135" s="13" t="s">
        <v>22</v>
      </c>
      <c r="C135" s="304">
        <v>0</v>
      </c>
      <c r="D135" s="57" t="s">
        <v>415</v>
      </c>
      <c r="E135" s="92" t="s">
        <v>22</v>
      </c>
      <c r="F135" s="305">
        <v>0</v>
      </c>
    </row>
    <row r="136" spans="1:6" ht="14.95" thickBot="1" x14ac:dyDescent="0.3">
      <c r="A136" s="14" t="s">
        <v>392</v>
      </c>
      <c r="B136" s="13" t="s">
        <v>20</v>
      </c>
      <c r="C136" s="304">
        <v>0</v>
      </c>
      <c r="D136" s="57" t="s">
        <v>392</v>
      </c>
      <c r="E136" s="92" t="s">
        <v>20</v>
      </c>
      <c r="F136" s="305">
        <v>0</v>
      </c>
    </row>
    <row r="137" spans="1:6" ht="14.95" thickBot="1" x14ac:dyDescent="0.3">
      <c r="A137" s="14" t="s">
        <v>394</v>
      </c>
      <c r="B137" s="13" t="s">
        <v>23</v>
      </c>
      <c r="C137" s="304">
        <f>Tuipulotuwal6ntries</f>
        <v>0</v>
      </c>
      <c r="D137" s="57" t="s">
        <v>394</v>
      </c>
      <c r="E137" s="92" t="s">
        <v>23</v>
      </c>
      <c r="F137" s="305">
        <f>Tuipulotuwal6npts</f>
        <v>0</v>
      </c>
    </row>
    <row r="138" spans="1:6" ht="14.95" thickBot="1" x14ac:dyDescent="0.3">
      <c r="A138" s="14" t="s">
        <v>427</v>
      </c>
      <c r="B138" s="13" t="s">
        <v>22</v>
      </c>
      <c r="C138" s="304">
        <v>0</v>
      </c>
      <c r="D138" s="57" t="s">
        <v>427</v>
      </c>
      <c r="E138" s="92" t="s">
        <v>22</v>
      </c>
      <c r="F138" s="305">
        <v>0</v>
      </c>
    </row>
    <row r="139" spans="1:6" x14ac:dyDescent="0.25">
      <c r="C139">
        <f>SUM(C4:C138)</f>
        <v>126</v>
      </c>
      <c r="F139">
        <f>SUM(F4:F138)</f>
        <v>839</v>
      </c>
    </row>
    <row r="140" spans="1:6" x14ac:dyDescent="0.25">
      <c r="A140" s="2" t="s">
        <v>748</v>
      </c>
    </row>
    <row r="141" spans="1:6" ht="16.3" x14ac:dyDescent="0.3">
      <c r="A141" s="425" t="s">
        <v>10</v>
      </c>
    </row>
  </sheetData>
  <sortState xmlns:xlrd2="http://schemas.microsoft.com/office/spreadsheetml/2017/richdata2" ref="G4:K13">
    <sortCondition sortBy="fontColor" ref="J4:J13" dxfId="3"/>
    <sortCondition descending="1" ref="K4:K13"/>
    <sortCondition descending="1" ref="J4:J13"/>
    <sortCondition ref="G4:G1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4DA-9582-44FC-84FA-B11CAC34355E}">
  <dimension ref="A1:K119"/>
  <sheetViews>
    <sheetView tabSelected="1" workbookViewId="0">
      <selection activeCell="H29" sqref="H29"/>
    </sheetView>
  </sheetViews>
  <sheetFormatPr defaultRowHeight="14.3" x14ac:dyDescent="0.25"/>
  <cols>
    <col min="1" max="1" width="19.625" customWidth="1"/>
    <col min="2" max="2" width="5.5" bestFit="1" customWidth="1"/>
    <col min="3" max="3" width="4" bestFit="1" customWidth="1"/>
    <col min="4" max="4" width="19.625" customWidth="1"/>
    <col min="5" max="5" width="5.5" bestFit="1" customWidth="1"/>
    <col min="6" max="6" width="4.5" customWidth="1"/>
    <col min="7" max="7" width="18.75" customWidth="1"/>
    <col min="8" max="8" width="5.5" bestFit="1" customWidth="1"/>
    <col min="9" max="11" width="4" customWidth="1"/>
  </cols>
  <sheetData>
    <row r="1" spans="1:11" x14ac:dyDescent="0.25">
      <c r="A1" s="343" t="s">
        <v>806</v>
      </c>
      <c r="B1" s="2"/>
    </row>
    <row r="2" spans="1:11" ht="14.95" thickBot="1" x14ac:dyDescent="0.3">
      <c r="A2" s="229" t="s">
        <v>823</v>
      </c>
    </row>
    <row r="3" spans="1:11" ht="14.95" customHeight="1" thickBot="1" x14ac:dyDescent="0.3">
      <c r="A3" s="56" t="s">
        <v>0</v>
      </c>
      <c r="B3" s="91"/>
      <c r="C3" s="184" t="s">
        <v>1</v>
      </c>
      <c r="D3" s="185" t="s">
        <v>2</v>
      </c>
      <c r="E3" s="48"/>
      <c r="F3" s="186" t="s">
        <v>1</v>
      </c>
      <c r="G3" s="63" t="s">
        <v>329</v>
      </c>
      <c r="H3" s="93"/>
      <c r="I3" s="55" t="s">
        <v>25</v>
      </c>
      <c r="J3" s="55" t="s">
        <v>26</v>
      </c>
      <c r="K3" s="55" t="s">
        <v>6</v>
      </c>
    </row>
    <row r="4" spans="1:11" ht="14.95" customHeight="1" thickBot="1" x14ac:dyDescent="0.3">
      <c r="A4" s="14" t="s">
        <v>820</v>
      </c>
      <c r="B4" s="13" t="s">
        <v>330</v>
      </c>
      <c r="C4" s="187">
        <f>Woodman_Wickliffenzlp4tries</f>
        <v>7</v>
      </c>
      <c r="D4" s="57" t="s">
        <v>820</v>
      </c>
      <c r="E4" s="92" t="s">
        <v>330</v>
      </c>
      <c r="F4" s="188">
        <f>Woodman_Wickliffenzlp4pts</f>
        <v>35</v>
      </c>
      <c r="G4" s="14" t="s">
        <v>451</v>
      </c>
      <c r="H4" s="13" t="s">
        <v>333</v>
      </c>
      <c r="I4" s="15">
        <f>HawkinsUSAp4gls</f>
        <v>6</v>
      </c>
      <c r="J4" s="15">
        <f>hawkinsUSAp4att</f>
        <v>7</v>
      </c>
      <c r="K4" s="62">
        <f>SUM(I4/J4)*100</f>
        <v>85.714285714285708</v>
      </c>
    </row>
    <row r="5" spans="1:11" ht="14.95" customHeight="1" thickBot="1" x14ac:dyDescent="0.3">
      <c r="A5" s="14" t="s">
        <v>803</v>
      </c>
      <c r="B5" s="13" t="s">
        <v>330</v>
      </c>
      <c r="C5" s="187">
        <f>Leti_l_iganzlp4tries</f>
        <v>4</v>
      </c>
      <c r="D5" s="57" t="s">
        <v>485</v>
      </c>
      <c r="E5" s="92" t="s">
        <v>330</v>
      </c>
      <c r="F5" s="188">
        <f>DemantnzlP4pts</f>
        <v>26</v>
      </c>
      <c r="G5" s="14" t="s">
        <v>485</v>
      </c>
      <c r="H5" s="13" t="s">
        <v>330</v>
      </c>
      <c r="I5" s="15">
        <f>Demantnzlp4gls</f>
        <v>10</v>
      </c>
      <c r="J5" s="15">
        <f>Demantnzlp4attcorrect</f>
        <v>16</v>
      </c>
      <c r="K5" s="62">
        <f>SUM(I5/J5)*100</f>
        <v>62.5</v>
      </c>
    </row>
    <row r="6" spans="1:11" ht="14.95" customHeight="1" thickBot="1" x14ac:dyDescent="0.3">
      <c r="A6" s="14" t="s">
        <v>459</v>
      </c>
      <c r="B6" s="13" t="s">
        <v>333</v>
      </c>
      <c r="C6" s="187">
        <f>RogersUSAp4tries</f>
        <v>4</v>
      </c>
      <c r="D6" s="57" t="s">
        <v>802</v>
      </c>
      <c r="E6" s="92" t="s">
        <v>332</v>
      </c>
      <c r="F6" s="188">
        <f>Schellcanp4pts</f>
        <v>23</v>
      </c>
      <c r="G6" s="14" t="s">
        <v>672</v>
      </c>
      <c r="H6" s="13" t="s">
        <v>331</v>
      </c>
      <c r="I6" s="15">
        <f>Molekaausp4gls</f>
        <v>5</v>
      </c>
      <c r="J6" s="15">
        <f>Molekaausp4att</f>
        <v>8</v>
      </c>
      <c r="K6" s="62">
        <f>SUM(I6/J6)*100</f>
        <v>62.5</v>
      </c>
    </row>
    <row r="7" spans="1:11" ht="14.95" customHeight="1" thickBot="1" x14ac:dyDescent="0.3">
      <c r="A7" s="14" t="s">
        <v>517</v>
      </c>
      <c r="B7" s="13" t="s">
        <v>330</v>
      </c>
      <c r="C7" s="187">
        <f>Vaha_akolonzlp4tries</f>
        <v>4</v>
      </c>
      <c r="D7" s="57" t="s">
        <v>803</v>
      </c>
      <c r="E7" s="92" t="s">
        <v>330</v>
      </c>
      <c r="F7" s="188">
        <f>Leti_l_iganzlp4pts</f>
        <v>20</v>
      </c>
      <c r="G7" s="14" t="s">
        <v>617</v>
      </c>
      <c r="H7" s="13" t="s">
        <v>330</v>
      </c>
      <c r="I7" s="15">
        <f>Kingnzlp4gls</f>
        <v>4</v>
      </c>
      <c r="J7" s="15">
        <f>kingnzlp4att</f>
        <v>7</v>
      </c>
      <c r="K7" s="62">
        <f>SUM(I7/J7)*100</f>
        <v>57.142857142857139</v>
      </c>
    </row>
    <row r="8" spans="1:11" ht="14.95" customHeight="1" thickBot="1" x14ac:dyDescent="0.3">
      <c r="A8" s="14" t="s">
        <v>498</v>
      </c>
      <c r="B8" s="13" t="s">
        <v>331</v>
      </c>
      <c r="C8" s="187">
        <f>Marstersausp4tries</f>
        <v>3</v>
      </c>
      <c r="D8" s="57" t="s">
        <v>459</v>
      </c>
      <c r="E8" s="92" t="s">
        <v>333</v>
      </c>
      <c r="F8" s="188">
        <f>RogersUSAP4pts</f>
        <v>20</v>
      </c>
      <c r="G8" s="14" t="s">
        <v>319</v>
      </c>
      <c r="H8" s="13" t="s">
        <v>332</v>
      </c>
      <c r="I8" s="15">
        <f>Schellcanp4gls</f>
        <v>9</v>
      </c>
      <c r="J8" s="15">
        <f>schellcanp4att</f>
        <v>16</v>
      </c>
      <c r="K8" s="62">
        <f>SUM(I8/J8)*100</f>
        <v>56.25</v>
      </c>
    </row>
    <row r="9" spans="1:11" ht="14.95" customHeight="1" thickBot="1" x14ac:dyDescent="0.3">
      <c r="A9" s="14" t="s">
        <v>805</v>
      </c>
      <c r="B9" s="13" t="s">
        <v>330</v>
      </c>
      <c r="C9" s="187">
        <f>Sorensen_McGeenzlp4tries</f>
        <v>3</v>
      </c>
      <c r="D9" s="57" t="s">
        <v>517</v>
      </c>
      <c r="E9" s="92" t="s">
        <v>330</v>
      </c>
      <c r="F9" s="188">
        <f>Vaha_akolonzlp4pts</f>
        <v>20</v>
      </c>
      <c r="G9" s="189"/>
    </row>
    <row r="10" spans="1:11" ht="14.95" customHeight="1" thickBot="1" x14ac:dyDescent="0.3">
      <c r="A10" s="14" t="s">
        <v>464</v>
      </c>
      <c r="B10" s="13" t="s">
        <v>330</v>
      </c>
      <c r="C10" s="187">
        <f>BruntnzlP4tries</f>
        <v>2</v>
      </c>
      <c r="D10" s="57" t="s">
        <v>498</v>
      </c>
      <c r="E10" s="92" t="s">
        <v>331</v>
      </c>
      <c r="F10" s="188">
        <f>Marstersausp4pts</f>
        <v>15</v>
      </c>
    </row>
    <row r="11" spans="1:11" ht="14.95" customHeight="1" thickBot="1" x14ac:dyDescent="0.3">
      <c r="A11" s="14" t="s">
        <v>473</v>
      </c>
      <c r="B11" s="13" t="s">
        <v>331</v>
      </c>
      <c r="C11" s="187">
        <f>KarpaniausP4tries</f>
        <v>2</v>
      </c>
      <c r="D11" s="57" t="s">
        <v>805</v>
      </c>
      <c r="E11" s="92" t="s">
        <v>330</v>
      </c>
      <c r="F11" s="188">
        <f>Sorensen_McGeenzlp4pts</f>
        <v>15</v>
      </c>
    </row>
    <row r="12" spans="1:11" ht="14.95" customHeight="1" thickBot="1" x14ac:dyDescent="0.3">
      <c r="A12" s="14" t="s">
        <v>612</v>
      </c>
      <c r="B12" s="13" t="s">
        <v>332</v>
      </c>
      <c r="C12" s="187">
        <f>Royercanp4tries</f>
        <v>2</v>
      </c>
      <c r="D12" s="57" t="s">
        <v>451</v>
      </c>
      <c r="E12" s="92" t="s">
        <v>333</v>
      </c>
      <c r="F12" s="188">
        <f>HawkinsUSAP4pts</f>
        <v>12</v>
      </c>
    </row>
    <row r="13" spans="1:11" ht="14.95" customHeight="1" thickBot="1" x14ac:dyDescent="0.3">
      <c r="A13" s="14" t="s">
        <v>814</v>
      </c>
      <c r="B13" s="13" t="s">
        <v>332</v>
      </c>
      <c r="C13" s="187">
        <f>Appscanp4tries</f>
        <v>1</v>
      </c>
      <c r="D13" s="57" t="s">
        <v>672</v>
      </c>
      <c r="E13" s="92" t="s">
        <v>331</v>
      </c>
      <c r="F13" s="188">
        <f>Molekaausp4pts</f>
        <v>11</v>
      </c>
    </row>
    <row r="14" spans="1:11" ht="14.95" customHeight="1" thickBot="1" x14ac:dyDescent="0.3">
      <c r="A14" s="14" t="s">
        <v>817</v>
      </c>
      <c r="B14" s="13" t="s">
        <v>331</v>
      </c>
      <c r="C14" s="187">
        <f>Caslickausp4tries</f>
        <v>1</v>
      </c>
      <c r="D14" s="57" t="s">
        <v>464</v>
      </c>
      <c r="E14" s="92" t="s">
        <v>330</v>
      </c>
      <c r="F14" s="188">
        <f>BruntnzlP4pts</f>
        <v>10</v>
      </c>
    </row>
    <row r="15" spans="1:11" ht="14.95" customHeight="1" thickBot="1" x14ac:dyDescent="0.3">
      <c r="A15" s="14" t="s">
        <v>815</v>
      </c>
      <c r="B15" s="13" t="s">
        <v>332</v>
      </c>
      <c r="C15" s="187">
        <f>Corrigancanp4tries</f>
        <v>1</v>
      </c>
      <c r="D15" s="57" t="s">
        <v>473</v>
      </c>
      <c r="E15" s="92" t="s">
        <v>331</v>
      </c>
      <c r="F15" s="188">
        <f>KarpaniausP4pts</f>
        <v>10</v>
      </c>
    </row>
    <row r="16" spans="1:11" ht="14.95" customHeight="1" thickBot="1" x14ac:dyDescent="0.3">
      <c r="A16" s="14" t="s">
        <v>485</v>
      </c>
      <c r="B16" s="13" t="s">
        <v>330</v>
      </c>
      <c r="C16" s="187">
        <f>DemantnzlP4tries</f>
        <v>1</v>
      </c>
      <c r="D16" s="57" t="s">
        <v>612</v>
      </c>
      <c r="E16" s="92" t="s">
        <v>332</v>
      </c>
      <c r="F16" s="188">
        <f>Royercanp4pts</f>
        <v>10</v>
      </c>
    </row>
    <row r="17" spans="1:6" ht="14.95" customHeight="1" thickBot="1" x14ac:dyDescent="0.3">
      <c r="A17" s="14" t="s">
        <v>482</v>
      </c>
      <c r="B17" s="13" t="s">
        <v>332</v>
      </c>
      <c r="C17" s="187">
        <f>FortezacanP4tries</f>
        <v>1</v>
      </c>
      <c r="D17" s="57" t="s">
        <v>617</v>
      </c>
      <c r="E17" s="92" t="s">
        <v>330</v>
      </c>
      <c r="F17" s="188">
        <f>Kingnzlp4pts</f>
        <v>8</v>
      </c>
    </row>
    <row r="18" spans="1:6" ht="14.95" customHeight="1" thickBot="1" x14ac:dyDescent="0.3">
      <c r="A18" s="14" t="s">
        <v>677</v>
      </c>
      <c r="B18" s="13" t="s">
        <v>332</v>
      </c>
      <c r="C18" s="187">
        <f>Hogan_Rochestercanp4tries</f>
        <v>1</v>
      </c>
      <c r="D18" s="57" t="s">
        <v>814</v>
      </c>
      <c r="E18" s="92" t="s">
        <v>332</v>
      </c>
      <c r="F18" s="188">
        <f>Appscanp4pts</f>
        <v>5</v>
      </c>
    </row>
    <row r="19" spans="1:6" ht="14.95" customHeight="1" thickBot="1" x14ac:dyDescent="0.3">
      <c r="A19" s="14" t="s">
        <v>513</v>
      </c>
      <c r="B19" s="13" t="s">
        <v>332</v>
      </c>
      <c r="C19" s="187">
        <f>Huntcanp4tries</f>
        <v>1</v>
      </c>
      <c r="D19" s="57" t="s">
        <v>817</v>
      </c>
      <c r="E19" s="92" t="s">
        <v>331</v>
      </c>
      <c r="F19" s="188">
        <f>Caslickausp4pts</f>
        <v>5</v>
      </c>
    </row>
    <row r="20" spans="1:6" ht="14.95" customHeight="1" thickBot="1" x14ac:dyDescent="0.3">
      <c r="A20" s="14" t="s">
        <v>711</v>
      </c>
      <c r="B20" s="13" t="s">
        <v>333</v>
      </c>
      <c r="C20" s="187">
        <f>Kelterusap4tries</f>
        <v>1</v>
      </c>
      <c r="D20" s="57" t="s">
        <v>815</v>
      </c>
      <c r="E20" s="92" t="s">
        <v>332</v>
      </c>
      <c r="F20" s="188">
        <f>Corrigancanp4pts</f>
        <v>5</v>
      </c>
    </row>
    <row r="21" spans="1:6" ht="14.95" customHeight="1" thickBot="1" x14ac:dyDescent="0.3">
      <c r="A21" s="14" t="s">
        <v>455</v>
      </c>
      <c r="B21" s="13" t="s">
        <v>332</v>
      </c>
      <c r="C21" s="187">
        <f>Lachancecanp4tries</f>
        <v>1</v>
      </c>
      <c r="D21" s="57" t="s">
        <v>482</v>
      </c>
      <c r="E21" s="92" t="s">
        <v>332</v>
      </c>
      <c r="F21" s="188">
        <f>fortezacanP4pts</f>
        <v>5</v>
      </c>
    </row>
    <row r="22" spans="1:6" ht="14.95" customHeight="1" thickBot="1" x14ac:dyDescent="0.3">
      <c r="A22" s="14" t="s">
        <v>627</v>
      </c>
      <c r="B22" s="13" t="s">
        <v>332</v>
      </c>
      <c r="C22" s="187">
        <f>Menincanp4tries</f>
        <v>1</v>
      </c>
      <c r="D22" s="57" t="s">
        <v>677</v>
      </c>
      <c r="E22" s="92" t="s">
        <v>332</v>
      </c>
      <c r="F22" s="188">
        <f>Hogan_Rochestercanp4pts</f>
        <v>5</v>
      </c>
    </row>
    <row r="23" spans="1:6" ht="14.95" customHeight="1" thickBot="1" x14ac:dyDescent="0.3">
      <c r="A23" s="14" t="s">
        <v>630</v>
      </c>
      <c r="B23" s="13" t="s">
        <v>331</v>
      </c>
      <c r="C23" s="187">
        <f>Millerausp4tries</f>
        <v>1</v>
      </c>
      <c r="D23" s="57" t="s">
        <v>513</v>
      </c>
      <c r="E23" s="92" t="s">
        <v>332</v>
      </c>
      <c r="F23" s="188">
        <f>Huntcanp4pts</f>
        <v>5</v>
      </c>
    </row>
    <row r="24" spans="1:6" ht="14.95" customHeight="1" thickBot="1" x14ac:dyDescent="0.3">
      <c r="A24" s="14" t="s">
        <v>801</v>
      </c>
      <c r="B24" s="13" t="s">
        <v>332</v>
      </c>
      <c r="C24" s="187">
        <f>O_Donnellcanp4triees</f>
        <v>1</v>
      </c>
      <c r="D24" s="57" t="s">
        <v>711</v>
      </c>
      <c r="E24" s="92" t="s">
        <v>333</v>
      </c>
      <c r="F24" s="188">
        <f>Kelterusap4pts</f>
        <v>5</v>
      </c>
    </row>
    <row r="25" spans="1:6" ht="14.95" customHeight="1" thickBot="1" x14ac:dyDescent="0.3">
      <c r="A25" s="14" t="s">
        <v>818</v>
      </c>
      <c r="B25" s="13" t="s">
        <v>332</v>
      </c>
      <c r="C25" s="187">
        <f>Paquincanp4tries</f>
        <v>1</v>
      </c>
      <c r="D25" s="57" t="s">
        <v>455</v>
      </c>
      <c r="E25" s="92" t="s">
        <v>332</v>
      </c>
      <c r="F25" s="188">
        <f>Lachancecanp4pts</f>
        <v>5</v>
      </c>
    </row>
    <row r="26" spans="1:6" ht="14.95" customHeight="1" thickBot="1" x14ac:dyDescent="0.3">
      <c r="A26" s="14" t="s">
        <v>678</v>
      </c>
      <c r="B26" s="13" t="s">
        <v>332</v>
      </c>
      <c r="C26" s="187">
        <f>Pelletiercsanp4tries</f>
        <v>1</v>
      </c>
      <c r="D26" s="57" t="s">
        <v>627</v>
      </c>
      <c r="E26" s="92" t="s">
        <v>332</v>
      </c>
      <c r="F26" s="188">
        <f>Menincanp4pts</f>
        <v>5</v>
      </c>
    </row>
    <row r="27" spans="1:6" ht="14.95" customHeight="1" thickBot="1" x14ac:dyDescent="0.3">
      <c r="A27" s="14" t="s">
        <v>802</v>
      </c>
      <c r="B27" s="13" t="s">
        <v>332</v>
      </c>
      <c r="C27" s="187">
        <f>Schellcanp4tries</f>
        <v>1</v>
      </c>
      <c r="D27" s="57" t="s">
        <v>630</v>
      </c>
      <c r="E27" s="92" t="s">
        <v>331</v>
      </c>
      <c r="F27" s="188">
        <f>Millerausp4pts</f>
        <v>5</v>
      </c>
    </row>
    <row r="28" spans="1:6" ht="14.95" customHeight="1" thickBot="1" x14ac:dyDescent="0.3">
      <c r="A28" s="14" t="s">
        <v>529</v>
      </c>
      <c r="B28" s="13" t="s">
        <v>332</v>
      </c>
      <c r="C28" s="187">
        <f>Scurfieldcanp4tries</f>
        <v>1</v>
      </c>
      <c r="D28" s="57" t="s">
        <v>801</v>
      </c>
      <c r="E28" s="92" t="s">
        <v>332</v>
      </c>
      <c r="F28" s="188">
        <f>O_Donnellcanp4pts</f>
        <v>5</v>
      </c>
    </row>
    <row r="29" spans="1:6" ht="14.95" customHeight="1" thickBot="1" x14ac:dyDescent="0.3">
      <c r="A29" s="14" t="s">
        <v>812</v>
      </c>
      <c r="B29" s="13" t="s">
        <v>332</v>
      </c>
      <c r="C29" s="187">
        <f>Seumanutafacanp4tries</f>
        <v>1</v>
      </c>
      <c r="D29" s="57" t="s">
        <v>818</v>
      </c>
      <c r="E29" s="92" t="s">
        <v>332</v>
      </c>
      <c r="F29" s="188">
        <f>Paquincanp4pts</f>
        <v>5</v>
      </c>
    </row>
    <row r="30" spans="1:6" ht="14.95" customHeight="1" thickBot="1" x14ac:dyDescent="0.3">
      <c r="A30" s="14" t="s">
        <v>495</v>
      </c>
      <c r="B30" s="13" t="s">
        <v>333</v>
      </c>
      <c r="C30" s="187">
        <f>Tafunausap4tries</f>
        <v>1</v>
      </c>
      <c r="D30" s="57" t="s">
        <v>678</v>
      </c>
      <c r="E30" s="92" t="s">
        <v>332</v>
      </c>
      <c r="F30" s="188">
        <f>Pelletiercanp4pts</f>
        <v>5</v>
      </c>
    </row>
    <row r="31" spans="1:6" ht="14.95" customHeight="1" thickBot="1" x14ac:dyDescent="0.3">
      <c r="A31" s="14" t="s">
        <v>628</v>
      </c>
      <c r="B31" s="13" t="s">
        <v>332</v>
      </c>
      <c r="C31" s="187">
        <f>Tessiercanp4tries</f>
        <v>1</v>
      </c>
      <c r="D31" s="57" t="s">
        <v>529</v>
      </c>
      <c r="E31" s="92" t="s">
        <v>332</v>
      </c>
      <c r="F31" s="188">
        <f>Scurfieldcanp4pts</f>
        <v>5</v>
      </c>
    </row>
    <row r="32" spans="1:6" ht="14.95" customHeight="1" thickBot="1" x14ac:dyDescent="0.3">
      <c r="A32" s="14" t="s">
        <v>637</v>
      </c>
      <c r="B32" s="13" t="s">
        <v>330</v>
      </c>
      <c r="C32" s="187">
        <f>Vilikonzlp4tries</f>
        <v>1</v>
      </c>
      <c r="D32" s="57" t="s">
        <v>812</v>
      </c>
      <c r="E32" s="92" t="s">
        <v>332</v>
      </c>
      <c r="F32" s="188">
        <f>Seumanutafacanp4pts</f>
        <v>5</v>
      </c>
    </row>
    <row r="33" spans="1:6" ht="14.95" customHeight="1" thickBot="1" x14ac:dyDescent="0.3">
      <c r="A33" s="14" t="s">
        <v>822</v>
      </c>
      <c r="B33" s="13" t="s">
        <v>330</v>
      </c>
      <c r="C33" s="187">
        <f>Waakanzlp4tries</f>
        <v>1</v>
      </c>
      <c r="D33" s="57" t="s">
        <v>495</v>
      </c>
      <c r="E33" s="92" t="s">
        <v>333</v>
      </c>
      <c r="F33" s="188">
        <f>Tafunausap4pts</f>
        <v>5</v>
      </c>
    </row>
    <row r="34" spans="1:6" ht="14.95" customHeight="1" thickBot="1" x14ac:dyDescent="0.3">
      <c r="A34" s="14" t="s">
        <v>798</v>
      </c>
      <c r="B34" s="13" t="s">
        <v>333</v>
      </c>
      <c r="C34" s="187">
        <f>Zackaryusap4tries</f>
        <v>1</v>
      </c>
      <c r="D34" s="57" t="s">
        <v>628</v>
      </c>
      <c r="E34" s="92" t="s">
        <v>332</v>
      </c>
      <c r="F34" s="188">
        <f>Tessiercanp4pts</f>
        <v>5</v>
      </c>
    </row>
    <row r="35" spans="1:6" ht="14.95" customHeight="1" thickBot="1" x14ac:dyDescent="0.3">
      <c r="A35" s="14" t="s">
        <v>478</v>
      </c>
      <c r="B35" s="13" t="s">
        <v>333</v>
      </c>
      <c r="C35" s="187">
        <f>AshenbruckerUSAP4tries</f>
        <v>0</v>
      </c>
      <c r="D35" s="57" t="s">
        <v>637</v>
      </c>
      <c r="E35" s="92" t="s">
        <v>330</v>
      </c>
      <c r="F35" s="188">
        <f>Vilikonzlp4pts</f>
        <v>5</v>
      </c>
    </row>
    <row r="36" spans="1:6" ht="14.95" customHeight="1" thickBot="1" x14ac:dyDescent="0.3">
      <c r="A36" s="14" t="s">
        <v>454</v>
      </c>
      <c r="B36" s="13" t="s">
        <v>332</v>
      </c>
      <c r="C36" s="187">
        <f>Bermudezcanp4tries</f>
        <v>0</v>
      </c>
      <c r="D36" s="57" t="s">
        <v>822</v>
      </c>
      <c r="E36" s="92" t="s">
        <v>330</v>
      </c>
      <c r="F36" s="188">
        <f>Waakanzlp4pts</f>
        <v>5</v>
      </c>
    </row>
    <row r="37" spans="1:6" ht="14.95" customHeight="1" thickBot="1" x14ac:dyDescent="0.3">
      <c r="A37" s="14" t="s">
        <v>456</v>
      </c>
      <c r="B37" s="13" t="s">
        <v>332</v>
      </c>
      <c r="C37" s="187">
        <f>Beukeboomcanp4tries</f>
        <v>0</v>
      </c>
      <c r="D37" s="57" t="s">
        <v>798</v>
      </c>
      <c r="E37" s="92" t="s">
        <v>333</v>
      </c>
      <c r="F37" s="188">
        <f>Zackaryusap4pts</f>
        <v>5</v>
      </c>
    </row>
    <row r="38" spans="1:6" ht="14.95" customHeight="1" thickBot="1" x14ac:dyDescent="0.3">
      <c r="A38" s="14" t="s">
        <v>458</v>
      </c>
      <c r="B38" s="13" t="s">
        <v>332</v>
      </c>
      <c r="C38" s="187">
        <f>Boagcanp4tries</f>
        <v>0</v>
      </c>
      <c r="D38" s="57" t="s">
        <v>478</v>
      </c>
      <c r="E38" s="92" t="s">
        <v>333</v>
      </c>
      <c r="F38" s="188">
        <f>AshenbruckerUSAP4pts</f>
        <v>0</v>
      </c>
    </row>
    <row r="39" spans="1:6" ht="14.95" customHeight="1" thickBot="1" x14ac:dyDescent="0.3">
      <c r="A39" s="14" t="s">
        <v>364</v>
      </c>
      <c r="B39" s="13" t="s">
        <v>330</v>
      </c>
      <c r="C39" s="187">
        <f>Bremner_AnzlP4tries</f>
        <v>0</v>
      </c>
      <c r="D39" s="57" t="s">
        <v>454</v>
      </c>
      <c r="E39" s="92" t="s">
        <v>332</v>
      </c>
      <c r="F39" s="188">
        <f>Bermudezcanp4pts</f>
        <v>0</v>
      </c>
    </row>
    <row r="40" spans="1:6" ht="14.95" customHeight="1" thickBot="1" x14ac:dyDescent="0.3">
      <c r="A40" s="14" t="s">
        <v>365</v>
      </c>
      <c r="B40" s="13" t="s">
        <v>330</v>
      </c>
      <c r="C40" s="187">
        <f>Bremner_CnzlP4tries</f>
        <v>0</v>
      </c>
      <c r="D40" s="57" t="s">
        <v>456</v>
      </c>
      <c r="E40" s="92" t="s">
        <v>332</v>
      </c>
      <c r="F40" s="188">
        <f>Beukeboomcanp4pts</f>
        <v>0</v>
      </c>
    </row>
    <row r="41" spans="1:6" ht="14.95" customHeight="1" thickBot="1" x14ac:dyDescent="0.3">
      <c r="A41" s="14" t="s">
        <v>450</v>
      </c>
      <c r="B41" s="13" t="s">
        <v>333</v>
      </c>
      <c r="C41" s="187">
        <f>Cantornausap4tries</f>
        <v>0</v>
      </c>
      <c r="D41" s="57" t="s">
        <v>458</v>
      </c>
      <c r="E41" s="92" t="s">
        <v>332</v>
      </c>
      <c r="F41" s="188">
        <f>Boagcanp4pts</f>
        <v>0</v>
      </c>
    </row>
    <row r="42" spans="1:6" ht="14.95" customHeight="1" thickBot="1" x14ac:dyDescent="0.3">
      <c r="A42" s="14" t="s">
        <v>460</v>
      </c>
      <c r="B42" s="13" t="s">
        <v>333</v>
      </c>
      <c r="C42" s="187">
        <f>ClappUSAp4tries</f>
        <v>0</v>
      </c>
      <c r="D42" s="57" t="s">
        <v>364</v>
      </c>
      <c r="E42" s="92" t="s">
        <v>330</v>
      </c>
      <c r="F42" s="188">
        <f>Bremner_AnzlP4pts</f>
        <v>0</v>
      </c>
    </row>
    <row r="43" spans="1:6" ht="14.95" customHeight="1" thickBot="1" x14ac:dyDescent="0.3">
      <c r="A43" s="14" t="s">
        <v>626</v>
      </c>
      <c r="B43" s="13" t="s">
        <v>332</v>
      </c>
      <c r="C43" s="187">
        <f>Clinecanp4tries</f>
        <v>0</v>
      </c>
      <c r="D43" s="57" t="s">
        <v>365</v>
      </c>
      <c r="E43" s="92" t="s">
        <v>330</v>
      </c>
      <c r="F43" s="188">
        <f>Bremner_CnzlP4pts</f>
        <v>0</v>
      </c>
    </row>
    <row r="44" spans="1:6" ht="14.95" customHeight="1" thickBot="1" x14ac:dyDescent="0.3">
      <c r="A44" s="14" t="s">
        <v>484</v>
      </c>
      <c r="B44" s="13" t="s">
        <v>330</v>
      </c>
      <c r="C44" s="187">
        <f>ConnornzlP4tries</f>
        <v>0</v>
      </c>
      <c r="D44" s="57" t="s">
        <v>450</v>
      </c>
      <c r="E44" s="92" t="s">
        <v>333</v>
      </c>
      <c r="F44" s="188">
        <f>CantornaUSAP4pts</f>
        <v>0</v>
      </c>
    </row>
    <row r="45" spans="1:6" ht="14.95" customHeight="1" thickBot="1" x14ac:dyDescent="0.3">
      <c r="A45" s="14" t="s">
        <v>477</v>
      </c>
      <c r="B45" s="13" t="s">
        <v>331</v>
      </c>
      <c r="C45" s="187">
        <f>Cramerausp4tries</f>
        <v>0</v>
      </c>
      <c r="D45" s="57" t="s">
        <v>460</v>
      </c>
      <c r="E45" s="92" t="s">
        <v>333</v>
      </c>
      <c r="F45" s="188">
        <f>ClappUSAP4pts</f>
        <v>0</v>
      </c>
    </row>
    <row r="46" spans="1:6" ht="14.95" customHeight="1" thickBot="1" x14ac:dyDescent="0.3">
      <c r="A46" s="14" t="s">
        <v>480</v>
      </c>
      <c r="B46" s="13" t="s">
        <v>332</v>
      </c>
      <c r="C46" s="187">
        <f>de_Goedecanp4tries</f>
        <v>0</v>
      </c>
      <c r="D46" s="57" t="s">
        <v>626</v>
      </c>
      <c r="E46" s="92" t="s">
        <v>332</v>
      </c>
      <c r="F46" s="188">
        <f>Clinecanp4pts</f>
        <v>0</v>
      </c>
    </row>
    <row r="47" spans="1:6" ht="14.95" customHeight="1" thickBot="1" x14ac:dyDescent="0.3">
      <c r="A47" s="14" t="s">
        <v>483</v>
      </c>
      <c r="B47" s="13" t="s">
        <v>332</v>
      </c>
      <c r="C47" s="187">
        <f>DeMerchantcanP4tries</f>
        <v>0</v>
      </c>
      <c r="D47" s="57" t="s">
        <v>484</v>
      </c>
      <c r="E47" s="92" t="s">
        <v>330</v>
      </c>
      <c r="F47" s="188">
        <f>ConnorrnzlP4pts</f>
        <v>0</v>
      </c>
    </row>
    <row r="48" spans="1:6" ht="14.95" customHeight="1" thickBot="1" x14ac:dyDescent="0.3">
      <c r="A48" s="14" t="s">
        <v>479</v>
      </c>
      <c r="B48" s="13" t="s">
        <v>333</v>
      </c>
      <c r="C48" s="187">
        <f>DetiveauxUSAP4tries</f>
        <v>0</v>
      </c>
      <c r="D48" s="57" t="s">
        <v>477</v>
      </c>
      <c r="E48" s="92" t="s">
        <v>331</v>
      </c>
      <c r="F48" s="188">
        <f>Cramerausp4pts</f>
        <v>0</v>
      </c>
    </row>
    <row r="49" spans="1:6" ht="14.95" customHeight="1" thickBot="1" x14ac:dyDescent="0.3">
      <c r="A49" s="14" t="s">
        <v>486</v>
      </c>
      <c r="B49" s="13" t="s">
        <v>330</v>
      </c>
      <c r="C49" s="187">
        <f>du_PlessisnzlP4tries</f>
        <v>0</v>
      </c>
      <c r="D49" s="57" t="s">
        <v>480</v>
      </c>
      <c r="E49" s="92" t="s">
        <v>332</v>
      </c>
      <c r="F49" s="188">
        <f>de_Goedecanp4pts</f>
        <v>0</v>
      </c>
    </row>
    <row r="50" spans="1:6" ht="14.95" customHeight="1" thickBot="1" x14ac:dyDescent="0.3">
      <c r="A50" s="14" t="s">
        <v>471</v>
      </c>
      <c r="B50" s="13" t="s">
        <v>331</v>
      </c>
      <c r="C50" s="187">
        <f>FriedrichsausP4tries</f>
        <v>0</v>
      </c>
      <c r="D50" s="57" t="s">
        <v>483</v>
      </c>
      <c r="E50" s="92" t="s">
        <v>332</v>
      </c>
      <c r="F50" s="188">
        <f>DeMerchantcanP4pts</f>
        <v>0</v>
      </c>
    </row>
    <row r="51" spans="1:6" ht="14.95" customHeight="1" thickBot="1" x14ac:dyDescent="0.3">
      <c r="A51" s="14" t="s">
        <v>492</v>
      </c>
      <c r="B51" s="13" t="s">
        <v>330</v>
      </c>
      <c r="C51" s="187">
        <f>Gagop4nzltries</f>
        <v>0</v>
      </c>
      <c r="D51" s="57" t="s">
        <v>479</v>
      </c>
      <c r="E51" s="92" t="s">
        <v>333</v>
      </c>
      <c r="F51" s="188">
        <f>DetiveauxUSAP4pts</f>
        <v>0</v>
      </c>
    </row>
    <row r="52" spans="1:6" ht="14.95" customHeight="1" thickBot="1" x14ac:dyDescent="0.3">
      <c r="A52" s="14" t="s">
        <v>496</v>
      </c>
      <c r="B52" s="13" t="s">
        <v>332</v>
      </c>
      <c r="C52" s="187">
        <f>Gallaghercanp4tries</f>
        <v>0</v>
      </c>
      <c r="D52" s="57" t="s">
        <v>486</v>
      </c>
      <c r="E52" s="92" t="s">
        <v>330</v>
      </c>
      <c r="F52" s="188">
        <f>du_PlessisnzlP4pts</f>
        <v>0</v>
      </c>
    </row>
    <row r="53" spans="1:6" ht="14.95" customHeight="1" thickBot="1" x14ac:dyDescent="0.3">
      <c r="A53" s="14" t="s">
        <v>514</v>
      </c>
      <c r="B53" s="13" t="s">
        <v>332</v>
      </c>
      <c r="C53" s="187">
        <f>Grantcanp4tries</f>
        <v>0</v>
      </c>
      <c r="D53" s="57" t="s">
        <v>471</v>
      </c>
      <c r="E53" s="92" t="s">
        <v>331</v>
      </c>
      <c r="F53" s="188">
        <f>FriedrichsausP4pts</f>
        <v>0</v>
      </c>
    </row>
    <row r="54" spans="1:6" ht="14.95" customHeight="1" thickBot="1" x14ac:dyDescent="0.3">
      <c r="A54" s="14" t="s">
        <v>472</v>
      </c>
      <c r="B54" s="13" t="s">
        <v>331</v>
      </c>
      <c r="C54" s="187">
        <f>HamiltonausP4tries</f>
        <v>0</v>
      </c>
      <c r="D54" s="57" t="s">
        <v>492</v>
      </c>
      <c r="E54" s="92" t="s">
        <v>330</v>
      </c>
      <c r="F54" s="188">
        <f>Gagop4nzlpts</f>
        <v>0</v>
      </c>
    </row>
    <row r="55" spans="1:6" ht="14.95" customHeight="1" thickBot="1" x14ac:dyDescent="0.3">
      <c r="A55" s="14" t="s">
        <v>451</v>
      </c>
      <c r="B55" s="13" t="s">
        <v>333</v>
      </c>
      <c r="C55" s="187">
        <f>Hawkinsusap4tries</f>
        <v>0</v>
      </c>
      <c r="D55" s="57" t="s">
        <v>496</v>
      </c>
      <c r="E55" s="92" t="s">
        <v>332</v>
      </c>
      <c r="F55" s="188">
        <f>Gallaghercanp4pts</f>
        <v>0</v>
      </c>
    </row>
    <row r="56" spans="1:6" ht="14.95" customHeight="1" thickBot="1" x14ac:dyDescent="0.3">
      <c r="A56" s="14" t="s">
        <v>631</v>
      </c>
      <c r="B56" s="13" t="s">
        <v>333</v>
      </c>
      <c r="C56" s="187">
        <f>Hinganousap4tries</f>
        <v>0</v>
      </c>
      <c r="D56" s="57" t="s">
        <v>514</v>
      </c>
      <c r="E56" s="92" t="s">
        <v>332</v>
      </c>
      <c r="F56" s="188">
        <f>Grantcanp4pts</f>
        <v>0</v>
      </c>
    </row>
    <row r="57" spans="1:6" ht="14.95" customHeight="1" thickBot="1" x14ac:dyDescent="0.3">
      <c r="A57" s="14" t="s">
        <v>467</v>
      </c>
      <c r="B57" s="13" t="s">
        <v>330</v>
      </c>
      <c r="C57" s="187">
        <f>HohalanzlP4tries</f>
        <v>0</v>
      </c>
      <c r="D57" s="57" t="s">
        <v>472</v>
      </c>
      <c r="E57" s="92" t="s">
        <v>331</v>
      </c>
      <c r="F57" s="188">
        <f>HamiltonausP4pts</f>
        <v>0</v>
      </c>
    </row>
    <row r="58" spans="1:6" ht="14.95" customHeight="1" thickBot="1" x14ac:dyDescent="0.3">
      <c r="A58" s="14" t="s">
        <v>463</v>
      </c>
      <c r="B58" s="13" t="s">
        <v>330</v>
      </c>
      <c r="C58" s="187">
        <f>HolmesnzlP4tries</f>
        <v>0</v>
      </c>
      <c r="D58" s="57" t="s">
        <v>631</v>
      </c>
      <c r="E58" s="92" t="s">
        <v>333</v>
      </c>
      <c r="F58" s="188">
        <f>Hinganousap4pts</f>
        <v>0</v>
      </c>
    </row>
    <row r="59" spans="1:6" ht="14.95" customHeight="1" thickBot="1" x14ac:dyDescent="0.3">
      <c r="A59" s="14" t="s">
        <v>311</v>
      </c>
      <c r="B59" s="13" t="s">
        <v>333</v>
      </c>
      <c r="C59" s="187">
        <f>Johnson_Rusap4tries</f>
        <v>0</v>
      </c>
      <c r="D59" s="57" t="s">
        <v>467</v>
      </c>
      <c r="E59" s="92" t="s">
        <v>330</v>
      </c>
      <c r="F59" s="188">
        <f>HohalanzlP4pts</f>
        <v>0</v>
      </c>
    </row>
    <row r="60" spans="1:6" ht="14.95" customHeight="1" thickBot="1" x14ac:dyDescent="0.3">
      <c r="A60" s="14" t="s">
        <v>466</v>
      </c>
      <c r="B60" s="13" t="s">
        <v>330</v>
      </c>
      <c r="C60" s="187">
        <f>KalounivalenzlP4tries</f>
        <v>0</v>
      </c>
      <c r="D60" s="57" t="s">
        <v>463</v>
      </c>
      <c r="E60" s="92" t="s">
        <v>330</v>
      </c>
      <c r="F60" s="188">
        <f>HolmesnzlP4pts</f>
        <v>0</v>
      </c>
    </row>
    <row r="61" spans="1:6" ht="14.95" customHeight="1" thickBot="1" x14ac:dyDescent="0.3">
      <c r="A61" s="14" t="s">
        <v>617</v>
      </c>
      <c r="B61" s="13" t="s">
        <v>330</v>
      </c>
      <c r="C61" s="187">
        <f>Kingnzlp4tries</f>
        <v>0</v>
      </c>
      <c r="D61" s="57" t="s">
        <v>311</v>
      </c>
      <c r="E61" s="92" t="s">
        <v>333</v>
      </c>
      <c r="F61" s="188">
        <f>Johnson_Rusap4pts</f>
        <v>0</v>
      </c>
    </row>
    <row r="62" spans="1:6" ht="14.95" customHeight="1" thickBot="1" x14ac:dyDescent="0.3">
      <c r="A62" s="14" t="s">
        <v>489</v>
      </c>
      <c r="B62" s="13" t="s">
        <v>330</v>
      </c>
      <c r="C62" s="187">
        <f>Lovenzlp4tries</f>
        <v>0</v>
      </c>
      <c r="D62" s="57" t="s">
        <v>466</v>
      </c>
      <c r="E62" s="92" t="s">
        <v>330</v>
      </c>
      <c r="F62" s="188">
        <f>KalounivalenzlP4pts</f>
        <v>0</v>
      </c>
    </row>
    <row r="63" spans="1:6" ht="14.95" customHeight="1" thickBot="1" x14ac:dyDescent="0.3">
      <c r="A63" s="14" t="s">
        <v>622</v>
      </c>
      <c r="B63" s="13" t="s">
        <v>330</v>
      </c>
      <c r="C63" s="187">
        <f>Malieponzlp4tries</f>
        <v>0</v>
      </c>
      <c r="D63" s="57" t="s">
        <v>489</v>
      </c>
      <c r="E63" s="92" t="s">
        <v>330</v>
      </c>
      <c r="F63" s="188">
        <f>Lovenzlp4pts</f>
        <v>0</v>
      </c>
    </row>
    <row r="64" spans="1:6" ht="14.95" customHeight="1" thickBot="1" x14ac:dyDescent="0.3">
      <c r="A64" s="14" t="s">
        <v>491</v>
      </c>
      <c r="B64" s="13" t="s">
        <v>330</v>
      </c>
      <c r="C64" s="187">
        <f>Marino_Tauhinunzlp4tries</f>
        <v>0</v>
      </c>
      <c r="D64" s="57" t="s">
        <v>622</v>
      </c>
      <c r="E64" s="92" t="s">
        <v>330</v>
      </c>
      <c r="F64" s="188">
        <f>Malieponzlp4pts</f>
        <v>0</v>
      </c>
    </row>
    <row r="65" spans="1:6" ht="14.95" customHeight="1" thickBot="1" x14ac:dyDescent="0.3">
      <c r="A65" s="14" t="s">
        <v>469</v>
      </c>
      <c r="B65" s="13" t="s">
        <v>331</v>
      </c>
      <c r="C65" s="187">
        <f>McKenzieausp4tries</f>
        <v>0</v>
      </c>
      <c r="D65" s="57" t="s">
        <v>491</v>
      </c>
      <c r="E65" s="92" t="s">
        <v>330</v>
      </c>
      <c r="F65" s="188">
        <f>Marino_Tauhinunzlp4pts</f>
        <v>0</v>
      </c>
    </row>
    <row r="66" spans="1:6" ht="14.95" customHeight="1" thickBot="1" x14ac:dyDescent="0.3">
      <c r="A66" s="14" t="s">
        <v>493</v>
      </c>
      <c r="B66" s="13" t="s">
        <v>330</v>
      </c>
      <c r="C66" s="187">
        <f>Mikaele_Tu_unzlp4tries</f>
        <v>0</v>
      </c>
      <c r="D66" s="57" t="s">
        <v>469</v>
      </c>
      <c r="E66" s="92" t="s">
        <v>331</v>
      </c>
      <c r="F66" s="188">
        <f>McKenzieausP4pts</f>
        <v>0</v>
      </c>
    </row>
    <row r="67" spans="1:6" ht="14.95" customHeight="1" thickBot="1" x14ac:dyDescent="0.3">
      <c r="A67" s="14" t="s">
        <v>672</v>
      </c>
      <c r="B67" s="13" t="s">
        <v>331</v>
      </c>
      <c r="C67" s="187">
        <f>Molekaausp4tries</f>
        <v>0</v>
      </c>
      <c r="D67" s="57" t="s">
        <v>493</v>
      </c>
      <c r="E67" s="92" t="s">
        <v>330</v>
      </c>
      <c r="F67" s="188">
        <f>Mikaele_Tu_unzlp4pts</f>
        <v>0</v>
      </c>
    </row>
    <row r="68" spans="1:6" ht="14.95" customHeight="1" thickBot="1" x14ac:dyDescent="0.3">
      <c r="A68" s="14" t="s">
        <v>624</v>
      </c>
      <c r="B68" s="13" t="s">
        <v>331</v>
      </c>
      <c r="C68" s="187">
        <f>Nadenausp4tries</f>
        <v>0</v>
      </c>
      <c r="D68" s="57" t="s">
        <v>624</v>
      </c>
      <c r="E68" s="92" t="s">
        <v>331</v>
      </c>
      <c r="F68" s="188">
        <f>Nadenausp4pts</f>
        <v>0</v>
      </c>
    </row>
    <row r="69" spans="1:6" ht="14.95" customHeight="1" thickBot="1" x14ac:dyDescent="0.3">
      <c r="A69" s="14" t="s">
        <v>636</v>
      </c>
      <c r="B69" s="13" t="s">
        <v>330</v>
      </c>
      <c r="C69" s="187">
        <f>Olsen_Bakernzlp4tries</f>
        <v>0</v>
      </c>
      <c r="D69" s="57" t="s">
        <v>636</v>
      </c>
      <c r="E69" s="92" t="s">
        <v>330</v>
      </c>
      <c r="F69" s="188">
        <f>Olsen_Bakerp4pts</f>
        <v>0</v>
      </c>
    </row>
    <row r="70" spans="1:6" ht="14.95" customHeight="1" thickBot="1" x14ac:dyDescent="0.3">
      <c r="A70" s="14" t="s">
        <v>614</v>
      </c>
      <c r="B70" s="13" t="s">
        <v>332</v>
      </c>
      <c r="C70" s="187">
        <f>Omokhualecanp4tries</f>
        <v>0</v>
      </c>
      <c r="D70" s="57" t="s">
        <v>614</v>
      </c>
      <c r="E70" s="92" t="s">
        <v>332</v>
      </c>
      <c r="F70" s="188">
        <f>Omokhualecanp4pts</f>
        <v>0</v>
      </c>
    </row>
    <row r="71" spans="1:6" ht="14.95" customHeight="1" thickBot="1" x14ac:dyDescent="0.3">
      <c r="A71" s="14" t="s">
        <v>465</v>
      </c>
      <c r="B71" s="13" t="s">
        <v>330</v>
      </c>
      <c r="C71" s="187">
        <f>PaulnzlP4tries</f>
        <v>0</v>
      </c>
      <c r="D71" s="57" t="s">
        <v>465</v>
      </c>
      <c r="E71" s="92" t="s">
        <v>330</v>
      </c>
      <c r="F71" s="188">
        <f>PaulnzlP4pts</f>
        <v>0</v>
      </c>
    </row>
    <row r="72" spans="1:6" ht="14.95" customHeight="1" thickBot="1" x14ac:dyDescent="0.3">
      <c r="A72" s="14" t="s">
        <v>212</v>
      </c>
      <c r="B72" s="13" t="s">
        <v>331</v>
      </c>
      <c r="C72" s="187">
        <f>Penalty_Triesausp4tries</f>
        <v>0</v>
      </c>
      <c r="D72" s="57" t="s">
        <v>212</v>
      </c>
      <c r="E72" s="92" t="s">
        <v>331</v>
      </c>
      <c r="F72" s="188">
        <f>Penalty_Triesausp4pts</f>
        <v>0</v>
      </c>
    </row>
    <row r="73" spans="1:6" ht="14.95" customHeight="1" thickBot="1" x14ac:dyDescent="0.3">
      <c r="A73" s="14" t="s">
        <v>212</v>
      </c>
      <c r="B73" s="13" t="s">
        <v>333</v>
      </c>
      <c r="C73" s="187">
        <f>Penalty_Triesusap4tries</f>
        <v>0</v>
      </c>
      <c r="D73" s="57" t="s">
        <v>212</v>
      </c>
      <c r="E73" s="92" t="s">
        <v>333</v>
      </c>
      <c r="F73" s="188">
        <f>Penalty_Triesusap4pts</f>
        <v>0</v>
      </c>
    </row>
    <row r="74" spans="1:6" ht="14.95" customHeight="1" thickBot="1" x14ac:dyDescent="0.3">
      <c r="A74" s="14" t="s">
        <v>610</v>
      </c>
      <c r="B74" s="13" t="s">
        <v>333</v>
      </c>
      <c r="C74" s="187">
        <f>Perris_Reddingusap4tries</f>
        <v>0</v>
      </c>
      <c r="D74" s="57" t="s">
        <v>610</v>
      </c>
      <c r="E74" s="92" t="s">
        <v>333</v>
      </c>
      <c r="F74" s="188">
        <f>Perris_Reddingusap4pts</f>
        <v>0</v>
      </c>
    </row>
    <row r="75" spans="1:6" ht="14.95" customHeight="1" thickBot="1" x14ac:dyDescent="0.3">
      <c r="A75" s="14" t="s">
        <v>635</v>
      </c>
      <c r="B75" s="13" t="s">
        <v>330</v>
      </c>
      <c r="C75" s="187">
        <f>Ponsonbynzlp4tries</f>
        <v>0</v>
      </c>
      <c r="D75" s="57" t="s">
        <v>635</v>
      </c>
      <c r="E75" s="92" t="s">
        <v>330</v>
      </c>
      <c r="F75" s="188">
        <f>Ponsonbynzlp4pts</f>
        <v>0</v>
      </c>
    </row>
    <row r="76" spans="1:6" ht="14.95" customHeight="1" thickBot="1" x14ac:dyDescent="0.3">
      <c r="A76" s="14" t="s">
        <v>453</v>
      </c>
      <c r="B76" s="13" t="s">
        <v>332</v>
      </c>
      <c r="C76" s="187">
        <f>Poulincanp4tries</f>
        <v>0</v>
      </c>
      <c r="D76" s="57" t="s">
        <v>453</v>
      </c>
      <c r="E76" s="92" t="s">
        <v>332</v>
      </c>
      <c r="F76" s="188">
        <f>Poulincanp4pts</f>
        <v>0</v>
      </c>
    </row>
    <row r="77" spans="1:6" ht="14.95" customHeight="1" thickBot="1" x14ac:dyDescent="0.3">
      <c r="A77" s="14" t="s">
        <v>623</v>
      </c>
      <c r="B77" s="13" t="s">
        <v>330</v>
      </c>
      <c r="C77" s="187">
        <f>Saenzlp4tries</f>
        <v>0</v>
      </c>
      <c r="D77" s="57" t="s">
        <v>623</v>
      </c>
      <c r="E77" s="92" t="s">
        <v>330</v>
      </c>
      <c r="F77" s="188">
        <f>Saenzlp4pts</f>
        <v>0</v>
      </c>
    </row>
    <row r="78" spans="1:6" ht="14.95" customHeight="1" thickBot="1" x14ac:dyDescent="0.3">
      <c r="A78" s="14" t="s">
        <v>532</v>
      </c>
      <c r="B78" s="13" t="s">
        <v>330</v>
      </c>
      <c r="C78" s="187">
        <f>Simonnzlp4tries</f>
        <v>0</v>
      </c>
      <c r="D78" s="57" t="s">
        <v>532</v>
      </c>
      <c r="E78" s="92" t="s">
        <v>330</v>
      </c>
      <c r="F78" s="188">
        <f>Simonnzlp4pts</f>
        <v>0</v>
      </c>
    </row>
    <row r="79" spans="1:6" ht="14.95" customHeight="1" thickBot="1" x14ac:dyDescent="0.3">
      <c r="A79" s="14" t="s">
        <v>476</v>
      </c>
      <c r="B79" s="13" t="s">
        <v>331</v>
      </c>
      <c r="C79" s="187">
        <f>Smithausp4tries</f>
        <v>0</v>
      </c>
      <c r="D79" s="57" t="s">
        <v>476</v>
      </c>
      <c r="E79" s="92" t="s">
        <v>331</v>
      </c>
      <c r="F79" s="188">
        <f>SmithausP4pts</f>
        <v>0</v>
      </c>
    </row>
    <row r="80" spans="1:6" ht="14.95" customHeight="1" thickBot="1" x14ac:dyDescent="0.3">
      <c r="A80" s="14" t="s">
        <v>475</v>
      </c>
      <c r="B80" s="13" t="s">
        <v>331</v>
      </c>
      <c r="C80" s="187">
        <f>StewartausP4tries</f>
        <v>0</v>
      </c>
      <c r="D80" s="57" t="s">
        <v>475</v>
      </c>
      <c r="E80" s="92" t="s">
        <v>331</v>
      </c>
      <c r="F80" s="188">
        <f>StewartausP4pts</f>
        <v>0</v>
      </c>
    </row>
    <row r="81" spans="1:6" ht="14.95" customHeight="1" thickBot="1" x14ac:dyDescent="0.3">
      <c r="A81" s="14" t="s">
        <v>474</v>
      </c>
      <c r="B81" s="13" t="s">
        <v>331</v>
      </c>
      <c r="C81" s="187">
        <f>TalakaiausP4tries</f>
        <v>0</v>
      </c>
      <c r="D81" s="57" t="s">
        <v>474</v>
      </c>
      <c r="E81" s="92" t="s">
        <v>331</v>
      </c>
      <c r="F81" s="188">
        <f>TalakaiausP4pts</f>
        <v>0</v>
      </c>
    </row>
    <row r="82" spans="1:6" ht="14.95" customHeight="1" thickBot="1" x14ac:dyDescent="0.3">
      <c r="A82" s="14" t="s">
        <v>457</v>
      </c>
      <c r="B82" s="13" t="s">
        <v>332</v>
      </c>
      <c r="C82" s="187">
        <f>Taylorcanp4tries</f>
        <v>0</v>
      </c>
      <c r="D82" s="57" t="s">
        <v>457</v>
      </c>
      <c r="E82" s="92" t="s">
        <v>332</v>
      </c>
      <c r="F82" s="188">
        <f>Taylorcanp4pts</f>
        <v>0</v>
      </c>
    </row>
    <row r="83" spans="1:6" ht="14.95" customHeight="1" thickBot="1" x14ac:dyDescent="0.3">
      <c r="A83" s="14" t="s">
        <v>487</v>
      </c>
      <c r="B83" s="13" t="s">
        <v>330</v>
      </c>
      <c r="C83" s="187">
        <f>TenetinzlP4tries</f>
        <v>0</v>
      </c>
      <c r="D83" s="57" t="s">
        <v>487</v>
      </c>
      <c r="E83" s="92" t="s">
        <v>330</v>
      </c>
      <c r="F83" s="188">
        <f>TenetinzlP4pts</f>
        <v>0</v>
      </c>
    </row>
    <row r="84" spans="1:6" ht="14.95" customHeight="1" thickBot="1" x14ac:dyDescent="0.3">
      <c r="A84" s="14" t="s">
        <v>632</v>
      </c>
      <c r="B84" s="13" t="s">
        <v>333</v>
      </c>
      <c r="C84" s="187">
        <f>Trederusap4tries</f>
        <v>0</v>
      </c>
      <c r="D84" s="57" t="s">
        <v>632</v>
      </c>
      <c r="E84" s="92" t="s">
        <v>333</v>
      </c>
      <c r="F84" s="188">
        <f>Trederusap4pts</f>
        <v>0</v>
      </c>
    </row>
    <row r="85" spans="1:6" ht="14.95" customHeight="1" thickBot="1" x14ac:dyDescent="0.3">
      <c r="A85" s="14" t="s">
        <v>520</v>
      </c>
      <c r="B85" s="13" t="s">
        <v>330</v>
      </c>
      <c r="C85" s="187">
        <f>Tuinzlp4tries</f>
        <v>0</v>
      </c>
      <c r="D85" s="57" t="s">
        <v>520</v>
      </c>
      <c r="E85" s="92" t="s">
        <v>330</v>
      </c>
      <c r="F85" s="188">
        <f>Tuinzlp4pts</f>
        <v>0</v>
      </c>
    </row>
    <row r="86" spans="1:6" ht="14.95" customHeight="1" thickBot="1" x14ac:dyDescent="0.3">
      <c r="A86" s="14" t="s">
        <v>452</v>
      </c>
      <c r="B86" s="13" t="s">
        <v>332</v>
      </c>
      <c r="C86" s="187">
        <f>Tuttosicanp4tries</f>
        <v>0</v>
      </c>
      <c r="D86" s="57" t="s">
        <v>452</v>
      </c>
      <c r="E86" s="92" t="s">
        <v>332</v>
      </c>
      <c r="F86" s="188">
        <f>Tuttosicanp4pts</f>
        <v>0</v>
      </c>
    </row>
    <row r="87" spans="1:6" ht="14.95" customHeight="1" thickBot="1" x14ac:dyDescent="0.3">
      <c r="A87" s="14" t="s">
        <v>619</v>
      </c>
      <c r="B87" s="13" t="s">
        <v>330</v>
      </c>
      <c r="C87" s="187">
        <f>Vaipulunzlp4tries</f>
        <v>0</v>
      </c>
      <c r="D87" s="57" t="s">
        <v>619</v>
      </c>
      <c r="E87" s="92" t="s">
        <v>330</v>
      </c>
      <c r="F87" s="188">
        <f>Vaipulunzlp4pts</f>
        <v>0</v>
      </c>
    </row>
    <row r="88" spans="1:6" ht="14.95" customHeight="1" thickBot="1" x14ac:dyDescent="0.3">
      <c r="A88" s="14" t="s">
        <v>470</v>
      </c>
      <c r="B88" s="13" t="s">
        <v>331</v>
      </c>
      <c r="C88" s="187">
        <f>WongausP4tries</f>
        <v>0</v>
      </c>
      <c r="D88" s="57" t="s">
        <v>470</v>
      </c>
      <c r="E88" s="92" t="s">
        <v>331</v>
      </c>
      <c r="F88" s="188">
        <f>WongausP4pts</f>
        <v>0</v>
      </c>
    </row>
    <row r="89" spans="1:6" ht="14.95" customHeight="1" thickBot="1" x14ac:dyDescent="0.3">
      <c r="A89" s="170" t="s">
        <v>334</v>
      </c>
      <c r="B89" s="170"/>
      <c r="C89" s="190">
        <f>SUM(C4:C88)</f>
        <v>53</v>
      </c>
      <c r="D89" s="259" t="s">
        <v>334</v>
      </c>
      <c r="E89" s="259"/>
      <c r="F89" s="260">
        <f>SUM(F4:F88)</f>
        <v>335</v>
      </c>
    </row>
    <row r="90" spans="1:6" ht="14.95" customHeight="1" x14ac:dyDescent="0.3">
      <c r="A90" s="425" t="s">
        <v>10</v>
      </c>
    </row>
    <row r="91" spans="1:6" ht="14.95" customHeight="1" x14ac:dyDescent="0.25"/>
    <row r="92" spans="1:6" ht="14.95" customHeight="1" x14ac:dyDescent="0.25"/>
    <row r="93" spans="1:6" ht="14.95" customHeight="1" x14ac:dyDescent="0.25"/>
    <row r="94" spans="1:6" ht="14.95" customHeight="1" x14ac:dyDescent="0.25"/>
    <row r="95" spans="1:6" ht="14.95" customHeight="1" x14ac:dyDescent="0.25"/>
    <row r="96" spans="1:6" ht="14.95" customHeight="1" x14ac:dyDescent="0.25"/>
    <row r="97" ht="14.95" customHeight="1" x14ac:dyDescent="0.25"/>
    <row r="98" ht="14.95" customHeight="1" x14ac:dyDescent="0.25"/>
    <row r="99" ht="14.95" customHeight="1" x14ac:dyDescent="0.25"/>
    <row r="100" ht="14.95" customHeight="1" x14ac:dyDescent="0.25"/>
    <row r="101" ht="14.95" customHeight="1" x14ac:dyDescent="0.25"/>
    <row r="102" ht="14.95" customHeight="1" x14ac:dyDescent="0.25"/>
    <row r="103" ht="14.95" customHeight="1" x14ac:dyDescent="0.25"/>
    <row r="104" ht="14.95" customHeight="1" x14ac:dyDescent="0.25"/>
    <row r="105" ht="14.95" customHeight="1" x14ac:dyDescent="0.25"/>
    <row r="106" ht="14.95" customHeight="1" x14ac:dyDescent="0.25"/>
    <row r="107" ht="14.95" customHeight="1" x14ac:dyDescent="0.25"/>
    <row r="108" ht="14.95" customHeight="1" x14ac:dyDescent="0.25"/>
    <row r="109" ht="14.95" customHeight="1" x14ac:dyDescent="0.25"/>
    <row r="110" ht="14.95" customHeight="1" x14ac:dyDescent="0.25"/>
    <row r="111" ht="14.95" customHeight="1" x14ac:dyDescent="0.25"/>
    <row r="112" ht="14.95" customHeight="1" x14ac:dyDescent="0.25"/>
    <row r="113" ht="14.95" customHeight="1" x14ac:dyDescent="0.25"/>
    <row r="114" ht="14.95" customHeight="1" x14ac:dyDescent="0.25"/>
    <row r="115" ht="14.95" customHeight="1" x14ac:dyDescent="0.25"/>
    <row r="116" ht="14.95" customHeight="1" x14ac:dyDescent="0.25"/>
    <row r="117" ht="14.95" customHeight="1" x14ac:dyDescent="0.25"/>
    <row r="118" ht="14.95" customHeight="1" x14ac:dyDescent="0.25"/>
    <row r="119" ht="14.95" customHeight="1" x14ac:dyDescent="0.25"/>
  </sheetData>
  <sortState xmlns:xlrd2="http://schemas.microsoft.com/office/spreadsheetml/2017/richdata2" ref="G4:K8">
    <sortCondition descending="1" ref="K4:K8"/>
    <sortCondition descending="1" ref="J4:J8"/>
    <sortCondition ref="G4:G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0CF-4D01-493B-9B51-C443F76410C6}">
  <dimension ref="A1:AC86"/>
  <sheetViews>
    <sheetView workbookViewId="0">
      <selection activeCell="AE15" sqref="AE15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428" t="s">
        <v>796</v>
      </c>
      <c r="B1" s="429"/>
      <c r="C1" s="429"/>
      <c r="D1" s="429"/>
      <c r="E1" s="429"/>
      <c r="F1" s="429"/>
      <c r="G1" s="429"/>
      <c r="H1" s="429"/>
      <c r="I1" s="429"/>
      <c r="J1" s="430"/>
      <c r="K1" s="431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1">
        <v>2022</v>
      </c>
      <c r="AB1" s="442"/>
      <c r="AC1" s="443"/>
    </row>
    <row r="2" spans="1:29" ht="14.95" customHeight="1" thickBot="1" x14ac:dyDescent="0.3">
      <c r="A2" s="380" t="s">
        <v>0</v>
      </c>
      <c r="B2" s="329" t="s">
        <v>227</v>
      </c>
      <c r="C2" s="155" t="s">
        <v>734</v>
      </c>
      <c r="D2" s="155" t="s">
        <v>11</v>
      </c>
      <c r="E2" s="393" t="s">
        <v>1</v>
      </c>
      <c r="F2" s="382" t="s">
        <v>2</v>
      </c>
      <c r="G2" s="331" t="s">
        <v>227</v>
      </c>
      <c r="H2" s="335" t="s">
        <v>734</v>
      </c>
      <c r="I2" s="131" t="s">
        <v>11</v>
      </c>
      <c r="J2" s="391" t="s">
        <v>1</v>
      </c>
      <c r="K2" s="432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44"/>
      <c r="AB2" s="445"/>
      <c r="AC2" s="446"/>
    </row>
    <row r="3" spans="1:29" ht="14.95" thickBot="1" x14ac:dyDescent="0.3">
      <c r="A3" s="381" t="s">
        <v>906</v>
      </c>
      <c r="B3" s="330">
        <v>0</v>
      </c>
      <c r="C3" s="334">
        <v>1</v>
      </c>
      <c r="D3" s="156">
        <v>1</v>
      </c>
      <c r="E3" s="387">
        <f t="shared" ref="E3:E42" si="0">SUM(B3:D3)</f>
        <v>2</v>
      </c>
      <c r="F3" s="383" t="s">
        <v>906</v>
      </c>
      <c r="G3" s="332">
        <v>0</v>
      </c>
      <c r="H3" s="336">
        <v>5</v>
      </c>
      <c r="I3" s="132">
        <v>5</v>
      </c>
      <c r="J3" s="392">
        <f t="shared" ref="J3:J42" si="1">SUM(G3:I3)</f>
        <v>10</v>
      </c>
      <c r="K3" s="386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thickBot="1" x14ac:dyDescent="0.3">
      <c r="A4" s="381" t="s">
        <v>816</v>
      </c>
      <c r="B4" s="330">
        <v>1</v>
      </c>
      <c r="C4" s="334">
        <v>0</v>
      </c>
      <c r="D4" s="156">
        <v>1</v>
      </c>
      <c r="E4" s="387">
        <f t="shared" si="0"/>
        <v>2</v>
      </c>
      <c r="F4" s="383" t="s">
        <v>816</v>
      </c>
      <c r="G4" s="332">
        <v>5</v>
      </c>
      <c r="H4" s="336">
        <v>0</v>
      </c>
      <c r="I4" s="132">
        <v>5</v>
      </c>
      <c r="J4" s="392">
        <f t="shared" si="1"/>
        <v>10</v>
      </c>
      <c r="K4" s="381" t="s">
        <v>224</v>
      </c>
      <c r="L4" s="387">
        <v>3</v>
      </c>
      <c r="M4" s="387">
        <v>3</v>
      </c>
      <c r="N4" s="388">
        <f t="shared" ref="N4" si="2">SUM(L4/M4)*100</f>
        <v>100</v>
      </c>
      <c r="O4" s="389" t="s">
        <v>8</v>
      </c>
      <c r="P4" s="387" t="s">
        <v>8</v>
      </c>
      <c r="Q4" s="388" t="s">
        <v>8</v>
      </c>
      <c r="R4" s="390">
        <v>4</v>
      </c>
      <c r="S4" s="61">
        <v>5</v>
      </c>
      <c r="T4" s="61">
        <v>7</v>
      </c>
      <c r="U4" s="120">
        <f>SUM(S4/T4)*100</f>
        <v>71.428571428571431</v>
      </c>
      <c r="V4" s="61">
        <v>1</v>
      </c>
      <c r="W4" s="61">
        <v>3</v>
      </c>
      <c r="X4" s="120">
        <f>SUM(V4/W4)*100</f>
        <v>33.333333333333329</v>
      </c>
      <c r="AA4" s="271">
        <v>13</v>
      </c>
      <c r="AB4" s="61">
        <v>20</v>
      </c>
      <c r="AC4" s="120">
        <f>SUM(AA4/AB4)*100</f>
        <v>65</v>
      </c>
    </row>
    <row r="5" spans="1:29" ht="14.95" customHeight="1" thickBot="1" x14ac:dyDescent="0.3">
      <c r="A5" s="381" t="s">
        <v>335</v>
      </c>
      <c r="B5" s="330">
        <v>0</v>
      </c>
      <c r="C5" s="334">
        <v>1</v>
      </c>
      <c r="D5" s="156">
        <v>0</v>
      </c>
      <c r="E5" s="387">
        <f t="shared" si="0"/>
        <v>1</v>
      </c>
      <c r="F5" s="383" t="s">
        <v>335</v>
      </c>
      <c r="G5" s="332">
        <v>0</v>
      </c>
      <c r="H5" s="336">
        <v>5</v>
      </c>
      <c r="I5" s="132">
        <v>0</v>
      </c>
      <c r="J5" s="392">
        <f t="shared" si="1"/>
        <v>5</v>
      </c>
      <c r="K5" s="381" t="s">
        <v>437</v>
      </c>
      <c r="L5" s="387" t="s">
        <v>8</v>
      </c>
      <c r="M5" s="387" t="s">
        <v>8</v>
      </c>
      <c r="N5" s="388" t="s">
        <v>8</v>
      </c>
      <c r="O5" s="389" t="s">
        <v>8</v>
      </c>
      <c r="P5" s="387" t="s">
        <v>8</v>
      </c>
      <c r="Q5" s="388" t="s">
        <v>8</v>
      </c>
      <c r="R5" s="390">
        <v>-1</v>
      </c>
      <c r="S5" s="61" t="s">
        <v>8</v>
      </c>
      <c r="T5" s="61" t="s">
        <v>8</v>
      </c>
      <c r="U5" s="120" t="s">
        <v>8</v>
      </c>
      <c r="V5" s="61">
        <v>6</v>
      </c>
      <c r="W5" s="61">
        <v>13</v>
      </c>
      <c r="X5" s="120">
        <f>SUM(V5/W5)*100</f>
        <v>46.153846153846153</v>
      </c>
      <c r="AA5" s="271" t="s">
        <v>8</v>
      </c>
      <c r="AB5" s="61" t="s">
        <v>8</v>
      </c>
      <c r="AC5" s="120" t="s">
        <v>8</v>
      </c>
    </row>
    <row r="6" spans="1:29" ht="14.95" thickBot="1" x14ac:dyDescent="0.3">
      <c r="A6" s="381" t="s">
        <v>336</v>
      </c>
      <c r="B6" s="330">
        <v>0</v>
      </c>
      <c r="C6" s="334">
        <v>0</v>
      </c>
      <c r="D6" s="156">
        <v>0</v>
      </c>
      <c r="E6" s="387">
        <f t="shared" si="0"/>
        <v>0</v>
      </c>
      <c r="F6" s="384" t="s">
        <v>336</v>
      </c>
      <c r="G6" s="332">
        <v>0</v>
      </c>
      <c r="H6" s="336">
        <v>0</v>
      </c>
      <c r="I6" s="132">
        <v>0</v>
      </c>
      <c r="J6" s="392">
        <f t="shared" si="1"/>
        <v>0</v>
      </c>
      <c r="K6" s="380" t="s">
        <v>285</v>
      </c>
      <c r="L6" s="387" t="s">
        <v>8</v>
      </c>
      <c r="M6" s="387" t="s">
        <v>8</v>
      </c>
      <c r="N6" s="388" t="s">
        <v>8</v>
      </c>
      <c r="O6" s="389" t="s">
        <v>8</v>
      </c>
      <c r="P6" s="387" t="s">
        <v>8</v>
      </c>
      <c r="Q6" s="388" t="s">
        <v>8</v>
      </c>
      <c r="R6" s="390">
        <v>2</v>
      </c>
      <c r="S6" s="195">
        <v>11</v>
      </c>
      <c r="T6" s="61">
        <v>18</v>
      </c>
      <c r="U6" s="120">
        <f>SUM(S6/T6)*100</f>
        <v>61.111111111111114</v>
      </c>
      <c r="V6" s="195">
        <v>3</v>
      </c>
      <c r="W6" s="61">
        <v>3</v>
      </c>
      <c r="X6" s="120">
        <f>SUM(V6/W6)*100</f>
        <v>100</v>
      </c>
      <c r="AA6" s="195">
        <v>3</v>
      </c>
      <c r="AB6" s="61">
        <v>7</v>
      </c>
      <c r="AC6" s="120">
        <f>SUM(AA6/AB6)*100</f>
        <v>42.857142857142854</v>
      </c>
    </row>
    <row r="7" spans="1:29" ht="14.95" thickBot="1" x14ac:dyDescent="0.3">
      <c r="A7" s="381" t="s">
        <v>901</v>
      </c>
      <c r="B7" s="330">
        <v>0</v>
      </c>
      <c r="C7" s="334">
        <v>0</v>
      </c>
      <c r="D7" s="156">
        <v>1</v>
      </c>
      <c r="E7" s="387">
        <f t="shared" si="0"/>
        <v>1</v>
      </c>
      <c r="F7" s="384" t="s">
        <v>901</v>
      </c>
      <c r="G7" s="332">
        <v>0</v>
      </c>
      <c r="H7" s="336">
        <v>0</v>
      </c>
      <c r="I7" s="132">
        <v>5</v>
      </c>
      <c r="J7" s="392">
        <f t="shared" si="1"/>
        <v>5</v>
      </c>
      <c r="K7" s="380" t="s">
        <v>264</v>
      </c>
      <c r="L7" s="387">
        <v>1</v>
      </c>
      <c r="M7" s="387">
        <v>3</v>
      </c>
      <c r="N7" s="388">
        <f t="shared" ref="N7:N10" si="3">SUM(L7/M7)*100</f>
        <v>33.333333333333329</v>
      </c>
      <c r="O7" s="389" t="s">
        <v>8</v>
      </c>
      <c r="P7" s="387" t="s">
        <v>8</v>
      </c>
      <c r="Q7" s="388" t="s">
        <v>8</v>
      </c>
      <c r="R7" s="390">
        <v>-2</v>
      </c>
      <c r="S7" s="61" t="s">
        <v>8</v>
      </c>
      <c r="T7" s="61" t="s">
        <v>8</v>
      </c>
      <c r="U7" s="120" t="s">
        <v>8</v>
      </c>
      <c r="V7" s="61" t="s">
        <v>8</v>
      </c>
      <c r="W7" s="61" t="s">
        <v>8</v>
      </c>
      <c r="X7" s="120" t="s">
        <v>8</v>
      </c>
      <c r="AA7" s="195" t="s">
        <v>8</v>
      </c>
      <c r="AB7" s="61" t="s">
        <v>8</v>
      </c>
      <c r="AC7" s="120" t="s">
        <v>8</v>
      </c>
    </row>
    <row r="8" spans="1:29" ht="14.95" thickBot="1" x14ac:dyDescent="0.3">
      <c r="A8" s="381" t="s">
        <v>224</v>
      </c>
      <c r="B8" s="330">
        <v>0</v>
      </c>
      <c r="C8" s="334">
        <v>0</v>
      </c>
      <c r="D8" s="156">
        <v>0</v>
      </c>
      <c r="E8" s="387">
        <f t="shared" si="0"/>
        <v>0</v>
      </c>
      <c r="F8" s="384" t="s">
        <v>224</v>
      </c>
      <c r="G8" s="332">
        <v>0</v>
      </c>
      <c r="H8" s="336">
        <v>6</v>
      </c>
      <c r="I8" s="132">
        <v>0</v>
      </c>
      <c r="J8" s="392">
        <f t="shared" si="1"/>
        <v>6</v>
      </c>
      <c r="K8" s="380" t="s">
        <v>667</v>
      </c>
      <c r="L8" s="389">
        <v>10</v>
      </c>
      <c r="M8" s="387">
        <v>17</v>
      </c>
      <c r="N8" s="388">
        <f t="shared" si="3"/>
        <v>58.82352941176471</v>
      </c>
      <c r="O8" s="389" t="s">
        <v>8</v>
      </c>
      <c r="P8" s="387" t="s">
        <v>8</v>
      </c>
      <c r="Q8" s="388" t="s">
        <v>8</v>
      </c>
      <c r="R8" s="390">
        <v>-1</v>
      </c>
      <c r="S8" s="195">
        <v>11</v>
      </c>
      <c r="T8" s="61">
        <v>15</v>
      </c>
      <c r="U8" s="120">
        <f t="shared" ref="U8" si="4">SUM(S8/T8)*100</f>
        <v>73.333333333333329</v>
      </c>
      <c r="V8" s="195" t="s">
        <v>8</v>
      </c>
      <c r="W8" s="61" t="s">
        <v>8</v>
      </c>
      <c r="X8" s="120" t="s">
        <v>8</v>
      </c>
      <c r="AA8" s="195" t="s">
        <v>8</v>
      </c>
      <c r="AB8" s="61" t="s">
        <v>8</v>
      </c>
      <c r="AC8" s="120" t="s">
        <v>8</v>
      </c>
    </row>
    <row r="9" spans="1:29" ht="14.95" thickBot="1" x14ac:dyDescent="0.3">
      <c r="A9" s="381" t="s">
        <v>437</v>
      </c>
      <c r="B9" s="330">
        <v>0</v>
      </c>
      <c r="C9" s="334">
        <v>0</v>
      </c>
      <c r="D9" s="156">
        <v>0</v>
      </c>
      <c r="E9" s="387">
        <f t="shared" si="0"/>
        <v>0</v>
      </c>
      <c r="F9" s="384" t="s">
        <v>437</v>
      </c>
      <c r="G9" s="332">
        <v>0</v>
      </c>
      <c r="H9" s="336">
        <v>0</v>
      </c>
      <c r="I9" s="132">
        <v>0</v>
      </c>
      <c r="J9" s="392">
        <f t="shared" si="1"/>
        <v>0</v>
      </c>
      <c r="K9" s="380" t="s">
        <v>436</v>
      </c>
      <c r="L9" s="389" t="s">
        <v>8</v>
      </c>
      <c r="M9" s="387" t="s">
        <v>8</v>
      </c>
      <c r="N9" s="388" t="s">
        <v>8</v>
      </c>
      <c r="O9" s="389" t="s">
        <v>8</v>
      </c>
      <c r="P9" s="387" t="s">
        <v>8</v>
      </c>
      <c r="Q9" s="388" t="s">
        <v>8</v>
      </c>
      <c r="R9" s="390">
        <v>-1</v>
      </c>
      <c r="S9" s="195" t="s">
        <v>8</v>
      </c>
      <c r="T9" s="61" t="s">
        <v>8</v>
      </c>
      <c r="U9" s="120" t="s">
        <v>8</v>
      </c>
      <c r="V9" s="195">
        <v>5</v>
      </c>
      <c r="W9" s="61">
        <v>7</v>
      </c>
      <c r="X9" s="120">
        <f>SUM(V9/W9)*100</f>
        <v>71.428571428571431</v>
      </c>
      <c r="AA9" s="195">
        <v>3</v>
      </c>
      <c r="AB9" s="61">
        <v>7</v>
      </c>
      <c r="AC9" s="120">
        <f>SUM(AA9/AB9)*100</f>
        <v>42.857142857142854</v>
      </c>
    </row>
    <row r="10" spans="1:29" ht="14.95" thickBot="1" x14ac:dyDescent="0.3">
      <c r="A10" s="381" t="s">
        <v>284</v>
      </c>
      <c r="B10" s="330">
        <v>0</v>
      </c>
      <c r="C10" s="334">
        <v>0</v>
      </c>
      <c r="D10" s="156">
        <v>0</v>
      </c>
      <c r="E10" s="387">
        <f t="shared" si="0"/>
        <v>0</v>
      </c>
      <c r="F10" s="384" t="s">
        <v>284</v>
      </c>
      <c r="G10" s="332">
        <v>0</v>
      </c>
      <c r="H10" s="336">
        <v>0</v>
      </c>
      <c r="I10" s="132">
        <v>0</v>
      </c>
      <c r="J10" s="392">
        <f t="shared" si="1"/>
        <v>0</v>
      </c>
      <c r="K10" s="380" t="s">
        <v>907</v>
      </c>
      <c r="L10" s="389">
        <v>13</v>
      </c>
      <c r="M10" s="387">
        <v>21</v>
      </c>
      <c r="N10" s="388">
        <f t="shared" si="3"/>
        <v>61.904761904761905</v>
      </c>
      <c r="O10" s="389">
        <v>0</v>
      </c>
      <c r="P10" s="387">
        <v>1</v>
      </c>
      <c r="Q10" s="388">
        <f t="shared" ref="Q10" si="5">SUM(O10/P10)*100</f>
        <v>0</v>
      </c>
      <c r="R10" s="390">
        <v>-1</v>
      </c>
      <c r="S10" s="195" t="s">
        <v>8</v>
      </c>
      <c r="T10" s="61" t="s">
        <v>8</v>
      </c>
      <c r="U10" s="120" t="s">
        <v>8</v>
      </c>
      <c r="V10" s="195" t="s">
        <v>8</v>
      </c>
      <c r="W10" s="61" t="s">
        <v>8</v>
      </c>
      <c r="X10" s="120" t="s">
        <v>8</v>
      </c>
      <c r="AA10" s="195" t="s">
        <v>8</v>
      </c>
      <c r="AB10" s="61" t="s">
        <v>8</v>
      </c>
      <c r="AC10" s="120" t="s">
        <v>8</v>
      </c>
    </row>
    <row r="11" spans="1:29" ht="14.95" thickBot="1" x14ac:dyDescent="0.3">
      <c r="A11" s="381" t="s">
        <v>235</v>
      </c>
      <c r="B11" s="330">
        <v>0</v>
      </c>
      <c r="C11" s="334">
        <v>0</v>
      </c>
      <c r="D11" s="156">
        <v>0</v>
      </c>
      <c r="E11" s="387">
        <f t="shared" si="0"/>
        <v>0</v>
      </c>
      <c r="F11" s="384" t="s">
        <v>235</v>
      </c>
      <c r="G11" s="332">
        <v>0</v>
      </c>
      <c r="H11" s="336">
        <v>0</v>
      </c>
      <c r="I11" s="132">
        <v>0</v>
      </c>
      <c r="J11" s="392">
        <f t="shared" si="1"/>
        <v>0</v>
      </c>
      <c r="K11" s="45"/>
      <c r="L11" s="45"/>
      <c r="M11" s="45"/>
      <c r="N11" s="45"/>
      <c r="O11" s="45"/>
      <c r="P11" s="45"/>
      <c r="Q11" s="45"/>
    </row>
    <row r="12" spans="1:29" ht="14.95" thickBot="1" x14ac:dyDescent="0.3">
      <c r="A12" s="381" t="s">
        <v>666</v>
      </c>
      <c r="B12" s="330">
        <v>0</v>
      </c>
      <c r="C12" s="334">
        <v>4</v>
      </c>
      <c r="D12" s="156">
        <v>1</v>
      </c>
      <c r="E12" s="387">
        <f t="shared" si="0"/>
        <v>5</v>
      </c>
      <c r="F12" s="384" t="s">
        <v>666</v>
      </c>
      <c r="G12" s="332">
        <v>0</v>
      </c>
      <c r="H12" s="336">
        <v>20</v>
      </c>
      <c r="I12" s="132">
        <v>5</v>
      </c>
      <c r="J12" s="392">
        <f t="shared" si="1"/>
        <v>25</v>
      </c>
      <c r="K12" s="439" t="s">
        <v>230</v>
      </c>
      <c r="L12" s="433">
        <v>2025</v>
      </c>
      <c r="M12" s="434"/>
      <c r="N12" s="435"/>
      <c r="O12" s="447">
        <v>2024</v>
      </c>
      <c r="P12" s="448"/>
      <c r="Q12" s="449"/>
      <c r="R12" s="447">
        <v>2023</v>
      </c>
      <c r="S12" s="448"/>
      <c r="T12" s="449"/>
      <c r="U12" s="447">
        <v>2022</v>
      </c>
      <c r="V12" s="448"/>
      <c r="W12" s="449"/>
    </row>
    <row r="13" spans="1:29" ht="14.95" thickBot="1" x14ac:dyDescent="0.3">
      <c r="A13" s="381" t="s">
        <v>337</v>
      </c>
      <c r="B13" s="330">
        <v>0</v>
      </c>
      <c r="C13" s="334">
        <v>0</v>
      </c>
      <c r="D13" s="156">
        <v>0</v>
      </c>
      <c r="E13" s="387">
        <f t="shared" si="0"/>
        <v>0</v>
      </c>
      <c r="F13" s="384" t="s">
        <v>337</v>
      </c>
      <c r="G13" s="332">
        <v>0</v>
      </c>
      <c r="H13" s="336">
        <v>0</v>
      </c>
      <c r="I13" s="132">
        <v>0</v>
      </c>
      <c r="J13" s="392">
        <f t="shared" si="1"/>
        <v>0</v>
      </c>
      <c r="K13" s="440"/>
      <c r="L13" s="436"/>
      <c r="M13" s="437"/>
      <c r="N13" s="438"/>
      <c r="O13" s="450"/>
      <c r="P13" s="451"/>
      <c r="Q13" s="452"/>
      <c r="R13" s="450"/>
      <c r="S13" s="451"/>
      <c r="T13" s="452"/>
      <c r="U13" s="450"/>
      <c r="V13" s="451"/>
      <c r="W13" s="452"/>
    </row>
    <row r="14" spans="1:29" ht="14.95" thickBot="1" x14ac:dyDescent="0.3">
      <c r="A14" s="381" t="s">
        <v>338</v>
      </c>
      <c r="B14" s="330">
        <v>2</v>
      </c>
      <c r="C14" s="334">
        <v>2</v>
      </c>
      <c r="D14" s="156">
        <v>0</v>
      </c>
      <c r="E14" s="387">
        <f t="shared" si="0"/>
        <v>4</v>
      </c>
      <c r="F14" s="384" t="s">
        <v>338</v>
      </c>
      <c r="G14" s="332">
        <v>10</v>
      </c>
      <c r="H14" s="336">
        <v>10</v>
      </c>
      <c r="I14" s="132">
        <v>0</v>
      </c>
      <c r="J14" s="392">
        <f t="shared" si="1"/>
        <v>20</v>
      </c>
      <c r="K14" s="141"/>
      <c r="L14" s="29" t="s">
        <v>17</v>
      </c>
      <c r="M14" s="29" t="s">
        <v>5</v>
      </c>
      <c r="N14" s="29" t="s">
        <v>6</v>
      </c>
      <c r="O14" s="61" t="s">
        <v>17</v>
      </c>
      <c r="P14" s="61" t="s">
        <v>5</v>
      </c>
      <c r="Q14" s="61" t="s">
        <v>6</v>
      </c>
      <c r="R14" s="61" t="s">
        <v>17</v>
      </c>
      <c r="S14" s="61" t="s">
        <v>5</v>
      </c>
      <c r="T14" s="61" t="s">
        <v>6</v>
      </c>
      <c r="U14" s="61" t="s">
        <v>17</v>
      </c>
      <c r="V14" s="61" t="s">
        <v>5</v>
      </c>
      <c r="W14" s="61" t="s">
        <v>6</v>
      </c>
    </row>
    <row r="15" spans="1:29" ht="14.95" thickBot="1" x14ac:dyDescent="0.3">
      <c r="A15" s="381" t="s">
        <v>895</v>
      </c>
      <c r="B15" s="330">
        <v>0</v>
      </c>
      <c r="C15" s="334">
        <v>0</v>
      </c>
      <c r="D15" s="156">
        <v>1</v>
      </c>
      <c r="E15" s="387">
        <f t="shared" si="0"/>
        <v>1</v>
      </c>
      <c r="F15" s="384" t="s">
        <v>895</v>
      </c>
      <c r="G15" s="332">
        <v>0</v>
      </c>
      <c r="H15" s="336">
        <v>0</v>
      </c>
      <c r="I15" s="132">
        <v>5</v>
      </c>
      <c r="J15" s="392">
        <f t="shared" si="1"/>
        <v>5</v>
      </c>
      <c r="K15" s="381" t="s">
        <v>224</v>
      </c>
      <c r="L15" s="387" t="s">
        <v>8</v>
      </c>
      <c r="M15" s="387" t="s">
        <v>8</v>
      </c>
      <c r="N15" s="388" t="s">
        <v>8</v>
      </c>
      <c r="O15" s="61" t="s">
        <v>8</v>
      </c>
      <c r="P15" s="61" t="s">
        <v>8</v>
      </c>
      <c r="Q15" s="120" t="s">
        <v>8</v>
      </c>
      <c r="R15" s="61">
        <v>1</v>
      </c>
      <c r="S15" s="61">
        <v>3</v>
      </c>
      <c r="T15" s="120">
        <f>SUM(R15/S15)*100</f>
        <v>33.333333333333329</v>
      </c>
      <c r="U15" s="61">
        <v>6</v>
      </c>
      <c r="V15" s="61">
        <v>6</v>
      </c>
      <c r="W15" s="120">
        <f>SUM(U15/V15)*100</f>
        <v>100</v>
      </c>
    </row>
    <row r="16" spans="1:29" ht="14.95" thickBot="1" x14ac:dyDescent="0.3">
      <c r="A16" s="381" t="s">
        <v>339</v>
      </c>
      <c r="B16" s="330">
        <v>0</v>
      </c>
      <c r="C16" s="334">
        <v>0</v>
      </c>
      <c r="D16" s="156">
        <v>0</v>
      </c>
      <c r="E16" s="387">
        <f t="shared" si="0"/>
        <v>0</v>
      </c>
      <c r="F16" s="384" t="s">
        <v>339</v>
      </c>
      <c r="G16" s="332">
        <v>0</v>
      </c>
      <c r="H16" s="336">
        <v>0</v>
      </c>
      <c r="I16" s="132">
        <v>0</v>
      </c>
      <c r="J16" s="392">
        <f t="shared" si="1"/>
        <v>0</v>
      </c>
      <c r="K16" s="380" t="s">
        <v>285</v>
      </c>
      <c r="L16" s="387" t="s">
        <v>8</v>
      </c>
      <c r="M16" s="387" t="s">
        <v>8</v>
      </c>
      <c r="N16" s="388" t="s">
        <v>8</v>
      </c>
      <c r="O16" s="195">
        <v>5</v>
      </c>
      <c r="P16" s="61">
        <v>9</v>
      </c>
      <c r="Q16" s="120">
        <f>SUM(O16/P16)*100</f>
        <v>55.555555555555557</v>
      </c>
      <c r="R16" s="195">
        <v>1</v>
      </c>
      <c r="S16" s="61">
        <v>1</v>
      </c>
      <c r="T16" s="120">
        <f>SUM(R16/S16)*100</f>
        <v>100</v>
      </c>
      <c r="U16" s="195" t="s">
        <v>8</v>
      </c>
      <c r="V16" s="61" t="s">
        <v>8</v>
      </c>
      <c r="W16" s="120" t="s">
        <v>8</v>
      </c>
    </row>
    <row r="17" spans="1:23" ht="14.95" thickBot="1" x14ac:dyDescent="0.3">
      <c r="A17" s="381" t="s">
        <v>340</v>
      </c>
      <c r="B17" s="330">
        <v>0</v>
      </c>
      <c r="C17" s="334">
        <v>0</v>
      </c>
      <c r="D17" s="156">
        <v>0</v>
      </c>
      <c r="E17" s="387">
        <f t="shared" si="0"/>
        <v>0</v>
      </c>
      <c r="F17" s="384" t="s">
        <v>340</v>
      </c>
      <c r="G17" s="332">
        <v>0</v>
      </c>
      <c r="H17" s="336">
        <v>0</v>
      </c>
      <c r="I17" s="132">
        <v>0</v>
      </c>
      <c r="J17" s="392">
        <f t="shared" si="1"/>
        <v>0</v>
      </c>
      <c r="K17" s="380" t="s">
        <v>667</v>
      </c>
      <c r="L17" s="389">
        <v>5</v>
      </c>
      <c r="M17" s="387">
        <v>8</v>
      </c>
      <c r="N17" s="388">
        <f>SUM(L17/M17)*100</f>
        <v>62.5</v>
      </c>
      <c r="O17" s="195" t="s">
        <v>8</v>
      </c>
      <c r="P17" s="61" t="s">
        <v>8</v>
      </c>
      <c r="Q17" s="120" t="s">
        <v>8</v>
      </c>
      <c r="R17" s="195">
        <v>5</v>
      </c>
      <c r="S17" s="61">
        <v>7</v>
      </c>
      <c r="T17" s="120">
        <f>SUM(R17/S17)*100</f>
        <v>71.428571428571431</v>
      </c>
      <c r="U17" s="195" t="s">
        <v>8</v>
      </c>
      <c r="V17" s="61" t="s">
        <v>8</v>
      </c>
      <c r="W17" s="120" t="s">
        <v>8</v>
      </c>
    </row>
    <row r="18" spans="1:23" ht="14.95" thickBot="1" x14ac:dyDescent="0.3">
      <c r="A18" s="381" t="s">
        <v>341</v>
      </c>
      <c r="B18" s="330">
        <v>0</v>
      </c>
      <c r="C18" s="334">
        <v>0</v>
      </c>
      <c r="D18" s="156">
        <v>0</v>
      </c>
      <c r="E18" s="387">
        <f t="shared" si="0"/>
        <v>0</v>
      </c>
      <c r="F18" s="384" t="s">
        <v>341</v>
      </c>
      <c r="G18" s="332">
        <v>0</v>
      </c>
      <c r="H18" s="336">
        <v>0</v>
      </c>
      <c r="I18" s="132">
        <v>0</v>
      </c>
      <c r="J18" s="392">
        <f t="shared" si="1"/>
        <v>0</v>
      </c>
      <c r="K18" s="380" t="s">
        <v>436</v>
      </c>
      <c r="L18" s="389" t="s">
        <v>8</v>
      </c>
      <c r="M18" s="387" t="s">
        <v>8</v>
      </c>
      <c r="N18" s="388" t="s">
        <v>8</v>
      </c>
      <c r="O18" s="195" t="s">
        <v>8</v>
      </c>
      <c r="P18" s="61" t="s">
        <v>8</v>
      </c>
      <c r="Q18" s="120" t="s">
        <v>8</v>
      </c>
      <c r="R18" s="195">
        <v>5</v>
      </c>
      <c r="S18" s="61">
        <v>7</v>
      </c>
      <c r="T18" s="120">
        <f>SUM(R18/S18)*100</f>
        <v>71.428571428571431</v>
      </c>
      <c r="U18" s="195" t="s">
        <v>8</v>
      </c>
      <c r="V18" s="61" t="s">
        <v>8</v>
      </c>
      <c r="W18" s="120" t="s">
        <v>8</v>
      </c>
    </row>
    <row r="19" spans="1:23" ht="14.95" thickBot="1" x14ac:dyDescent="0.3">
      <c r="A19" s="381" t="s">
        <v>497</v>
      </c>
      <c r="B19" s="330">
        <v>3</v>
      </c>
      <c r="C19" s="334">
        <v>0</v>
      </c>
      <c r="D19" s="156">
        <v>1</v>
      </c>
      <c r="E19" s="387">
        <f t="shared" si="0"/>
        <v>4</v>
      </c>
      <c r="F19" s="384" t="s">
        <v>497</v>
      </c>
      <c r="G19" s="332">
        <v>15</v>
      </c>
      <c r="H19" s="336">
        <v>0</v>
      </c>
      <c r="I19" s="132">
        <v>5</v>
      </c>
      <c r="J19" s="392">
        <f t="shared" si="1"/>
        <v>20</v>
      </c>
    </row>
    <row r="20" spans="1:23" ht="14.95" customHeight="1" thickBot="1" x14ac:dyDescent="0.3">
      <c r="A20" s="381" t="s">
        <v>285</v>
      </c>
      <c r="B20" s="330">
        <v>0</v>
      </c>
      <c r="C20" s="334">
        <v>0</v>
      </c>
      <c r="D20" s="156">
        <v>0</v>
      </c>
      <c r="E20" s="387">
        <f t="shared" si="0"/>
        <v>0</v>
      </c>
      <c r="F20" s="384" t="s">
        <v>285</v>
      </c>
      <c r="G20" s="332">
        <v>0</v>
      </c>
      <c r="H20" s="336">
        <v>0</v>
      </c>
      <c r="I20" s="132">
        <v>0</v>
      </c>
      <c r="J20" s="392">
        <f t="shared" si="1"/>
        <v>0</v>
      </c>
      <c r="K20" s="459" t="s">
        <v>351</v>
      </c>
      <c r="L20" s="433">
        <v>2025</v>
      </c>
      <c r="M20" s="434"/>
      <c r="N20" s="435"/>
      <c r="O20" s="447">
        <v>2022</v>
      </c>
      <c r="P20" s="448"/>
      <c r="Q20" s="449"/>
    </row>
    <row r="21" spans="1:23" ht="14.95" customHeight="1" thickBot="1" x14ac:dyDescent="0.3">
      <c r="A21" s="381" t="s">
        <v>264</v>
      </c>
      <c r="B21" s="330">
        <v>1</v>
      </c>
      <c r="C21" s="334">
        <v>6</v>
      </c>
      <c r="D21" s="156">
        <v>1</v>
      </c>
      <c r="E21" s="387">
        <f t="shared" si="0"/>
        <v>8</v>
      </c>
      <c r="F21" s="384" t="s">
        <v>264</v>
      </c>
      <c r="G21" s="332">
        <v>5</v>
      </c>
      <c r="H21" s="336">
        <v>30</v>
      </c>
      <c r="I21" s="132">
        <v>7</v>
      </c>
      <c r="J21" s="392">
        <f t="shared" si="1"/>
        <v>42</v>
      </c>
      <c r="K21" s="460"/>
      <c r="L21" s="436"/>
      <c r="M21" s="437"/>
      <c r="N21" s="438"/>
      <c r="O21" s="450"/>
      <c r="P21" s="451"/>
      <c r="Q21" s="452"/>
    </row>
    <row r="22" spans="1:23" ht="14.95" thickBot="1" x14ac:dyDescent="0.3">
      <c r="A22" s="381" t="s">
        <v>667</v>
      </c>
      <c r="B22" s="330">
        <v>0</v>
      </c>
      <c r="C22" s="334">
        <v>0</v>
      </c>
      <c r="D22" s="156">
        <v>1</v>
      </c>
      <c r="E22" s="387">
        <f t="shared" si="0"/>
        <v>1</v>
      </c>
      <c r="F22" s="384" t="s">
        <v>667</v>
      </c>
      <c r="G22" s="332">
        <v>11</v>
      </c>
      <c r="H22" s="336">
        <v>0</v>
      </c>
      <c r="I22" s="132">
        <v>15</v>
      </c>
      <c r="J22" s="392">
        <f t="shared" si="1"/>
        <v>26</v>
      </c>
      <c r="K22" s="317"/>
      <c r="L22" s="29" t="s">
        <v>17</v>
      </c>
      <c r="M22" s="29" t="s">
        <v>5</v>
      </c>
      <c r="N22" s="29" t="s">
        <v>6</v>
      </c>
      <c r="O22" s="61" t="s">
        <v>17</v>
      </c>
      <c r="P22" s="61" t="s">
        <v>5</v>
      </c>
      <c r="Q22" s="61" t="s">
        <v>6</v>
      </c>
    </row>
    <row r="23" spans="1:23" ht="14.95" thickBot="1" x14ac:dyDescent="0.3">
      <c r="A23" s="381" t="s">
        <v>644</v>
      </c>
      <c r="B23" s="330">
        <v>0</v>
      </c>
      <c r="C23" s="334">
        <v>0</v>
      </c>
      <c r="D23" s="156">
        <v>0</v>
      </c>
      <c r="E23" s="387">
        <f t="shared" si="0"/>
        <v>0</v>
      </c>
      <c r="F23" s="384" t="s">
        <v>644</v>
      </c>
      <c r="G23" s="332">
        <v>0</v>
      </c>
      <c r="H23" s="336">
        <v>0</v>
      </c>
      <c r="I23" s="132">
        <v>0</v>
      </c>
      <c r="J23" s="392">
        <f t="shared" si="1"/>
        <v>0</v>
      </c>
      <c r="K23" s="381" t="s">
        <v>224</v>
      </c>
      <c r="L23" s="387">
        <v>3</v>
      </c>
      <c r="M23" s="387">
        <v>3</v>
      </c>
      <c r="N23" s="388">
        <f t="shared" ref="N23" si="6">SUM(L23/M23)*100</f>
        <v>100</v>
      </c>
      <c r="O23" s="61">
        <v>5</v>
      </c>
      <c r="P23" s="61">
        <v>7</v>
      </c>
      <c r="Q23" s="120">
        <v>71</v>
      </c>
    </row>
    <row r="24" spans="1:23" ht="14.95" thickBot="1" x14ac:dyDescent="0.3">
      <c r="A24" s="381" t="s">
        <v>674</v>
      </c>
      <c r="B24" s="330">
        <v>0</v>
      </c>
      <c r="C24" s="334">
        <v>0</v>
      </c>
      <c r="D24" s="156">
        <v>1</v>
      </c>
      <c r="E24" s="387">
        <f t="shared" si="0"/>
        <v>1</v>
      </c>
      <c r="F24" s="384" t="s">
        <v>674</v>
      </c>
      <c r="G24" s="332">
        <v>0</v>
      </c>
      <c r="H24" s="336">
        <v>0</v>
      </c>
      <c r="I24" s="132">
        <v>5</v>
      </c>
      <c r="J24" s="392">
        <f t="shared" si="1"/>
        <v>5</v>
      </c>
      <c r="K24" s="380" t="s">
        <v>285</v>
      </c>
      <c r="L24" s="387" t="s">
        <v>8</v>
      </c>
      <c r="M24" s="387" t="s">
        <v>8</v>
      </c>
      <c r="N24" s="388" t="s">
        <v>8</v>
      </c>
      <c r="O24" s="195">
        <v>1</v>
      </c>
      <c r="P24" s="61">
        <v>4</v>
      </c>
      <c r="Q24" s="120">
        <v>25</v>
      </c>
      <c r="R24" s="9"/>
      <c r="S24" s="9"/>
      <c r="T24" s="9"/>
    </row>
    <row r="25" spans="1:23" ht="14.95" thickBot="1" x14ac:dyDescent="0.3">
      <c r="A25" s="381" t="s">
        <v>342</v>
      </c>
      <c r="B25" s="330">
        <v>0</v>
      </c>
      <c r="C25" s="334">
        <v>0</v>
      </c>
      <c r="D25" s="156">
        <v>1</v>
      </c>
      <c r="E25" s="387">
        <f t="shared" si="0"/>
        <v>1</v>
      </c>
      <c r="F25" s="384" t="s">
        <v>342</v>
      </c>
      <c r="G25" s="332">
        <v>0</v>
      </c>
      <c r="H25" s="336">
        <v>0</v>
      </c>
      <c r="I25" s="132">
        <v>5</v>
      </c>
      <c r="J25" s="392">
        <f t="shared" si="1"/>
        <v>5</v>
      </c>
      <c r="K25" s="380" t="s">
        <v>907</v>
      </c>
      <c r="L25" s="389">
        <v>10</v>
      </c>
      <c r="M25" s="387">
        <v>15</v>
      </c>
      <c r="N25" s="388">
        <f t="shared" ref="N25" si="7">SUM(L25/M25)*100</f>
        <v>66.666666666666657</v>
      </c>
      <c r="O25" s="195" t="s">
        <v>8</v>
      </c>
      <c r="P25" s="61" t="s">
        <v>8</v>
      </c>
      <c r="Q25" s="120" t="s">
        <v>8</v>
      </c>
      <c r="R25" s="9"/>
      <c r="S25" s="9"/>
      <c r="T25" s="9"/>
    </row>
    <row r="26" spans="1:23" ht="14.95" thickBot="1" x14ac:dyDescent="0.3">
      <c r="A26" s="381" t="s">
        <v>343</v>
      </c>
      <c r="B26" s="330">
        <v>0</v>
      </c>
      <c r="C26" s="334">
        <v>0</v>
      </c>
      <c r="D26" s="156">
        <v>0</v>
      </c>
      <c r="E26" s="387">
        <f t="shared" si="0"/>
        <v>0</v>
      </c>
      <c r="F26" s="384" t="s">
        <v>343</v>
      </c>
      <c r="G26" s="332">
        <v>0</v>
      </c>
      <c r="H26" s="336">
        <v>0</v>
      </c>
      <c r="I26" s="132">
        <v>0</v>
      </c>
      <c r="J26" s="392">
        <f t="shared" si="1"/>
        <v>0</v>
      </c>
      <c r="O26" s="20"/>
      <c r="P26" s="20"/>
      <c r="Q26" s="23"/>
    </row>
    <row r="27" spans="1:23" ht="14.95" thickBot="1" x14ac:dyDescent="0.3">
      <c r="A27" s="381" t="s">
        <v>344</v>
      </c>
      <c r="B27" s="330">
        <v>0</v>
      </c>
      <c r="C27" s="334">
        <v>0</v>
      </c>
      <c r="D27" s="156">
        <v>0</v>
      </c>
      <c r="E27" s="387">
        <f t="shared" si="0"/>
        <v>0</v>
      </c>
      <c r="F27" s="384" t="s">
        <v>344</v>
      </c>
      <c r="G27" s="332">
        <v>0</v>
      </c>
      <c r="H27" s="336">
        <v>0</v>
      </c>
      <c r="I27" s="132">
        <v>0</v>
      </c>
      <c r="J27" s="392">
        <f t="shared" si="1"/>
        <v>0</v>
      </c>
      <c r="K27" s="457" t="s">
        <v>509</v>
      </c>
      <c r="L27" s="447">
        <v>2024</v>
      </c>
      <c r="M27" s="448"/>
      <c r="N27" s="449"/>
      <c r="O27" s="447">
        <v>2023</v>
      </c>
      <c r="P27" s="448"/>
      <c r="Q27" s="449"/>
    </row>
    <row r="28" spans="1:23" ht="14.95" thickBot="1" x14ac:dyDescent="0.3">
      <c r="A28" s="381" t="s">
        <v>345</v>
      </c>
      <c r="B28" s="330">
        <v>0</v>
      </c>
      <c r="C28" s="334">
        <v>0</v>
      </c>
      <c r="D28" s="156">
        <v>0</v>
      </c>
      <c r="E28" s="387">
        <f t="shared" si="0"/>
        <v>0</v>
      </c>
      <c r="F28" s="384" t="s">
        <v>345</v>
      </c>
      <c r="G28" s="332">
        <v>0</v>
      </c>
      <c r="H28" s="336">
        <v>0</v>
      </c>
      <c r="I28" s="132">
        <v>0</v>
      </c>
      <c r="J28" s="392">
        <f t="shared" si="1"/>
        <v>0</v>
      </c>
      <c r="K28" s="458"/>
      <c r="L28" s="450"/>
      <c r="M28" s="451"/>
      <c r="N28" s="452"/>
      <c r="O28" s="450"/>
      <c r="P28" s="451"/>
      <c r="Q28" s="452"/>
    </row>
    <row r="29" spans="1:23" ht="14.95" thickBot="1" x14ac:dyDescent="0.3">
      <c r="A29" s="381" t="s">
        <v>222</v>
      </c>
      <c r="B29" s="330">
        <v>0</v>
      </c>
      <c r="C29" s="334">
        <v>0</v>
      </c>
      <c r="D29" s="156">
        <v>0</v>
      </c>
      <c r="E29" s="387">
        <f t="shared" si="0"/>
        <v>0</v>
      </c>
      <c r="F29" s="384" t="s">
        <v>222</v>
      </c>
      <c r="G29" s="332">
        <v>0</v>
      </c>
      <c r="H29" s="336">
        <v>0</v>
      </c>
      <c r="I29" s="132">
        <v>0</v>
      </c>
      <c r="J29" s="392">
        <f t="shared" si="1"/>
        <v>0</v>
      </c>
      <c r="K29" s="230"/>
      <c r="L29" s="61" t="s">
        <v>17</v>
      </c>
      <c r="M29" s="61" t="s">
        <v>5</v>
      </c>
      <c r="N29" s="61" t="s">
        <v>6</v>
      </c>
      <c r="O29" s="61" t="s">
        <v>17</v>
      </c>
      <c r="P29" s="61" t="s">
        <v>5</v>
      </c>
      <c r="Q29" s="61" t="s">
        <v>6</v>
      </c>
    </row>
    <row r="30" spans="1:23" ht="14.95" customHeight="1" thickBot="1" x14ac:dyDescent="0.3">
      <c r="A30" s="381" t="s">
        <v>223</v>
      </c>
      <c r="B30" s="330">
        <v>0</v>
      </c>
      <c r="C30" s="334">
        <v>0</v>
      </c>
      <c r="D30" s="156">
        <v>0</v>
      </c>
      <c r="E30" s="387">
        <f t="shared" si="0"/>
        <v>0</v>
      </c>
      <c r="F30" s="384" t="s">
        <v>223</v>
      </c>
      <c r="G30" s="332">
        <v>0</v>
      </c>
      <c r="H30" s="336">
        <v>0</v>
      </c>
      <c r="I30" s="132">
        <v>0</v>
      </c>
      <c r="J30" s="392">
        <f t="shared" si="1"/>
        <v>0</v>
      </c>
      <c r="K30" s="381" t="s">
        <v>224</v>
      </c>
      <c r="L30" s="61">
        <v>2</v>
      </c>
      <c r="M30" s="61">
        <v>4</v>
      </c>
      <c r="N30" s="120">
        <f>SUM(L30/M30)*100</f>
        <v>50</v>
      </c>
      <c r="O30" s="195" t="s">
        <v>8</v>
      </c>
      <c r="P30" s="61" t="s">
        <v>8</v>
      </c>
      <c r="Q30" s="120" t="s">
        <v>8</v>
      </c>
    </row>
    <row r="31" spans="1:23" ht="14.95" thickBot="1" x14ac:dyDescent="0.3">
      <c r="A31" s="381" t="s">
        <v>345</v>
      </c>
      <c r="B31" s="330">
        <v>0</v>
      </c>
      <c r="C31" s="334">
        <v>0</v>
      </c>
      <c r="D31" s="156">
        <v>1</v>
      </c>
      <c r="E31" s="387">
        <f t="shared" si="0"/>
        <v>1</v>
      </c>
      <c r="F31" s="384" t="s">
        <v>345</v>
      </c>
      <c r="G31" s="332">
        <v>0</v>
      </c>
      <c r="H31" s="336">
        <v>0</v>
      </c>
      <c r="I31" s="132">
        <v>5</v>
      </c>
      <c r="J31" s="392">
        <f t="shared" si="1"/>
        <v>5</v>
      </c>
      <c r="K31" s="381" t="s">
        <v>437</v>
      </c>
      <c r="L31" s="61"/>
      <c r="M31" s="61"/>
      <c r="N31" s="120"/>
      <c r="O31" s="61">
        <v>5</v>
      </c>
      <c r="P31" s="61">
        <v>9</v>
      </c>
      <c r="Q31" s="120">
        <f>SUM(O31/P31)*100</f>
        <v>55.555555555555557</v>
      </c>
    </row>
    <row r="32" spans="1:23" ht="14.95" thickBot="1" x14ac:dyDescent="0.3">
      <c r="A32" s="381" t="s">
        <v>212</v>
      </c>
      <c r="B32" s="330">
        <v>0</v>
      </c>
      <c r="C32" s="334">
        <v>0</v>
      </c>
      <c r="D32" s="156">
        <v>0</v>
      </c>
      <c r="E32" s="387">
        <f t="shared" si="0"/>
        <v>0</v>
      </c>
      <c r="F32" s="384" t="s">
        <v>212</v>
      </c>
      <c r="G32" s="332">
        <v>0</v>
      </c>
      <c r="H32" s="336">
        <v>0</v>
      </c>
      <c r="I32" s="132">
        <v>0</v>
      </c>
      <c r="J32" s="392">
        <f t="shared" si="1"/>
        <v>0</v>
      </c>
      <c r="K32" s="380" t="s">
        <v>285</v>
      </c>
      <c r="L32" s="195"/>
      <c r="M32" s="61"/>
      <c r="N32" s="120"/>
      <c r="O32" s="195">
        <v>2</v>
      </c>
      <c r="P32" s="61">
        <v>2</v>
      </c>
      <c r="Q32" s="120">
        <f>SUM(O32/P32)*100</f>
        <v>100</v>
      </c>
    </row>
    <row r="33" spans="1:17" ht="14.95" thickBot="1" x14ac:dyDescent="0.3">
      <c r="A33" s="381" t="s">
        <v>346</v>
      </c>
      <c r="B33" s="330">
        <v>0</v>
      </c>
      <c r="C33" s="334">
        <v>0</v>
      </c>
      <c r="D33" s="156">
        <v>0</v>
      </c>
      <c r="E33" s="387">
        <f t="shared" si="0"/>
        <v>0</v>
      </c>
      <c r="F33" s="384" t="s">
        <v>346</v>
      </c>
      <c r="G33" s="332">
        <v>0</v>
      </c>
      <c r="H33" s="336">
        <v>0</v>
      </c>
      <c r="I33" s="132">
        <v>0</v>
      </c>
      <c r="J33" s="392">
        <f t="shared" si="1"/>
        <v>0</v>
      </c>
      <c r="K33" s="381" t="s">
        <v>667</v>
      </c>
      <c r="L33" s="61">
        <v>9</v>
      </c>
      <c r="M33" s="61">
        <v>13</v>
      </c>
      <c r="N33" s="120">
        <f>SUM(L33/M33)*100</f>
        <v>69.230769230769226</v>
      </c>
      <c r="O33" s="195" t="s">
        <v>8</v>
      </c>
      <c r="P33" s="61" t="s">
        <v>8</v>
      </c>
      <c r="Q33" s="120" t="s">
        <v>8</v>
      </c>
    </row>
    <row r="34" spans="1:17" ht="14.95" thickBot="1" x14ac:dyDescent="0.3">
      <c r="A34" s="381" t="s">
        <v>347</v>
      </c>
      <c r="B34" s="330">
        <v>0</v>
      </c>
      <c r="C34" s="334">
        <v>0</v>
      </c>
      <c r="D34" s="156">
        <v>0</v>
      </c>
      <c r="E34" s="387">
        <f t="shared" si="0"/>
        <v>0</v>
      </c>
      <c r="F34" s="384" t="s">
        <v>347</v>
      </c>
      <c r="G34" s="332">
        <v>0</v>
      </c>
      <c r="H34" s="336">
        <v>0</v>
      </c>
      <c r="I34" s="132">
        <v>0</v>
      </c>
      <c r="J34" s="392">
        <f t="shared" si="1"/>
        <v>0</v>
      </c>
    </row>
    <row r="35" spans="1:17" ht="14.95" thickBot="1" x14ac:dyDescent="0.3">
      <c r="A35" s="381" t="s">
        <v>348</v>
      </c>
      <c r="B35" s="330">
        <v>0</v>
      </c>
      <c r="C35" s="334">
        <v>0</v>
      </c>
      <c r="D35" s="156">
        <v>0</v>
      </c>
      <c r="E35" s="387">
        <f t="shared" si="0"/>
        <v>0</v>
      </c>
      <c r="F35" s="384" t="s">
        <v>348</v>
      </c>
      <c r="G35" s="332">
        <v>0</v>
      </c>
      <c r="H35" s="336">
        <v>0</v>
      </c>
      <c r="I35" s="132">
        <v>0</v>
      </c>
      <c r="J35" s="392">
        <f t="shared" si="1"/>
        <v>0</v>
      </c>
    </row>
    <row r="36" spans="1:17" ht="14.95" thickBot="1" x14ac:dyDescent="0.3">
      <c r="A36" s="381" t="s">
        <v>436</v>
      </c>
      <c r="B36" s="330">
        <v>0</v>
      </c>
      <c r="C36" s="334">
        <v>1</v>
      </c>
      <c r="D36" s="156">
        <v>0</v>
      </c>
      <c r="E36" s="387">
        <f t="shared" si="0"/>
        <v>1</v>
      </c>
      <c r="F36" s="384" t="s">
        <v>436</v>
      </c>
      <c r="G36" s="332">
        <v>0</v>
      </c>
      <c r="H36" s="336">
        <v>5</v>
      </c>
      <c r="I36" s="132">
        <v>0</v>
      </c>
      <c r="J36" s="392">
        <f t="shared" si="1"/>
        <v>5</v>
      </c>
    </row>
    <row r="37" spans="1:17" ht="14.95" thickBot="1" x14ac:dyDescent="0.3">
      <c r="A37" s="381" t="s">
        <v>349</v>
      </c>
      <c r="B37" s="330">
        <v>0</v>
      </c>
      <c r="C37" s="334">
        <v>0</v>
      </c>
      <c r="D37" s="156">
        <v>1</v>
      </c>
      <c r="E37" s="387">
        <f t="shared" si="0"/>
        <v>1</v>
      </c>
      <c r="F37" s="384" t="s">
        <v>349</v>
      </c>
      <c r="G37" s="332">
        <v>0</v>
      </c>
      <c r="H37" s="336">
        <v>0</v>
      </c>
      <c r="I37" s="132">
        <v>5</v>
      </c>
      <c r="J37" s="392">
        <f t="shared" si="1"/>
        <v>5</v>
      </c>
    </row>
    <row r="38" spans="1:17" ht="14.95" thickBot="1" x14ac:dyDescent="0.3">
      <c r="A38" s="381" t="s">
        <v>943</v>
      </c>
      <c r="B38" s="330">
        <v>0</v>
      </c>
      <c r="C38" s="334">
        <v>3</v>
      </c>
      <c r="D38" s="156">
        <v>0</v>
      </c>
      <c r="E38" s="387">
        <f t="shared" si="0"/>
        <v>3</v>
      </c>
      <c r="F38" s="384" t="s">
        <v>943</v>
      </c>
      <c r="G38" s="332">
        <v>0</v>
      </c>
      <c r="H38" s="336">
        <v>15</v>
      </c>
      <c r="I38" s="132">
        <v>0</v>
      </c>
      <c r="J38" s="392">
        <f t="shared" si="1"/>
        <v>15</v>
      </c>
    </row>
    <row r="39" spans="1:17" ht="14.95" thickBot="1" x14ac:dyDescent="0.3">
      <c r="A39" s="381" t="s">
        <v>797</v>
      </c>
      <c r="B39" s="330">
        <v>0</v>
      </c>
      <c r="C39" s="334">
        <v>0</v>
      </c>
      <c r="D39" s="156">
        <v>2</v>
      </c>
      <c r="E39" s="387">
        <f t="shared" si="0"/>
        <v>2</v>
      </c>
      <c r="F39" s="384" t="s">
        <v>797</v>
      </c>
      <c r="G39" s="332">
        <v>0</v>
      </c>
      <c r="H39" s="336">
        <v>0</v>
      </c>
      <c r="I39" s="132">
        <v>10</v>
      </c>
      <c r="J39" s="392">
        <f t="shared" si="1"/>
        <v>10</v>
      </c>
    </row>
    <row r="40" spans="1:17" ht="14.95" thickBot="1" x14ac:dyDescent="0.3">
      <c r="A40" s="381" t="s">
        <v>665</v>
      </c>
      <c r="B40" s="330">
        <v>0</v>
      </c>
      <c r="C40" s="334">
        <v>0</v>
      </c>
      <c r="D40" s="156">
        <v>3</v>
      </c>
      <c r="E40" s="387">
        <f t="shared" si="0"/>
        <v>3</v>
      </c>
      <c r="F40" s="384" t="s">
        <v>665</v>
      </c>
      <c r="G40" s="332">
        <v>0</v>
      </c>
      <c r="H40" s="336">
        <v>0</v>
      </c>
      <c r="I40" s="132">
        <v>15</v>
      </c>
      <c r="J40" s="392">
        <f t="shared" si="1"/>
        <v>15</v>
      </c>
    </row>
    <row r="41" spans="1:17" ht="14.95" thickBot="1" x14ac:dyDescent="0.3">
      <c r="A41" s="381" t="s">
        <v>907</v>
      </c>
      <c r="B41" s="330">
        <v>0</v>
      </c>
      <c r="C41" s="334">
        <v>0</v>
      </c>
      <c r="D41" s="156">
        <v>0</v>
      </c>
      <c r="E41" s="387">
        <f t="shared" si="0"/>
        <v>0</v>
      </c>
      <c r="F41" s="384" t="s">
        <v>907</v>
      </c>
      <c r="G41" s="332">
        <v>0</v>
      </c>
      <c r="H41" s="336">
        <v>20</v>
      </c>
      <c r="I41" s="132">
        <v>6</v>
      </c>
      <c r="J41" s="392">
        <f t="shared" si="1"/>
        <v>26</v>
      </c>
    </row>
    <row r="42" spans="1:17" ht="14.95" thickBot="1" x14ac:dyDescent="0.3">
      <c r="A42" s="381" t="s">
        <v>3</v>
      </c>
      <c r="B42" s="330">
        <f>SUM(B3:B41)</f>
        <v>7</v>
      </c>
      <c r="C42" s="334">
        <f>SUM(C3:C41)</f>
        <v>18</v>
      </c>
      <c r="D42" s="156">
        <f>SUM(D3:D41)</f>
        <v>17</v>
      </c>
      <c r="E42" s="387">
        <f t="shared" si="0"/>
        <v>42</v>
      </c>
      <c r="F42" s="385" t="s">
        <v>3</v>
      </c>
      <c r="G42" s="333">
        <f>SUM(G3:G41)</f>
        <v>46</v>
      </c>
      <c r="H42" s="337">
        <f>SUM(H3:H41)</f>
        <v>116</v>
      </c>
      <c r="I42" s="131">
        <f>SUM(I3:I41)</f>
        <v>103</v>
      </c>
      <c r="J42" s="391">
        <f t="shared" si="1"/>
        <v>265</v>
      </c>
    </row>
    <row r="43" spans="1:17" ht="16.3" x14ac:dyDescent="0.25">
      <c r="D43" s="52"/>
      <c r="F43" s="3"/>
      <c r="G43" s="3"/>
      <c r="H43" s="3"/>
      <c r="I43" s="53"/>
      <c r="J43" s="3"/>
    </row>
    <row r="44" spans="1:17" ht="17" thickBot="1" x14ac:dyDescent="0.3">
      <c r="A44" t="s">
        <v>7</v>
      </c>
      <c r="D44" s="52"/>
      <c r="F44" s="3"/>
      <c r="G44" s="3"/>
      <c r="H44" s="3"/>
      <c r="I44" s="53"/>
      <c r="J44" s="3"/>
    </row>
    <row r="45" spans="1:17" ht="14.95" thickBot="1" x14ac:dyDescent="0.3">
      <c r="A45" s="380" t="s">
        <v>0</v>
      </c>
      <c r="B45" s="329" t="s">
        <v>227</v>
      </c>
      <c r="C45" s="155" t="s">
        <v>734</v>
      </c>
      <c r="D45" s="155" t="s">
        <v>11</v>
      </c>
      <c r="E45" s="393" t="s">
        <v>1</v>
      </c>
      <c r="F45" s="382" t="s">
        <v>2</v>
      </c>
      <c r="G45" s="331" t="s">
        <v>227</v>
      </c>
      <c r="H45" s="335" t="s">
        <v>734</v>
      </c>
      <c r="I45" s="131" t="s">
        <v>11</v>
      </c>
      <c r="J45" s="391" t="s">
        <v>1</v>
      </c>
    </row>
    <row r="46" spans="1:17" ht="14.95" thickBot="1" x14ac:dyDescent="0.3">
      <c r="A46" s="381" t="s">
        <v>264</v>
      </c>
      <c r="B46" s="330">
        <v>1</v>
      </c>
      <c r="C46" s="334">
        <v>6</v>
      </c>
      <c r="D46" s="156">
        <v>1</v>
      </c>
      <c r="E46" s="387">
        <f t="shared" ref="E46:E84" si="8">SUM(B46:D46)</f>
        <v>8</v>
      </c>
      <c r="F46" s="383" t="s">
        <v>264</v>
      </c>
      <c r="G46" s="332">
        <v>5</v>
      </c>
      <c r="H46" s="336">
        <v>30</v>
      </c>
      <c r="I46" s="132">
        <v>7</v>
      </c>
      <c r="J46" s="392">
        <f t="shared" ref="J46:J84" si="9">SUM(G46:I46)</f>
        <v>42</v>
      </c>
    </row>
    <row r="47" spans="1:17" ht="14.95" thickBot="1" x14ac:dyDescent="0.3">
      <c r="A47" s="381" t="s">
        <v>666</v>
      </c>
      <c r="B47" s="330">
        <v>0</v>
      </c>
      <c r="C47" s="334">
        <v>4</v>
      </c>
      <c r="D47" s="156">
        <v>1</v>
      </c>
      <c r="E47" s="387">
        <f t="shared" si="8"/>
        <v>5</v>
      </c>
      <c r="F47" s="383" t="s">
        <v>667</v>
      </c>
      <c r="G47" s="332">
        <v>11</v>
      </c>
      <c r="H47" s="336">
        <v>0</v>
      </c>
      <c r="I47" s="132">
        <v>15</v>
      </c>
      <c r="J47" s="392">
        <f t="shared" si="9"/>
        <v>26</v>
      </c>
    </row>
    <row r="48" spans="1:17" ht="14.95" thickBot="1" x14ac:dyDescent="0.3">
      <c r="A48" s="381" t="s">
        <v>338</v>
      </c>
      <c r="B48" s="330">
        <v>2</v>
      </c>
      <c r="C48" s="334">
        <v>2</v>
      </c>
      <c r="D48" s="156">
        <v>0</v>
      </c>
      <c r="E48" s="387">
        <f t="shared" si="8"/>
        <v>4</v>
      </c>
      <c r="F48" s="383" t="s">
        <v>907</v>
      </c>
      <c r="G48" s="332">
        <v>0</v>
      </c>
      <c r="H48" s="336">
        <v>20</v>
      </c>
      <c r="I48" s="132">
        <v>6</v>
      </c>
      <c r="J48" s="392">
        <f t="shared" si="9"/>
        <v>26</v>
      </c>
    </row>
    <row r="49" spans="1:10" ht="14.95" thickBot="1" x14ac:dyDescent="0.3">
      <c r="A49" s="381" t="s">
        <v>497</v>
      </c>
      <c r="B49" s="330">
        <v>3</v>
      </c>
      <c r="C49" s="334">
        <v>0</v>
      </c>
      <c r="D49" s="156">
        <v>1</v>
      </c>
      <c r="E49" s="387">
        <f t="shared" si="8"/>
        <v>4</v>
      </c>
      <c r="F49" s="384" t="s">
        <v>666</v>
      </c>
      <c r="G49" s="332">
        <v>0</v>
      </c>
      <c r="H49" s="336">
        <v>20</v>
      </c>
      <c r="I49" s="132">
        <v>5</v>
      </c>
      <c r="J49" s="392">
        <f t="shared" si="9"/>
        <v>25</v>
      </c>
    </row>
    <row r="50" spans="1:10" ht="14.95" thickBot="1" x14ac:dyDescent="0.3">
      <c r="A50" s="381" t="s">
        <v>943</v>
      </c>
      <c r="B50" s="330">
        <v>0</v>
      </c>
      <c r="C50" s="334">
        <v>3</v>
      </c>
      <c r="D50" s="156">
        <v>0</v>
      </c>
      <c r="E50" s="387">
        <f t="shared" si="8"/>
        <v>3</v>
      </c>
      <c r="F50" s="384" t="s">
        <v>338</v>
      </c>
      <c r="G50" s="332">
        <v>10</v>
      </c>
      <c r="H50" s="336">
        <v>10</v>
      </c>
      <c r="I50" s="132">
        <v>0</v>
      </c>
      <c r="J50" s="392">
        <f t="shared" si="9"/>
        <v>20</v>
      </c>
    </row>
    <row r="51" spans="1:10" ht="14.95" thickBot="1" x14ac:dyDescent="0.3">
      <c r="A51" s="381" t="s">
        <v>665</v>
      </c>
      <c r="B51" s="330">
        <v>0</v>
      </c>
      <c r="C51" s="334">
        <v>0</v>
      </c>
      <c r="D51" s="156">
        <v>3</v>
      </c>
      <c r="E51" s="387">
        <f t="shared" si="8"/>
        <v>3</v>
      </c>
      <c r="F51" s="384" t="s">
        <v>497</v>
      </c>
      <c r="G51" s="332">
        <v>15</v>
      </c>
      <c r="H51" s="336">
        <v>0</v>
      </c>
      <c r="I51" s="132">
        <v>5</v>
      </c>
      <c r="J51" s="392">
        <f t="shared" si="9"/>
        <v>20</v>
      </c>
    </row>
    <row r="52" spans="1:10" ht="14.95" thickBot="1" x14ac:dyDescent="0.3">
      <c r="A52" s="381" t="s">
        <v>906</v>
      </c>
      <c r="B52" s="330">
        <v>0</v>
      </c>
      <c r="C52" s="334">
        <v>1</v>
      </c>
      <c r="D52" s="156">
        <v>1</v>
      </c>
      <c r="E52" s="387">
        <f t="shared" si="8"/>
        <v>2</v>
      </c>
      <c r="F52" s="384" t="s">
        <v>943</v>
      </c>
      <c r="G52" s="332">
        <v>0</v>
      </c>
      <c r="H52" s="336">
        <v>15</v>
      </c>
      <c r="I52" s="132">
        <v>0</v>
      </c>
      <c r="J52" s="392">
        <f t="shared" si="9"/>
        <v>15</v>
      </c>
    </row>
    <row r="53" spans="1:10" ht="14.95" thickBot="1" x14ac:dyDescent="0.3">
      <c r="A53" s="381" t="s">
        <v>816</v>
      </c>
      <c r="B53" s="330">
        <v>1</v>
      </c>
      <c r="C53" s="334">
        <v>0</v>
      </c>
      <c r="D53" s="156">
        <v>1</v>
      </c>
      <c r="E53" s="387">
        <f t="shared" si="8"/>
        <v>2</v>
      </c>
      <c r="F53" s="384" t="s">
        <v>665</v>
      </c>
      <c r="G53" s="332">
        <v>0</v>
      </c>
      <c r="H53" s="336">
        <v>0</v>
      </c>
      <c r="I53" s="132">
        <v>15</v>
      </c>
      <c r="J53" s="392">
        <f t="shared" si="9"/>
        <v>15</v>
      </c>
    </row>
    <row r="54" spans="1:10" ht="14.95" thickBot="1" x14ac:dyDescent="0.3">
      <c r="A54" s="381" t="s">
        <v>797</v>
      </c>
      <c r="B54" s="330">
        <v>0</v>
      </c>
      <c r="C54" s="334">
        <v>0</v>
      </c>
      <c r="D54" s="156">
        <v>2</v>
      </c>
      <c r="E54" s="387">
        <f t="shared" si="8"/>
        <v>2</v>
      </c>
      <c r="F54" s="384" t="s">
        <v>906</v>
      </c>
      <c r="G54" s="332">
        <v>0</v>
      </c>
      <c r="H54" s="336">
        <v>5</v>
      </c>
      <c r="I54" s="132">
        <v>5</v>
      </c>
      <c r="J54" s="392">
        <f t="shared" si="9"/>
        <v>10</v>
      </c>
    </row>
    <row r="55" spans="1:10" ht="14.95" thickBot="1" x14ac:dyDescent="0.3">
      <c r="A55" s="381" t="s">
        <v>335</v>
      </c>
      <c r="B55" s="330">
        <v>0</v>
      </c>
      <c r="C55" s="334">
        <v>1</v>
      </c>
      <c r="D55" s="156">
        <v>0</v>
      </c>
      <c r="E55" s="387">
        <f t="shared" si="8"/>
        <v>1</v>
      </c>
      <c r="F55" s="384" t="s">
        <v>816</v>
      </c>
      <c r="G55" s="332">
        <v>5</v>
      </c>
      <c r="H55" s="336">
        <v>0</v>
      </c>
      <c r="I55" s="132">
        <v>5</v>
      </c>
      <c r="J55" s="392">
        <f t="shared" si="9"/>
        <v>10</v>
      </c>
    </row>
    <row r="56" spans="1:10" ht="14.95" thickBot="1" x14ac:dyDescent="0.3">
      <c r="A56" s="381" t="s">
        <v>901</v>
      </c>
      <c r="B56" s="330">
        <v>0</v>
      </c>
      <c r="C56" s="334">
        <v>0</v>
      </c>
      <c r="D56" s="156">
        <v>1</v>
      </c>
      <c r="E56" s="387">
        <f t="shared" si="8"/>
        <v>1</v>
      </c>
      <c r="F56" s="384" t="s">
        <v>797</v>
      </c>
      <c r="G56" s="332">
        <v>0</v>
      </c>
      <c r="H56" s="336">
        <v>0</v>
      </c>
      <c r="I56" s="132">
        <v>10</v>
      </c>
      <c r="J56" s="392">
        <f t="shared" si="9"/>
        <v>10</v>
      </c>
    </row>
    <row r="57" spans="1:10" ht="14.95" thickBot="1" x14ac:dyDescent="0.3">
      <c r="A57" s="381" t="s">
        <v>895</v>
      </c>
      <c r="B57" s="330">
        <v>0</v>
      </c>
      <c r="C57" s="334">
        <v>0</v>
      </c>
      <c r="D57" s="156">
        <v>1</v>
      </c>
      <c r="E57" s="387">
        <f t="shared" si="8"/>
        <v>1</v>
      </c>
      <c r="F57" s="384" t="s">
        <v>224</v>
      </c>
      <c r="G57" s="332">
        <v>0</v>
      </c>
      <c r="H57" s="336">
        <v>6</v>
      </c>
      <c r="I57" s="132">
        <v>0</v>
      </c>
      <c r="J57" s="392">
        <f t="shared" si="9"/>
        <v>6</v>
      </c>
    </row>
    <row r="58" spans="1:10" ht="14.95" thickBot="1" x14ac:dyDescent="0.3">
      <c r="A58" s="381" t="s">
        <v>667</v>
      </c>
      <c r="B58" s="330">
        <v>0</v>
      </c>
      <c r="C58" s="334">
        <v>0</v>
      </c>
      <c r="D58" s="156">
        <v>1</v>
      </c>
      <c r="E58" s="387">
        <f t="shared" si="8"/>
        <v>1</v>
      </c>
      <c r="F58" s="384" t="s">
        <v>335</v>
      </c>
      <c r="G58" s="332">
        <v>0</v>
      </c>
      <c r="H58" s="336">
        <v>5</v>
      </c>
      <c r="I58" s="132">
        <v>0</v>
      </c>
      <c r="J58" s="392">
        <f t="shared" si="9"/>
        <v>5</v>
      </c>
    </row>
    <row r="59" spans="1:10" ht="14.95" thickBot="1" x14ac:dyDescent="0.3">
      <c r="A59" s="381" t="s">
        <v>674</v>
      </c>
      <c r="B59" s="330">
        <v>0</v>
      </c>
      <c r="C59" s="334">
        <v>0</v>
      </c>
      <c r="D59" s="156">
        <v>1</v>
      </c>
      <c r="E59" s="387">
        <f t="shared" si="8"/>
        <v>1</v>
      </c>
      <c r="F59" s="384" t="s">
        <v>901</v>
      </c>
      <c r="G59" s="332">
        <v>0</v>
      </c>
      <c r="H59" s="336">
        <v>0</v>
      </c>
      <c r="I59" s="132">
        <v>5</v>
      </c>
      <c r="J59" s="392">
        <f t="shared" si="9"/>
        <v>5</v>
      </c>
    </row>
    <row r="60" spans="1:10" ht="14.95" thickBot="1" x14ac:dyDescent="0.3">
      <c r="A60" s="381" t="s">
        <v>342</v>
      </c>
      <c r="B60" s="330">
        <v>0</v>
      </c>
      <c r="C60" s="334">
        <v>0</v>
      </c>
      <c r="D60" s="156">
        <v>1</v>
      </c>
      <c r="E60" s="387">
        <f t="shared" si="8"/>
        <v>1</v>
      </c>
      <c r="F60" s="384" t="s">
        <v>895</v>
      </c>
      <c r="G60" s="332">
        <v>0</v>
      </c>
      <c r="H60" s="336">
        <v>0</v>
      </c>
      <c r="I60" s="132">
        <v>5</v>
      </c>
      <c r="J60" s="392">
        <f t="shared" si="9"/>
        <v>5</v>
      </c>
    </row>
    <row r="61" spans="1:10" ht="14.95" thickBot="1" x14ac:dyDescent="0.3">
      <c r="A61" s="381" t="s">
        <v>345</v>
      </c>
      <c r="B61" s="330">
        <v>0</v>
      </c>
      <c r="C61" s="334">
        <v>0</v>
      </c>
      <c r="D61" s="156">
        <v>1</v>
      </c>
      <c r="E61" s="387">
        <f t="shared" si="8"/>
        <v>1</v>
      </c>
      <c r="F61" s="384" t="s">
        <v>674</v>
      </c>
      <c r="G61" s="332">
        <v>0</v>
      </c>
      <c r="H61" s="336">
        <v>0</v>
      </c>
      <c r="I61" s="132">
        <v>5</v>
      </c>
      <c r="J61" s="392">
        <f t="shared" si="9"/>
        <v>5</v>
      </c>
    </row>
    <row r="62" spans="1:10" ht="14.95" thickBot="1" x14ac:dyDescent="0.3">
      <c r="A62" s="381" t="s">
        <v>436</v>
      </c>
      <c r="B62" s="330">
        <v>0</v>
      </c>
      <c r="C62" s="334">
        <v>1</v>
      </c>
      <c r="D62" s="156">
        <v>0</v>
      </c>
      <c r="E62" s="387">
        <f t="shared" si="8"/>
        <v>1</v>
      </c>
      <c r="F62" s="384" t="s">
        <v>342</v>
      </c>
      <c r="G62" s="332">
        <v>0</v>
      </c>
      <c r="H62" s="336">
        <v>0</v>
      </c>
      <c r="I62" s="132">
        <v>5</v>
      </c>
      <c r="J62" s="392">
        <f t="shared" si="9"/>
        <v>5</v>
      </c>
    </row>
    <row r="63" spans="1:10" ht="14.95" thickBot="1" x14ac:dyDescent="0.3">
      <c r="A63" s="381" t="s">
        <v>349</v>
      </c>
      <c r="B63" s="330">
        <v>0</v>
      </c>
      <c r="C63" s="334">
        <v>0</v>
      </c>
      <c r="D63" s="156">
        <v>1</v>
      </c>
      <c r="E63" s="387">
        <f t="shared" si="8"/>
        <v>1</v>
      </c>
      <c r="F63" s="384" t="s">
        <v>345</v>
      </c>
      <c r="G63" s="332">
        <v>0</v>
      </c>
      <c r="H63" s="336">
        <v>0</v>
      </c>
      <c r="I63" s="132">
        <v>5</v>
      </c>
      <c r="J63" s="392">
        <f t="shared" si="9"/>
        <v>5</v>
      </c>
    </row>
    <row r="64" spans="1:10" ht="14.95" thickBot="1" x14ac:dyDescent="0.3">
      <c r="A64" s="381" t="s">
        <v>336</v>
      </c>
      <c r="B64" s="330">
        <v>0</v>
      </c>
      <c r="C64" s="334">
        <v>0</v>
      </c>
      <c r="D64" s="156">
        <v>0</v>
      </c>
      <c r="E64" s="387">
        <f t="shared" si="8"/>
        <v>0</v>
      </c>
      <c r="F64" s="384" t="s">
        <v>436</v>
      </c>
      <c r="G64" s="332">
        <v>0</v>
      </c>
      <c r="H64" s="336">
        <v>5</v>
      </c>
      <c r="I64" s="132">
        <v>0</v>
      </c>
      <c r="J64" s="392">
        <f t="shared" si="9"/>
        <v>5</v>
      </c>
    </row>
    <row r="65" spans="1:10" ht="14.95" thickBot="1" x14ac:dyDescent="0.3">
      <c r="A65" s="381" t="s">
        <v>224</v>
      </c>
      <c r="B65" s="330">
        <v>0</v>
      </c>
      <c r="C65" s="334">
        <v>0</v>
      </c>
      <c r="D65" s="156">
        <v>0</v>
      </c>
      <c r="E65" s="387">
        <f t="shared" si="8"/>
        <v>0</v>
      </c>
      <c r="F65" s="384" t="s">
        <v>349</v>
      </c>
      <c r="G65" s="332">
        <v>0</v>
      </c>
      <c r="H65" s="336">
        <v>0</v>
      </c>
      <c r="I65" s="132">
        <v>5</v>
      </c>
      <c r="J65" s="392">
        <f t="shared" si="9"/>
        <v>5</v>
      </c>
    </row>
    <row r="66" spans="1:10" ht="14.95" thickBot="1" x14ac:dyDescent="0.3">
      <c r="A66" s="381" t="s">
        <v>437</v>
      </c>
      <c r="B66" s="330">
        <v>0</v>
      </c>
      <c r="C66" s="334">
        <v>0</v>
      </c>
      <c r="D66" s="156">
        <v>0</v>
      </c>
      <c r="E66" s="387">
        <f t="shared" si="8"/>
        <v>0</v>
      </c>
      <c r="F66" s="384" t="s">
        <v>336</v>
      </c>
      <c r="G66" s="332">
        <v>0</v>
      </c>
      <c r="H66" s="336">
        <v>0</v>
      </c>
      <c r="I66" s="132">
        <v>0</v>
      </c>
      <c r="J66" s="392">
        <f t="shared" si="9"/>
        <v>0</v>
      </c>
    </row>
    <row r="67" spans="1:10" ht="14.95" thickBot="1" x14ac:dyDescent="0.3">
      <c r="A67" s="381" t="s">
        <v>284</v>
      </c>
      <c r="B67" s="330">
        <v>0</v>
      </c>
      <c r="C67" s="334">
        <v>0</v>
      </c>
      <c r="D67" s="156">
        <v>0</v>
      </c>
      <c r="E67" s="387">
        <f t="shared" si="8"/>
        <v>0</v>
      </c>
      <c r="F67" s="384" t="s">
        <v>437</v>
      </c>
      <c r="G67" s="332">
        <v>0</v>
      </c>
      <c r="H67" s="336">
        <v>0</v>
      </c>
      <c r="I67" s="132">
        <v>0</v>
      </c>
      <c r="J67" s="392">
        <f t="shared" si="9"/>
        <v>0</v>
      </c>
    </row>
    <row r="68" spans="1:10" ht="14.95" thickBot="1" x14ac:dyDescent="0.3">
      <c r="A68" s="381" t="s">
        <v>235</v>
      </c>
      <c r="B68" s="330">
        <v>0</v>
      </c>
      <c r="C68" s="334">
        <v>0</v>
      </c>
      <c r="D68" s="156">
        <v>0</v>
      </c>
      <c r="E68" s="387">
        <f t="shared" si="8"/>
        <v>0</v>
      </c>
      <c r="F68" s="384" t="s">
        <v>284</v>
      </c>
      <c r="G68" s="332">
        <v>0</v>
      </c>
      <c r="H68" s="336">
        <v>0</v>
      </c>
      <c r="I68" s="132">
        <v>0</v>
      </c>
      <c r="J68" s="392">
        <f t="shared" si="9"/>
        <v>0</v>
      </c>
    </row>
    <row r="69" spans="1:10" ht="14.95" thickBot="1" x14ac:dyDescent="0.3">
      <c r="A69" s="381" t="s">
        <v>337</v>
      </c>
      <c r="B69" s="330">
        <v>0</v>
      </c>
      <c r="C69" s="334">
        <v>0</v>
      </c>
      <c r="D69" s="156">
        <v>0</v>
      </c>
      <c r="E69" s="387">
        <f t="shared" si="8"/>
        <v>0</v>
      </c>
      <c r="F69" s="384" t="s">
        <v>235</v>
      </c>
      <c r="G69" s="332">
        <v>0</v>
      </c>
      <c r="H69" s="336">
        <v>0</v>
      </c>
      <c r="I69" s="132">
        <v>0</v>
      </c>
      <c r="J69" s="392">
        <f t="shared" si="9"/>
        <v>0</v>
      </c>
    </row>
    <row r="70" spans="1:10" ht="14.95" thickBot="1" x14ac:dyDescent="0.3">
      <c r="A70" s="381" t="s">
        <v>339</v>
      </c>
      <c r="B70" s="330">
        <v>0</v>
      </c>
      <c r="C70" s="334">
        <v>0</v>
      </c>
      <c r="D70" s="156">
        <v>0</v>
      </c>
      <c r="E70" s="387">
        <f t="shared" si="8"/>
        <v>0</v>
      </c>
      <c r="F70" s="384" t="s">
        <v>337</v>
      </c>
      <c r="G70" s="332">
        <v>0</v>
      </c>
      <c r="H70" s="336">
        <v>0</v>
      </c>
      <c r="I70" s="132">
        <v>0</v>
      </c>
      <c r="J70" s="392">
        <f t="shared" si="9"/>
        <v>0</v>
      </c>
    </row>
    <row r="71" spans="1:10" ht="14.95" thickBot="1" x14ac:dyDescent="0.3">
      <c r="A71" s="381" t="s">
        <v>340</v>
      </c>
      <c r="B71" s="330">
        <v>0</v>
      </c>
      <c r="C71" s="334">
        <v>0</v>
      </c>
      <c r="D71" s="156">
        <v>0</v>
      </c>
      <c r="E71" s="387">
        <f t="shared" si="8"/>
        <v>0</v>
      </c>
      <c r="F71" s="384" t="s">
        <v>339</v>
      </c>
      <c r="G71" s="332">
        <v>0</v>
      </c>
      <c r="H71" s="336">
        <v>0</v>
      </c>
      <c r="I71" s="132">
        <v>0</v>
      </c>
      <c r="J71" s="392">
        <f t="shared" si="9"/>
        <v>0</v>
      </c>
    </row>
    <row r="72" spans="1:10" ht="14.95" thickBot="1" x14ac:dyDescent="0.3">
      <c r="A72" s="381" t="s">
        <v>341</v>
      </c>
      <c r="B72" s="330">
        <v>0</v>
      </c>
      <c r="C72" s="334">
        <v>0</v>
      </c>
      <c r="D72" s="156">
        <v>0</v>
      </c>
      <c r="E72" s="387">
        <f t="shared" si="8"/>
        <v>0</v>
      </c>
      <c r="F72" s="384" t="s">
        <v>340</v>
      </c>
      <c r="G72" s="332">
        <v>0</v>
      </c>
      <c r="H72" s="336">
        <v>0</v>
      </c>
      <c r="I72" s="132">
        <v>0</v>
      </c>
      <c r="J72" s="392">
        <f t="shared" si="9"/>
        <v>0</v>
      </c>
    </row>
    <row r="73" spans="1:10" ht="14.95" thickBot="1" x14ac:dyDescent="0.3">
      <c r="A73" s="381" t="s">
        <v>285</v>
      </c>
      <c r="B73" s="330">
        <v>0</v>
      </c>
      <c r="C73" s="334">
        <v>0</v>
      </c>
      <c r="D73" s="156">
        <v>0</v>
      </c>
      <c r="E73" s="387">
        <f t="shared" si="8"/>
        <v>0</v>
      </c>
      <c r="F73" s="384" t="s">
        <v>341</v>
      </c>
      <c r="G73" s="332">
        <v>0</v>
      </c>
      <c r="H73" s="336">
        <v>0</v>
      </c>
      <c r="I73" s="132">
        <v>0</v>
      </c>
      <c r="J73" s="392">
        <f t="shared" si="9"/>
        <v>0</v>
      </c>
    </row>
    <row r="74" spans="1:10" ht="14.95" thickBot="1" x14ac:dyDescent="0.3">
      <c r="A74" s="381" t="s">
        <v>644</v>
      </c>
      <c r="B74" s="330">
        <v>0</v>
      </c>
      <c r="C74" s="334">
        <v>0</v>
      </c>
      <c r="D74" s="156">
        <v>0</v>
      </c>
      <c r="E74" s="387">
        <f t="shared" si="8"/>
        <v>0</v>
      </c>
      <c r="F74" s="384" t="s">
        <v>285</v>
      </c>
      <c r="G74" s="332">
        <v>0</v>
      </c>
      <c r="H74" s="336">
        <v>0</v>
      </c>
      <c r="I74" s="132">
        <v>0</v>
      </c>
      <c r="J74" s="392">
        <f t="shared" si="9"/>
        <v>0</v>
      </c>
    </row>
    <row r="75" spans="1:10" ht="14.95" thickBot="1" x14ac:dyDescent="0.3">
      <c r="A75" s="381" t="s">
        <v>343</v>
      </c>
      <c r="B75" s="330">
        <v>0</v>
      </c>
      <c r="C75" s="334">
        <v>0</v>
      </c>
      <c r="D75" s="156">
        <v>0</v>
      </c>
      <c r="E75" s="387">
        <f t="shared" si="8"/>
        <v>0</v>
      </c>
      <c r="F75" s="384" t="s">
        <v>644</v>
      </c>
      <c r="G75" s="332">
        <v>0</v>
      </c>
      <c r="H75" s="336">
        <v>0</v>
      </c>
      <c r="I75" s="132">
        <v>0</v>
      </c>
      <c r="J75" s="392">
        <f t="shared" si="9"/>
        <v>0</v>
      </c>
    </row>
    <row r="76" spans="1:10" ht="14.95" thickBot="1" x14ac:dyDescent="0.3">
      <c r="A76" s="381" t="s">
        <v>344</v>
      </c>
      <c r="B76" s="330">
        <v>0</v>
      </c>
      <c r="C76" s="334">
        <v>0</v>
      </c>
      <c r="D76" s="156">
        <v>0</v>
      </c>
      <c r="E76" s="387">
        <f t="shared" si="8"/>
        <v>0</v>
      </c>
      <c r="F76" s="384" t="s">
        <v>343</v>
      </c>
      <c r="G76" s="332">
        <v>0</v>
      </c>
      <c r="H76" s="336">
        <v>0</v>
      </c>
      <c r="I76" s="132">
        <v>0</v>
      </c>
      <c r="J76" s="392">
        <f t="shared" si="9"/>
        <v>0</v>
      </c>
    </row>
    <row r="77" spans="1:10" ht="14.95" thickBot="1" x14ac:dyDescent="0.3">
      <c r="A77" s="381" t="s">
        <v>345</v>
      </c>
      <c r="B77" s="330">
        <v>0</v>
      </c>
      <c r="C77" s="334">
        <v>0</v>
      </c>
      <c r="D77" s="156">
        <v>0</v>
      </c>
      <c r="E77" s="387">
        <f t="shared" si="8"/>
        <v>0</v>
      </c>
      <c r="F77" s="384" t="s">
        <v>344</v>
      </c>
      <c r="G77" s="332">
        <v>0</v>
      </c>
      <c r="H77" s="336">
        <v>0</v>
      </c>
      <c r="I77" s="132">
        <v>0</v>
      </c>
      <c r="J77" s="392">
        <f t="shared" si="9"/>
        <v>0</v>
      </c>
    </row>
    <row r="78" spans="1:10" ht="14.95" thickBot="1" x14ac:dyDescent="0.3">
      <c r="A78" s="381" t="s">
        <v>222</v>
      </c>
      <c r="B78" s="330">
        <v>0</v>
      </c>
      <c r="C78" s="334">
        <v>0</v>
      </c>
      <c r="D78" s="156">
        <v>0</v>
      </c>
      <c r="E78" s="387">
        <f t="shared" si="8"/>
        <v>0</v>
      </c>
      <c r="F78" s="384" t="s">
        <v>345</v>
      </c>
      <c r="G78" s="332">
        <v>0</v>
      </c>
      <c r="H78" s="336">
        <v>0</v>
      </c>
      <c r="I78" s="132">
        <v>0</v>
      </c>
      <c r="J78" s="392">
        <f t="shared" si="9"/>
        <v>0</v>
      </c>
    </row>
    <row r="79" spans="1:10" ht="14.95" thickBot="1" x14ac:dyDescent="0.3">
      <c r="A79" s="381" t="s">
        <v>223</v>
      </c>
      <c r="B79" s="330">
        <v>0</v>
      </c>
      <c r="C79" s="334">
        <v>0</v>
      </c>
      <c r="D79" s="156">
        <v>0</v>
      </c>
      <c r="E79" s="387">
        <f t="shared" si="8"/>
        <v>0</v>
      </c>
      <c r="F79" s="384" t="s">
        <v>222</v>
      </c>
      <c r="G79" s="332">
        <v>0</v>
      </c>
      <c r="H79" s="336">
        <v>0</v>
      </c>
      <c r="I79" s="132">
        <v>0</v>
      </c>
      <c r="J79" s="392">
        <f t="shared" si="9"/>
        <v>0</v>
      </c>
    </row>
    <row r="80" spans="1:10" ht="14.95" thickBot="1" x14ac:dyDescent="0.3">
      <c r="A80" s="381" t="s">
        <v>212</v>
      </c>
      <c r="B80" s="330">
        <v>0</v>
      </c>
      <c r="C80" s="334">
        <v>0</v>
      </c>
      <c r="D80" s="156">
        <v>0</v>
      </c>
      <c r="E80" s="387">
        <f t="shared" si="8"/>
        <v>0</v>
      </c>
      <c r="F80" s="384" t="s">
        <v>223</v>
      </c>
      <c r="G80" s="332">
        <v>0</v>
      </c>
      <c r="H80" s="336">
        <v>0</v>
      </c>
      <c r="I80" s="132">
        <v>0</v>
      </c>
      <c r="J80" s="392">
        <f t="shared" si="9"/>
        <v>0</v>
      </c>
    </row>
    <row r="81" spans="1:10" ht="14.95" thickBot="1" x14ac:dyDescent="0.3">
      <c r="A81" s="381" t="s">
        <v>346</v>
      </c>
      <c r="B81" s="330">
        <v>0</v>
      </c>
      <c r="C81" s="334">
        <v>0</v>
      </c>
      <c r="D81" s="156">
        <v>0</v>
      </c>
      <c r="E81" s="387">
        <f t="shared" si="8"/>
        <v>0</v>
      </c>
      <c r="F81" s="384" t="s">
        <v>212</v>
      </c>
      <c r="G81" s="332">
        <v>0</v>
      </c>
      <c r="H81" s="336">
        <v>0</v>
      </c>
      <c r="I81" s="132">
        <v>0</v>
      </c>
      <c r="J81" s="392">
        <f t="shared" si="9"/>
        <v>0</v>
      </c>
    </row>
    <row r="82" spans="1:10" ht="14.95" thickBot="1" x14ac:dyDescent="0.3">
      <c r="A82" s="381" t="s">
        <v>347</v>
      </c>
      <c r="B82" s="330">
        <v>0</v>
      </c>
      <c r="C82" s="334">
        <v>0</v>
      </c>
      <c r="D82" s="156">
        <v>0</v>
      </c>
      <c r="E82" s="387">
        <f t="shared" si="8"/>
        <v>0</v>
      </c>
      <c r="F82" s="384" t="s">
        <v>346</v>
      </c>
      <c r="G82" s="332">
        <v>0</v>
      </c>
      <c r="H82" s="336">
        <v>0</v>
      </c>
      <c r="I82" s="132">
        <v>0</v>
      </c>
      <c r="J82" s="392">
        <f t="shared" si="9"/>
        <v>0</v>
      </c>
    </row>
    <row r="83" spans="1:10" ht="14.95" thickBot="1" x14ac:dyDescent="0.3">
      <c r="A83" s="381" t="s">
        <v>348</v>
      </c>
      <c r="B83" s="330">
        <v>0</v>
      </c>
      <c r="C83" s="334">
        <v>0</v>
      </c>
      <c r="D83" s="156">
        <v>0</v>
      </c>
      <c r="E83" s="387">
        <f t="shared" si="8"/>
        <v>0</v>
      </c>
      <c r="F83" s="384" t="s">
        <v>347</v>
      </c>
      <c r="G83" s="332">
        <v>0</v>
      </c>
      <c r="H83" s="336">
        <v>0</v>
      </c>
      <c r="I83" s="132">
        <v>0</v>
      </c>
      <c r="J83" s="392">
        <f t="shared" si="9"/>
        <v>0</v>
      </c>
    </row>
    <row r="84" spans="1:10" ht="14.95" thickBot="1" x14ac:dyDescent="0.3">
      <c r="A84" s="381" t="s">
        <v>907</v>
      </c>
      <c r="B84" s="330">
        <v>0</v>
      </c>
      <c r="C84" s="334">
        <v>0</v>
      </c>
      <c r="D84" s="156">
        <v>0</v>
      </c>
      <c r="E84" s="387">
        <f t="shared" si="8"/>
        <v>0</v>
      </c>
      <c r="F84" s="384" t="s">
        <v>348</v>
      </c>
      <c r="G84" s="332">
        <v>0</v>
      </c>
      <c r="H84" s="336">
        <v>0</v>
      </c>
      <c r="I84" s="132">
        <v>0</v>
      </c>
      <c r="J84" s="392">
        <f t="shared" si="9"/>
        <v>0</v>
      </c>
    </row>
    <row r="85" spans="1:10" ht="14.3" customHeight="1" thickBot="1" x14ac:dyDescent="0.3">
      <c r="A85" s="381" t="s">
        <v>3</v>
      </c>
      <c r="B85" s="330">
        <f>SUM(B46:B84)</f>
        <v>7</v>
      </c>
      <c r="C85" s="334">
        <f>SUM(C46:C84)</f>
        <v>18</v>
      </c>
      <c r="D85" s="156">
        <f>SUM(D46:D84)</f>
        <v>17</v>
      </c>
      <c r="E85" s="387">
        <f t="shared" ref="E85" si="10">SUM(B85:D85)</f>
        <v>42</v>
      </c>
      <c r="F85" s="385" t="s">
        <v>3</v>
      </c>
      <c r="G85" s="333">
        <f>SUM(G46:G84)</f>
        <v>46</v>
      </c>
      <c r="H85" s="337">
        <f>SUM(H46:H84)</f>
        <v>116</v>
      </c>
      <c r="I85" s="131">
        <f>SUM(I46:I84)</f>
        <v>103</v>
      </c>
      <c r="J85" s="391">
        <f t="shared" ref="J85" si="11">SUM(G85:I85)</f>
        <v>265</v>
      </c>
    </row>
    <row r="86" spans="1:10" ht="16.3" x14ac:dyDescent="0.3">
      <c r="A86" s="455" t="s">
        <v>10</v>
      </c>
      <c r="B86" s="455"/>
      <c r="C86" s="455"/>
      <c r="D86" s="456"/>
    </row>
  </sheetData>
  <sortState xmlns:xlrd2="http://schemas.microsoft.com/office/spreadsheetml/2017/richdata2" ref="F46:J84">
    <sortCondition descending="1" ref="J46:J84"/>
  </sortState>
  <mergeCells count="20">
    <mergeCell ref="A86:D86"/>
    <mergeCell ref="O20:Q21"/>
    <mergeCell ref="K27:K28"/>
    <mergeCell ref="L27:N28"/>
    <mergeCell ref="L20:N21"/>
    <mergeCell ref="K20:K21"/>
    <mergeCell ref="AA1:AC2"/>
    <mergeCell ref="O12:Q13"/>
    <mergeCell ref="O27:Q28"/>
    <mergeCell ref="V1:X2"/>
    <mergeCell ref="U12:W13"/>
    <mergeCell ref="O1:Q2"/>
    <mergeCell ref="R1:R2"/>
    <mergeCell ref="R12:T13"/>
    <mergeCell ref="S1:U2"/>
    <mergeCell ref="A1:J1"/>
    <mergeCell ref="K1:K2"/>
    <mergeCell ref="L1:N2"/>
    <mergeCell ref="K12:K13"/>
    <mergeCell ref="L12:N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5327-4A76-4A68-AD08-B3FF5A5D4438}">
  <dimension ref="A1:P64"/>
  <sheetViews>
    <sheetView workbookViewId="0">
      <selection activeCell="J62" sqref="J62"/>
    </sheetView>
  </sheetViews>
  <sheetFormatPr defaultRowHeight="14.3" x14ac:dyDescent="0.25"/>
  <cols>
    <col min="1" max="1" width="19.625" customWidth="1"/>
    <col min="2" max="4" width="4.5" customWidth="1"/>
    <col min="5" max="5" width="19.625" customWidth="1"/>
    <col min="6" max="8" width="4.5" customWidth="1"/>
    <col min="9" max="9" width="19.625" customWidth="1"/>
    <col min="10" max="16" width="5.625" customWidth="1"/>
  </cols>
  <sheetData>
    <row r="1" spans="1:16" ht="14.95" customHeight="1" thickBot="1" x14ac:dyDescent="0.3">
      <c r="A1" s="467" t="s">
        <v>842</v>
      </c>
      <c r="B1" s="468"/>
      <c r="C1" s="468"/>
      <c r="D1" s="468"/>
      <c r="E1" s="468"/>
      <c r="F1" s="468"/>
      <c r="G1" s="468"/>
      <c r="H1" s="469"/>
      <c r="I1" s="470" t="s">
        <v>15</v>
      </c>
      <c r="J1" s="433">
        <v>2025</v>
      </c>
      <c r="K1" s="434"/>
      <c r="L1" s="435"/>
      <c r="M1" s="433" t="s">
        <v>12</v>
      </c>
      <c r="N1" s="434"/>
      <c r="O1" s="435"/>
      <c r="P1" s="453" t="s">
        <v>16</v>
      </c>
    </row>
    <row r="2" spans="1:16" ht="14.95" customHeight="1" thickBot="1" x14ac:dyDescent="0.3">
      <c r="A2" s="347" t="s">
        <v>0</v>
      </c>
      <c r="B2" s="348" t="s">
        <v>734</v>
      </c>
      <c r="C2" s="348" t="s">
        <v>11</v>
      </c>
      <c r="D2" s="349" t="s">
        <v>1</v>
      </c>
      <c r="E2" s="125" t="s">
        <v>2</v>
      </c>
      <c r="F2" s="335" t="s">
        <v>734</v>
      </c>
      <c r="G2" s="358" t="s">
        <v>11</v>
      </c>
      <c r="H2" s="341" t="s">
        <v>1</v>
      </c>
      <c r="I2" s="471"/>
      <c r="J2" s="436"/>
      <c r="K2" s="437"/>
      <c r="L2" s="438"/>
      <c r="M2" s="436"/>
      <c r="N2" s="437"/>
      <c r="O2" s="438"/>
      <c r="P2" s="454"/>
    </row>
    <row r="3" spans="1:16" ht="14.95" customHeight="1" thickBot="1" x14ac:dyDescent="0.3">
      <c r="A3" s="350" t="s">
        <v>861</v>
      </c>
      <c r="B3" s="351">
        <v>0</v>
      </c>
      <c r="C3" s="352">
        <v>0</v>
      </c>
      <c r="D3" s="353">
        <f t="shared" ref="D3:D31" si="0">SUM(B3:C3)</f>
        <v>0</v>
      </c>
      <c r="E3" s="127" t="s">
        <v>861</v>
      </c>
      <c r="F3" s="336">
        <v>0</v>
      </c>
      <c r="G3" s="359">
        <v>0</v>
      </c>
      <c r="H3" s="342">
        <f t="shared" ref="H3:H31" si="1">SUM(F3:G3)</f>
        <v>0</v>
      </c>
      <c r="I3" s="354"/>
      <c r="J3" s="29" t="s">
        <v>17</v>
      </c>
      <c r="K3" s="29" t="s">
        <v>5</v>
      </c>
      <c r="L3" s="29" t="s">
        <v>6</v>
      </c>
      <c r="M3" s="73" t="s">
        <v>17</v>
      </c>
      <c r="N3" s="29" t="s">
        <v>5</v>
      </c>
      <c r="O3" s="29" t="s">
        <v>6</v>
      </c>
      <c r="P3" s="1"/>
    </row>
    <row r="4" spans="1:16" ht="14.95" customHeight="1" thickBot="1" x14ac:dyDescent="0.3">
      <c r="A4" s="350" t="s">
        <v>917</v>
      </c>
      <c r="B4" s="351">
        <v>0</v>
      </c>
      <c r="C4" s="352">
        <v>1</v>
      </c>
      <c r="D4" s="353">
        <f t="shared" si="0"/>
        <v>1</v>
      </c>
      <c r="E4" s="127" t="s">
        <v>917</v>
      </c>
      <c r="F4" s="336">
        <v>0</v>
      </c>
      <c r="G4" s="359">
        <v>5</v>
      </c>
      <c r="H4" s="342">
        <f t="shared" si="1"/>
        <v>5</v>
      </c>
      <c r="I4" s="350" t="s">
        <v>899</v>
      </c>
      <c r="J4" s="353">
        <v>1</v>
      </c>
      <c r="K4" s="353">
        <v>2</v>
      </c>
      <c r="L4" s="355">
        <f t="shared" ref="L4" si="2">SUM(J4/K4)*100</f>
        <v>50</v>
      </c>
      <c r="M4" s="356" t="s">
        <v>8</v>
      </c>
      <c r="N4" s="353" t="s">
        <v>8</v>
      </c>
      <c r="O4" s="355" t="s">
        <v>8</v>
      </c>
      <c r="P4" s="357">
        <v>-1</v>
      </c>
    </row>
    <row r="5" spans="1:16" ht="14.95" customHeight="1" thickBot="1" x14ac:dyDescent="0.3">
      <c r="A5" s="350" t="s">
        <v>852</v>
      </c>
      <c r="B5" s="351">
        <v>0</v>
      </c>
      <c r="C5" s="352">
        <v>1</v>
      </c>
      <c r="D5" s="353">
        <f t="shared" si="0"/>
        <v>1</v>
      </c>
      <c r="E5" s="127" t="s">
        <v>852</v>
      </c>
      <c r="F5" s="336">
        <v>0</v>
      </c>
      <c r="G5" s="359">
        <v>5</v>
      </c>
      <c r="H5" s="342">
        <f t="shared" si="1"/>
        <v>5</v>
      </c>
      <c r="I5" s="347" t="s">
        <v>843</v>
      </c>
      <c r="J5" s="356">
        <v>7</v>
      </c>
      <c r="K5" s="353">
        <v>19</v>
      </c>
      <c r="L5" s="355">
        <f t="shared" ref="L5:L6" si="3">SUM(J5/K5)*100</f>
        <v>36.84210526315789</v>
      </c>
      <c r="M5" s="356">
        <v>1</v>
      </c>
      <c r="N5" s="353">
        <v>1</v>
      </c>
      <c r="O5" s="355">
        <f t="shared" ref="O5" si="4">SUM(M5/N5)*100</f>
        <v>100</v>
      </c>
      <c r="P5" s="357">
        <v>3</v>
      </c>
    </row>
    <row r="6" spans="1:16" ht="14.95" customHeight="1" thickBot="1" x14ac:dyDescent="0.3">
      <c r="A6" s="350" t="s">
        <v>850</v>
      </c>
      <c r="B6" s="351">
        <v>0</v>
      </c>
      <c r="C6" s="352">
        <v>0</v>
      </c>
      <c r="D6" s="353">
        <f t="shared" si="0"/>
        <v>0</v>
      </c>
      <c r="E6" s="129" t="s">
        <v>850</v>
      </c>
      <c r="F6" s="336">
        <v>0</v>
      </c>
      <c r="G6" s="359">
        <v>0</v>
      </c>
      <c r="H6" s="342">
        <f t="shared" si="1"/>
        <v>0</v>
      </c>
      <c r="I6" s="347" t="s">
        <v>844</v>
      </c>
      <c r="J6" s="356">
        <v>1</v>
      </c>
      <c r="K6" s="353">
        <v>2</v>
      </c>
      <c r="L6" s="355">
        <f t="shared" si="3"/>
        <v>50</v>
      </c>
      <c r="M6" s="356" t="s">
        <v>8</v>
      </c>
      <c r="N6" s="353" t="s">
        <v>8</v>
      </c>
      <c r="O6" s="355" t="s">
        <v>8</v>
      </c>
      <c r="P6" s="357">
        <v>-1</v>
      </c>
    </row>
    <row r="7" spans="1:16" ht="14.95" customHeight="1" thickBot="1" x14ac:dyDescent="0.3">
      <c r="A7" s="350" t="s">
        <v>862</v>
      </c>
      <c r="B7" s="351">
        <v>0</v>
      </c>
      <c r="C7" s="352">
        <v>1</v>
      </c>
      <c r="D7" s="353">
        <f t="shared" si="0"/>
        <v>1</v>
      </c>
      <c r="E7" s="129" t="s">
        <v>862</v>
      </c>
      <c r="F7" s="336">
        <v>0</v>
      </c>
      <c r="G7" s="359">
        <v>5</v>
      </c>
      <c r="H7" s="342">
        <f t="shared" si="1"/>
        <v>5</v>
      </c>
      <c r="I7" s="347" t="s">
        <v>919</v>
      </c>
      <c r="J7" s="356">
        <v>2</v>
      </c>
      <c r="K7" s="353">
        <v>4</v>
      </c>
      <c r="L7" s="355">
        <f t="shared" ref="L7" si="5">SUM(J7/K7)*100</f>
        <v>50</v>
      </c>
      <c r="M7" s="356" t="s">
        <v>8</v>
      </c>
      <c r="N7" s="353" t="s">
        <v>8</v>
      </c>
      <c r="O7" s="355" t="s">
        <v>8</v>
      </c>
      <c r="P7" s="357">
        <v>-1</v>
      </c>
    </row>
    <row r="8" spans="1:16" ht="14.95" customHeight="1" thickBot="1" x14ac:dyDescent="0.3">
      <c r="A8" s="350" t="s">
        <v>858</v>
      </c>
      <c r="B8" s="351">
        <v>0</v>
      </c>
      <c r="C8" s="352">
        <v>1</v>
      </c>
      <c r="D8" s="353">
        <f t="shared" si="0"/>
        <v>1</v>
      </c>
      <c r="E8" s="129" t="s">
        <v>858</v>
      </c>
      <c r="F8" s="336">
        <v>0</v>
      </c>
      <c r="G8" s="359">
        <v>5</v>
      </c>
      <c r="H8" s="342">
        <f t="shared" si="1"/>
        <v>5</v>
      </c>
      <c r="I8" s="45"/>
      <c r="J8" s="45"/>
      <c r="K8" s="45"/>
      <c r="L8" s="45"/>
      <c r="M8" s="45"/>
      <c r="N8" s="45"/>
      <c r="O8" s="45"/>
    </row>
    <row r="9" spans="1:16" ht="14.95" customHeight="1" thickBot="1" x14ac:dyDescent="0.3">
      <c r="A9" s="350" t="s">
        <v>859</v>
      </c>
      <c r="B9" s="351">
        <v>0</v>
      </c>
      <c r="C9" s="352">
        <v>0</v>
      </c>
      <c r="D9" s="353">
        <f t="shared" si="0"/>
        <v>0</v>
      </c>
      <c r="E9" s="129" t="s">
        <v>859</v>
      </c>
      <c r="F9" s="336">
        <v>0</v>
      </c>
      <c r="G9" s="359">
        <v>0</v>
      </c>
      <c r="H9" s="342">
        <f t="shared" si="1"/>
        <v>0</v>
      </c>
      <c r="I9" s="459" t="s">
        <v>351</v>
      </c>
      <c r="J9" s="461">
        <v>2025</v>
      </c>
      <c r="K9" s="462"/>
      <c r="L9" s="463"/>
    </row>
    <row r="10" spans="1:16" ht="14.95" customHeight="1" thickBot="1" x14ac:dyDescent="0.3">
      <c r="A10" s="350" t="s">
        <v>922</v>
      </c>
      <c r="B10" s="351">
        <v>0</v>
      </c>
      <c r="C10" s="352">
        <v>1</v>
      </c>
      <c r="D10" s="353">
        <f t="shared" si="0"/>
        <v>1</v>
      </c>
      <c r="E10" s="129" t="s">
        <v>922</v>
      </c>
      <c r="F10" s="336">
        <v>0</v>
      </c>
      <c r="G10" s="359">
        <v>5</v>
      </c>
      <c r="H10" s="342">
        <f t="shared" si="1"/>
        <v>5</v>
      </c>
      <c r="I10" s="460"/>
      <c r="J10" s="464"/>
      <c r="K10" s="465"/>
      <c r="L10" s="466"/>
    </row>
    <row r="11" spans="1:16" ht="14.95" customHeight="1" thickBot="1" x14ac:dyDescent="0.3">
      <c r="A11" s="350" t="s">
        <v>847</v>
      </c>
      <c r="B11" s="351">
        <v>0</v>
      </c>
      <c r="C11" s="352">
        <v>0</v>
      </c>
      <c r="D11" s="353">
        <f t="shared" si="0"/>
        <v>0</v>
      </c>
      <c r="E11" s="129" t="s">
        <v>847</v>
      </c>
      <c r="F11" s="336">
        <v>0</v>
      </c>
      <c r="G11" s="359">
        <v>0</v>
      </c>
      <c r="H11" s="342">
        <f t="shared" si="1"/>
        <v>0</v>
      </c>
      <c r="I11" s="317"/>
      <c r="J11" s="29" t="s">
        <v>17</v>
      </c>
      <c r="K11" s="29" t="s">
        <v>5</v>
      </c>
      <c r="L11" s="29" t="s">
        <v>6</v>
      </c>
    </row>
    <row r="12" spans="1:16" ht="14.95" customHeight="1" thickBot="1" x14ac:dyDescent="0.3">
      <c r="A12" s="350" t="s">
        <v>857</v>
      </c>
      <c r="B12" s="351">
        <v>0</v>
      </c>
      <c r="C12" s="352">
        <v>1</v>
      </c>
      <c r="D12" s="353">
        <f t="shared" si="0"/>
        <v>1</v>
      </c>
      <c r="E12" s="129" t="s">
        <v>857</v>
      </c>
      <c r="F12" s="336">
        <v>0</v>
      </c>
      <c r="G12" s="359">
        <v>5</v>
      </c>
      <c r="H12" s="342">
        <f t="shared" si="1"/>
        <v>5</v>
      </c>
      <c r="I12" s="350" t="s">
        <v>899</v>
      </c>
      <c r="J12" s="356" t="s">
        <v>8</v>
      </c>
      <c r="K12" s="353" t="s">
        <v>8</v>
      </c>
      <c r="L12" s="355" t="s">
        <v>8</v>
      </c>
    </row>
    <row r="13" spans="1:16" ht="14.95" customHeight="1" thickBot="1" x14ac:dyDescent="0.3">
      <c r="A13" s="350" t="s">
        <v>899</v>
      </c>
      <c r="B13" s="351">
        <v>0</v>
      </c>
      <c r="C13" s="352">
        <v>0</v>
      </c>
      <c r="D13" s="353">
        <f t="shared" si="0"/>
        <v>0</v>
      </c>
      <c r="E13" s="129" t="s">
        <v>899</v>
      </c>
      <c r="F13" s="336">
        <v>0</v>
      </c>
      <c r="G13" s="359">
        <v>2</v>
      </c>
      <c r="H13" s="342">
        <f t="shared" si="1"/>
        <v>2</v>
      </c>
      <c r="I13" s="347" t="s">
        <v>843</v>
      </c>
      <c r="J13" s="356">
        <v>3</v>
      </c>
      <c r="K13" s="353">
        <v>3</v>
      </c>
      <c r="L13" s="355">
        <f t="shared" ref="L13:L14" si="6">SUM(J13/K13)*100</f>
        <v>100</v>
      </c>
      <c r="M13" s="9"/>
      <c r="N13" s="9"/>
      <c r="O13" s="9"/>
    </row>
    <row r="14" spans="1:16" ht="14.95" customHeight="1" thickBot="1" x14ac:dyDescent="0.3">
      <c r="A14" s="350" t="s">
        <v>863</v>
      </c>
      <c r="B14" s="351">
        <v>0</v>
      </c>
      <c r="C14" s="352">
        <v>2</v>
      </c>
      <c r="D14" s="353">
        <f t="shared" si="0"/>
        <v>2</v>
      </c>
      <c r="E14" s="129" t="s">
        <v>863</v>
      </c>
      <c r="F14" s="336">
        <v>0</v>
      </c>
      <c r="G14" s="359">
        <v>10</v>
      </c>
      <c r="H14" s="342">
        <f t="shared" si="1"/>
        <v>10</v>
      </c>
      <c r="I14" s="347" t="s">
        <v>844</v>
      </c>
      <c r="J14" s="356">
        <v>0</v>
      </c>
      <c r="K14" s="353">
        <v>1</v>
      </c>
      <c r="L14" s="355">
        <f t="shared" si="6"/>
        <v>0</v>
      </c>
      <c r="M14" s="20"/>
      <c r="N14" s="20"/>
      <c r="O14" s="23"/>
    </row>
    <row r="15" spans="1:16" ht="14.95" customHeight="1" thickBot="1" x14ac:dyDescent="0.3">
      <c r="A15" s="350" t="s">
        <v>843</v>
      </c>
      <c r="B15" s="351">
        <v>0</v>
      </c>
      <c r="C15" s="352">
        <v>0</v>
      </c>
      <c r="D15" s="353">
        <f t="shared" si="0"/>
        <v>0</v>
      </c>
      <c r="E15" s="129" t="s">
        <v>843</v>
      </c>
      <c r="F15" s="336">
        <v>9</v>
      </c>
      <c r="G15" s="359">
        <v>8</v>
      </c>
      <c r="H15" s="342">
        <f t="shared" si="1"/>
        <v>17</v>
      </c>
      <c r="I15" s="347" t="s">
        <v>919</v>
      </c>
      <c r="J15" s="356" t="s">
        <v>8</v>
      </c>
      <c r="K15" s="353" t="s">
        <v>8</v>
      </c>
      <c r="L15" s="355" t="s">
        <v>8</v>
      </c>
    </row>
    <row r="16" spans="1:16" ht="14.95" customHeight="1" thickBot="1" x14ac:dyDescent="0.3">
      <c r="A16" s="350" t="s">
        <v>856</v>
      </c>
      <c r="B16" s="351">
        <v>0</v>
      </c>
      <c r="C16" s="352">
        <v>1</v>
      </c>
      <c r="D16" s="353">
        <f t="shared" si="0"/>
        <v>1</v>
      </c>
      <c r="E16" s="129" t="s">
        <v>856</v>
      </c>
      <c r="F16" s="336">
        <v>0</v>
      </c>
      <c r="G16" s="359">
        <v>5</v>
      </c>
      <c r="H16" s="342">
        <f t="shared" si="1"/>
        <v>5</v>
      </c>
    </row>
    <row r="17" spans="1:8" ht="14.95" customHeight="1" thickBot="1" x14ac:dyDescent="0.3">
      <c r="A17" s="350" t="s">
        <v>846</v>
      </c>
      <c r="B17" s="351">
        <v>0</v>
      </c>
      <c r="C17" s="352">
        <v>3</v>
      </c>
      <c r="D17" s="353">
        <f t="shared" si="0"/>
        <v>3</v>
      </c>
      <c r="E17" s="129" t="s">
        <v>846</v>
      </c>
      <c r="F17" s="336">
        <v>0</v>
      </c>
      <c r="G17" s="359">
        <v>15</v>
      </c>
      <c r="H17" s="342">
        <f t="shared" si="1"/>
        <v>15</v>
      </c>
    </row>
    <row r="18" spans="1:8" ht="14.95" customHeight="1" thickBot="1" x14ac:dyDescent="0.3">
      <c r="A18" s="350" t="s">
        <v>851</v>
      </c>
      <c r="B18" s="351">
        <v>0</v>
      </c>
      <c r="C18" s="352">
        <v>0</v>
      </c>
      <c r="D18" s="353">
        <f t="shared" si="0"/>
        <v>0</v>
      </c>
      <c r="E18" s="129" t="s">
        <v>851</v>
      </c>
      <c r="F18" s="336">
        <v>0</v>
      </c>
      <c r="G18" s="359">
        <v>0</v>
      </c>
      <c r="H18" s="342">
        <f t="shared" si="1"/>
        <v>0</v>
      </c>
    </row>
    <row r="19" spans="1:8" ht="14.95" customHeight="1" thickBot="1" x14ac:dyDescent="0.3">
      <c r="A19" s="350" t="s">
        <v>860</v>
      </c>
      <c r="B19" s="351">
        <v>0</v>
      </c>
      <c r="C19" s="352">
        <v>0</v>
      </c>
      <c r="D19" s="353">
        <f t="shared" si="0"/>
        <v>0</v>
      </c>
      <c r="E19" s="129" t="s">
        <v>860</v>
      </c>
      <c r="F19" s="336">
        <v>0</v>
      </c>
      <c r="G19" s="359">
        <v>0</v>
      </c>
      <c r="H19" s="342">
        <f t="shared" si="1"/>
        <v>0</v>
      </c>
    </row>
    <row r="20" spans="1:8" ht="14.95" customHeight="1" thickBot="1" x14ac:dyDescent="0.3">
      <c r="A20" s="350" t="s">
        <v>845</v>
      </c>
      <c r="B20" s="351">
        <v>0</v>
      </c>
      <c r="C20" s="352">
        <v>4</v>
      </c>
      <c r="D20" s="353">
        <f t="shared" si="0"/>
        <v>4</v>
      </c>
      <c r="E20" s="129" t="s">
        <v>845</v>
      </c>
      <c r="F20" s="336">
        <v>0</v>
      </c>
      <c r="G20" s="359">
        <v>20</v>
      </c>
      <c r="H20" s="342">
        <f t="shared" si="1"/>
        <v>20</v>
      </c>
    </row>
    <row r="21" spans="1:8" ht="14.95" customHeight="1" thickBot="1" x14ac:dyDescent="0.3">
      <c r="A21" s="350" t="s">
        <v>212</v>
      </c>
      <c r="B21" s="351">
        <v>0</v>
      </c>
      <c r="C21" s="352">
        <v>0</v>
      </c>
      <c r="D21" s="353">
        <f t="shared" ref="D21:D28" si="7">SUM(B21:C21)</f>
        <v>0</v>
      </c>
      <c r="E21" s="129" t="s">
        <v>212</v>
      </c>
      <c r="F21" s="336">
        <v>0</v>
      </c>
      <c r="G21" s="359">
        <v>0</v>
      </c>
      <c r="H21" s="342">
        <f t="shared" ref="H21:H28" si="8">SUM(F21:G21)</f>
        <v>0</v>
      </c>
    </row>
    <row r="22" spans="1:8" ht="14.95" customHeight="1" thickBot="1" x14ac:dyDescent="0.3">
      <c r="A22" s="350" t="s">
        <v>918</v>
      </c>
      <c r="B22" s="351">
        <v>0</v>
      </c>
      <c r="C22" s="352">
        <v>1</v>
      </c>
      <c r="D22" s="353">
        <f t="shared" si="7"/>
        <v>1</v>
      </c>
      <c r="E22" s="129" t="s">
        <v>918</v>
      </c>
      <c r="F22" s="336">
        <v>0</v>
      </c>
      <c r="G22" s="359">
        <v>5</v>
      </c>
      <c r="H22" s="342">
        <f t="shared" si="8"/>
        <v>5</v>
      </c>
    </row>
    <row r="23" spans="1:8" ht="14.95" customHeight="1" thickBot="1" x14ac:dyDescent="0.3">
      <c r="A23" s="350" t="s">
        <v>854</v>
      </c>
      <c r="B23" s="351">
        <v>0</v>
      </c>
      <c r="C23" s="352">
        <v>1</v>
      </c>
      <c r="D23" s="353">
        <f t="shared" si="7"/>
        <v>1</v>
      </c>
      <c r="E23" s="129" t="s">
        <v>854</v>
      </c>
      <c r="F23" s="336">
        <v>0</v>
      </c>
      <c r="G23" s="359">
        <v>5</v>
      </c>
      <c r="H23" s="342">
        <f t="shared" si="8"/>
        <v>5</v>
      </c>
    </row>
    <row r="24" spans="1:8" ht="14.95" customHeight="1" thickBot="1" x14ac:dyDescent="0.3">
      <c r="A24" s="350" t="s">
        <v>848</v>
      </c>
      <c r="B24" s="351">
        <v>0</v>
      </c>
      <c r="C24" s="352">
        <v>0</v>
      </c>
      <c r="D24" s="353">
        <f t="shared" si="7"/>
        <v>0</v>
      </c>
      <c r="E24" s="129" t="s">
        <v>848</v>
      </c>
      <c r="F24" s="336">
        <v>0</v>
      </c>
      <c r="G24" s="359">
        <v>0</v>
      </c>
      <c r="H24" s="342">
        <f t="shared" si="8"/>
        <v>0</v>
      </c>
    </row>
    <row r="25" spans="1:8" ht="14.95" customHeight="1" thickBot="1" x14ac:dyDescent="0.3">
      <c r="A25" s="350" t="s">
        <v>849</v>
      </c>
      <c r="B25" s="351">
        <v>1</v>
      </c>
      <c r="C25" s="352">
        <v>0</v>
      </c>
      <c r="D25" s="353">
        <f t="shared" si="7"/>
        <v>1</v>
      </c>
      <c r="E25" s="129" t="s">
        <v>849</v>
      </c>
      <c r="F25" s="336">
        <v>5</v>
      </c>
      <c r="G25" s="359">
        <v>0</v>
      </c>
      <c r="H25" s="342">
        <f t="shared" si="8"/>
        <v>5</v>
      </c>
    </row>
    <row r="26" spans="1:8" ht="14.95" customHeight="1" thickBot="1" x14ac:dyDescent="0.3">
      <c r="A26" s="350" t="s">
        <v>855</v>
      </c>
      <c r="B26" s="351">
        <v>0</v>
      </c>
      <c r="C26" s="352">
        <v>0</v>
      </c>
      <c r="D26" s="353">
        <f t="shared" si="7"/>
        <v>0</v>
      </c>
      <c r="E26" s="129" t="s">
        <v>855</v>
      </c>
      <c r="F26" s="336">
        <v>0</v>
      </c>
      <c r="G26" s="359">
        <v>0</v>
      </c>
      <c r="H26" s="342">
        <f t="shared" si="8"/>
        <v>0</v>
      </c>
    </row>
    <row r="27" spans="1:8" ht="14.95" customHeight="1" thickBot="1" x14ac:dyDescent="0.3">
      <c r="A27" s="350" t="s">
        <v>864</v>
      </c>
      <c r="B27" s="351">
        <v>0</v>
      </c>
      <c r="C27" s="352">
        <v>0</v>
      </c>
      <c r="D27" s="353">
        <f t="shared" si="7"/>
        <v>0</v>
      </c>
      <c r="E27" s="129" t="s">
        <v>864</v>
      </c>
      <c r="F27" s="336">
        <v>0</v>
      </c>
      <c r="G27" s="359">
        <v>0</v>
      </c>
      <c r="H27" s="342">
        <f t="shared" si="8"/>
        <v>0</v>
      </c>
    </row>
    <row r="28" spans="1:8" ht="14.95" customHeight="1" thickBot="1" x14ac:dyDescent="0.3">
      <c r="A28" s="350" t="s">
        <v>844</v>
      </c>
      <c r="B28" s="351">
        <v>0</v>
      </c>
      <c r="C28" s="352">
        <v>1</v>
      </c>
      <c r="D28" s="353">
        <f t="shared" si="7"/>
        <v>1</v>
      </c>
      <c r="E28" s="129" t="s">
        <v>844</v>
      </c>
      <c r="F28" s="336">
        <v>0</v>
      </c>
      <c r="G28" s="359">
        <v>7</v>
      </c>
      <c r="H28" s="342">
        <f t="shared" si="8"/>
        <v>7</v>
      </c>
    </row>
    <row r="29" spans="1:8" ht="14.95" customHeight="1" thickBot="1" x14ac:dyDescent="0.3">
      <c r="A29" s="350" t="s">
        <v>919</v>
      </c>
      <c r="B29" s="351">
        <v>0</v>
      </c>
      <c r="C29" s="352">
        <v>0</v>
      </c>
      <c r="D29" s="353">
        <f t="shared" si="0"/>
        <v>0</v>
      </c>
      <c r="E29" s="129" t="s">
        <v>919</v>
      </c>
      <c r="F29" s="336">
        <v>0</v>
      </c>
      <c r="G29" s="359">
        <v>4</v>
      </c>
      <c r="H29" s="342">
        <f t="shared" si="1"/>
        <v>4</v>
      </c>
    </row>
    <row r="30" spans="1:8" ht="14.95" customHeight="1" thickBot="1" x14ac:dyDescent="0.3">
      <c r="A30" s="350" t="s">
        <v>853</v>
      </c>
      <c r="B30" s="351">
        <v>0</v>
      </c>
      <c r="C30" s="352">
        <v>1</v>
      </c>
      <c r="D30" s="353">
        <f t="shared" si="0"/>
        <v>1</v>
      </c>
      <c r="E30" s="129" t="s">
        <v>853</v>
      </c>
      <c r="F30" s="336">
        <v>0</v>
      </c>
      <c r="G30" s="359">
        <v>5</v>
      </c>
      <c r="H30" s="342">
        <f t="shared" si="1"/>
        <v>5</v>
      </c>
    </row>
    <row r="31" spans="1:8" ht="14.95" customHeight="1" thickBot="1" x14ac:dyDescent="0.3">
      <c r="A31" s="350" t="s">
        <v>3</v>
      </c>
      <c r="B31" s="351">
        <f>SUM(B3:B30)</f>
        <v>1</v>
      </c>
      <c r="C31" s="352">
        <f>SUM(C3:C30)</f>
        <v>20</v>
      </c>
      <c r="D31" s="353">
        <f t="shared" si="0"/>
        <v>21</v>
      </c>
      <c r="E31" s="130" t="s">
        <v>3</v>
      </c>
      <c r="F31" s="337">
        <f>SUM(F3:F30)</f>
        <v>14</v>
      </c>
      <c r="G31" s="358">
        <f>SUM(G3:G30)</f>
        <v>116</v>
      </c>
      <c r="H31" s="341">
        <f t="shared" si="1"/>
        <v>130</v>
      </c>
    </row>
    <row r="32" spans="1:8" ht="14.95" customHeight="1" x14ac:dyDescent="0.25">
      <c r="C32" s="52"/>
      <c r="E32" s="3"/>
      <c r="F32" s="3"/>
      <c r="G32" s="53"/>
      <c r="H32" s="3"/>
    </row>
    <row r="33" spans="1:8" ht="14.95" customHeight="1" thickBot="1" x14ac:dyDescent="0.3">
      <c r="A33" t="s">
        <v>7</v>
      </c>
      <c r="C33" s="52"/>
      <c r="E33" s="3"/>
      <c r="F33" s="3"/>
      <c r="G33" s="53"/>
      <c r="H33" s="3"/>
    </row>
    <row r="34" spans="1:8" ht="14.95" customHeight="1" thickBot="1" x14ac:dyDescent="0.3">
      <c r="A34" s="347" t="s">
        <v>0</v>
      </c>
      <c r="B34" s="348" t="s">
        <v>734</v>
      </c>
      <c r="C34" s="348" t="s">
        <v>11</v>
      </c>
      <c r="D34" s="349" t="s">
        <v>1</v>
      </c>
      <c r="E34" s="125" t="s">
        <v>2</v>
      </c>
      <c r="F34" s="335" t="s">
        <v>734</v>
      </c>
      <c r="G34" s="358" t="s">
        <v>11</v>
      </c>
      <c r="H34" s="341" t="s">
        <v>1</v>
      </c>
    </row>
    <row r="35" spans="1:8" ht="14.95" customHeight="1" thickBot="1" x14ac:dyDescent="0.3">
      <c r="A35" s="350" t="s">
        <v>845</v>
      </c>
      <c r="B35" s="351">
        <v>0</v>
      </c>
      <c r="C35" s="352">
        <v>4</v>
      </c>
      <c r="D35" s="353">
        <f t="shared" ref="D35:D62" si="9">SUM(B35:C35)</f>
        <v>4</v>
      </c>
      <c r="E35" s="127" t="s">
        <v>845</v>
      </c>
      <c r="F35" s="336">
        <v>0</v>
      </c>
      <c r="G35" s="359">
        <v>20</v>
      </c>
      <c r="H35" s="342">
        <f t="shared" ref="H35:H62" si="10">SUM(F35:G35)</f>
        <v>20</v>
      </c>
    </row>
    <row r="36" spans="1:8" ht="14.95" customHeight="1" thickBot="1" x14ac:dyDescent="0.3">
      <c r="A36" s="350" t="s">
        <v>846</v>
      </c>
      <c r="B36" s="351">
        <v>0</v>
      </c>
      <c r="C36" s="352">
        <v>3</v>
      </c>
      <c r="D36" s="353">
        <f t="shared" si="9"/>
        <v>3</v>
      </c>
      <c r="E36" s="127" t="s">
        <v>843</v>
      </c>
      <c r="F36" s="336">
        <v>9</v>
      </c>
      <c r="G36" s="359">
        <v>8</v>
      </c>
      <c r="H36" s="342">
        <f t="shared" si="10"/>
        <v>17</v>
      </c>
    </row>
    <row r="37" spans="1:8" ht="14.95" customHeight="1" thickBot="1" x14ac:dyDescent="0.3">
      <c r="A37" s="350" t="s">
        <v>863</v>
      </c>
      <c r="B37" s="351">
        <v>0</v>
      </c>
      <c r="C37" s="352">
        <v>2</v>
      </c>
      <c r="D37" s="353">
        <f t="shared" si="9"/>
        <v>2</v>
      </c>
      <c r="E37" s="127" t="s">
        <v>846</v>
      </c>
      <c r="F37" s="336">
        <v>0</v>
      </c>
      <c r="G37" s="359">
        <v>15</v>
      </c>
      <c r="H37" s="342">
        <f t="shared" si="10"/>
        <v>15</v>
      </c>
    </row>
    <row r="38" spans="1:8" ht="14.95" customHeight="1" thickBot="1" x14ac:dyDescent="0.3">
      <c r="A38" s="350" t="s">
        <v>917</v>
      </c>
      <c r="B38" s="351">
        <v>0</v>
      </c>
      <c r="C38" s="352">
        <v>1</v>
      </c>
      <c r="D38" s="353">
        <f t="shared" si="9"/>
        <v>1</v>
      </c>
      <c r="E38" s="129" t="s">
        <v>863</v>
      </c>
      <c r="F38" s="336">
        <v>0</v>
      </c>
      <c r="G38" s="359">
        <v>10</v>
      </c>
      <c r="H38" s="342">
        <f t="shared" si="10"/>
        <v>10</v>
      </c>
    </row>
    <row r="39" spans="1:8" ht="14.95" customHeight="1" thickBot="1" x14ac:dyDescent="0.3">
      <c r="A39" s="350" t="s">
        <v>852</v>
      </c>
      <c r="B39" s="351">
        <v>0</v>
      </c>
      <c r="C39" s="352">
        <v>1</v>
      </c>
      <c r="D39" s="353">
        <f t="shared" si="9"/>
        <v>1</v>
      </c>
      <c r="E39" s="129" t="s">
        <v>844</v>
      </c>
      <c r="F39" s="336">
        <v>0</v>
      </c>
      <c r="G39" s="359">
        <v>7</v>
      </c>
      <c r="H39" s="342">
        <f t="shared" si="10"/>
        <v>7</v>
      </c>
    </row>
    <row r="40" spans="1:8" ht="14.95" customHeight="1" thickBot="1" x14ac:dyDescent="0.3">
      <c r="A40" s="350" t="s">
        <v>862</v>
      </c>
      <c r="B40" s="351">
        <v>0</v>
      </c>
      <c r="C40" s="352">
        <v>1</v>
      </c>
      <c r="D40" s="353">
        <f t="shared" si="9"/>
        <v>1</v>
      </c>
      <c r="E40" s="129" t="s">
        <v>917</v>
      </c>
      <c r="F40" s="336">
        <v>0</v>
      </c>
      <c r="G40" s="359">
        <v>5</v>
      </c>
      <c r="H40" s="342">
        <f t="shared" si="10"/>
        <v>5</v>
      </c>
    </row>
    <row r="41" spans="1:8" ht="14.95" thickBot="1" x14ac:dyDescent="0.3">
      <c r="A41" s="350" t="s">
        <v>858</v>
      </c>
      <c r="B41" s="351">
        <v>0</v>
      </c>
      <c r="C41" s="352">
        <v>1</v>
      </c>
      <c r="D41" s="353">
        <f t="shared" si="9"/>
        <v>1</v>
      </c>
      <c r="E41" s="129" t="s">
        <v>852</v>
      </c>
      <c r="F41" s="336">
        <v>0</v>
      </c>
      <c r="G41" s="359">
        <v>5</v>
      </c>
      <c r="H41" s="342">
        <f t="shared" si="10"/>
        <v>5</v>
      </c>
    </row>
    <row r="42" spans="1:8" ht="14.95" thickBot="1" x14ac:dyDescent="0.3">
      <c r="A42" s="350" t="s">
        <v>922</v>
      </c>
      <c r="B42" s="351">
        <v>0</v>
      </c>
      <c r="C42" s="352">
        <v>1</v>
      </c>
      <c r="D42" s="353">
        <f t="shared" si="9"/>
        <v>1</v>
      </c>
      <c r="E42" s="129" t="s">
        <v>862</v>
      </c>
      <c r="F42" s="336">
        <v>0</v>
      </c>
      <c r="G42" s="359">
        <v>5</v>
      </c>
      <c r="H42" s="342">
        <f t="shared" si="10"/>
        <v>5</v>
      </c>
    </row>
    <row r="43" spans="1:8" ht="14.95" thickBot="1" x14ac:dyDescent="0.3">
      <c r="A43" s="350" t="s">
        <v>857</v>
      </c>
      <c r="B43" s="351">
        <v>0</v>
      </c>
      <c r="C43" s="352">
        <v>1</v>
      </c>
      <c r="D43" s="353">
        <f t="shared" si="9"/>
        <v>1</v>
      </c>
      <c r="E43" s="129" t="s">
        <v>858</v>
      </c>
      <c r="F43" s="336">
        <v>0</v>
      </c>
      <c r="G43" s="359">
        <v>5</v>
      </c>
      <c r="H43" s="342">
        <f t="shared" si="10"/>
        <v>5</v>
      </c>
    </row>
    <row r="44" spans="1:8" ht="14.95" thickBot="1" x14ac:dyDescent="0.3">
      <c r="A44" s="350" t="s">
        <v>856</v>
      </c>
      <c r="B44" s="351">
        <v>0</v>
      </c>
      <c r="C44" s="352">
        <v>1</v>
      </c>
      <c r="D44" s="353">
        <f t="shared" si="9"/>
        <v>1</v>
      </c>
      <c r="E44" s="129" t="s">
        <v>922</v>
      </c>
      <c r="F44" s="336">
        <v>0</v>
      </c>
      <c r="G44" s="359">
        <v>5</v>
      </c>
      <c r="H44" s="342">
        <f t="shared" si="10"/>
        <v>5</v>
      </c>
    </row>
    <row r="45" spans="1:8" ht="14.95" thickBot="1" x14ac:dyDescent="0.3">
      <c r="A45" s="350" t="s">
        <v>918</v>
      </c>
      <c r="B45" s="351">
        <v>0</v>
      </c>
      <c r="C45" s="352">
        <v>1</v>
      </c>
      <c r="D45" s="353">
        <f t="shared" si="9"/>
        <v>1</v>
      </c>
      <c r="E45" s="129" t="s">
        <v>857</v>
      </c>
      <c r="F45" s="336">
        <v>0</v>
      </c>
      <c r="G45" s="359">
        <v>5</v>
      </c>
      <c r="H45" s="342">
        <f t="shared" si="10"/>
        <v>5</v>
      </c>
    </row>
    <row r="46" spans="1:8" ht="14.95" thickBot="1" x14ac:dyDescent="0.3">
      <c r="A46" s="350" t="s">
        <v>854</v>
      </c>
      <c r="B46" s="351">
        <v>0</v>
      </c>
      <c r="C46" s="352">
        <v>1</v>
      </c>
      <c r="D46" s="353">
        <f t="shared" si="9"/>
        <v>1</v>
      </c>
      <c r="E46" s="129" t="s">
        <v>856</v>
      </c>
      <c r="F46" s="336">
        <v>0</v>
      </c>
      <c r="G46" s="359">
        <v>5</v>
      </c>
      <c r="H46" s="342">
        <f t="shared" si="10"/>
        <v>5</v>
      </c>
    </row>
    <row r="47" spans="1:8" ht="14.95" thickBot="1" x14ac:dyDescent="0.3">
      <c r="A47" s="350" t="s">
        <v>849</v>
      </c>
      <c r="B47" s="351">
        <v>1</v>
      </c>
      <c r="C47" s="352">
        <v>0</v>
      </c>
      <c r="D47" s="353">
        <f t="shared" si="9"/>
        <v>1</v>
      </c>
      <c r="E47" s="129" t="s">
        <v>918</v>
      </c>
      <c r="F47" s="336">
        <v>0</v>
      </c>
      <c r="G47" s="359">
        <v>5</v>
      </c>
      <c r="H47" s="342">
        <f t="shared" si="10"/>
        <v>5</v>
      </c>
    </row>
    <row r="48" spans="1:8" ht="14.95" thickBot="1" x14ac:dyDescent="0.3">
      <c r="A48" s="350" t="s">
        <v>844</v>
      </c>
      <c r="B48" s="351">
        <v>0</v>
      </c>
      <c r="C48" s="352">
        <v>1</v>
      </c>
      <c r="D48" s="353">
        <f t="shared" si="9"/>
        <v>1</v>
      </c>
      <c r="E48" s="129" t="s">
        <v>854</v>
      </c>
      <c r="F48" s="336">
        <v>0</v>
      </c>
      <c r="G48" s="359">
        <v>5</v>
      </c>
      <c r="H48" s="342">
        <f t="shared" si="10"/>
        <v>5</v>
      </c>
    </row>
    <row r="49" spans="1:8" ht="14.95" thickBot="1" x14ac:dyDescent="0.3">
      <c r="A49" s="350" t="s">
        <v>853</v>
      </c>
      <c r="B49" s="351">
        <v>0</v>
      </c>
      <c r="C49" s="352">
        <v>1</v>
      </c>
      <c r="D49" s="353">
        <f t="shared" si="9"/>
        <v>1</v>
      </c>
      <c r="E49" s="129" t="s">
        <v>849</v>
      </c>
      <c r="F49" s="336">
        <v>5</v>
      </c>
      <c r="G49" s="359">
        <v>0</v>
      </c>
      <c r="H49" s="342">
        <f t="shared" si="10"/>
        <v>5</v>
      </c>
    </row>
    <row r="50" spans="1:8" ht="14.95" thickBot="1" x14ac:dyDescent="0.3">
      <c r="A50" s="350" t="s">
        <v>861</v>
      </c>
      <c r="B50" s="351">
        <v>0</v>
      </c>
      <c r="C50" s="352">
        <v>0</v>
      </c>
      <c r="D50" s="353">
        <f t="shared" si="9"/>
        <v>0</v>
      </c>
      <c r="E50" s="129" t="s">
        <v>853</v>
      </c>
      <c r="F50" s="336">
        <v>0</v>
      </c>
      <c r="G50" s="359">
        <v>5</v>
      </c>
      <c r="H50" s="342">
        <f t="shared" si="10"/>
        <v>5</v>
      </c>
    </row>
    <row r="51" spans="1:8" ht="14.95" thickBot="1" x14ac:dyDescent="0.3">
      <c r="A51" s="350" t="s">
        <v>850</v>
      </c>
      <c r="B51" s="351">
        <v>0</v>
      </c>
      <c r="C51" s="352">
        <v>0</v>
      </c>
      <c r="D51" s="353">
        <f t="shared" si="9"/>
        <v>0</v>
      </c>
      <c r="E51" s="129" t="s">
        <v>919</v>
      </c>
      <c r="F51" s="336">
        <v>0</v>
      </c>
      <c r="G51" s="359">
        <v>4</v>
      </c>
      <c r="H51" s="342">
        <f t="shared" si="10"/>
        <v>4</v>
      </c>
    </row>
    <row r="52" spans="1:8" ht="14.95" thickBot="1" x14ac:dyDescent="0.3">
      <c r="A52" s="350" t="s">
        <v>859</v>
      </c>
      <c r="B52" s="351">
        <v>0</v>
      </c>
      <c r="C52" s="352">
        <v>0</v>
      </c>
      <c r="D52" s="353">
        <f t="shared" si="9"/>
        <v>0</v>
      </c>
      <c r="E52" s="129" t="s">
        <v>899</v>
      </c>
      <c r="F52" s="336">
        <v>0</v>
      </c>
      <c r="G52" s="359">
        <v>2</v>
      </c>
      <c r="H52" s="342">
        <f t="shared" si="10"/>
        <v>2</v>
      </c>
    </row>
    <row r="53" spans="1:8" ht="14.95" thickBot="1" x14ac:dyDescent="0.3">
      <c r="A53" s="350" t="s">
        <v>847</v>
      </c>
      <c r="B53" s="351">
        <v>0</v>
      </c>
      <c r="C53" s="352">
        <v>0</v>
      </c>
      <c r="D53" s="353">
        <f t="shared" si="9"/>
        <v>0</v>
      </c>
      <c r="E53" s="129" t="s">
        <v>861</v>
      </c>
      <c r="F53" s="336">
        <v>0</v>
      </c>
      <c r="G53" s="359">
        <v>0</v>
      </c>
      <c r="H53" s="342">
        <f t="shared" si="10"/>
        <v>0</v>
      </c>
    </row>
    <row r="54" spans="1:8" ht="14.95" thickBot="1" x14ac:dyDescent="0.3">
      <c r="A54" s="350" t="s">
        <v>899</v>
      </c>
      <c r="B54" s="351">
        <v>0</v>
      </c>
      <c r="C54" s="352">
        <v>0</v>
      </c>
      <c r="D54" s="353">
        <f t="shared" si="9"/>
        <v>0</v>
      </c>
      <c r="E54" s="129" t="s">
        <v>850</v>
      </c>
      <c r="F54" s="336">
        <v>0</v>
      </c>
      <c r="G54" s="359">
        <v>0</v>
      </c>
      <c r="H54" s="342">
        <f t="shared" si="10"/>
        <v>0</v>
      </c>
    </row>
    <row r="55" spans="1:8" ht="14.95" thickBot="1" x14ac:dyDescent="0.3">
      <c r="A55" s="350" t="s">
        <v>843</v>
      </c>
      <c r="B55" s="351">
        <v>0</v>
      </c>
      <c r="C55" s="352">
        <v>0</v>
      </c>
      <c r="D55" s="353">
        <f t="shared" si="9"/>
        <v>0</v>
      </c>
      <c r="E55" s="129" t="s">
        <v>859</v>
      </c>
      <c r="F55" s="336">
        <v>0</v>
      </c>
      <c r="G55" s="359">
        <v>0</v>
      </c>
      <c r="H55" s="342">
        <f t="shared" si="10"/>
        <v>0</v>
      </c>
    </row>
    <row r="56" spans="1:8" ht="14.95" thickBot="1" x14ac:dyDescent="0.3">
      <c r="A56" s="350" t="s">
        <v>851</v>
      </c>
      <c r="B56" s="351">
        <v>0</v>
      </c>
      <c r="C56" s="352">
        <v>0</v>
      </c>
      <c r="D56" s="353">
        <f t="shared" si="9"/>
        <v>0</v>
      </c>
      <c r="E56" s="129" t="s">
        <v>847</v>
      </c>
      <c r="F56" s="336">
        <v>0</v>
      </c>
      <c r="G56" s="359">
        <v>0</v>
      </c>
      <c r="H56" s="342">
        <f t="shared" si="10"/>
        <v>0</v>
      </c>
    </row>
    <row r="57" spans="1:8" ht="14.95" thickBot="1" x14ac:dyDescent="0.3">
      <c r="A57" s="350" t="s">
        <v>860</v>
      </c>
      <c r="B57" s="351">
        <v>0</v>
      </c>
      <c r="C57" s="352">
        <v>0</v>
      </c>
      <c r="D57" s="353">
        <f t="shared" si="9"/>
        <v>0</v>
      </c>
      <c r="E57" s="129" t="s">
        <v>851</v>
      </c>
      <c r="F57" s="336">
        <v>0</v>
      </c>
      <c r="G57" s="359">
        <v>0</v>
      </c>
      <c r="H57" s="342">
        <f t="shared" si="10"/>
        <v>0</v>
      </c>
    </row>
    <row r="58" spans="1:8" ht="14.95" thickBot="1" x14ac:dyDescent="0.3">
      <c r="A58" s="350" t="s">
        <v>212</v>
      </c>
      <c r="B58" s="351">
        <v>0</v>
      </c>
      <c r="C58" s="352">
        <v>0</v>
      </c>
      <c r="D58" s="353">
        <f t="shared" si="9"/>
        <v>0</v>
      </c>
      <c r="E58" s="129" t="s">
        <v>860</v>
      </c>
      <c r="F58" s="336">
        <v>0</v>
      </c>
      <c r="G58" s="359">
        <v>0</v>
      </c>
      <c r="H58" s="342">
        <f t="shared" si="10"/>
        <v>0</v>
      </c>
    </row>
    <row r="59" spans="1:8" ht="14.95" thickBot="1" x14ac:dyDescent="0.3">
      <c r="A59" s="350" t="s">
        <v>848</v>
      </c>
      <c r="B59" s="351">
        <v>0</v>
      </c>
      <c r="C59" s="352">
        <v>0</v>
      </c>
      <c r="D59" s="353">
        <f t="shared" si="9"/>
        <v>0</v>
      </c>
      <c r="E59" s="129" t="s">
        <v>212</v>
      </c>
      <c r="F59" s="336">
        <v>0</v>
      </c>
      <c r="G59" s="359">
        <v>0</v>
      </c>
      <c r="H59" s="342">
        <f t="shared" si="10"/>
        <v>0</v>
      </c>
    </row>
    <row r="60" spans="1:8" ht="14.95" thickBot="1" x14ac:dyDescent="0.3">
      <c r="A60" s="350" t="s">
        <v>855</v>
      </c>
      <c r="B60" s="351">
        <v>0</v>
      </c>
      <c r="C60" s="352">
        <v>0</v>
      </c>
      <c r="D60" s="353">
        <f t="shared" si="9"/>
        <v>0</v>
      </c>
      <c r="E60" s="129" t="s">
        <v>848</v>
      </c>
      <c r="F60" s="336">
        <v>0</v>
      </c>
      <c r="G60" s="359">
        <v>0</v>
      </c>
      <c r="H60" s="342">
        <f t="shared" si="10"/>
        <v>0</v>
      </c>
    </row>
    <row r="61" spans="1:8" ht="14.95" thickBot="1" x14ac:dyDescent="0.3">
      <c r="A61" s="350" t="s">
        <v>864</v>
      </c>
      <c r="B61" s="351">
        <v>0</v>
      </c>
      <c r="C61" s="352">
        <v>0</v>
      </c>
      <c r="D61" s="353">
        <f t="shared" si="9"/>
        <v>0</v>
      </c>
      <c r="E61" s="129" t="s">
        <v>855</v>
      </c>
      <c r="F61" s="336">
        <v>0</v>
      </c>
      <c r="G61" s="359">
        <v>0</v>
      </c>
      <c r="H61" s="342">
        <f t="shared" si="10"/>
        <v>0</v>
      </c>
    </row>
    <row r="62" spans="1:8" ht="14.95" thickBot="1" x14ac:dyDescent="0.3">
      <c r="A62" s="350" t="s">
        <v>919</v>
      </c>
      <c r="B62" s="351">
        <v>0</v>
      </c>
      <c r="C62" s="352">
        <v>0</v>
      </c>
      <c r="D62" s="353">
        <f t="shared" si="9"/>
        <v>0</v>
      </c>
      <c r="E62" s="129" t="s">
        <v>864</v>
      </c>
      <c r="F62" s="336">
        <v>0</v>
      </c>
      <c r="G62" s="359">
        <v>0</v>
      </c>
      <c r="H62" s="342">
        <f t="shared" si="10"/>
        <v>0</v>
      </c>
    </row>
    <row r="63" spans="1:8" ht="14.95" thickBot="1" x14ac:dyDescent="0.3">
      <c r="A63" s="350" t="s">
        <v>3</v>
      </c>
      <c r="B63" s="351">
        <f>SUM(B35:B62)</f>
        <v>1</v>
      </c>
      <c r="C63" s="352">
        <f>SUM(C35:C62)</f>
        <v>20</v>
      </c>
      <c r="D63" s="353">
        <f t="shared" ref="D63" si="11">SUM(B63:C63)</f>
        <v>21</v>
      </c>
      <c r="E63" s="130" t="s">
        <v>3</v>
      </c>
      <c r="F63" s="337">
        <f>SUM(F35:F62)</f>
        <v>14</v>
      </c>
      <c r="G63" s="358">
        <f>SUM(G35:G62)</f>
        <v>116</v>
      </c>
      <c r="H63" s="341">
        <f t="shared" ref="H63" si="12">SUM(F63:G63)</f>
        <v>130</v>
      </c>
    </row>
    <row r="64" spans="1:8" ht="16.3" x14ac:dyDescent="0.3">
      <c r="A64" s="455" t="s">
        <v>10</v>
      </c>
      <c r="B64" s="455"/>
      <c r="C64" s="456"/>
    </row>
  </sheetData>
  <sortState xmlns:xlrd2="http://schemas.microsoft.com/office/spreadsheetml/2017/richdata2" ref="E35:H62">
    <sortCondition descending="1" ref="H35:H62"/>
  </sortState>
  <mergeCells count="8">
    <mergeCell ref="P1:P2"/>
    <mergeCell ref="I9:I10"/>
    <mergeCell ref="J9:L10"/>
    <mergeCell ref="A64:C64"/>
    <mergeCell ref="A1:H1"/>
    <mergeCell ref="I1:I2"/>
    <mergeCell ref="J1:L2"/>
    <mergeCell ref="M1:O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77D-2580-4A0F-9EEF-2FC6E51A3462}">
  <dimension ref="A1:AC90"/>
  <sheetViews>
    <sheetView workbookViewId="0">
      <selection activeCell="N26" sqref="N26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472" t="s">
        <v>800</v>
      </c>
      <c r="B1" s="473"/>
      <c r="C1" s="473"/>
      <c r="D1" s="473"/>
      <c r="E1" s="473"/>
      <c r="F1" s="473"/>
      <c r="G1" s="473"/>
      <c r="H1" s="473"/>
      <c r="I1" s="473"/>
      <c r="J1" s="474"/>
      <c r="K1" s="475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29" ht="14.95" customHeight="1" thickBot="1" x14ac:dyDescent="0.3">
      <c r="A2" s="256" t="s">
        <v>0</v>
      </c>
      <c r="B2" s="394" t="s">
        <v>227</v>
      </c>
      <c r="C2" s="324" t="s">
        <v>734</v>
      </c>
      <c r="D2" s="76" t="s">
        <v>11</v>
      </c>
      <c r="E2" s="181" t="s">
        <v>1</v>
      </c>
      <c r="F2" s="401" t="s">
        <v>2</v>
      </c>
      <c r="G2" s="396" t="s">
        <v>227</v>
      </c>
      <c r="H2" s="326" t="s">
        <v>734</v>
      </c>
      <c r="I2" s="72" t="s">
        <v>11</v>
      </c>
      <c r="J2" s="46" t="s">
        <v>1</v>
      </c>
      <c r="K2" s="476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50"/>
      <c r="AB2" s="451"/>
      <c r="AC2" s="452"/>
    </row>
    <row r="3" spans="1:29" ht="14.95" thickBot="1" x14ac:dyDescent="0.3">
      <c r="A3" s="171" t="s">
        <v>813</v>
      </c>
      <c r="B3" s="395">
        <v>1</v>
      </c>
      <c r="C3" s="325">
        <v>0</v>
      </c>
      <c r="D3" s="41">
        <v>0</v>
      </c>
      <c r="E3" s="173">
        <f t="shared" ref="E3:E44" si="0">SUM(B3:D3)</f>
        <v>1</v>
      </c>
      <c r="F3" s="18" t="s">
        <v>813</v>
      </c>
      <c r="G3" s="397">
        <v>5</v>
      </c>
      <c r="H3" s="327">
        <v>0</v>
      </c>
      <c r="I3" s="15">
        <v>0</v>
      </c>
      <c r="J3" s="19">
        <f t="shared" ref="J3:J44" si="1">SUM(G3:I3)</f>
        <v>5</v>
      </c>
      <c r="K3" s="172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171" t="s">
        <v>405</v>
      </c>
      <c r="B4" s="395">
        <v>0</v>
      </c>
      <c r="C4" s="325">
        <v>0</v>
      </c>
      <c r="D4" s="41">
        <v>1</v>
      </c>
      <c r="E4" s="173">
        <f t="shared" si="0"/>
        <v>1</v>
      </c>
      <c r="F4" s="18" t="s">
        <v>405</v>
      </c>
      <c r="G4" s="397">
        <v>0</v>
      </c>
      <c r="H4" s="327">
        <v>0</v>
      </c>
      <c r="I4" s="15">
        <v>5</v>
      </c>
      <c r="J4" s="19">
        <f t="shared" si="1"/>
        <v>5</v>
      </c>
      <c r="K4" s="171" t="s">
        <v>326</v>
      </c>
      <c r="L4" s="173">
        <v>32</v>
      </c>
      <c r="M4" s="173">
        <v>44</v>
      </c>
      <c r="N4" s="174">
        <f>SUM(L4/M4)*100</f>
        <v>72.727272727272734</v>
      </c>
      <c r="O4" s="173">
        <v>1</v>
      </c>
      <c r="P4" s="173">
        <v>3</v>
      </c>
      <c r="Q4" s="174">
        <f>SUM(O4/P4)*100</f>
        <v>33.333333333333329</v>
      </c>
      <c r="R4" s="409">
        <v>-1</v>
      </c>
      <c r="S4" s="61">
        <v>11</v>
      </c>
      <c r="T4" s="61">
        <v>15</v>
      </c>
      <c r="U4" s="120">
        <f>SUM(S4/T4)*100</f>
        <v>73.333333333333329</v>
      </c>
      <c r="V4" s="61">
        <v>33</v>
      </c>
      <c r="W4" s="61">
        <v>44</v>
      </c>
      <c r="X4" s="120">
        <f>SUM(V4/W4)*100</f>
        <v>75</v>
      </c>
      <c r="AA4" s="271">
        <v>19</v>
      </c>
      <c r="AB4" s="61">
        <v>31</v>
      </c>
      <c r="AC4" s="120">
        <f>SUM(AA4/AB4)*100</f>
        <v>61.29032258064516</v>
      </c>
    </row>
    <row r="5" spans="1:29" ht="14.95" thickBot="1" x14ac:dyDescent="0.3">
      <c r="A5" s="171" t="s">
        <v>312</v>
      </c>
      <c r="B5" s="395">
        <v>0</v>
      </c>
      <c r="C5" s="325">
        <v>0</v>
      </c>
      <c r="D5" s="41">
        <v>1</v>
      </c>
      <c r="E5" s="173">
        <f t="shared" si="0"/>
        <v>1</v>
      </c>
      <c r="F5" s="18" t="s">
        <v>312</v>
      </c>
      <c r="G5" s="397">
        <v>0</v>
      </c>
      <c r="H5" s="327">
        <v>0</v>
      </c>
      <c r="I5" s="15">
        <v>5</v>
      </c>
      <c r="J5" s="19">
        <f t="shared" si="1"/>
        <v>5</v>
      </c>
      <c r="K5" s="171" t="s">
        <v>154</v>
      </c>
      <c r="L5" s="173" t="s">
        <v>8</v>
      </c>
      <c r="M5" s="173" t="s">
        <v>8</v>
      </c>
      <c r="N5" s="174" t="s">
        <v>8</v>
      </c>
      <c r="O5" s="173" t="s">
        <v>8</v>
      </c>
      <c r="P5" s="173" t="s">
        <v>8</v>
      </c>
      <c r="Q5" s="174" t="s">
        <v>8</v>
      </c>
      <c r="R5" s="409">
        <f>-O71</f>
        <v>0</v>
      </c>
      <c r="S5" s="61">
        <v>0</v>
      </c>
      <c r="T5" s="61">
        <v>1</v>
      </c>
      <c r="U5" s="120">
        <f>SUM(S5/T5)*100</f>
        <v>0</v>
      </c>
      <c r="V5" s="61" t="s">
        <v>8</v>
      </c>
      <c r="W5" s="61" t="s">
        <v>8</v>
      </c>
      <c r="X5" s="120" t="s">
        <v>8</v>
      </c>
      <c r="AA5" s="271" t="s">
        <v>8</v>
      </c>
      <c r="AB5" s="61" t="s">
        <v>8</v>
      </c>
      <c r="AC5" s="120" t="s">
        <v>8</v>
      </c>
    </row>
    <row r="6" spans="1:29" ht="14.95" thickBot="1" x14ac:dyDescent="0.3">
      <c r="A6" s="171" t="s">
        <v>313</v>
      </c>
      <c r="B6" s="395">
        <v>0</v>
      </c>
      <c r="C6" s="325">
        <v>1</v>
      </c>
      <c r="D6" s="41">
        <v>1</v>
      </c>
      <c r="E6" s="173">
        <f t="shared" si="0"/>
        <v>2</v>
      </c>
      <c r="F6" s="17" t="s">
        <v>313</v>
      </c>
      <c r="G6" s="397">
        <v>0</v>
      </c>
      <c r="H6" s="327">
        <v>5</v>
      </c>
      <c r="I6" s="15">
        <v>5</v>
      </c>
      <c r="J6" s="19">
        <f t="shared" si="1"/>
        <v>10</v>
      </c>
      <c r="K6" s="171" t="s">
        <v>155</v>
      </c>
      <c r="L6" s="173">
        <v>2</v>
      </c>
      <c r="M6" s="173">
        <v>2</v>
      </c>
      <c r="N6" s="174">
        <f>SUM(L6/M6)*100</f>
        <v>100</v>
      </c>
      <c r="O6" s="173" t="s">
        <v>8</v>
      </c>
      <c r="P6" s="173" t="s">
        <v>8</v>
      </c>
      <c r="Q6" s="174" t="s">
        <v>8</v>
      </c>
      <c r="R6" s="409">
        <v>2</v>
      </c>
      <c r="S6" s="61" t="s">
        <v>8</v>
      </c>
      <c r="T6" s="61" t="s">
        <v>8</v>
      </c>
      <c r="U6" s="120" t="s">
        <v>8</v>
      </c>
      <c r="V6" s="61" t="s">
        <v>8</v>
      </c>
      <c r="W6" s="61" t="s">
        <v>8</v>
      </c>
      <c r="X6" s="120" t="s">
        <v>8</v>
      </c>
      <c r="AA6" s="271" t="s">
        <v>8</v>
      </c>
      <c r="AB6" s="61" t="s">
        <v>8</v>
      </c>
      <c r="AC6" s="120" t="s">
        <v>8</v>
      </c>
    </row>
    <row r="7" spans="1:29" ht="15.8" customHeight="1" thickBot="1" x14ac:dyDescent="0.3">
      <c r="A7" s="171" t="s">
        <v>625</v>
      </c>
      <c r="B7" s="395">
        <v>0</v>
      </c>
      <c r="C7" s="325">
        <v>0</v>
      </c>
      <c r="D7" s="41">
        <v>0</v>
      </c>
      <c r="E7" s="173">
        <f t="shared" si="0"/>
        <v>0</v>
      </c>
      <c r="F7" s="17" t="s">
        <v>625</v>
      </c>
      <c r="G7" s="397">
        <v>0</v>
      </c>
      <c r="H7" s="327">
        <v>0</v>
      </c>
      <c r="I7" s="15">
        <v>0</v>
      </c>
      <c r="J7" s="19">
        <f t="shared" si="1"/>
        <v>0</v>
      </c>
      <c r="K7" s="171" t="s">
        <v>319</v>
      </c>
      <c r="L7" s="173">
        <v>17</v>
      </c>
      <c r="M7" s="173">
        <v>30</v>
      </c>
      <c r="N7" s="174">
        <f>SUM(L7/M7)*100</f>
        <v>56.666666666666664</v>
      </c>
      <c r="O7" s="173" t="s">
        <v>8</v>
      </c>
      <c r="P7" s="173" t="s">
        <v>8</v>
      </c>
      <c r="Q7" s="174" t="s">
        <v>8</v>
      </c>
      <c r="R7" s="409">
        <v>-2</v>
      </c>
      <c r="S7" s="61" t="s">
        <v>8</v>
      </c>
      <c r="T7" s="61" t="s">
        <v>8</v>
      </c>
      <c r="U7" s="120" t="s">
        <v>8</v>
      </c>
      <c r="V7" s="61" t="s">
        <v>8</v>
      </c>
      <c r="W7" s="61" t="s">
        <v>8</v>
      </c>
      <c r="X7" s="120" t="s">
        <v>8</v>
      </c>
      <c r="AA7" s="271" t="s">
        <v>8</v>
      </c>
      <c r="AB7" s="61" t="s">
        <v>8</v>
      </c>
      <c r="AC7" s="120" t="s">
        <v>8</v>
      </c>
    </row>
    <row r="8" spans="1:29" ht="15.8" customHeight="1" thickBot="1" x14ac:dyDescent="0.3">
      <c r="A8" s="171" t="s">
        <v>315</v>
      </c>
      <c r="B8" s="395">
        <v>1</v>
      </c>
      <c r="C8" s="325">
        <v>4</v>
      </c>
      <c r="D8" s="41">
        <v>2</v>
      </c>
      <c r="E8" s="173">
        <f t="shared" si="0"/>
        <v>7</v>
      </c>
      <c r="F8" s="17" t="s">
        <v>315</v>
      </c>
      <c r="G8" s="397">
        <v>5</v>
      </c>
      <c r="H8" s="327">
        <v>20</v>
      </c>
      <c r="I8" s="15">
        <v>10</v>
      </c>
      <c r="J8" s="19">
        <f t="shared" si="1"/>
        <v>35</v>
      </c>
      <c r="K8" s="171" t="s">
        <v>318</v>
      </c>
      <c r="L8" s="173" t="s">
        <v>8</v>
      </c>
      <c r="M8" s="173" t="s">
        <v>8</v>
      </c>
      <c r="N8" s="174" t="s">
        <v>8</v>
      </c>
      <c r="O8" s="173" t="s">
        <v>8</v>
      </c>
      <c r="P8" s="173" t="s">
        <v>8</v>
      </c>
      <c r="Q8" s="174" t="s">
        <v>8</v>
      </c>
      <c r="R8" s="409">
        <v>-1</v>
      </c>
      <c r="S8" s="61" t="s">
        <v>8</v>
      </c>
      <c r="T8" s="61" t="s">
        <v>8</v>
      </c>
      <c r="U8" s="120" t="s">
        <v>8</v>
      </c>
      <c r="V8" s="61">
        <v>2</v>
      </c>
      <c r="W8" s="61">
        <v>3</v>
      </c>
      <c r="X8" s="120">
        <f>SUM(V8/W8)*100</f>
        <v>66.666666666666657</v>
      </c>
      <c r="AA8" s="271" t="s">
        <v>8</v>
      </c>
      <c r="AB8" s="61" t="s">
        <v>8</v>
      </c>
      <c r="AC8" s="120" t="s">
        <v>8</v>
      </c>
    </row>
    <row r="9" spans="1:29" ht="14.95" thickBot="1" x14ac:dyDescent="0.3">
      <c r="A9" s="171" t="s">
        <v>892</v>
      </c>
      <c r="B9" s="395">
        <v>0</v>
      </c>
      <c r="C9" s="325">
        <v>1</v>
      </c>
      <c r="D9" s="41">
        <v>1</v>
      </c>
      <c r="E9" s="173">
        <f t="shared" si="0"/>
        <v>2</v>
      </c>
      <c r="F9" s="17" t="s">
        <v>892</v>
      </c>
      <c r="G9" s="397">
        <v>0</v>
      </c>
      <c r="H9" s="327">
        <v>5</v>
      </c>
      <c r="I9" s="15">
        <v>5</v>
      </c>
      <c r="J9" s="19">
        <f t="shared" si="1"/>
        <v>10</v>
      </c>
      <c r="K9" s="171" t="s">
        <v>314</v>
      </c>
      <c r="L9" s="173">
        <v>3</v>
      </c>
      <c r="M9" s="173">
        <v>5</v>
      </c>
      <c r="N9" s="174">
        <f>SUM(L9/M9)*100</f>
        <v>60</v>
      </c>
      <c r="O9" s="173" t="s">
        <v>8</v>
      </c>
      <c r="P9" s="173" t="s">
        <v>8</v>
      </c>
      <c r="Q9" s="174" t="s">
        <v>8</v>
      </c>
      <c r="R9" s="409">
        <v>-2</v>
      </c>
      <c r="S9" s="61">
        <v>9</v>
      </c>
      <c r="T9" s="61">
        <v>13</v>
      </c>
      <c r="U9" s="120">
        <f>SUM(S9/T9)*100</f>
        <v>69.230769230769226</v>
      </c>
      <c r="V9" s="61" t="s">
        <v>8</v>
      </c>
      <c r="W9" s="61" t="s">
        <v>8</v>
      </c>
      <c r="X9" s="120" t="s">
        <v>8</v>
      </c>
      <c r="AA9" s="271" t="s">
        <v>8</v>
      </c>
      <c r="AB9" s="61" t="s">
        <v>8</v>
      </c>
      <c r="AC9" s="120" t="s">
        <v>8</v>
      </c>
    </row>
    <row r="10" spans="1:29" ht="14.95" thickBot="1" x14ac:dyDescent="0.3">
      <c r="A10" s="171" t="s">
        <v>326</v>
      </c>
      <c r="B10" s="395">
        <v>0</v>
      </c>
      <c r="C10" s="325">
        <v>3</v>
      </c>
      <c r="D10" s="41">
        <v>1</v>
      </c>
      <c r="E10" s="173">
        <f t="shared" si="0"/>
        <v>4</v>
      </c>
      <c r="F10" s="17" t="s">
        <v>326</v>
      </c>
      <c r="G10" s="397">
        <v>0</v>
      </c>
      <c r="H10" s="327">
        <v>61</v>
      </c>
      <c r="I10" s="15">
        <v>25</v>
      </c>
      <c r="J10" s="19">
        <f t="shared" si="1"/>
        <v>86</v>
      </c>
      <c r="O10" s="9"/>
      <c r="P10" s="9"/>
      <c r="Q10" s="9"/>
    </row>
    <row r="11" spans="1:29" ht="14.95" thickBot="1" x14ac:dyDescent="0.3">
      <c r="A11" s="171" t="s">
        <v>228</v>
      </c>
      <c r="B11" s="395">
        <v>0</v>
      </c>
      <c r="C11" s="325">
        <v>1</v>
      </c>
      <c r="D11" s="41">
        <v>1</v>
      </c>
      <c r="E11" s="173">
        <f t="shared" si="0"/>
        <v>2</v>
      </c>
      <c r="F11" s="17" t="s">
        <v>228</v>
      </c>
      <c r="G11" s="397">
        <v>0</v>
      </c>
      <c r="H11" s="327">
        <v>5</v>
      </c>
      <c r="I11" s="15">
        <v>5</v>
      </c>
      <c r="J11" s="19">
        <f t="shared" si="1"/>
        <v>10</v>
      </c>
      <c r="K11" s="439" t="s">
        <v>230</v>
      </c>
      <c r="L11" s="433">
        <v>2025</v>
      </c>
      <c r="M11" s="434"/>
      <c r="N11" s="435"/>
      <c r="O11" s="447">
        <v>2024</v>
      </c>
      <c r="P11" s="448"/>
      <c r="Q11" s="449"/>
      <c r="R11" s="447">
        <v>2023</v>
      </c>
      <c r="S11" s="448"/>
      <c r="T11" s="449"/>
      <c r="U11" s="447">
        <v>2022</v>
      </c>
      <c r="V11" s="448"/>
      <c r="W11" s="449"/>
    </row>
    <row r="12" spans="1:29" ht="14.95" thickBot="1" x14ac:dyDescent="0.3">
      <c r="A12" s="171" t="s">
        <v>240</v>
      </c>
      <c r="B12" s="395">
        <v>0</v>
      </c>
      <c r="C12" s="325">
        <v>0</v>
      </c>
      <c r="D12" s="41">
        <v>0</v>
      </c>
      <c r="E12" s="173">
        <f t="shared" si="0"/>
        <v>0</v>
      </c>
      <c r="F12" s="17" t="s">
        <v>240</v>
      </c>
      <c r="G12" s="397">
        <v>0</v>
      </c>
      <c r="H12" s="327">
        <v>0</v>
      </c>
      <c r="I12" s="15">
        <v>0</v>
      </c>
      <c r="J12" s="19">
        <f t="shared" si="1"/>
        <v>0</v>
      </c>
      <c r="K12" s="440"/>
      <c r="L12" s="436"/>
      <c r="M12" s="437"/>
      <c r="N12" s="438"/>
      <c r="O12" s="450"/>
      <c r="P12" s="451"/>
      <c r="Q12" s="452"/>
      <c r="R12" s="450"/>
      <c r="S12" s="451"/>
      <c r="T12" s="452"/>
      <c r="U12" s="450"/>
      <c r="V12" s="451"/>
      <c r="W12" s="452"/>
    </row>
    <row r="13" spans="1:29" ht="14.95" thickBot="1" x14ac:dyDescent="0.3">
      <c r="A13" s="171" t="s">
        <v>263</v>
      </c>
      <c r="B13" s="395">
        <v>0</v>
      </c>
      <c r="C13" s="325">
        <v>0</v>
      </c>
      <c r="D13" s="41">
        <v>1</v>
      </c>
      <c r="E13" s="173">
        <f t="shared" si="0"/>
        <v>1</v>
      </c>
      <c r="F13" s="17" t="s">
        <v>263</v>
      </c>
      <c r="G13" s="397">
        <v>0</v>
      </c>
      <c r="H13" s="327">
        <v>0</v>
      </c>
      <c r="I13" s="15">
        <v>5</v>
      </c>
      <c r="J13" s="19">
        <f t="shared" si="1"/>
        <v>5</v>
      </c>
      <c r="K13" s="141"/>
      <c r="L13" s="29" t="s">
        <v>17</v>
      </c>
      <c r="M13" s="29" t="s">
        <v>5</v>
      </c>
      <c r="N13" s="29" t="s">
        <v>6</v>
      </c>
      <c r="O13" s="61" t="s">
        <v>17</v>
      </c>
      <c r="P13" s="61" t="s">
        <v>5</v>
      </c>
      <c r="Q13" s="61" t="s">
        <v>6</v>
      </c>
      <c r="R13" s="61" t="s">
        <v>17</v>
      </c>
      <c r="S13" s="61" t="s">
        <v>5</v>
      </c>
      <c r="T13" s="61" t="s">
        <v>6</v>
      </c>
      <c r="U13" s="61" t="s">
        <v>17</v>
      </c>
      <c r="V13" s="61" t="s">
        <v>5</v>
      </c>
      <c r="W13" s="61" t="s">
        <v>6</v>
      </c>
    </row>
    <row r="14" spans="1:29" ht="14.95" thickBot="1" x14ac:dyDescent="0.3">
      <c r="A14" s="171" t="s">
        <v>403</v>
      </c>
      <c r="B14" s="395">
        <v>0</v>
      </c>
      <c r="C14" s="325">
        <v>0</v>
      </c>
      <c r="D14" s="41">
        <v>0</v>
      </c>
      <c r="E14" s="173">
        <f t="shared" si="0"/>
        <v>0</v>
      </c>
      <c r="F14" s="17" t="s">
        <v>403</v>
      </c>
      <c r="G14" s="397">
        <v>0</v>
      </c>
      <c r="H14" s="327">
        <v>0</v>
      </c>
      <c r="I14" s="15">
        <v>0</v>
      </c>
      <c r="J14" s="19">
        <f t="shared" si="1"/>
        <v>0</v>
      </c>
      <c r="K14" s="171" t="s">
        <v>326</v>
      </c>
      <c r="L14" s="173" t="s">
        <v>8</v>
      </c>
      <c r="M14" s="173" t="s">
        <v>8</v>
      </c>
      <c r="N14" s="174" t="s">
        <v>8</v>
      </c>
      <c r="O14" s="61">
        <v>11</v>
      </c>
      <c r="P14" s="61">
        <v>15</v>
      </c>
      <c r="Q14" s="120">
        <f>SUM(O14/P14)*100</f>
        <v>73.333333333333329</v>
      </c>
      <c r="R14" s="61">
        <v>13</v>
      </c>
      <c r="S14" s="61">
        <v>18</v>
      </c>
      <c r="T14" s="120">
        <f>SUM(R14/S14)*100</f>
        <v>72.222222222222214</v>
      </c>
      <c r="U14" s="61">
        <v>6</v>
      </c>
      <c r="V14" s="61">
        <v>10</v>
      </c>
      <c r="W14" s="120">
        <f>SUM(U14/V14)*100</f>
        <v>60</v>
      </c>
    </row>
    <row r="15" spans="1:29" ht="14.95" thickBot="1" x14ac:dyDescent="0.3">
      <c r="A15" s="171" t="s">
        <v>481</v>
      </c>
      <c r="B15" s="395">
        <v>1</v>
      </c>
      <c r="C15" s="325">
        <v>1</v>
      </c>
      <c r="D15" s="41">
        <v>0</v>
      </c>
      <c r="E15" s="173">
        <f t="shared" si="0"/>
        <v>2</v>
      </c>
      <c r="F15" s="17" t="s">
        <v>481</v>
      </c>
      <c r="G15" s="397">
        <v>5</v>
      </c>
      <c r="H15" s="327">
        <v>5</v>
      </c>
      <c r="I15" s="15">
        <v>0</v>
      </c>
      <c r="J15" s="19">
        <f t="shared" si="1"/>
        <v>10</v>
      </c>
      <c r="K15" s="256" t="s">
        <v>154</v>
      </c>
      <c r="L15" s="173" t="s">
        <v>8</v>
      </c>
      <c r="M15" s="173" t="s">
        <v>8</v>
      </c>
      <c r="N15" s="174" t="s">
        <v>8</v>
      </c>
      <c r="O15" s="195">
        <v>0</v>
      </c>
      <c r="P15" s="195">
        <v>1</v>
      </c>
      <c r="Q15" s="316">
        <f>SUM(O15/P15)*100</f>
        <v>0</v>
      </c>
      <c r="R15" s="61" t="s">
        <v>8</v>
      </c>
      <c r="S15" s="61" t="s">
        <v>8</v>
      </c>
      <c r="T15" s="120" t="s">
        <v>8</v>
      </c>
      <c r="U15" s="61" t="s">
        <v>8</v>
      </c>
      <c r="V15" s="61" t="s">
        <v>8</v>
      </c>
      <c r="W15" s="120" t="s">
        <v>8</v>
      </c>
    </row>
    <row r="16" spans="1:29" ht="14.95" thickBot="1" x14ac:dyDescent="0.3">
      <c r="A16" s="171" t="s">
        <v>154</v>
      </c>
      <c r="B16" s="395">
        <v>0</v>
      </c>
      <c r="C16" s="325">
        <v>0</v>
      </c>
      <c r="D16" s="41">
        <v>0</v>
      </c>
      <c r="E16" s="173">
        <f t="shared" si="0"/>
        <v>0</v>
      </c>
      <c r="F16" s="17" t="s">
        <v>154</v>
      </c>
      <c r="G16" s="397">
        <v>0</v>
      </c>
      <c r="H16" s="327">
        <v>0</v>
      </c>
      <c r="I16" s="15">
        <v>0</v>
      </c>
      <c r="J16" s="19">
        <f t="shared" si="1"/>
        <v>0</v>
      </c>
      <c r="K16" s="256" t="s">
        <v>319</v>
      </c>
      <c r="L16" s="173">
        <v>9</v>
      </c>
      <c r="M16" s="173">
        <v>16</v>
      </c>
      <c r="N16" s="174">
        <f>SUM(L16/M16)*100</f>
        <v>56.25</v>
      </c>
      <c r="O16" s="61" t="s">
        <v>8</v>
      </c>
      <c r="P16" s="61" t="s">
        <v>8</v>
      </c>
      <c r="Q16" s="120" t="s">
        <v>8</v>
      </c>
      <c r="R16" s="61" t="s">
        <v>8</v>
      </c>
      <c r="S16" s="61" t="s">
        <v>8</v>
      </c>
      <c r="T16" s="120" t="s">
        <v>8</v>
      </c>
      <c r="U16" s="61" t="s">
        <v>8</v>
      </c>
      <c r="V16" s="61" t="s">
        <v>8</v>
      </c>
      <c r="W16" s="120" t="s">
        <v>8</v>
      </c>
    </row>
    <row r="17" spans="1:23" ht="14.95" thickBot="1" x14ac:dyDescent="0.3">
      <c r="A17" s="171" t="s">
        <v>404</v>
      </c>
      <c r="B17" s="395">
        <v>0</v>
      </c>
      <c r="C17" s="325">
        <v>0</v>
      </c>
      <c r="D17" s="41">
        <v>0</v>
      </c>
      <c r="E17" s="173">
        <f t="shared" si="0"/>
        <v>0</v>
      </c>
      <c r="F17" s="17" t="s">
        <v>404</v>
      </c>
      <c r="G17" s="397">
        <v>0</v>
      </c>
      <c r="H17" s="327">
        <v>0</v>
      </c>
      <c r="I17" s="15">
        <v>0</v>
      </c>
      <c r="J17" s="19">
        <f t="shared" si="1"/>
        <v>0</v>
      </c>
      <c r="K17" s="256" t="s">
        <v>314</v>
      </c>
      <c r="L17" s="173" t="s">
        <v>8</v>
      </c>
      <c r="M17" s="173" t="s">
        <v>8</v>
      </c>
      <c r="N17" s="174" t="s">
        <v>8</v>
      </c>
      <c r="O17" s="195">
        <v>1</v>
      </c>
      <c r="P17" s="195">
        <v>1</v>
      </c>
      <c r="Q17" s="316">
        <f>SUM(O17/P17)*100</f>
        <v>100</v>
      </c>
      <c r="R17" s="61" t="s">
        <v>8</v>
      </c>
      <c r="S17" s="61" t="s">
        <v>8</v>
      </c>
      <c r="T17" s="120" t="s">
        <v>8</v>
      </c>
      <c r="U17" s="61" t="s">
        <v>8</v>
      </c>
      <c r="V17" s="61" t="s">
        <v>8</v>
      </c>
      <c r="W17" s="120" t="s">
        <v>8</v>
      </c>
    </row>
    <row r="18" spans="1:23" ht="14.95" thickBot="1" x14ac:dyDescent="0.3">
      <c r="A18" s="171" t="s">
        <v>155</v>
      </c>
      <c r="B18" s="395">
        <v>0</v>
      </c>
      <c r="C18" s="325">
        <v>0</v>
      </c>
      <c r="D18" s="41">
        <v>0</v>
      </c>
      <c r="E18" s="173">
        <f t="shared" si="0"/>
        <v>0</v>
      </c>
      <c r="F18" s="17" t="s">
        <v>155</v>
      </c>
      <c r="G18" s="397">
        <v>0</v>
      </c>
      <c r="H18" s="327">
        <v>0</v>
      </c>
      <c r="I18" s="15">
        <v>4</v>
      </c>
      <c r="J18" s="19">
        <f t="shared" si="1"/>
        <v>4</v>
      </c>
    </row>
    <row r="19" spans="1:23" ht="14.95" customHeight="1" thickBot="1" x14ac:dyDescent="0.3">
      <c r="A19" s="171" t="s">
        <v>676</v>
      </c>
      <c r="B19" s="395">
        <v>1</v>
      </c>
      <c r="C19" s="325">
        <v>5</v>
      </c>
      <c r="D19" s="41">
        <v>0</v>
      </c>
      <c r="E19" s="173">
        <f t="shared" si="0"/>
        <v>6</v>
      </c>
      <c r="F19" s="17" t="s">
        <v>676</v>
      </c>
      <c r="G19" s="397">
        <v>5</v>
      </c>
      <c r="H19" s="327">
        <v>25</v>
      </c>
      <c r="I19" s="15">
        <v>0</v>
      </c>
      <c r="J19" s="19">
        <f t="shared" si="1"/>
        <v>30</v>
      </c>
      <c r="K19" s="459" t="s">
        <v>351</v>
      </c>
      <c r="L19" s="433">
        <v>2025</v>
      </c>
      <c r="M19" s="434"/>
      <c r="N19" s="435"/>
      <c r="O19" s="447">
        <v>2022</v>
      </c>
      <c r="P19" s="448"/>
      <c r="Q19" s="449"/>
    </row>
    <row r="20" spans="1:23" ht="14.95" customHeight="1" thickBot="1" x14ac:dyDescent="0.3">
      <c r="A20" s="171" t="s">
        <v>512</v>
      </c>
      <c r="B20" s="395">
        <v>1</v>
      </c>
      <c r="C20" s="325">
        <v>4</v>
      </c>
      <c r="D20" s="41">
        <v>1</v>
      </c>
      <c r="E20" s="173">
        <f t="shared" si="0"/>
        <v>6</v>
      </c>
      <c r="F20" s="17" t="s">
        <v>512</v>
      </c>
      <c r="G20" s="397">
        <v>5</v>
      </c>
      <c r="H20" s="327">
        <v>20</v>
      </c>
      <c r="I20" s="15">
        <v>5</v>
      </c>
      <c r="J20" s="19">
        <f t="shared" si="1"/>
        <v>30</v>
      </c>
      <c r="K20" s="460"/>
      <c r="L20" s="436"/>
      <c r="M20" s="437"/>
      <c r="N20" s="438"/>
      <c r="O20" s="450"/>
      <c r="P20" s="451"/>
      <c r="Q20" s="452"/>
    </row>
    <row r="21" spans="1:23" ht="14.95" thickBot="1" x14ac:dyDescent="0.3">
      <c r="A21" s="171" t="s">
        <v>317</v>
      </c>
      <c r="B21" s="395">
        <v>0</v>
      </c>
      <c r="C21" s="325">
        <v>2</v>
      </c>
      <c r="D21" s="41">
        <v>1</v>
      </c>
      <c r="E21" s="173">
        <f t="shared" si="0"/>
        <v>3</v>
      </c>
      <c r="F21" s="17" t="s">
        <v>317</v>
      </c>
      <c r="G21" s="397">
        <v>0</v>
      </c>
      <c r="H21" s="327">
        <v>10</v>
      </c>
      <c r="I21" s="15">
        <v>5</v>
      </c>
      <c r="J21" s="19">
        <f t="shared" si="1"/>
        <v>15</v>
      </c>
      <c r="K21" s="317"/>
      <c r="L21" s="29" t="s">
        <v>17</v>
      </c>
      <c r="M21" s="29" t="s">
        <v>5</v>
      </c>
      <c r="N21" s="29" t="s">
        <v>6</v>
      </c>
      <c r="O21" s="61" t="s">
        <v>17</v>
      </c>
      <c r="P21" s="61" t="s">
        <v>5</v>
      </c>
      <c r="Q21" s="61" t="s">
        <v>6</v>
      </c>
    </row>
    <row r="22" spans="1:23" ht="14.95" thickBot="1" x14ac:dyDescent="0.3">
      <c r="A22" s="171" t="s">
        <v>325</v>
      </c>
      <c r="B22" s="395">
        <v>1</v>
      </c>
      <c r="C22" s="325">
        <v>0</v>
      </c>
      <c r="D22" s="41">
        <v>0</v>
      </c>
      <c r="E22" s="173">
        <f t="shared" si="0"/>
        <v>1</v>
      </c>
      <c r="F22" s="17" t="s">
        <v>325</v>
      </c>
      <c r="G22" s="397">
        <v>5</v>
      </c>
      <c r="H22" s="327">
        <v>0</v>
      </c>
      <c r="I22" s="15">
        <v>0</v>
      </c>
      <c r="J22" s="19">
        <f t="shared" si="1"/>
        <v>5</v>
      </c>
      <c r="K22" s="171" t="s">
        <v>326</v>
      </c>
      <c r="L22" s="173">
        <v>22</v>
      </c>
      <c r="M22" s="173">
        <v>33</v>
      </c>
      <c r="N22" s="174">
        <f>SUM(L22/M22)*100</f>
        <v>66.666666666666657</v>
      </c>
      <c r="O22" s="61">
        <v>11</v>
      </c>
      <c r="P22" s="61">
        <v>18</v>
      </c>
      <c r="Q22" s="120">
        <v>61</v>
      </c>
    </row>
    <row r="23" spans="1:23" ht="14.95" thickBot="1" x14ac:dyDescent="0.3">
      <c r="A23" s="171" t="s">
        <v>322</v>
      </c>
      <c r="B23" s="395">
        <v>1</v>
      </c>
      <c r="C23" s="325">
        <v>0</v>
      </c>
      <c r="D23" s="41">
        <v>2</v>
      </c>
      <c r="E23" s="173">
        <f t="shared" si="0"/>
        <v>3</v>
      </c>
      <c r="F23" s="17" t="s">
        <v>322</v>
      </c>
      <c r="G23" s="397">
        <v>5</v>
      </c>
      <c r="H23" s="327">
        <v>0</v>
      </c>
      <c r="I23" s="15">
        <v>10</v>
      </c>
      <c r="J23" s="19">
        <f t="shared" si="1"/>
        <v>15</v>
      </c>
      <c r="K23" s="171" t="s">
        <v>264</v>
      </c>
      <c r="L23" s="173" t="s">
        <v>8</v>
      </c>
      <c r="M23" s="173" t="s">
        <v>8</v>
      </c>
      <c r="N23" s="174" t="s">
        <v>8</v>
      </c>
      <c r="O23" s="61">
        <v>2</v>
      </c>
      <c r="P23" s="61">
        <v>6</v>
      </c>
      <c r="Q23" s="120">
        <v>33</v>
      </c>
      <c r="R23" s="9"/>
      <c r="S23" s="9"/>
      <c r="T23" s="9"/>
    </row>
    <row r="24" spans="1:23" ht="14.95" thickBot="1" x14ac:dyDescent="0.3">
      <c r="A24" s="171" t="s">
        <v>30</v>
      </c>
      <c r="B24" s="395">
        <v>0</v>
      </c>
      <c r="C24" s="325">
        <v>0</v>
      </c>
      <c r="D24" s="41">
        <v>1</v>
      </c>
      <c r="E24" s="173">
        <f t="shared" si="0"/>
        <v>1</v>
      </c>
      <c r="F24" s="17" t="s">
        <v>30</v>
      </c>
      <c r="G24" s="397">
        <v>0</v>
      </c>
      <c r="H24" s="327">
        <v>0</v>
      </c>
      <c r="I24" s="15">
        <v>5</v>
      </c>
      <c r="J24" s="19">
        <f t="shared" si="1"/>
        <v>5</v>
      </c>
      <c r="K24" s="171" t="s">
        <v>316</v>
      </c>
      <c r="L24" s="173" t="s">
        <v>8</v>
      </c>
      <c r="M24" s="173" t="s">
        <v>8</v>
      </c>
      <c r="N24" s="174" t="s">
        <v>8</v>
      </c>
      <c r="O24" s="61">
        <v>0</v>
      </c>
      <c r="P24" s="61">
        <v>1</v>
      </c>
      <c r="Q24" s="120">
        <v>0</v>
      </c>
      <c r="R24" s="20"/>
      <c r="S24" s="20"/>
      <c r="T24" s="23"/>
    </row>
    <row r="25" spans="1:23" ht="14.95" thickBot="1" x14ac:dyDescent="0.3">
      <c r="A25" s="171" t="s">
        <v>896</v>
      </c>
      <c r="B25" s="395">
        <v>0</v>
      </c>
      <c r="C25" s="325">
        <v>0</v>
      </c>
      <c r="D25" s="41">
        <v>1</v>
      </c>
      <c r="E25" s="173">
        <f t="shared" si="0"/>
        <v>1</v>
      </c>
      <c r="F25" s="17" t="s">
        <v>896</v>
      </c>
      <c r="G25" s="397">
        <v>0</v>
      </c>
      <c r="H25" s="327">
        <v>0</v>
      </c>
      <c r="I25" s="15">
        <v>5</v>
      </c>
      <c r="J25" s="19">
        <f t="shared" si="1"/>
        <v>5</v>
      </c>
      <c r="K25" s="171" t="s">
        <v>319</v>
      </c>
      <c r="L25" s="173">
        <v>0</v>
      </c>
      <c r="M25" s="173">
        <v>2</v>
      </c>
      <c r="N25" s="174">
        <f>SUM(L25/M25)*100</f>
        <v>0</v>
      </c>
      <c r="O25" s="61" t="s">
        <v>8</v>
      </c>
      <c r="P25" s="61" t="s">
        <v>8</v>
      </c>
      <c r="Q25" s="120" t="s">
        <v>8</v>
      </c>
      <c r="R25" s="20"/>
      <c r="S25" s="20"/>
      <c r="T25" s="23"/>
    </row>
    <row r="26" spans="1:23" ht="14.95" thickBot="1" x14ac:dyDescent="0.3">
      <c r="A26" s="171" t="s">
        <v>163</v>
      </c>
      <c r="B26" s="395">
        <v>1</v>
      </c>
      <c r="C26" s="325">
        <v>0</v>
      </c>
      <c r="D26" s="41">
        <v>0</v>
      </c>
      <c r="E26" s="173">
        <f t="shared" si="0"/>
        <v>1</v>
      </c>
      <c r="F26" s="17" t="s">
        <v>163</v>
      </c>
      <c r="G26" s="397">
        <v>5</v>
      </c>
      <c r="H26" s="327">
        <v>0</v>
      </c>
      <c r="I26" s="15">
        <v>0</v>
      </c>
      <c r="J26" s="19">
        <f t="shared" si="1"/>
        <v>5</v>
      </c>
      <c r="K26" s="171" t="s">
        <v>314</v>
      </c>
      <c r="L26" s="173">
        <v>3</v>
      </c>
      <c r="M26" s="173">
        <v>5</v>
      </c>
      <c r="N26" s="174">
        <f>SUM(L26/M26)*100</f>
        <v>60</v>
      </c>
      <c r="O26" s="61" t="s">
        <v>8</v>
      </c>
      <c r="P26" s="61" t="s">
        <v>8</v>
      </c>
      <c r="Q26" s="120" t="s">
        <v>8</v>
      </c>
      <c r="R26" s="20"/>
      <c r="S26" s="20"/>
      <c r="T26" s="23"/>
    </row>
    <row r="27" spans="1:23" ht="14.95" thickBot="1" x14ac:dyDescent="0.3">
      <c r="A27" s="171" t="s">
        <v>613</v>
      </c>
      <c r="B27" s="395">
        <v>0</v>
      </c>
      <c r="C27" s="325">
        <v>0</v>
      </c>
      <c r="D27" s="41">
        <v>0</v>
      </c>
      <c r="E27" s="173">
        <f t="shared" si="0"/>
        <v>0</v>
      </c>
      <c r="F27" s="17" t="s">
        <v>613</v>
      </c>
      <c r="G27" s="397">
        <v>0</v>
      </c>
      <c r="H27" s="327">
        <v>0</v>
      </c>
      <c r="I27" s="15">
        <v>0</v>
      </c>
      <c r="J27" s="19">
        <f t="shared" si="1"/>
        <v>0</v>
      </c>
    </row>
    <row r="28" spans="1:23" ht="14.95" thickBot="1" x14ac:dyDescent="0.3">
      <c r="A28" s="171" t="s">
        <v>320</v>
      </c>
      <c r="B28" s="395">
        <v>1</v>
      </c>
      <c r="C28" s="325">
        <v>2</v>
      </c>
      <c r="D28" s="41">
        <v>0</v>
      </c>
      <c r="E28" s="173">
        <f t="shared" si="0"/>
        <v>3</v>
      </c>
      <c r="F28" s="17" t="s">
        <v>320</v>
      </c>
      <c r="G28" s="397">
        <v>5</v>
      </c>
      <c r="H28" s="327">
        <v>10</v>
      </c>
      <c r="I28" s="15">
        <v>0</v>
      </c>
      <c r="J28" s="19">
        <f t="shared" si="1"/>
        <v>15</v>
      </c>
      <c r="K28" s="477" t="s">
        <v>509</v>
      </c>
      <c r="L28" s="447">
        <v>2024</v>
      </c>
      <c r="M28" s="448"/>
      <c r="N28" s="449"/>
      <c r="O28" s="447">
        <v>2023</v>
      </c>
      <c r="P28" s="448"/>
      <c r="Q28" s="449"/>
    </row>
    <row r="29" spans="1:23" ht="14.95" thickBot="1" x14ac:dyDescent="0.3">
      <c r="A29" s="171" t="s">
        <v>241</v>
      </c>
      <c r="B29" s="395">
        <v>1</v>
      </c>
      <c r="C29" s="325">
        <v>1</v>
      </c>
      <c r="D29" s="41">
        <v>1</v>
      </c>
      <c r="E29" s="173">
        <f t="shared" si="0"/>
        <v>3</v>
      </c>
      <c r="F29" s="17" t="s">
        <v>241</v>
      </c>
      <c r="G29" s="397">
        <v>5</v>
      </c>
      <c r="H29" s="327">
        <v>5</v>
      </c>
      <c r="I29" s="15">
        <v>5</v>
      </c>
      <c r="J29" s="19">
        <f t="shared" si="1"/>
        <v>15</v>
      </c>
      <c r="K29" s="478"/>
      <c r="L29" s="450"/>
      <c r="M29" s="451"/>
      <c r="N29" s="452"/>
      <c r="O29" s="450"/>
      <c r="P29" s="451"/>
      <c r="Q29" s="452"/>
    </row>
    <row r="30" spans="1:23" ht="14.95" thickBot="1" x14ac:dyDescent="0.3">
      <c r="A30" s="171" t="s">
        <v>212</v>
      </c>
      <c r="B30" s="395">
        <v>0</v>
      </c>
      <c r="C30" s="325">
        <v>1</v>
      </c>
      <c r="D30" s="41">
        <v>1</v>
      </c>
      <c r="E30" s="173">
        <f t="shared" si="0"/>
        <v>2</v>
      </c>
      <c r="F30" s="17" t="s">
        <v>212</v>
      </c>
      <c r="G30" s="397">
        <v>0</v>
      </c>
      <c r="H30" s="327">
        <v>7</v>
      </c>
      <c r="I30" s="15">
        <v>7</v>
      </c>
      <c r="J30" s="19">
        <f t="shared" si="1"/>
        <v>14</v>
      </c>
      <c r="K30" s="231"/>
      <c r="L30" s="61" t="s">
        <v>17</v>
      </c>
      <c r="M30" s="61" t="s">
        <v>5</v>
      </c>
      <c r="N30" s="61" t="s">
        <v>6</v>
      </c>
      <c r="O30" s="61" t="s">
        <v>17</v>
      </c>
      <c r="P30" s="61" t="s">
        <v>5</v>
      </c>
      <c r="Q30" s="61" t="s">
        <v>6</v>
      </c>
    </row>
    <row r="31" spans="1:23" ht="14.95" thickBot="1" x14ac:dyDescent="0.3">
      <c r="A31" s="171" t="s">
        <v>229</v>
      </c>
      <c r="B31" s="395">
        <v>0</v>
      </c>
      <c r="C31" s="325">
        <v>1</v>
      </c>
      <c r="D31" s="41">
        <v>0</v>
      </c>
      <c r="E31" s="173">
        <f t="shared" si="0"/>
        <v>1</v>
      </c>
      <c r="F31" s="17" t="s">
        <v>229</v>
      </c>
      <c r="G31" s="397">
        <v>0</v>
      </c>
      <c r="H31" s="327">
        <v>5</v>
      </c>
      <c r="I31" s="15">
        <v>0</v>
      </c>
      <c r="J31" s="19">
        <f t="shared" si="1"/>
        <v>5</v>
      </c>
      <c r="K31" s="171" t="s">
        <v>326</v>
      </c>
      <c r="L31" s="61" t="s">
        <v>8</v>
      </c>
      <c r="M31" s="61" t="s">
        <v>8</v>
      </c>
      <c r="N31" s="120" t="s">
        <v>8</v>
      </c>
      <c r="O31" s="61">
        <v>11</v>
      </c>
      <c r="P31" s="61">
        <v>13</v>
      </c>
      <c r="Q31" s="120">
        <f>SUM(O31/P31)*100</f>
        <v>84.615384615384613</v>
      </c>
    </row>
    <row r="32" spans="1:23" ht="14.95" thickBot="1" x14ac:dyDescent="0.3">
      <c r="A32" s="171" t="s">
        <v>323</v>
      </c>
      <c r="B32" s="395">
        <v>0</v>
      </c>
      <c r="C32" s="325">
        <v>0</v>
      </c>
      <c r="D32" s="41">
        <v>0</v>
      </c>
      <c r="E32" s="173">
        <f t="shared" si="0"/>
        <v>0</v>
      </c>
      <c r="F32" s="17" t="s">
        <v>323</v>
      </c>
      <c r="G32" s="397">
        <v>0</v>
      </c>
      <c r="H32" s="327">
        <v>0</v>
      </c>
      <c r="I32" s="15">
        <v>0</v>
      </c>
      <c r="J32" s="19">
        <f t="shared" si="1"/>
        <v>0</v>
      </c>
      <c r="K32" s="171" t="s">
        <v>314</v>
      </c>
      <c r="L32" s="61">
        <v>8</v>
      </c>
      <c r="M32" s="61">
        <v>12</v>
      </c>
      <c r="N32" s="120">
        <f>SUM(L32/M32)*100</f>
        <v>66.666666666666657</v>
      </c>
      <c r="O32" s="61" t="s">
        <v>8</v>
      </c>
      <c r="P32" s="61" t="s">
        <v>8</v>
      </c>
      <c r="Q32" s="120" t="s">
        <v>8</v>
      </c>
    </row>
    <row r="33" spans="1:10" ht="14.95" thickBot="1" x14ac:dyDescent="0.3">
      <c r="A33" s="171" t="s">
        <v>611</v>
      </c>
      <c r="B33" s="395">
        <v>2</v>
      </c>
      <c r="C33" s="325">
        <v>0</v>
      </c>
      <c r="D33" s="41">
        <v>1</v>
      </c>
      <c r="E33" s="173">
        <f t="shared" si="0"/>
        <v>3</v>
      </c>
      <c r="F33" s="17" t="s">
        <v>611</v>
      </c>
      <c r="G33" s="397">
        <v>10</v>
      </c>
      <c r="H33" s="327">
        <v>0</v>
      </c>
      <c r="I33" s="15">
        <v>5</v>
      </c>
      <c r="J33" s="19">
        <f t="shared" si="1"/>
        <v>15</v>
      </c>
    </row>
    <row r="34" spans="1:10" ht="14.95" thickBot="1" x14ac:dyDescent="0.3">
      <c r="A34" s="171" t="s">
        <v>319</v>
      </c>
      <c r="B34" s="395">
        <v>1</v>
      </c>
      <c r="C34" s="325">
        <v>6</v>
      </c>
      <c r="D34" s="41">
        <v>1</v>
      </c>
      <c r="E34" s="173">
        <f t="shared" si="0"/>
        <v>8</v>
      </c>
      <c r="F34" s="17" t="s">
        <v>319</v>
      </c>
      <c r="G34" s="397">
        <v>23</v>
      </c>
      <c r="H34" s="327">
        <v>30</v>
      </c>
      <c r="I34" s="15">
        <v>21</v>
      </c>
      <c r="J34" s="19">
        <f t="shared" si="1"/>
        <v>74</v>
      </c>
    </row>
    <row r="35" spans="1:10" ht="14.95" thickBot="1" x14ac:dyDescent="0.3">
      <c r="A35" s="171" t="s">
        <v>528</v>
      </c>
      <c r="B35" s="395">
        <v>1</v>
      </c>
      <c r="C35" s="325">
        <v>0</v>
      </c>
      <c r="D35" s="41">
        <v>1</v>
      </c>
      <c r="E35" s="173">
        <f t="shared" si="0"/>
        <v>2</v>
      </c>
      <c r="F35" s="17" t="s">
        <v>528</v>
      </c>
      <c r="G35" s="397">
        <v>5</v>
      </c>
      <c r="H35" s="327">
        <v>0</v>
      </c>
      <c r="I35" s="15">
        <v>5</v>
      </c>
      <c r="J35" s="19">
        <f t="shared" si="1"/>
        <v>10</v>
      </c>
    </row>
    <row r="36" spans="1:10" ht="14.95" thickBot="1" x14ac:dyDescent="0.3">
      <c r="A36" s="171" t="s">
        <v>909</v>
      </c>
      <c r="B36" s="395">
        <v>0</v>
      </c>
      <c r="C36" s="325">
        <v>0</v>
      </c>
      <c r="D36" s="41">
        <v>1</v>
      </c>
      <c r="E36" s="173">
        <f t="shared" si="0"/>
        <v>1</v>
      </c>
      <c r="F36" s="17" t="s">
        <v>909</v>
      </c>
      <c r="G36" s="397">
        <v>0</v>
      </c>
      <c r="H36" s="327">
        <v>0</v>
      </c>
      <c r="I36" s="15">
        <v>5</v>
      </c>
      <c r="J36" s="19">
        <f t="shared" si="1"/>
        <v>5</v>
      </c>
    </row>
    <row r="37" spans="1:10" ht="14.95" thickBot="1" x14ac:dyDescent="0.3">
      <c r="A37" s="171" t="s">
        <v>811</v>
      </c>
      <c r="B37" s="395">
        <v>1</v>
      </c>
      <c r="C37" s="325">
        <v>0</v>
      </c>
      <c r="D37" s="41">
        <v>0</v>
      </c>
      <c r="E37" s="173">
        <f t="shared" si="0"/>
        <v>1</v>
      </c>
      <c r="F37" s="17" t="s">
        <v>811</v>
      </c>
      <c r="G37" s="397">
        <v>5</v>
      </c>
      <c r="H37" s="327">
        <v>0</v>
      </c>
      <c r="I37" s="15">
        <v>0</v>
      </c>
      <c r="J37" s="19">
        <f t="shared" si="1"/>
        <v>5</v>
      </c>
    </row>
    <row r="38" spans="1:10" ht="14.95" thickBot="1" x14ac:dyDescent="0.3">
      <c r="A38" s="171" t="s">
        <v>324</v>
      </c>
      <c r="B38" s="395">
        <v>0</v>
      </c>
      <c r="C38" s="325">
        <v>0</v>
      </c>
      <c r="D38" s="41">
        <v>0</v>
      </c>
      <c r="E38" s="173">
        <f t="shared" si="0"/>
        <v>0</v>
      </c>
      <c r="F38" s="17" t="s">
        <v>324</v>
      </c>
      <c r="G38" s="397">
        <v>0</v>
      </c>
      <c r="H38" s="327">
        <v>0</v>
      </c>
      <c r="I38" s="15">
        <v>0</v>
      </c>
      <c r="J38" s="19">
        <f t="shared" si="1"/>
        <v>0</v>
      </c>
    </row>
    <row r="39" spans="1:10" ht="14.95" thickBot="1" x14ac:dyDescent="0.3">
      <c r="A39" s="171" t="s">
        <v>893</v>
      </c>
      <c r="B39" s="395">
        <v>0</v>
      </c>
      <c r="C39" s="325">
        <v>1</v>
      </c>
      <c r="D39" s="41">
        <v>5</v>
      </c>
      <c r="E39" s="173">
        <f t="shared" si="0"/>
        <v>6</v>
      </c>
      <c r="F39" s="17" t="s">
        <v>893</v>
      </c>
      <c r="G39" s="397">
        <v>0</v>
      </c>
      <c r="H39" s="327">
        <v>5</v>
      </c>
      <c r="I39" s="15">
        <v>25</v>
      </c>
      <c r="J39" s="19">
        <f t="shared" si="1"/>
        <v>30</v>
      </c>
    </row>
    <row r="40" spans="1:10" ht="14.95" customHeight="1" thickBot="1" x14ac:dyDescent="0.3">
      <c r="A40" s="171" t="s">
        <v>318</v>
      </c>
      <c r="B40" s="395">
        <v>0</v>
      </c>
      <c r="C40" s="325">
        <v>0</v>
      </c>
      <c r="D40" s="41">
        <v>0</v>
      </c>
      <c r="E40" s="173">
        <f t="shared" si="0"/>
        <v>0</v>
      </c>
      <c r="F40" s="17" t="s">
        <v>318</v>
      </c>
      <c r="G40" s="397">
        <v>0</v>
      </c>
      <c r="H40" s="327">
        <v>0</v>
      </c>
      <c r="I40" s="15">
        <v>0</v>
      </c>
      <c r="J40" s="19">
        <f t="shared" si="1"/>
        <v>0</v>
      </c>
    </row>
    <row r="41" spans="1:10" ht="14.95" thickBot="1" x14ac:dyDescent="0.3">
      <c r="A41" s="171" t="s">
        <v>314</v>
      </c>
      <c r="B41" s="395">
        <v>1</v>
      </c>
      <c r="C41" s="325">
        <v>1</v>
      </c>
      <c r="D41" s="41">
        <v>0</v>
      </c>
      <c r="E41" s="173">
        <f t="shared" si="0"/>
        <v>2</v>
      </c>
      <c r="F41" s="17" t="s">
        <v>314</v>
      </c>
      <c r="G41" s="397">
        <v>5</v>
      </c>
      <c r="H41" s="327">
        <v>12</v>
      </c>
      <c r="I41" s="15">
        <v>0</v>
      </c>
      <c r="J41" s="19">
        <f t="shared" si="1"/>
        <v>17</v>
      </c>
    </row>
    <row r="42" spans="1:10" ht="14.95" thickBot="1" x14ac:dyDescent="0.3">
      <c r="A42" s="171" t="s">
        <v>321</v>
      </c>
      <c r="B42" s="395">
        <v>0</v>
      </c>
      <c r="C42" s="325">
        <v>0</v>
      </c>
      <c r="D42" s="41">
        <v>0</v>
      </c>
      <c r="E42" s="173">
        <f t="shared" si="0"/>
        <v>0</v>
      </c>
      <c r="F42" s="17" t="s">
        <v>321</v>
      </c>
      <c r="G42" s="397">
        <v>0</v>
      </c>
      <c r="H42" s="327">
        <v>0</v>
      </c>
      <c r="I42" s="15">
        <v>0</v>
      </c>
      <c r="J42" s="19">
        <f t="shared" si="1"/>
        <v>0</v>
      </c>
    </row>
    <row r="43" spans="1:10" ht="14.95" thickBot="1" x14ac:dyDescent="0.3">
      <c r="A43" s="171" t="s">
        <v>242</v>
      </c>
      <c r="B43" s="395">
        <v>0</v>
      </c>
      <c r="C43" s="325">
        <v>2</v>
      </c>
      <c r="D43" s="41">
        <v>0</v>
      </c>
      <c r="E43" s="173">
        <f t="shared" si="0"/>
        <v>2</v>
      </c>
      <c r="F43" s="17" t="s">
        <v>242</v>
      </c>
      <c r="G43" s="397">
        <v>0</v>
      </c>
      <c r="H43" s="327">
        <v>10</v>
      </c>
      <c r="I43" s="15">
        <v>0</v>
      </c>
      <c r="J43" s="19">
        <f t="shared" si="1"/>
        <v>10</v>
      </c>
    </row>
    <row r="44" spans="1:10" ht="14.95" thickBot="1" x14ac:dyDescent="0.3">
      <c r="A44" s="171" t="s">
        <v>3</v>
      </c>
      <c r="B44" s="395">
        <f>SUM(B3:B43)</f>
        <v>16</v>
      </c>
      <c r="C44" s="325">
        <f>SUM(C3:C43)</f>
        <v>37</v>
      </c>
      <c r="D44" s="41">
        <f>SUM(D3:D43)</f>
        <v>26</v>
      </c>
      <c r="E44" s="173">
        <f t="shared" si="0"/>
        <v>79</v>
      </c>
      <c r="F44" s="51" t="s">
        <v>3</v>
      </c>
      <c r="G44" s="398">
        <f>SUM(G3:G43)</f>
        <v>98</v>
      </c>
      <c r="H44" s="328">
        <f>SUM(H3:H43)</f>
        <v>240</v>
      </c>
      <c r="I44" s="72">
        <f>SUM(I3:I43)</f>
        <v>172</v>
      </c>
      <c r="J44" s="46">
        <f t="shared" si="1"/>
        <v>510</v>
      </c>
    </row>
    <row r="45" spans="1:10" ht="16.3" x14ac:dyDescent="0.25">
      <c r="D45" s="52"/>
      <c r="F45" s="3"/>
      <c r="G45" s="3"/>
      <c r="H45" s="3"/>
      <c r="I45" s="53"/>
      <c r="J45" s="3"/>
    </row>
    <row r="46" spans="1:10" ht="17" thickBot="1" x14ac:dyDescent="0.3">
      <c r="A46" t="s">
        <v>7</v>
      </c>
      <c r="D46" s="52"/>
      <c r="F46" s="3"/>
      <c r="G46" s="3"/>
      <c r="H46" s="3"/>
      <c r="I46" s="53"/>
      <c r="J46" s="3"/>
    </row>
    <row r="47" spans="1:10" ht="14.95" thickBot="1" x14ac:dyDescent="0.3">
      <c r="A47" s="256" t="s">
        <v>0</v>
      </c>
      <c r="B47" s="394" t="s">
        <v>227</v>
      </c>
      <c r="C47" s="324" t="s">
        <v>734</v>
      </c>
      <c r="D47" s="76" t="s">
        <v>11</v>
      </c>
      <c r="E47" s="181" t="s">
        <v>1</v>
      </c>
      <c r="F47" s="401" t="s">
        <v>2</v>
      </c>
      <c r="G47" s="396" t="s">
        <v>227</v>
      </c>
      <c r="H47" s="326" t="s">
        <v>734</v>
      </c>
      <c r="I47" s="72" t="s">
        <v>11</v>
      </c>
      <c r="J47" s="46" t="s">
        <v>1</v>
      </c>
    </row>
    <row r="48" spans="1:10" ht="14.95" thickBot="1" x14ac:dyDescent="0.3">
      <c r="A48" s="171" t="s">
        <v>319</v>
      </c>
      <c r="B48" s="395">
        <v>1</v>
      </c>
      <c r="C48" s="325">
        <v>6</v>
      </c>
      <c r="D48" s="41">
        <v>1</v>
      </c>
      <c r="E48" s="173">
        <f>SUM(B48:D48)</f>
        <v>8</v>
      </c>
      <c r="F48" s="18" t="s">
        <v>326</v>
      </c>
      <c r="G48" s="397">
        <v>0</v>
      </c>
      <c r="H48" s="327">
        <v>61</v>
      </c>
      <c r="I48" s="15">
        <v>25</v>
      </c>
      <c r="J48" s="19">
        <f>SUM(G48:I48)</f>
        <v>86</v>
      </c>
    </row>
    <row r="49" spans="1:10" ht="14.95" thickBot="1" x14ac:dyDescent="0.3">
      <c r="A49" s="171" t="s">
        <v>315</v>
      </c>
      <c r="B49" s="395">
        <v>1</v>
      </c>
      <c r="C49" s="325">
        <v>4</v>
      </c>
      <c r="D49" s="41">
        <v>2</v>
      </c>
      <c r="E49" s="173">
        <f>SUM(B49:D49)</f>
        <v>7</v>
      </c>
      <c r="F49" s="18" t="s">
        <v>319</v>
      </c>
      <c r="G49" s="397">
        <v>23</v>
      </c>
      <c r="H49" s="327">
        <v>30</v>
      </c>
      <c r="I49" s="15">
        <v>21</v>
      </c>
      <c r="J49" s="19">
        <f>SUM(G49:I49)</f>
        <v>74</v>
      </c>
    </row>
    <row r="50" spans="1:10" ht="14.95" thickBot="1" x14ac:dyDescent="0.3">
      <c r="A50" s="171" t="s">
        <v>676</v>
      </c>
      <c r="B50" s="395">
        <v>1</v>
      </c>
      <c r="C50" s="325">
        <v>5</v>
      </c>
      <c r="D50" s="41">
        <v>0</v>
      </c>
      <c r="E50" s="173">
        <f>SUM(B50:D50)</f>
        <v>6</v>
      </c>
      <c r="F50" s="18" t="s">
        <v>315</v>
      </c>
      <c r="G50" s="397">
        <v>5</v>
      </c>
      <c r="H50" s="327">
        <v>20</v>
      </c>
      <c r="I50" s="15">
        <v>10</v>
      </c>
      <c r="J50" s="19">
        <f>SUM(G50:I50)</f>
        <v>35</v>
      </c>
    </row>
    <row r="51" spans="1:10" ht="14.95" thickBot="1" x14ac:dyDescent="0.3">
      <c r="A51" s="171" t="s">
        <v>512</v>
      </c>
      <c r="B51" s="395">
        <v>1</v>
      </c>
      <c r="C51" s="325">
        <v>4</v>
      </c>
      <c r="D51" s="41">
        <v>1</v>
      </c>
      <c r="E51" s="173">
        <f>SUM(B51:D51)</f>
        <v>6</v>
      </c>
      <c r="F51" s="17" t="s">
        <v>676</v>
      </c>
      <c r="G51" s="397">
        <v>5</v>
      </c>
      <c r="H51" s="327">
        <v>25</v>
      </c>
      <c r="I51" s="15">
        <v>0</v>
      </c>
      <c r="J51" s="19">
        <f>SUM(G51:I51)</f>
        <v>30</v>
      </c>
    </row>
    <row r="52" spans="1:10" ht="14.95" thickBot="1" x14ac:dyDescent="0.3">
      <c r="A52" s="171" t="s">
        <v>893</v>
      </c>
      <c r="B52" s="395">
        <v>0</v>
      </c>
      <c r="C52" s="325">
        <v>1</v>
      </c>
      <c r="D52" s="41">
        <v>5</v>
      </c>
      <c r="E52" s="173">
        <f>SUM(B52:D52)</f>
        <v>6</v>
      </c>
      <c r="F52" s="17" t="s">
        <v>512</v>
      </c>
      <c r="G52" s="397">
        <v>5</v>
      </c>
      <c r="H52" s="327">
        <v>20</v>
      </c>
      <c r="I52" s="15">
        <v>5</v>
      </c>
      <c r="J52" s="19">
        <f>SUM(G52:I52)</f>
        <v>30</v>
      </c>
    </row>
    <row r="53" spans="1:10" ht="14.95" thickBot="1" x14ac:dyDescent="0.3">
      <c r="A53" s="171" t="s">
        <v>326</v>
      </c>
      <c r="B53" s="395">
        <v>0</v>
      </c>
      <c r="C53" s="325">
        <v>3</v>
      </c>
      <c r="D53" s="41">
        <v>1</v>
      </c>
      <c r="E53" s="173">
        <f>SUM(B53:D53)</f>
        <v>4</v>
      </c>
      <c r="F53" s="17" t="s">
        <v>893</v>
      </c>
      <c r="G53" s="397">
        <v>0</v>
      </c>
      <c r="H53" s="327">
        <v>5</v>
      </c>
      <c r="I53" s="15">
        <v>25</v>
      </c>
      <c r="J53" s="19">
        <f>SUM(G53:I53)</f>
        <v>30</v>
      </c>
    </row>
    <row r="54" spans="1:10" ht="14.95" thickBot="1" x14ac:dyDescent="0.3">
      <c r="A54" s="171" t="s">
        <v>317</v>
      </c>
      <c r="B54" s="395">
        <v>0</v>
      </c>
      <c r="C54" s="325">
        <v>2</v>
      </c>
      <c r="D54" s="41">
        <v>1</v>
      </c>
      <c r="E54" s="173">
        <f>SUM(B54:D54)</f>
        <v>3</v>
      </c>
      <c r="F54" s="17" t="s">
        <v>314</v>
      </c>
      <c r="G54" s="397">
        <v>5</v>
      </c>
      <c r="H54" s="327">
        <v>12</v>
      </c>
      <c r="I54" s="15">
        <v>0</v>
      </c>
      <c r="J54" s="19">
        <f>SUM(G54:I54)</f>
        <v>17</v>
      </c>
    </row>
    <row r="55" spans="1:10" ht="14.95" thickBot="1" x14ac:dyDescent="0.3">
      <c r="A55" s="171" t="s">
        <v>322</v>
      </c>
      <c r="B55" s="395">
        <v>1</v>
      </c>
      <c r="C55" s="325">
        <v>0</v>
      </c>
      <c r="D55" s="41">
        <v>2</v>
      </c>
      <c r="E55" s="173">
        <f>SUM(B55:D55)</f>
        <v>3</v>
      </c>
      <c r="F55" s="17" t="s">
        <v>317</v>
      </c>
      <c r="G55" s="397">
        <v>0</v>
      </c>
      <c r="H55" s="327">
        <v>10</v>
      </c>
      <c r="I55" s="15">
        <v>5</v>
      </c>
      <c r="J55" s="19">
        <f>SUM(G55:I55)</f>
        <v>15</v>
      </c>
    </row>
    <row r="56" spans="1:10" ht="14.95" thickBot="1" x14ac:dyDescent="0.3">
      <c r="A56" s="171" t="s">
        <v>320</v>
      </c>
      <c r="B56" s="395">
        <v>1</v>
      </c>
      <c r="C56" s="325">
        <v>2</v>
      </c>
      <c r="D56" s="41">
        <v>0</v>
      </c>
      <c r="E56" s="173">
        <f>SUM(B56:D56)</f>
        <v>3</v>
      </c>
      <c r="F56" s="17" t="s">
        <v>322</v>
      </c>
      <c r="G56" s="397">
        <v>5</v>
      </c>
      <c r="H56" s="327">
        <v>0</v>
      </c>
      <c r="I56" s="15">
        <v>10</v>
      </c>
      <c r="J56" s="19">
        <f>SUM(G56:I56)</f>
        <v>15</v>
      </c>
    </row>
    <row r="57" spans="1:10" ht="14.95" thickBot="1" x14ac:dyDescent="0.3">
      <c r="A57" s="171" t="s">
        <v>241</v>
      </c>
      <c r="B57" s="395">
        <v>1</v>
      </c>
      <c r="C57" s="325">
        <v>1</v>
      </c>
      <c r="D57" s="41">
        <v>1</v>
      </c>
      <c r="E57" s="173">
        <f>SUM(B57:D57)</f>
        <v>3</v>
      </c>
      <c r="F57" s="17" t="s">
        <v>320</v>
      </c>
      <c r="G57" s="397">
        <v>5</v>
      </c>
      <c r="H57" s="327">
        <v>10</v>
      </c>
      <c r="I57" s="15">
        <v>0</v>
      </c>
      <c r="J57" s="19">
        <f>SUM(G57:I57)</f>
        <v>15</v>
      </c>
    </row>
    <row r="58" spans="1:10" ht="14.95" thickBot="1" x14ac:dyDescent="0.3">
      <c r="A58" s="171" t="s">
        <v>611</v>
      </c>
      <c r="B58" s="395">
        <v>2</v>
      </c>
      <c r="C58" s="325">
        <v>0</v>
      </c>
      <c r="D58" s="41">
        <v>1</v>
      </c>
      <c r="E58" s="173">
        <f>SUM(B58:D58)</f>
        <v>3</v>
      </c>
      <c r="F58" s="17" t="s">
        <v>241</v>
      </c>
      <c r="G58" s="397">
        <v>5</v>
      </c>
      <c r="H58" s="327">
        <v>5</v>
      </c>
      <c r="I58" s="15">
        <v>5</v>
      </c>
      <c r="J58" s="19">
        <f>SUM(G58:I58)</f>
        <v>15</v>
      </c>
    </row>
    <row r="59" spans="1:10" ht="14.95" thickBot="1" x14ac:dyDescent="0.3">
      <c r="A59" s="171" t="s">
        <v>313</v>
      </c>
      <c r="B59" s="395">
        <v>0</v>
      </c>
      <c r="C59" s="325">
        <v>1</v>
      </c>
      <c r="D59" s="41">
        <v>1</v>
      </c>
      <c r="E59" s="173">
        <f>SUM(B59:D59)</f>
        <v>2</v>
      </c>
      <c r="F59" s="17" t="s">
        <v>611</v>
      </c>
      <c r="G59" s="397">
        <v>10</v>
      </c>
      <c r="H59" s="327">
        <v>0</v>
      </c>
      <c r="I59" s="15">
        <v>5</v>
      </c>
      <c r="J59" s="19">
        <f>SUM(G59:I59)</f>
        <v>15</v>
      </c>
    </row>
    <row r="60" spans="1:10" ht="14.95" thickBot="1" x14ac:dyDescent="0.3">
      <c r="A60" s="171" t="s">
        <v>892</v>
      </c>
      <c r="B60" s="395">
        <v>0</v>
      </c>
      <c r="C60" s="325">
        <v>1</v>
      </c>
      <c r="D60" s="41">
        <v>1</v>
      </c>
      <c r="E60" s="173">
        <f>SUM(B60:D60)</f>
        <v>2</v>
      </c>
      <c r="F60" s="17" t="s">
        <v>212</v>
      </c>
      <c r="G60" s="397">
        <v>0</v>
      </c>
      <c r="H60" s="327">
        <v>7</v>
      </c>
      <c r="I60" s="15">
        <v>7</v>
      </c>
      <c r="J60" s="19">
        <f>SUM(G60:I60)</f>
        <v>14</v>
      </c>
    </row>
    <row r="61" spans="1:10" ht="14.95" thickBot="1" x14ac:dyDescent="0.3">
      <c r="A61" s="171" t="s">
        <v>228</v>
      </c>
      <c r="B61" s="395">
        <v>0</v>
      </c>
      <c r="C61" s="325">
        <v>1</v>
      </c>
      <c r="D61" s="41">
        <v>1</v>
      </c>
      <c r="E61" s="173">
        <f>SUM(B61:D61)</f>
        <v>2</v>
      </c>
      <c r="F61" s="17" t="s">
        <v>313</v>
      </c>
      <c r="G61" s="397">
        <v>0</v>
      </c>
      <c r="H61" s="327">
        <v>5</v>
      </c>
      <c r="I61" s="15">
        <v>5</v>
      </c>
      <c r="J61" s="19">
        <f>SUM(G61:I61)</f>
        <v>10</v>
      </c>
    </row>
    <row r="62" spans="1:10" ht="14.95" thickBot="1" x14ac:dyDescent="0.3">
      <c r="A62" s="171" t="s">
        <v>481</v>
      </c>
      <c r="B62" s="395">
        <v>1</v>
      </c>
      <c r="C62" s="325">
        <v>1</v>
      </c>
      <c r="D62" s="41">
        <v>0</v>
      </c>
      <c r="E62" s="173">
        <f>SUM(B62:D62)</f>
        <v>2</v>
      </c>
      <c r="F62" s="17" t="s">
        <v>892</v>
      </c>
      <c r="G62" s="397">
        <v>0</v>
      </c>
      <c r="H62" s="327">
        <v>5</v>
      </c>
      <c r="I62" s="15">
        <v>5</v>
      </c>
      <c r="J62" s="19">
        <f>SUM(G62:I62)</f>
        <v>10</v>
      </c>
    </row>
    <row r="63" spans="1:10" ht="14.95" thickBot="1" x14ac:dyDescent="0.3">
      <c r="A63" s="171" t="s">
        <v>212</v>
      </c>
      <c r="B63" s="395">
        <v>0</v>
      </c>
      <c r="C63" s="325">
        <v>1</v>
      </c>
      <c r="D63" s="41">
        <v>1</v>
      </c>
      <c r="E63" s="173">
        <f>SUM(B63:D63)</f>
        <v>2</v>
      </c>
      <c r="F63" s="17" t="s">
        <v>228</v>
      </c>
      <c r="G63" s="397">
        <v>0</v>
      </c>
      <c r="H63" s="327">
        <v>5</v>
      </c>
      <c r="I63" s="15">
        <v>5</v>
      </c>
      <c r="J63" s="19">
        <f>SUM(G63:I63)</f>
        <v>10</v>
      </c>
    </row>
    <row r="64" spans="1:10" ht="14.95" thickBot="1" x14ac:dyDescent="0.3">
      <c r="A64" s="171" t="s">
        <v>528</v>
      </c>
      <c r="B64" s="395">
        <v>1</v>
      </c>
      <c r="C64" s="325">
        <v>0</v>
      </c>
      <c r="D64" s="41">
        <v>1</v>
      </c>
      <c r="E64" s="173">
        <f>SUM(B64:D64)</f>
        <v>2</v>
      </c>
      <c r="F64" s="17" t="s">
        <v>481</v>
      </c>
      <c r="G64" s="397">
        <v>5</v>
      </c>
      <c r="H64" s="327">
        <v>5</v>
      </c>
      <c r="I64" s="15">
        <v>0</v>
      </c>
      <c r="J64" s="19">
        <f>SUM(G64:I64)</f>
        <v>10</v>
      </c>
    </row>
    <row r="65" spans="1:10" ht="14.95" thickBot="1" x14ac:dyDescent="0.3">
      <c r="A65" s="171" t="s">
        <v>314</v>
      </c>
      <c r="B65" s="395">
        <v>1</v>
      </c>
      <c r="C65" s="325">
        <v>1</v>
      </c>
      <c r="D65" s="41">
        <v>0</v>
      </c>
      <c r="E65" s="173">
        <f>SUM(B65:D65)</f>
        <v>2</v>
      </c>
      <c r="F65" s="17" t="s">
        <v>528</v>
      </c>
      <c r="G65" s="397">
        <v>5</v>
      </c>
      <c r="H65" s="327">
        <v>0</v>
      </c>
      <c r="I65" s="15">
        <v>5</v>
      </c>
      <c r="J65" s="19">
        <f>SUM(G65:I65)</f>
        <v>10</v>
      </c>
    </row>
    <row r="66" spans="1:10" ht="14.95" thickBot="1" x14ac:dyDescent="0.3">
      <c r="A66" s="171" t="s">
        <v>242</v>
      </c>
      <c r="B66" s="395">
        <v>0</v>
      </c>
      <c r="C66" s="325">
        <v>2</v>
      </c>
      <c r="D66" s="41">
        <v>0</v>
      </c>
      <c r="E66" s="173">
        <f>SUM(B66:D66)</f>
        <v>2</v>
      </c>
      <c r="F66" s="17" t="s">
        <v>242</v>
      </c>
      <c r="G66" s="397">
        <v>0</v>
      </c>
      <c r="H66" s="327">
        <v>10</v>
      </c>
      <c r="I66" s="15">
        <v>0</v>
      </c>
      <c r="J66" s="19">
        <f>SUM(G66:I66)</f>
        <v>10</v>
      </c>
    </row>
    <row r="67" spans="1:10" ht="14.95" thickBot="1" x14ac:dyDescent="0.3">
      <c r="A67" s="171" t="s">
        <v>813</v>
      </c>
      <c r="B67" s="395">
        <v>1</v>
      </c>
      <c r="C67" s="325">
        <v>0</v>
      </c>
      <c r="D67" s="41">
        <v>0</v>
      </c>
      <c r="E67" s="173">
        <f>SUM(B67:D67)</f>
        <v>1</v>
      </c>
      <c r="F67" s="17" t="s">
        <v>813</v>
      </c>
      <c r="G67" s="397">
        <v>5</v>
      </c>
      <c r="H67" s="327">
        <v>0</v>
      </c>
      <c r="I67" s="15">
        <v>0</v>
      </c>
      <c r="J67" s="19">
        <f>SUM(G67:I67)</f>
        <v>5</v>
      </c>
    </row>
    <row r="68" spans="1:10" ht="14.95" thickBot="1" x14ac:dyDescent="0.3">
      <c r="A68" s="171" t="s">
        <v>405</v>
      </c>
      <c r="B68" s="395">
        <v>0</v>
      </c>
      <c r="C68" s="325">
        <v>0</v>
      </c>
      <c r="D68" s="41">
        <v>1</v>
      </c>
      <c r="E68" s="173">
        <f>SUM(B68:D68)</f>
        <v>1</v>
      </c>
      <c r="F68" s="17" t="s">
        <v>405</v>
      </c>
      <c r="G68" s="397">
        <v>0</v>
      </c>
      <c r="H68" s="327">
        <v>0</v>
      </c>
      <c r="I68" s="15">
        <v>5</v>
      </c>
      <c r="J68" s="19">
        <f>SUM(G68:I68)</f>
        <v>5</v>
      </c>
    </row>
    <row r="69" spans="1:10" ht="14.95" thickBot="1" x14ac:dyDescent="0.3">
      <c r="A69" s="171" t="s">
        <v>312</v>
      </c>
      <c r="B69" s="395">
        <v>0</v>
      </c>
      <c r="C69" s="325">
        <v>0</v>
      </c>
      <c r="D69" s="41">
        <v>1</v>
      </c>
      <c r="E69" s="173">
        <f>SUM(B69:D69)</f>
        <v>1</v>
      </c>
      <c r="F69" s="17" t="s">
        <v>312</v>
      </c>
      <c r="G69" s="397">
        <v>0</v>
      </c>
      <c r="H69" s="327">
        <v>0</v>
      </c>
      <c r="I69" s="15">
        <v>5</v>
      </c>
      <c r="J69" s="19">
        <f>SUM(G69:I69)</f>
        <v>5</v>
      </c>
    </row>
    <row r="70" spans="1:10" ht="14.95" thickBot="1" x14ac:dyDescent="0.3">
      <c r="A70" s="171" t="s">
        <v>263</v>
      </c>
      <c r="B70" s="395">
        <v>0</v>
      </c>
      <c r="C70" s="325">
        <v>0</v>
      </c>
      <c r="D70" s="41">
        <v>1</v>
      </c>
      <c r="E70" s="173">
        <f>SUM(B70:D70)</f>
        <v>1</v>
      </c>
      <c r="F70" s="17" t="s">
        <v>263</v>
      </c>
      <c r="G70" s="397">
        <v>0</v>
      </c>
      <c r="H70" s="327">
        <v>0</v>
      </c>
      <c r="I70" s="15">
        <v>5</v>
      </c>
      <c r="J70" s="19">
        <f>SUM(G70:I70)</f>
        <v>5</v>
      </c>
    </row>
    <row r="71" spans="1:10" ht="14.95" thickBot="1" x14ac:dyDescent="0.3">
      <c r="A71" s="171" t="s">
        <v>325</v>
      </c>
      <c r="B71" s="395">
        <v>1</v>
      </c>
      <c r="C71" s="325">
        <v>0</v>
      </c>
      <c r="D71" s="41">
        <v>0</v>
      </c>
      <c r="E71" s="173">
        <f>SUM(B71:D71)</f>
        <v>1</v>
      </c>
      <c r="F71" s="17" t="s">
        <v>325</v>
      </c>
      <c r="G71" s="397">
        <v>5</v>
      </c>
      <c r="H71" s="327">
        <v>0</v>
      </c>
      <c r="I71" s="15">
        <v>0</v>
      </c>
      <c r="J71" s="19">
        <f>SUM(G71:I71)</f>
        <v>5</v>
      </c>
    </row>
    <row r="72" spans="1:10" ht="14.95" thickBot="1" x14ac:dyDescent="0.3">
      <c r="A72" s="171" t="s">
        <v>30</v>
      </c>
      <c r="B72" s="395">
        <v>0</v>
      </c>
      <c r="C72" s="325">
        <v>0</v>
      </c>
      <c r="D72" s="41">
        <v>1</v>
      </c>
      <c r="E72" s="173">
        <f>SUM(B72:D72)</f>
        <v>1</v>
      </c>
      <c r="F72" s="17" t="s">
        <v>30</v>
      </c>
      <c r="G72" s="397">
        <v>0</v>
      </c>
      <c r="H72" s="327">
        <v>0</v>
      </c>
      <c r="I72" s="15">
        <v>5</v>
      </c>
      <c r="J72" s="19">
        <f>SUM(G72:I72)</f>
        <v>5</v>
      </c>
    </row>
    <row r="73" spans="1:10" ht="14.95" thickBot="1" x14ac:dyDescent="0.3">
      <c r="A73" s="171" t="s">
        <v>896</v>
      </c>
      <c r="B73" s="395">
        <v>0</v>
      </c>
      <c r="C73" s="325">
        <v>0</v>
      </c>
      <c r="D73" s="41">
        <v>1</v>
      </c>
      <c r="E73" s="173">
        <f>SUM(B73:D73)</f>
        <v>1</v>
      </c>
      <c r="F73" s="17" t="s">
        <v>896</v>
      </c>
      <c r="G73" s="397">
        <v>0</v>
      </c>
      <c r="H73" s="327">
        <v>0</v>
      </c>
      <c r="I73" s="15">
        <v>5</v>
      </c>
      <c r="J73" s="19">
        <f>SUM(G73:I73)</f>
        <v>5</v>
      </c>
    </row>
    <row r="74" spans="1:10" ht="14.95" thickBot="1" x14ac:dyDescent="0.3">
      <c r="A74" s="171" t="s">
        <v>163</v>
      </c>
      <c r="B74" s="395">
        <v>1</v>
      </c>
      <c r="C74" s="325">
        <v>0</v>
      </c>
      <c r="D74" s="41">
        <v>0</v>
      </c>
      <c r="E74" s="173">
        <f>SUM(B74:D74)</f>
        <v>1</v>
      </c>
      <c r="F74" s="17" t="s">
        <v>163</v>
      </c>
      <c r="G74" s="397">
        <v>5</v>
      </c>
      <c r="H74" s="327">
        <v>0</v>
      </c>
      <c r="I74" s="15">
        <v>0</v>
      </c>
      <c r="J74" s="19">
        <f>SUM(G74:I74)</f>
        <v>5</v>
      </c>
    </row>
    <row r="75" spans="1:10" ht="14.95" thickBot="1" x14ac:dyDescent="0.3">
      <c r="A75" s="171" t="s">
        <v>229</v>
      </c>
      <c r="B75" s="395">
        <v>0</v>
      </c>
      <c r="C75" s="325">
        <v>1</v>
      </c>
      <c r="D75" s="41">
        <v>0</v>
      </c>
      <c r="E75" s="173">
        <f>SUM(B75:D75)</f>
        <v>1</v>
      </c>
      <c r="F75" s="17" t="s">
        <v>229</v>
      </c>
      <c r="G75" s="397">
        <v>0</v>
      </c>
      <c r="H75" s="327">
        <v>5</v>
      </c>
      <c r="I75" s="15">
        <v>0</v>
      </c>
      <c r="J75" s="19">
        <f>SUM(G75:I75)</f>
        <v>5</v>
      </c>
    </row>
    <row r="76" spans="1:10" ht="14.95" thickBot="1" x14ac:dyDescent="0.3">
      <c r="A76" s="171" t="s">
        <v>909</v>
      </c>
      <c r="B76" s="395">
        <v>0</v>
      </c>
      <c r="C76" s="325">
        <v>0</v>
      </c>
      <c r="D76" s="41">
        <v>1</v>
      </c>
      <c r="E76" s="173">
        <f>SUM(B76:D76)</f>
        <v>1</v>
      </c>
      <c r="F76" s="17" t="s">
        <v>909</v>
      </c>
      <c r="G76" s="397">
        <v>0</v>
      </c>
      <c r="H76" s="327">
        <v>0</v>
      </c>
      <c r="I76" s="15">
        <v>5</v>
      </c>
      <c r="J76" s="19">
        <f>SUM(G76:I76)</f>
        <v>5</v>
      </c>
    </row>
    <row r="77" spans="1:10" ht="14.95" thickBot="1" x14ac:dyDescent="0.3">
      <c r="A77" s="171" t="s">
        <v>811</v>
      </c>
      <c r="B77" s="395">
        <v>1</v>
      </c>
      <c r="C77" s="325">
        <v>0</v>
      </c>
      <c r="D77" s="41">
        <v>0</v>
      </c>
      <c r="E77" s="173">
        <f>SUM(B77:D77)</f>
        <v>1</v>
      </c>
      <c r="F77" s="17" t="s">
        <v>811</v>
      </c>
      <c r="G77" s="397">
        <v>5</v>
      </c>
      <c r="H77" s="327">
        <v>0</v>
      </c>
      <c r="I77" s="15">
        <v>0</v>
      </c>
      <c r="J77" s="19">
        <f>SUM(G77:I77)</f>
        <v>5</v>
      </c>
    </row>
    <row r="78" spans="1:10" ht="14.95" thickBot="1" x14ac:dyDescent="0.3">
      <c r="A78" s="171" t="s">
        <v>625</v>
      </c>
      <c r="B78" s="395">
        <v>0</v>
      </c>
      <c r="C78" s="325">
        <v>0</v>
      </c>
      <c r="D78" s="41">
        <v>0</v>
      </c>
      <c r="E78" s="173">
        <f>SUM(B78:D78)</f>
        <v>0</v>
      </c>
      <c r="F78" s="17" t="s">
        <v>155</v>
      </c>
      <c r="G78" s="397">
        <v>0</v>
      </c>
      <c r="H78" s="327">
        <v>0</v>
      </c>
      <c r="I78" s="15">
        <v>4</v>
      </c>
      <c r="J78" s="19">
        <f>SUM(G78:I78)</f>
        <v>4</v>
      </c>
    </row>
    <row r="79" spans="1:10" ht="14.95" thickBot="1" x14ac:dyDescent="0.3">
      <c r="A79" s="171" t="s">
        <v>240</v>
      </c>
      <c r="B79" s="395">
        <v>0</v>
      </c>
      <c r="C79" s="325">
        <v>0</v>
      </c>
      <c r="D79" s="41">
        <v>0</v>
      </c>
      <c r="E79" s="173">
        <f>SUM(B79:D79)</f>
        <v>0</v>
      </c>
      <c r="F79" s="17" t="s">
        <v>625</v>
      </c>
      <c r="G79" s="397">
        <v>0</v>
      </c>
      <c r="H79" s="327">
        <v>0</v>
      </c>
      <c r="I79" s="15">
        <v>0</v>
      </c>
      <c r="J79" s="19">
        <f>SUM(G79:I79)</f>
        <v>0</v>
      </c>
    </row>
    <row r="80" spans="1:10" ht="14.95" thickBot="1" x14ac:dyDescent="0.3">
      <c r="A80" s="171" t="s">
        <v>403</v>
      </c>
      <c r="B80" s="395">
        <v>0</v>
      </c>
      <c r="C80" s="325">
        <v>0</v>
      </c>
      <c r="D80" s="41">
        <v>0</v>
      </c>
      <c r="E80" s="173">
        <f>SUM(B80:D80)</f>
        <v>0</v>
      </c>
      <c r="F80" s="17" t="s">
        <v>240</v>
      </c>
      <c r="G80" s="397">
        <v>0</v>
      </c>
      <c r="H80" s="327">
        <v>0</v>
      </c>
      <c r="I80" s="15">
        <v>0</v>
      </c>
      <c r="J80" s="19">
        <f>SUM(G80:I80)</f>
        <v>0</v>
      </c>
    </row>
    <row r="81" spans="1:10" ht="14.95" thickBot="1" x14ac:dyDescent="0.3">
      <c r="A81" s="171" t="s">
        <v>154</v>
      </c>
      <c r="B81" s="395">
        <v>0</v>
      </c>
      <c r="C81" s="325">
        <v>0</v>
      </c>
      <c r="D81" s="41">
        <v>0</v>
      </c>
      <c r="E81" s="173">
        <f>SUM(B81:D81)</f>
        <v>0</v>
      </c>
      <c r="F81" s="17" t="s">
        <v>403</v>
      </c>
      <c r="G81" s="397">
        <v>0</v>
      </c>
      <c r="H81" s="327">
        <v>0</v>
      </c>
      <c r="I81" s="15">
        <v>0</v>
      </c>
      <c r="J81" s="19">
        <f>SUM(G81:I81)</f>
        <v>0</v>
      </c>
    </row>
    <row r="82" spans="1:10" ht="14.95" thickBot="1" x14ac:dyDescent="0.3">
      <c r="A82" s="171" t="s">
        <v>404</v>
      </c>
      <c r="B82" s="395">
        <v>0</v>
      </c>
      <c r="C82" s="325">
        <v>0</v>
      </c>
      <c r="D82" s="41">
        <v>0</v>
      </c>
      <c r="E82" s="173">
        <f>SUM(B82:D82)</f>
        <v>0</v>
      </c>
      <c r="F82" s="17" t="s">
        <v>154</v>
      </c>
      <c r="G82" s="397">
        <v>0</v>
      </c>
      <c r="H82" s="327">
        <v>0</v>
      </c>
      <c r="I82" s="15">
        <v>0</v>
      </c>
      <c r="J82" s="19">
        <f>SUM(G82:I82)</f>
        <v>0</v>
      </c>
    </row>
    <row r="83" spans="1:10" ht="14.95" thickBot="1" x14ac:dyDescent="0.3">
      <c r="A83" s="171" t="s">
        <v>155</v>
      </c>
      <c r="B83" s="395">
        <v>0</v>
      </c>
      <c r="C83" s="325">
        <v>0</v>
      </c>
      <c r="D83" s="41">
        <v>0</v>
      </c>
      <c r="E83" s="173">
        <f>SUM(B83:D83)</f>
        <v>0</v>
      </c>
      <c r="F83" s="17" t="s">
        <v>404</v>
      </c>
      <c r="G83" s="397">
        <v>0</v>
      </c>
      <c r="H83" s="327">
        <v>0</v>
      </c>
      <c r="I83" s="15">
        <v>0</v>
      </c>
      <c r="J83" s="19">
        <f>SUM(G83:I83)</f>
        <v>0</v>
      </c>
    </row>
    <row r="84" spans="1:10" ht="14.95" thickBot="1" x14ac:dyDescent="0.3">
      <c r="A84" s="171" t="s">
        <v>613</v>
      </c>
      <c r="B84" s="395">
        <v>0</v>
      </c>
      <c r="C84" s="325">
        <v>0</v>
      </c>
      <c r="D84" s="41">
        <v>0</v>
      </c>
      <c r="E84" s="173">
        <f>SUM(B84:D84)</f>
        <v>0</v>
      </c>
      <c r="F84" s="17" t="s">
        <v>613</v>
      </c>
      <c r="G84" s="397">
        <v>0</v>
      </c>
      <c r="H84" s="327">
        <v>0</v>
      </c>
      <c r="I84" s="15">
        <v>0</v>
      </c>
      <c r="J84" s="19">
        <f>SUM(G84:I84)</f>
        <v>0</v>
      </c>
    </row>
    <row r="85" spans="1:10" ht="14.95" thickBot="1" x14ac:dyDescent="0.3">
      <c r="A85" s="171" t="s">
        <v>323</v>
      </c>
      <c r="B85" s="395">
        <v>0</v>
      </c>
      <c r="C85" s="325">
        <v>0</v>
      </c>
      <c r="D85" s="41">
        <v>0</v>
      </c>
      <c r="E85" s="173">
        <f>SUM(B85:D85)</f>
        <v>0</v>
      </c>
      <c r="F85" s="17" t="s">
        <v>323</v>
      </c>
      <c r="G85" s="397">
        <v>0</v>
      </c>
      <c r="H85" s="327">
        <v>0</v>
      </c>
      <c r="I85" s="15">
        <v>0</v>
      </c>
      <c r="J85" s="19">
        <f>SUM(G85:I85)</f>
        <v>0</v>
      </c>
    </row>
    <row r="86" spans="1:10" ht="14.95" thickBot="1" x14ac:dyDescent="0.3">
      <c r="A86" s="171" t="s">
        <v>324</v>
      </c>
      <c r="B86" s="395">
        <v>0</v>
      </c>
      <c r="C86" s="325">
        <v>0</v>
      </c>
      <c r="D86" s="41">
        <v>0</v>
      </c>
      <c r="E86" s="173">
        <f>SUM(B86:D86)</f>
        <v>0</v>
      </c>
      <c r="F86" s="17" t="s">
        <v>324</v>
      </c>
      <c r="G86" s="397">
        <v>0</v>
      </c>
      <c r="H86" s="327">
        <v>0</v>
      </c>
      <c r="I86" s="15">
        <v>0</v>
      </c>
      <c r="J86" s="19">
        <f>SUM(G86:I86)</f>
        <v>0</v>
      </c>
    </row>
    <row r="87" spans="1:10" ht="14.95" thickBot="1" x14ac:dyDescent="0.3">
      <c r="A87" s="171" t="s">
        <v>318</v>
      </c>
      <c r="B87" s="395">
        <v>0</v>
      </c>
      <c r="C87" s="325">
        <v>0</v>
      </c>
      <c r="D87" s="41">
        <v>0</v>
      </c>
      <c r="E87" s="173">
        <f>SUM(B87:D87)</f>
        <v>0</v>
      </c>
      <c r="F87" s="17" t="s">
        <v>318</v>
      </c>
      <c r="G87" s="397">
        <v>0</v>
      </c>
      <c r="H87" s="327">
        <v>0</v>
      </c>
      <c r="I87" s="15">
        <v>0</v>
      </c>
      <c r="J87" s="19">
        <f>SUM(G87:I87)</f>
        <v>0</v>
      </c>
    </row>
    <row r="88" spans="1:10" ht="14.95" thickBot="1" x14ac:dyDescent="0.3">
      <c r="A88" s="171" t="s">
        <v>321</v>
      </c>
      <c r="B88" s="395">
        <v>0</v>
      </c>
      <c r="C88" s="325">
        <v>0</v>
      </c>
      <c r="D88" s="41">
        <v>0</v>
      </c>
      <c r="E88" s="173">
        <f>SUM(B88:D88)</f>
        <v>0</v>
      </c>
      <c r="F88" s="17" t="s">
        <v>321</v>
      </c>
      <c r="G88" s="397">
        <v>0</v>
      </c>
      <c r="H88" s="327">
        <v>0</v>
      </c>
      <c r="I88" s="15">
        <v>0</v>
      </c>
      <c r="J88" s="19">
        <f>SUM(G88:I88)</f>
        <v>0</v>
      </c>
    </row>
    <row r="89" spans="1:10" ht="14.95" thickBot="1" x14ac:dyDescent="0.3">
      <c r="A89" s="171" t="s">
        <v>3</v>
      </c>
      <c r="B89" s="395">
        <f>SUM(B48:B88)</f>
        <v>16</v>
      </c>
      <c r="C89" s="325">
        <f>SUM(C48:C88)</f>
        <v>37</v>
      </c>
      <c r="D89" s="41">
        <f>SUM(D48:D88)</f>
        <v>26</v>
      </c>
      <c r="E89" s="173">
        <f t="shared" ref="E48:E89" si="2">SUM(B89:D89)</f>
        <v>79</v>
      </c>
      <c r="F89" s="51" t="s">
        <v>3</v>
      </c>
      <c r="G89" s="398">
        <f>SUM(G48:G88)</f>
        <v>98</v>
      </c>
      <c r="H89" s="328">
        <f>SUM(H48:H88)</f>
        <v>240</v>
      </c>
      <c r="I89" s="72">
        <f>SUM(I48:I88)</f>
        <v>172</v>
      </c>
      <c r="J89" s="46">
        <f t="shared" ref="J48:J89" si="3">SUM(G89:I89)</f>
        <v>510</v>
      </c>
    </row>
    <row r="90" spans="1:10" ht="16.3" x14ac:dyDescent="0.3">
      <c r="A90" s="455" t="s">
        <v>10</v>
      </c>
      <c r="B90" s="455"/>
      <c r="C90" s="455"/>
      <c r="D90" s="456"/>
    </row>
  </sheetData>
  <sortState xmlns:xlrd2="http://schemas.microsoft.com/office/spreadsheetml/2017/richdata2" ref="F48:J88">
    <sortCondition descending="1" ref="J48:J88"/>
  </sortState>
  <mergeCells count="20">
    <mergeCell ref="AA1:AC2"/>
    <mergeCell ref="O11:Q12"/>
    <mergeCell ref="O28:Q29"/>
    <mergeCell ref="V1:X2"/>
    <mergeCell ref="U11:W12"/>
    <mergeCell ref="O1:Q2"/>
    <mergeCell ref="R1:R2"/>
    <mergeCell ref="S1:U2"/>
    <mergeCell ref="R11:T12"/>
    <mergeCell ref="O19:Q20"/>
    <mergeCell ref="A90:D90"/>
    <mergeCell ref="K11:K12"/>
    <mergeCell ref="L11:N12"/>
    <mergeCell ref="A1:J1"/>
    <mergeCell ref="K1:K2"/>
    <mergeCell ref="L1:N2"/>
    <mergeCell ref="K19:K20"/>
    <mergeCell ref="K28:K29"/>
    <mergeCell ref="L28:N29"/>
    <mergeCell ref="L19:N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6"/>
  <sheetViews>
    <sheetView zoomScaleNormal="100" workbookViewId="0">
      <selection activeCell="M17" sqref="M17"/>
    </sheetView>
  </sheetViews>
  <sheetFormatPr defaultRowHeight="14.3" x14ac:dyDescent="0.25"/>
  <cols>
    <col min="1" max="1" width="19.625" customWidth="1"/>
    <col min="2" max="2" width="4.5" customWidth="1"/>
    <col min="3" max="3" width="4.875" bestFit="1" customWidth="1"/>
    <col min="4" max="4" width="4.5" customWidth="1"/>
    <col min="5" max="5" width="4.75" customWidth="1"/>
    <col min="6" max="6" width="19.625" customWidth="1"/>
    <col min="7" max="10" width="5.25" customWidth="1"/>
    <col min="11" max="11" width="15.25" customWidth="1"/>
    <col min="12" max="16" width="5.5" customWidth="1"/>
    <col min="17" max="17" width="5.75" customWidth="1"/>
    <col min="18" max="30" width="5.5" customWidth="1"/>
  </cols>
  <sheetData>
    <row r="1" spans="1:29" ht="14.95" customHeight="1" thickBot="1" x14ac:dyDescent="0.3">
      <c r="A1" s="489" t="s">
        <v>732</v>
      </c>
      <c r="B1" s="490"/>
      <c r="C1" s="490"/>
      <c r="D1" s="490"/>
      <c r="E1" s="490"/>
      <c r="F1" s="490"/>
      <c r="G1" s="490"/>
      <c r="H1" s="490"/>
      <c r="I1" s="490"/>
      <c r="J1" s="491"/>
      <c r="K1" s="492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Y1" s="58"/>
      <c r="Z1" s="58"/>
      <c r="AA1" s="447">
        <v>2022</v>
      </c>
      <c r="AB1" s="448"/>
      <c r="AC1" s="449"/>
    </row>
    <row r="2" spans="1:29" ht="14.95" customHeight="1" thickBot="1" x14ac:dyDescent="0.3">
      <c r="A2" s="67" t="s">
        <v>0</v>
      </c>
      <c r="B2" s="289" t="s">
        <v>14</v>
      </c>
      <c r="C2" s="100" t="s">
        <v>734</v>
      </c>
      <c r="D2" s="415" t="s">
        <v>11</v>
      </c>
      <c r="E2" s="70" t="s">
        <v>1</v>
      </c>
      <c r="F2" s="133" t="s">
        <v>2</v>
      </c>
      <c r="G2" s="291" t="s">
        <v>14</v>
      </c>
      <c r="H2" s="153" t="s">
        <v>734</v>
      </c>
      <c r="I2" s="414" t="s">
        <v>11</v>
      </c>
      <c r="J2" s="121" t="s">
        <v>1</v>
      </c>
      <c r="K2" s="493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Y2" s="58"/>
      <c r="Z2" s="58"/>
      <c r="AA2" s="450"/>
      <c r="AB2" s="451"/>
      <c r="AC2" s="452"/>
    </row>
    <row r="3" spans="1:29" ht="14.95" customHeight="1" thickBot="1" x14ac:dyDescent="0.3">
      <c r="A3" s="64" t="s">
        <v>56</v>
      </c>
      <c r="B3" s="290">
        <v>0</v>
      </c>
      <c r="C3" s="101">
        <v>1</v>
      </c>
      <c r="D3" s="227">
        <v>0</v>
      </c>
      <c r="E3" s="61">
        <f t="shared" ref="E3:E52" si="0">SUM(B3:D3)</f>
        <v>1</v>
      </c>
      <c r="F3" s="134" t="s">
        <v>56</v>
      </c>
      <c r="G3" s="292">
        <v>16</v>
      </c>
      <c r="H3" s="154">
        <v>15</v>
      </c>
      <c r="I3" s="1">
        <v>0</v>
      </c>
      <c r="J3" s="29">
        <f t="shared" ref="J3:J52" si="1">SUM(G3:I3)</f>
        <v>31</v>
      </c>
      <c r="K3" s="4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Y3" s="58"/>
      <c r="Z3" s="58"/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64" t="s">
        <v>40</v>
      </c>
      <c r="B4" s="290">
        <v>2</v>
      </c>
      <c r="C4" s="101">
        <v>0</v>
      </c>
      <c r="D4" s="227">
        <v>0</v>
      </c>
      <c r="E4" s="61">
        <f t="shared" si="0"/>
        <v>2</v>
      </c>
      <c r="F4" s="134" t="s">
        <v>40</v>
      </c>
      <c r="G4" s="292">
        <v>10</v>
      </c>
      <c r="H4" s="154">
        <v>0</v>
      </c>
      <c r="I4" s="1">
        <v>0</v>
      </c>
      <c r="J4" s="29">
        <f t="shared" si="1"/>
        <v>10</v>
      </c>
      <c r="K4" s="213" t="s">
        <v>56</v>
      </c>
      <c r="L4" s="65">
        <v>13</v>
      </c>
      <c r="M4" s="65">
        <v>16</v>
      </c>
      <c r="N4" s="66">
        <f>SUM(L4/M4)*100</f>
        <v>81.25</v>
      </c>
      <c r="O4" s="65" t="s">
        <v>8</v>
      </c>
      <c r="P4" s="65" t="s">
        <v>8</v>
      </c>
      <c r="Q4" s="66" t="s">
        <v>8</v>
      </c>
      <c r="R4" s="65">
        <v>3</v>
      </c>
      <c r="S4" s="61">
        <v>27</v>
      </c>
      <c r="T4" s="61">
        <v>45</v>
      </c>
      <c r="U4" s="120">
        <f>SUM(S4/T4)*100</f>
        <v>60</v>
      </c>
      <c r="V4" s="61">
        <v>12</v>
      </c>
      <c r="W4" s="61">
        <v>17</v>
      </c>
      <c r="X4" s="120">
        <f>SUM(V4/W4)*100</f>
        <v>70.588235294117652</v>
      </c>
      <c r="Y4" s="58"/>
      <c r="Z4" s="58"/>
      <c r="AA4" s="271" t="s">
        <v>8</v>
      </c>
      <c r="AB4" s="61" t="s">
        <v>8</v>
      </c>
      <c r="AC4" s="120" t="s">
        <v>8</v>
      </c>
    </row>
    <row r="5" spans="1:29" ht="14.95" customHeight="1" thickBot="1" x14ac:dyDescent="0.3">
      <c r="A5" s="64" t="s">
        <v>503</v>
      </c>
      <c r="B5" s="290">
        <v>0</v>
      </c>
      <c r="C5" s="101">
        <v>0</v>
      </c>
      <c r="D5" s="227">
        <v>0</v>
      </c>
      <c r="E5" s="61">
        <f t="shared" si="0"/>
        <v>0</v>
      </c>
      <c r="F5" s="134" t="s">
        <v>503</v>
      </c>
      <c r="G5" s="292">
        <v>0</v>
      </c>
      <c r="H5" s="154">
        <v>0</v>
      </c>
      <c r="I5" s="1">
        <v>0</v>
      </c>
      <c r="J5" s="29">
        <f t="shared" si="1"/>
        <v>0</v>
      </c>
      <c r="K5" s="64" t="s">
        <v>60</v>
      </c>
      <c r="L5" s="65">
        <v>48</v>
      </c>
      <c r="M5" s="65">
        <v>66</v>
      </c>
      <c r="N5" s="66">
        <f>SUM(L5/M5)*100</f>
        <v>72.727272727272734</v>
      </c>
      <c r="O5" s="65">
        <v>4</v>
      </c>
      <c r="P5" s="65">
        <v>5</v>
      </c>
      <c r="Q5" s="66">
        <f>SUM(O5/P5)*100</f>
        <v>80</v>
      </c>
      <c r="R5" s="65">
        <v>1</v>
      </c>
      <c r="S5" s="61">
        <v>4</v>
      </c>
      <c r="T5" s="61">
        <v>7</v>
      </c>
      <c r="U5" s="120">
        <f>SUM(S5/T5)*100</f>
        <v>57.142857142857139</v>
      </c>
      <c r="V5" s="61" t="s">
        <v>8</v>
      </c>
      <c r="W5" s="61" t="s">
        <v>8</v>
      </c>
      <c r="X5" s="120" t="s">
        <v>8</v>
      </c>
      <c r="Y5" s="58"/>
      <c r="Z5" s="58"/>
      <c r="AA5" s="271">
        <v>16</v>
      </c>
      <c r="AB5" s="61">
        <v>31</v>
      </c>
      <c r="AC5" s="120">
        <f>SUM(AA5/AB5)*100</f>
        <v>51.612903225806448</v>
      </c>
    </row>
    <row r="6" spans="1:29" ht="14.95" customHeight="1" thickBot="1" x14ac:dyDescent="0.3">
      <c r="A6" s="64" t="s">
        <v>530</v>
      </c>
      <c r="B6" s="290">
        <v>2</v>
      </c>
      <c r="C6" s="101">
        <v>3</v>
      </c>
      <c r="D6" s="227">
        <v>2</v>
      </c>
      <c r="E6" s="61">
        <f t="shared" ref="E6" si="2">SUM(B6:D6)</f>
        <v>7</v>
      </c>
      <c r="F6" s="134" t="s">
        <v>530</v>
      </c>
      <c r="G6" s="292">
        <v>10</v>
      </c>
      <c r="H6" s="154">
        <v>15</v>
      </c>
      <c r="I6" s="1">
        <v>10</v>
      </c>
      <c r="J6" s="29">
        <f t="shared" ref="J6" si="3">SUM(G6:I6)</f>
        <v>35</v>
      </c>
      <c r="K6" s="64" t="s">
        <v>100</v>
      </c>
      <c r="L6" s="65" t="s">
        <v>8</v>
      </c>
      <c r="M6" s="65" t="s">
        <v>8</v>
      </c>
      <c r="N6" s="66" t="s">
        <v>8</v>
      </c>
      <c r="O6" s="65" t="s">
        <v>8</v>
      </c>
      <c r="P6" s="65" t="s">
        <v>8</v>
      </c>
      <c r="Q6" s="66" t="s">
        <v>8</v>
      </c>
      <c r="R6" s="65">
        <v>-3</v>
      </c>
      <c r="S6" s="61">
        <v>0</v>
      </c>
      <c r="T6" s="61">
        <v>2</v>
      </c>
      <c r="U6" s="120">
        <f>SUM(S6/T6)*100</f>
        <v>0</v>
      </c>
      <c r="V6" s="61">
        <v>2</v>
      </c>
      <c r="W6" s="61">
        <v>5</v>
      </c>
      <c r="X6" s="120">
        <f>SUM(V6/W6)*100</f>
        <v>40</v>
      </c>
      <c r="Y6" s="58"/>
      <c r="Z6" s="58"/>
      <c r="AA6" s="271" t="s">
        <v>8</v>
      </c>
      <c r="AB6" s="61" t="s">
        <v>8</v>
      </c>
      <c r="AC6" s="120" t="s">
        <v>8</v>
      </c>
    </row>
    <row r="7" spans="1:29" ht="15.8" customHeight="1" thickBot="1" x14ac:dyDescent="0.3">
      <c r="A7" s="64" t="s">
        <v>41</v>
      </c>
      <c r="B7" s="290">
        <v>0</v>
      </c>
      <c r="C7" s="101">
        <v>0</v>
      </c>
      <c r="D7" s="227">
        <v>0</v>
      </c>
      <c r="E7" s="61">
        <f t="shared" si="0"/>
        <v>0</v>
      </c>
      <c r="F7" s="135" t="s">
        <v>41</v>
      </c>
      <c r="G7" s="292">
        <v>0</v>
      </c>
      <c r="H7" s="154">
        <v>0</v>
      </c>
      <c r="I7" s="1">
        <v>0</v>
      </c>
      <c r="J7" s="29">
        <f t="shared" si="1"/>
        <v>0</v>
      </c>
      <c r="K7" s="64" t="s">
        <v>65</v>
      </c>
      <c r="L7" s="65" t="s">
        <v>8</v>
      </c>
      <c r="M7" s="65" t="s">
        <v>8</v>
      </c>
      <c r="N7" s="66" t="s">
        <v>8</v>
      </c>
      <c r="O7" s="65" t="s">
        <v>8</v>
      </c>
      <c r="P7" s="65" t="s">
        <v>8</v>
      </c>
      <c r="Q7" s="66" t="s">
        <v>8</v>
      </c>
      <c r="R7" s="65">
        <v>2</v>
      </c>
      <c r="S7" s="61" t="s">
        <v>8</v>
      </c>
      <c r="T7" s="61" t="s">
        <v>8</v>
      </c>
      <c r="U7" s="120" t="s">
        <v>8</v>
      </c>
      <c r="V7" s="61">
        <v>1</v>
      </c>
      <c r="W7" s="61">
        <v>1</v>
      </c>
      <c r="X7" s="120">
        <f>SUM(V7/W7)*100</f>
        <v>100</v>
      </c>
      <c r="Y7" s="58"/>
      <c r="Z7" s="58"/>
      <c r="AA7" s="271">
        <v>1</v>
      </c>
      <c r="AB7" s="61">
        <v>1</v>
      </c>
      <c r="AC7" s="120">
        <f>SUM(AA7/AB7)*100</f>
        <v>100</v>
      </c>
    </row>
    <row r="8" spans="1:29" ht="15.8" customHeight="1" thickBot="1" x14ac:dyDescent="0.3">
      <c r="A8" s="64" t="s">
        <v>42</v>
      </c>
      <c r="B8" s="290">
        <v>3</v>
      </c>
      <c r="C8" s="101">
        <v>2</v>
      </c>
      <c r="D8" s="227">
        <v>2</v>
      </c>
      <c r="E8" s="61">
        <f t="shared" si="0"/>
        <v>7</v>
      </c>
      <c r="F8" s="135" t="s">
        <v>42</v>
      </c>
      <c r="G8" s="292">
        <v>15</v>
      </c>
      <c r="H8" s="154">
        <v>10</v>
      </c>
      <c r="I8" s="1">
        <v>10</v>
      </c>
      <c r="J8" s="29">
        <f t="shared" si="1"/>
        <v>35</v>
      </c>
      <c r="K8" s="64" t="s">
        <v>66</v>
      </c>
      <c r="L8" s="65">
        <v>11</v>
      </c>
      <c r="M8" s="65">
        <v>14</v>
      </c>
      <c r="N8" s="66">
        <f>SUM(L8/M8)*100</f>
        <v>78.571428571428569</v>
      </c>
      <c r="O8" s="65" t="s">
        <v>8</v>
      </c>
      <c r="P8" s="65" t="s">
        <v>8</v>
      </c>
      <c r="Q8" s="66" t="s">
        <v>8</v>
      </c>
      <c r="R8" s="65">
        <v>1</v>
      </c>
      <c r="S8" s="61">
        <v>5</v>
      </c>
      <c r="T8" s="61">
        <v>12</v>
      </c>
      <c r="U8" s="120">
        <f>SUM(S8/T8)*100</f>
        <v>41.666666666666671</v>
      </c>
      <c r="V8" s="61">
        <v>15</v>
      </c>
      <c r="W8" s="61">
        <v>22</v>
      </c>
      <c r="X8" s="120">
        <f>SUM(V8/W8)*100</f>
        <v>68.181818181818173</v>
      </c>
      <c r="Y8" s="58"/>
      <c r="Z8" s="58"/>
      <c r="AA8" s="271">
        <v>7</v>
      </c>
      <c r="AB8" s="61">
        <v>11</v>
      </c>
      <c r="AC8" s="120">
        <f>SUM(AA8/AB8)*100</f>
        <v>63.636363636363633</v>
      </c>
    </row>
    <row r="9" spans="1:29" ht="14.95" customHeight="1" thickBot="1" x14ac:dyDescent="0.3">
      <c r="A9" s="64" t="s">
        <v>43</v>
      </c>
      <c r="B9" s="290">
        <v>0</v>
      </c>
      <c r="C9" s="101">
        <v>1</v>
      </c>
      <c r="D9" s="227">
        <v>1</v>
      </c>
      <c r="E9" s="61">
        <f t="shared" si="0"/>
        <v>2</v>
      </c>
      <c r="F9" s="135" t="s">
        <v>43</v>
      </c>
      <c r="G9" s="292">
        <v>0</v>
      </c>
      <c r="H9" s="154">
        <v>5</v>
      </c>
      <c r="I9" s="1">
        <v>5</v>
      </c>
      <c r="J9" s="29">
        <f t="shared" si="1"/>
        <v>10</v>
      </c>
      <c r="K9" s="64" t="s">
        <v>67</v>
      </c>
      <c r="L9" s="65">
        <v>0</v>
      </c>
      <c r="M9" s="65">
        <v>1</v>
      </c>
      <c r="N9" s="66">
        <f>SUM(L9/M9)*100</f>
        <v>0</v>
      </c>
      <c r="O9" s="65" t="s">
        <v>8</v>
      </c>
      <c r="P9" s="65" t="s">
        <v>8</v>
      </c>
      <c r="Q9" s="66" t="s">
        <v>8</v>
      </c>
      <c r="R9" s="65">
        <v>-1</v>
      </c>
      <c r="S9" s="61" t="s">
        <v>8</v>
      </c>
      <c r="T9" s="61" t="s">
        <v>8</v>
      </c>
      <c r="U9" s="120" t="s">
        <v>8</v>
      </c>
      <c r="V9" s="61" t="s">
        <v>8</v>
      </c>
      <c r="W9" s="61" t="s">
        <v>8</v>
      </c>
      <c r="X9" s="120" t="s">
        <v>8</v>
      </c>
      <c r="AA9" s="271">
        <v>41</v>
      </c>
      <c r="AB9" s="61">
        <v>60</v>
      </c>
      <c r="AC9" s="120">
        <f>SUM(AA9/AB9)*100</f>
        <v>68.333333333333329</v>
      </c>
    </row>
    <row r="10" spans="1:29" ht="14.95" customHeight="1" thickBot="1" x14ac:dyDescent="0.3">
      <c r="A10" s="64" t="s">
        <v>57</v>
      </c>
      <c r="B10" s="290">
        <v>0</v>
      </c>
      <c r="C10" s="101">
        <v>6</v>
      </c>
      <c r="D10" s="227">
        <v>1</v>
      </c>
      <c r="E10" s="61">
        <f t="shared" si="0"/>
        <v>7</v>
      </c>
      <c r="F10" s="135" t="s">
        <v>57</v>
      </c>
      <c r="G10" s="292">
        <v>0</v>
      </c>
      <c r="H10" s="154">
        <v>30</v>
      </c>
      <c r="I10" s="1">
        <v>5</v>
      </c>
      <c r="J10" s="29">
        <f t="shared" si="1"/>
        <v>35</v>
      </c>
      <c r="K10" s="64" t="s">
        <v>68</v>
      </c>
      <c r="L10" s="65">
        <v>9</v>
      </c>
      <c r="M10" s="65">
        <v>11</v>
      </c>
      <c r="N10" s="66">
        <f>SUM(L10/M10)*100</f>
        <v>81.818181818181827</v>
      </c>
      <c r="O10" s="65" t="s">
        <v>8</v>
      </c>
      <c r="P10" s="65" t="s">
        <v>8</v>
      </c>
      <c r="Q10" s="66" t="s">
        <v>8</v>
      </c>
      <c r="R10" s="65">
        <v>6</v>
      </c>
      <c r="S10" s="61" t="s">
        <v>8</v>
      </c>
      <c r="T10" s="61" t="s">
        <v>8</v>
      </c>
      <c r="U10" s="120" t="s">
        <v>8</v>
      </c>
      <c r="V10" s="61">
        <v>5</v>
      </c>
      <c r="W10" s="61">
        <v>11</v>
      </c>
      <c r="X10" s="120">
        <f>SUM(V10/W10)*100</f>
        <v>45.454545454545453</v>
      </c>
      <c r="AA10" s="271" t="s">
        <v>8</v>
      </c>
      <c r="AB10" s="61" t="s">
        <v>8</v>
      </c>
      <c r="AC10" s="120" t="s">
        <v>8</v>
      </c>
    </row>
    <row r="11" spans="1:29" ht="14.95" thickBot="1" x14ac:dyDescent="0.3">
      <c r="A11" s="64" t="s">
        <v>668</v>
      </c>
      <c r="B11" s="290">
        <v>0</v>
      </c>
      <c r="C11" s="101">
        <v>0</v>
      </c>
      <c r="D11" s="227">
        <v>0</v>
      </c>
      <c r="E11" s="61">
        <f t="shared" si="0"/>
        <v>0</v>
      </c>
      <c r="F11" s="135" t="s">
        <v>668</v>
      </c>
      <c r="G11" s="292">
        <v>0</v>
      </c>
      <c r="H11" s="154">
        <v>0</v>
      </c>
      <c r="I11" s="1">
        <v>0</v>
      </c>
      <c r="J11" s="29">
        <f t="shared" si="1"/>
        <v>0</v>
      </c>
      <c r="K11" s="64" t="s">
        <v>69</v>
      </c>
      <c r="L11" s="65" t="s">
        <v>8</v>
      </c>
      <c r="M11" s="65" t="s">
        <v>8</v>
      </c>
      <c r="N11" s="66" t="s">
        <v>8</v>
      </c>
      <c r="O11" s="65" t="s">
        <v>8</v>
      </c>
      <c r="P11" s="65" t="s">
        <v>8</v>
      </c>
      <c r="Q11" s="66" t="s">
        <v>8</v>
      </c>
      <c r="R11" s="65">
        <v>1</v>
      </c>
      <c r="S11" s="61" t="s">
        <v>8</v>
      </c>
      <c r="T11" s="61" t="s">
        <v>8</v>
      </c>
      <c r="U11" s="120" t="s">
        <v>8</v>
      </c>
      <c r="V11" s="61">
        <v>9</v>
      </c>
      <c r="W11" s="61">
        <v>19</v>
      </c>
      <c r="X11" s="120">
        <f>SUM(V11/W11)*100</f>
        <v>47.368421052631575</v>
      </c>
      <c r="AA11" s="271">
        <v>41</v>
      </c>
      <c r="AB11" s="61">
        <v>60</v>
      </c>
      <c r="AC11" s="120">
        <f>SUM(AA11/AB11)*100</f>
        <v>68.333333333333329</v>
      </c>
    </row>
    <row r="12" spans="1:29" ht="14.95" thickBot="1" x14ac:dyDescent="0.3">
      <c r="A12" s="64" t="s">
        <v>755</v>
      </c>
      <c r="B12" s="290">
        <v>2</v>
      </c>
      <c r="C12" s="101">
        <v>0</v>
      </c>
      <c r="D12" s="227">
        <v>0</v>
      </c>
      <c r="E12" s="61">
        <f t="shared" si="0"/>
        <v>2</v>
      </c>
      <c r="F12" s="135" t="s">
        <v>756</v>
      </c>
      <c r="G12" s="292">
        <v>10</v>
      </c>
      <c r="H12" s="154">
        <v>0</v>
      </c>
      <c r="I12" s="1">
        <v>0</v>
      </c>
      <c r="J12" s="29">
        <f t="shared" si="1"/>
        <v>10</v>
      </c>
      <c r="K12" s="45"/>
      <c r="L12" s="45"/>
      <c r="M12" s="45"/>
      <c r="N12" s="45"/>
      <c r="O12" s="45"/>
      <c r="P12" s="45"/>
      <c r="Q12" s="45"/>
      <c r="R12" s="7"/>
      <c r="S12" s="58"/>
      <c r="T12" s="58"/>
      <c r="U12" s="58"/>
    </row>
    <row r="13" spans="1:29" ht="14.95" customHeight="1" thickBot="1" x14ac:dyDescent="0.3">
      <c r="A13" s="64" t="s">
        <v>44</v>
      </c>
      <c r="B13" s="290">
        <v>0</v>
      </c>
      <c r="C13" s="101">
        <v>0</v>
      </c>
      <c r="D13" s="227">
        <v>1</v>
      </c>
      <c r="E13" s="61">
        <f t="shared" si="0"/>
        <v>1</v>
      </c>
      <c r="F13" s="135" t="s">
        <v>44</v>
      </c>
      <c r="G13" s="292">
        <v>0</v>
      </c>
      <c r="H13" s="154">
        <v>0</v>
      </c>
      <c r="I13" s="1">
        <v>5</v>
      </c>
      <c r="J13" s="29">
        <f t="shared" si="1"/>
        <v>5</v>
      </c>
      <c r="K13" s="494" t="s">
        <v>13</v>
      </c>
      <c r="L13" s="461">
        <v>2025</v>
      </c>
      <c r="M13" s="479"/>
      <c r="N13" s="480"/>
      <c r="O13" s="447">
        <v>2024</v>
      </c>
      <c r="P13" s="484"/>
      <c r="Q13" s="485"/>
      <c r="R13" s="447">
        <v>2023</v>
      </c>
      <c r="S13" s="484"/>
      <c r="T13" s="485"/>
      <c r="U13" s="447">
        <v>2022</v>
      </c>
      <c r="V13" s="484"/>
      <c r="W13" s="485"/>
      <c r="X13" s="59"/>
      <c r="Y13" s="59"/>
      <c r="Z13" s="59"/>
    </row>
    <row r="14" spans="1:29" ht="14.95" customHeight="1" thickBot="1" x14ac:dyDescent="0.3">
      <c r="A14" s="64" t="s">
        <v>504</v>
      </c>
      <c r="B14" s="290">
        <v>0</v>
      </c>
      <c r="C14" s="101">
        <v>1</v>
      </c>
      <c r="D14" s="227">
        <v>0</v>
      </c>
      <c r="E14" s="61">
        <f t="shared" si="0"/>
        <v>1</v>
      </c>
      <c r="F14" s="135" t="s">
        <v>504</v>
      </c>
      <c r="G14" s="292">
        <v>0</v>
      </c>
      <c r="H14" s="154">
        <v>5</v>
      </c>
      <c r="I14" s="1">
        <v>0</v>
      </c>
      <c r="J14" s="29">
        <f t="shared" si="1"/>
        <v>5</v>
      </c>
      <c r="K14" s="495"/>
      <c r="L14" s="481"/>
      <c r="M14" s="482"/>
      <c r="N14" s="483"/>
      <c r="O14" s="486"/>
      <c r="P14" s="487"/>
      <c r="Q14" s="488"/>
      <c r="R14" s="486"/>
      <c r="S14" s="487"/>
      <c r="T14" s="488"/>
      <c r="U14" s="486"/>
      <c r="V14" s="487"/>
      <c r="W14" s="488"/>
      <c r="X14" s="99"/>
      <c r="Y14" s="99"/>
      <c r="Z14" s="99"/>
      <c r="AA14" s="97"/>
    </row>
    <row r="15" spans="1:29" ht="14.95" customHeight="1" thickBot="1" x14ac:dyDescent="0.3">
      <c r="A15" s="64" t="s">
        <v>45</v>
      </c>
      <c r="B15" s="290">
        <v>0</v>
      </c>
      <c r="C15" s="101">
        <v>0</v>
      </c>
      <c r="D15" s="227">
        <v>0</v>
      </c>
      <c r="E15" s="61">
        <f t="shared" si="0"/>
        <v>0</v>
      </c>
      <c r="F15" s="135" t="s">
        <v>45</v>
      </c>
      <c r="G15" s="292">
        <v>0</v>
      </c>
      <c r="H15" s="154">
        <v>0</v>
      </c>
      <c r="I15" s="1">
        <v>0</v>
      </c>
      <c r="J15" s="29">
        <f t="shared" si="1"/>
        <v>0</v>
      </c>
      <c r="K15" s="288"/>
      <c r="L15" s="250" t="s">
        <v>17</v>
      </c>
      <c r="M15" s="250" t="s">
        <v>5</v>
      </c>
      <c r="N15" s="250" t="s">
        <v>6</v>
      </c>
      <c r="O15" s="196" t="s">
        <v>17</v>
      </c>
      <c r="P15" s="196" t="s">
        <v>5</v>
      </c>
      <c r="Q15" s="196" t="s">
        <v>6</v>
      </c>
      <c r="R15" s="196" t="s">
        <v>17</v>
      </c>
      <c r="S15" s="196" t="s">
        <v>5</v>
      </c>
      <c r="T15" s="196" t="s">
        <v>6</v>
      </c>
      <c r="U15" s="196" t="s">
        <v>17</v>
      </c>
      <c r="V15" s="196" t="s">
        <v>5</v>
      </c>
      <c r="W15" s="196" t="s">
        <v>6</v>
      </c>
      <c r="X15" s="58"/>
      <c r="Y15" s="99"/>
      <c r="Z15" s="99"/>
      <c r="AA15" s="97"/>
    </row>
    <row r="16" spans="1:29" ht="14.95" customHeight="1" thickBot="1" x14ac:dyDescent="0.3">
      <c r="A16" s="64" t="s">
        <v>46</v>
      </c>
      <c r="B16" s="290">
        <v>0</v>
      </c>
      <c r="C16" s="101">
        <v>0</v>
      </c>
      <c r="D16" s="227">
        <v>0</v>
      </c>
      <c r="E16" s="61">
        <f t="shared" si="0"/>
        <v>0</v>
      </c>
      <c r="F16" s="135" t="s">
        <v>46</v>
      </c>
      <c r="G16" s="292">
        <v>0</v>
      </c>
      <c r="H16" s="154">
        <v>0</v>
      </c>
      <c r="I16" s="1">
        <v>0</v>
      </c>
      <c r="J16" s="29">
        <f t="shared" si="1"/>
        <v>0</v>
      </c>
      <c r="K16" s="213" t="s">
        <v>56</v>
      </c>
      <c r="L16" s="65">
        <v>8</v>
      </c>
      <c r="M16" s="65">
        <v>10</v>
      </c>
      <c r="N16" s="66">
        <f>SUM(L16/M16)*100</f>
        <v>80</v>
      </c>
      <c r="O16" s="120">
        <v>21</v>
      </c>
      <c r="P16" s="120">
        <v>35</v>
      </c>
      <c r="Q16" s="120">
        <f>SUM(O16/P16)*100</f>
        <v>60</v>
      </c>
      <c r="R16" s="120">
        <v>1</v>
      </c>
      <c r="S16" s="120">
        <v>5</v>
      </c>
      <c r="T16" s="120">
        <f>SUM(R16/S16)*100</f>
        <v>20</v>
      </c>
      <c r="U16" s="61" t="s">
        <v>8</v>
      </c>
      <c r="V16" s="61" t="s">
        <v>8</v>
      </c>
      <c r="W16" s="120" t="s">
        <v>8</v>
      </c>
      <c r="X16" s="58"/>
      <c r="Y16" s="99"/>
      <c r="Z16" s="99"/>
      <c r="AA16" s="97"/>
    </row>
    <row r="17" spans="1:27" ht="14.95" customHeight="1" thickBot="1" x14ac:dyDescent="0.3">
      <c r="A17" s="64" t="s">
        <v>769</v>
      </c>
      <c r="B17" s="290">
        <v>2</v>
      </c>
      <c r="C17" s="101">
        <v>5</v>
      </c>
      <c r="D17" s="227">
        <v>0</v>
      </c>
      <c r="E17" s="61">
        <f t="shared" si="0"/>
        <v>7</v>
      </c>
      <c r="F17" s="135" t="s">
        <v>769</v>
      </c>
      <c r="G17" s="292">
        <v>10</v>
      </c>
      <c r="H17" s="154">
        <v>25</v>
      </c>
      <c r="I17" s="1">
        <v>0</v>
      </c>
      <c r="J17" s="29">
        <f t="shared" si="1"/>
        <v>35</v>
      </c>
      <c r="K17" s="64" t="s">
        <v>60</v>
      </c>
      <c r="L17" s="65">
        <v>16</v>
      </c>
      <c r="M17" s="65">
        <v>24</v>
      </c>
      <c r="N17" s="66">
        <f>SUM(L17/M17)*100</f>
        <v>66.666666666666657</v>
      </c>
      <c r="O17" s="61">
        <v>4</v>
      </c>
      <c r="P17" s="61">
        <v>7</v>
      </c>
      <c r="Q17" s="120">
        <f>SUM(O17/P17)*100</f>
        <v>57.142857142857139</v>
      </c>
      <c r="R17" s="61" t="s">
        <v>8</v>
      </c>
      <c r="S17" s="61" t="s">
        <v>8</v>
      </c>
      <c r="T17" s="120" t="s">
        <v>8</v>
      </c>
      <c r="U17" s="61">
        <v>9</v>
      </c>
      <c r="V17" s="61">
        <v>18</v>
      </c>
      <c r="W17" s="120">
        <f>SUM(U17/V17)*100</f>
        <v>50</v>
      </c>
      <c r="X17" s="58"/>
      <c r="Y17" s="58"/>
      <c r="Z17" s="58"/>
      <c r="AA17" s="98"/>
    </row>
    <row r="18" spans="1:27" ht="14.95" thickBot="1" x14ac:dyDescent="0.3">
      <c r="A18" s="64" t="s">
        <v>47</v>
      </c>
      <c r="B18" s="290">
        <v>1</v>
      </c>
      <c r="C18" s="101">
        <v>4</v>
      </c>
      <c r="D18" s="227">
        <v>1</v>
      </c>
      <c r="E18" s="61">
        <f t="shared" si="0"/>
        <v>6</v>
      </c>
      <c r="F18" s="135" t="s">
        <v>47</v>
      </c>
      <c r="G18" s="292">
        <v>5</v>
      </c>
      <c r="H18" s="154">
        <v>20</v>
      </c>
      <c r="I18" s="1">
        <v>5</v>
      </c>
      <c r="J18" s="29">
        <f t="shared" si="1"/>
        <v>30</v>
      </c>
      <c r="K18" s="64" t="s">
        <v>511</v>
      </c>
      <c r="L18" s="65" t="s">
        <v>8</v>
      </c>
      <c r="M18" s="65" t="s">
        <v>8</v>
      </c>
      <c r="N18" s="66" t="s">
        <v>8</v>
      </c>
      <c r="O18" s="61">
        <v>0</v>
      </c>
      <c r="P18" s="61">
        <v>2</v>
      </c>
      <c r="Q18" s="120">
        <f>SUM(O18/P18)*100</f>
        <v>0</v>
      </c>
      <c r="R18" s="61"/>
      <c r="S18" s="61"/>
      <c r="T18" s="120"/>
      <c r="U18" s="61"/>
      <c r="V18" s="61"/>
      <c r="W18" s="120"/>
      <c r="X18" s="58"/>
      <c r="Y18" s="58"/>
      <c r="Z18" s="58"/>
      <c r="AA18" s="98"/>
    </row>
    <row r="19" spans="1:27" ht="14.95" customHeight="1" thickBot="1" x14ac:dyDescent="0.3">
      <c r="A19" s="64" t="s">
        <v>58</v>
      </c>
      <c r="B19" s="290">
        <v>0</v>
      </c>
      <c r="C19" s="101">
        <v>0</v>
      </c>
      <c r="D19" s="227">
        <v>0</v>
      </c>
      <c r="E19" s="61">
        <f t="shared" si="0"/>
        <v>0</v>
      </c>
      <c r="F19" s="135" t="s">
        <v>58</v>
      </c>
      <c r="G19" s="292">
        <v>0</v>
      </c>
      <c r="H19" s="154">
        <v>0</v>
      </c>
      <c r="I19" s="1">
        <v>0</v>
      </c>
      <c r="J19" s="29">
        <f t="shared" si="1"/>
        <v>0</v>
      </c>
      <c r="K19" s="64" t="s">
        <v>65</v>
      </c>
      <c r="L19" s="65" t="s">
        <v>8</v>
      </c>
      <c r="M19" s="65" t="s">
        <v>8</v>
      </c>
      <c r="N19" s="66" t="s">
        <v>8</v>
      </c>
      <c r="O19" s="61" t="s">
        <v>8</v>
      </c>
      <c r="P19" s="61" t="s">
        <v>8</v>
      </c>
      <c r="Q19" s="120" t="s">
        <v>8</v>
      </c>
      <c r="R19" s="61">
        <v>1</v>
      </c>
      <c r="S19" s="61">
        <v>1</v>
      </c>
      <c r="T19" s="120">
        <f>SUM(R19/S19)*100</f>
        <v>100</v>
      </c>
      <c r="U19" s="61" t="s">
        <v>8</v>
      </c>
      <c r="V19" s="61" t="s">
        <v>8</v>
      </c>
      <c r="W19" s="120" t="s">
        <v>8</v>
      </c>
      <c r="X19" s="58"/>
      <c r="Y19" s="58"/>
      <c r="Z19" s="58"/>
      <c r="AA19" s="98"/>
    </row>
    <row r="20" spans="1:27" ht="14.95" thickBot="1" x14ac:dyDescent="0.3">
      <c r="A20" s="64" t="s">
        <v>59</v>
      </c>
      <c r="B20" s="290">
        <v>6</v>
      </c>
      <c r="C20" s="101">
        <v>2</v>
      </c>
      <c r="D20" s="227">
        <v>1</v>
      </c>
      <c r="E20" s="61">
        <f t="shared" si="0"/>
        <v>9</v>
      </c>
      <c r="F20" s="135" t="s">
        <v>59</v>
      </c>
      <c r="G20" s="292">
        <v>30</v>
      </c>
      <c r="H20" s="154">
        <v>10</v>
      </c>
      <c r="I20" s="1">
        <v>5</v>
      </c>
      <c r="J20" s="29">
        <f t="shared" si="1"/>
        <v>45</v>
      </c>
      <c r="K20" s="64" t="s">
        <v>66</v>
      </c>
      <c r="L20" s="65" t="s">
        <v>8</v>
      </c>
      <c r="M20" s="65" t="s">
        <v>8</v>
      </c>
      <c r="N20" s="66" t="s">
        <v>8</v>
      </c>
      <c r="O20" s="61" t="s">
        <v>8</v>
      </c>
      <c r="P20" s="61" t="s">
        <v>8</v>
      </c>
      <c r="Q20" s="120" t="s">
        <v>8</v>
      </c>
      <c r="R20" s="61">
        <v>6</v>
      </c>
      <c r="S20" s="61">
        <v>8</v>
      </c>
      <c r="T20" s="120">
        <f>SUM(R20/S20)*100</f>
        <v>75</v>
      </c>
      <c r="U20" s="61">
        <v>5</v>
      </c>
      <c r="V20" s="61">
        <v>9</v>
      </c>
      <c r="W20" s="120">
        <f>SUM(U20/V20)*100</f>
        <v>55.555555555555557</v>
      </c>
      <c r="X20" s="58"/>
      <c r="Y20" s="58"/>
      <c r="Z20" s="58"/>
      <c r="AA20" s="98"/>
    </row>
    <row r="21" spans="1:27" ht="14.95" thickBot="1" x14ac:dyDescent="0.3">
      <c r="A21" s="64" t="s">
        <v>603</v>
      </c>
      <c r="B21" s="290">
        <v>2</v>
      </c>
      <c r="C21" s="101">
        <v>1</v>
      </c>
      <c r="D21" s="227">
        <v>1</v>
      </c>
      <c r="E21" s="61">
        <f t="shared" si="0"/>
        <v>4</v>
      </c>
      <c r="F21" s="135" t="s">
        <v>603</v>
      </c>
      <c r="G21" s="292">
        <v>10</v>
      </c>
      <c r="H21" s="154">
        <v>5</v>
      </c>
      <c r="I21" s="1">
        <v>5</v>
      </c>
      <c r="J21" s="29">
        <f t="shared" si="1"/>
        <v>20</v>
      </c>
      <c r="K21" s="64" t="s">
        <v>67</v>
      </c>
      <c r="L21" s="65" t="s">
        <v>8</v>
      </c>
      <c r="M21" s="65" t="s">
        <v>8</v>
      </c>
      <c r="N21" s="66" t="s">
        <v>8</v>
      </c>
      <c r="O21" s="61" t="s">
        <v>8</v>
      </c>
      <c r="P21" s="61" t="s">
        <v>8</v>
      </c>
      <c r="Q21" s="120" t="s">
        <v>8</v>
      </c>
      <c r="R21" s="61" t="s">
        <v>8</v>
      </c>
      <c r="S21" s="61" t="s">
        <v>8</v>
      </c>
      <c r="T21" s="120" t="s">
        <v>8</v>
      </c>
      <c r="U21" s="61">
        <v>14</v>
      </c>
      <c r="V21" s="61">
        <v>19</v>
      </c>
      <c r="W21" s="120">
        <f>SUM(U21/V21)*100</f>
        <v>73.68421052631578</v>
      </c>
      <c r="X21" s="58"/>
      <c r="Y21" s="58"/>
      <c r="Z21" s="58"/>
      <c r="AA21" s="98"/>
    </row>
    <row r="22" spans="1:27" ht="14.95" customHeight="1" thickBot="1" x14ac:dyDescent="0.3">
      <c r="A22" s="64" t="s">
        <v>48</v>
      </c>
      <c r="B22" s="290">
        <v>0</v>
      </c>
      <c r="C22" s="101">
        <v>0</v>
      </c>
      <c r="D22" s="227">
        <v>0</v>
      </c>
      <c r="E22" s="61">
        <f t="shared" si="0"/>
        <v>0</v>
      </c>
      <c r="F22" s="135" t="s">
        <v>48</v>
      </c>
      <c r="G22" s="292">
        <v>0</v>
      </c>
      <c r="H22" s="154">
        <v>0</v>
      </c>
      <c r="I22" s="1">
        <v>0</v>
      </c>
      <c r="J22" s="29">
        <f t="shared" si="1"/>
        <v>0</v>
      </c>
      <c r="K22" s="64" t="s">
        <v>68</v>
      </c>
      <c r="L22" s="65">
        <v>3</v>
      </c>
      <c r="M22" s="65">
        <v>5</v>
      </c>
      <c r="N22" s="66">
        <f>SUM(L22/M22)*100</f>
        <v>60</v>
      </c>
      <c r="O22" s="61" t="s">
        <v>8</v>
      </c>
      <c r="P22" s="61" t="s">
        <v>8</v>
      </c>
      <c r="Q22" s="120" t="s">
        <v>8</v>
      </c>
      <c r="R22" s="61">
        <v>5</v>
      </c>
      <c r="S22" s="61">
        <v>11</v>
      </c>
      <c r="T22" s="120">
        <f>SUM(R22/S22)*100</f>
        <v>45.454545454545453</v>
      </c>
      <c r="U22" s="61" t="s">
        <v>8</v>
      </c>
      <c r="V22" s="61" t="s">
        <v>8</v>
      </c>
      <c r="W22" s="120" t="s">
        <v>8</v>
      </c>
      <c r="X22" s="58"/>
      <c r="Y22" s="58"/>
      <c r="Z22" s="58"/>
      <c r="AA22" s="98"/>
    </row>
    <row r="23" spans="1:27" ht="14.95" thickBot="1" x14ac:dyDescent="0.3">
      <c r="A23" s="64" t="s">
        <v>49</v>
      </c>
      <c r="B23" s="290">
        <v>0</v>
      </c>
      <c r="C23" s="101">
        <v>0</v>
      </c>
      <c r="D23" s="227">
        <v>0</v>
      </c>
      <c r="E23" s="61">
        <f t="shared" si="0"/>
        <v>0</v>
      </c>
      <c r="F23" s="135" t="s">
        <v>49</v>
      </c>
      <c r="G23" s="292">
        <v>0</v>
      </c>
      <c r="H23" s="154">
        <v>0</v>
      </c>
      <c r="I23" s="1">
        <v>0</v>
      </c>
      <c r="J23" s="29">
        <f t="shared" si="1"/>
        <v>0</v>
      </c>
      <c r="K23" s="64" t="s">
        <v>69</v>
      </c>
      <c r="L23" s="65" t="s">
        <v>8</v>
      </c>
      <c r="M23" s="65" t="s">
        <v>8</v>
      </c>
      <c r="N23" s="66" t="s">
        <v>8</v>
      </c>
      <c r="O23" s="61" t="s">
        <v>8</v>
      </c>
      <c r="P23" s="61" t="s">
        <v>8</v>
      </c>
      <c r="Q23" s="120" t="s">
        <v>8</v>
      </c>
      <c r="R23" s="61">
        <v>9</v>
      </c>
      <c r="S23" s="61">
        <v>19</v>
      </c>
      <c r="T23" s="120">
        <f>SUM(R23/S23)*100</f>
        <v>47.368421052631575</v>
      </c>
      <c r="U23" s="61" t="s">
        <v>8</v>
      </c>
      <c r="V23" s="61" t="s">
        <v>8</v>
      </c>
      <c r="W23" s="120" t="s">
        <v>8</v>
      </c>
      <c r="X23" s="58"/>
      <c r="Y23" s="58"/>
      <c r="Z23" s="58"/>
      <c r="AA23" s="98"/>
    </row>
    <row r="24" spans="1:27" ht="14.95" thickBot="1" x14ac:dyDescent="0.3">
      <c r="A24" s="64" t="s">
        <v>60</v>
      </c>
      <c r="B24" s="290">
        <v>1</v>
      </c>
      <c r="C24" s="101">
        <v>0</v>
      </c>
      <c r="D24" s="227">
        <v>0</v>
      </c>
      <c r="E24" s="61">
        <f t="shared" si="0"/>
        <v>1</v>
      </c>
      <c r="F24" s="135" t="s">
        <v>60</v>
      </c>
      <c r="G24" s="292">
        <v>37</v>
      </c>
      <c r="H24" s="154">
        <v>42</v>
      </c>
      <c r="I24" s="1">
        <v>22</v>
      </c>
      <c r="J24" s="29">
        <f t="shared" si="1"/>
        <v>101</v>
      </c>
      <c r="K24" s="108" t="s">
        <v>9</v>
      </c>
      <c r="O24" s="58"/>
      <c r="P24" s="58"/>
      <c r="Q24" s="58"/>
      <c r="R24" s="58"/>
      <c r="S24" s="58"/>
      <c r="T24" s="58"/>
      <c r="U24" s="98"/>
    </row>
    <row r="25" spans="1:27" ht="14.95" customHeight="1" thickBot="1" x14ac:dyDescent="0.3">
      <c r="A25" s="64" t="s">
        <v>390</v>
      </c>
      <c r="B25" s="290">
        <v>0</v>
      </c>
      <c r="C25" s="101">
        <v>0</v>
      </c>
      <c r="D25" s="227">
        <v>0</v>
      </c>
      <c r="E25" s="61">
        <f t="shared" si="0"/>
        <v>0</v>
      </c>
      <c r="F25" s="135" t="s">
        <v>390</v>
      </c>
      <c r="G25" s="292">
        <v>0</v>
      </c>
      <c r="H25" s="154">
        <v>0</v>
      </c>
      <c r="I25" s="1">
        <v>0</v>
      </c>
      <c r="J25" s="29">
        <f t="shared" si="1"/>
        <v>0</v>
      </c>
      <c r="K25" s="459" t="s">
        <v>351</v>
      </c>
      <c r="L25" s="461">
        <v>2025</v>
      </c>
      <c r="M25" s="479"/>
      <c r="N25" s="480"/>
      <c r="O25" s="441">
        <v>2022</v>
      </c>
      <c r="P25" s="442"/>
      <c r="Q25" s="443"/>
      <c r="S25" s="58"/>
      <c r="T25" s="58"/>
      <c r="U25" s="98"/>
    </row>
    <row r="26" spans="1:27" ht="14.95" customHeight="1" thickBot="1" x14ac:dyDescent="0.3">
      <c r="A26" s="64" t="s">
        <v>512</v>
      </c>
      <c r="B26" s="290">
        <v>0</v>
      </c>
      <c r="C26" s="101">
        <v>0</v>
      </c>
      <c r="D26" s="227">
        <v>0</v>
      </c>
      <c r="E26" s="61">
        <f t="shared" si="0"/>
        <v>0</v>
      </c>
      <c r="F26" s="135" t="s">
        <v>512</v>
      </c>
      <c r="G26" s="292">
        <v>0</v>
      </c>
      <c r="H26" s="154">
        <v>0</v>
      </c>
      <c r="I26" s="1">
        <v>0</v>
      </c>
      <c r="J26" s="29">
        <f t="shared" si="1"/>
        <v>0</v>
      </c>
      <c r="K26" s="460"/>
      <c r="L26" s="481"/>
      <c r="M26" s="482"/>
      <c r="N26" s="483"/>
      <c r="O26" s="444"/>
      <c r="P26" s="445"/>
      <c r="Q26" s="446"/>
    </row>
    <row r="27" spans="1:27" ht="14.95" thickBot="1" x14ac:dyDescent="0.3">
      <c r="A27" s="64" t="s">
        <v>915</v>
      </c>
      <c r="B27" s="290">
        <v>0</v>
      </c>
      <c r="C27" s="101">
        <v>0</v>
      </c>
      <c r="D27" s="227">
        <v>1</v>
      </c>
      <c r="E27" s="61">
        <f t="shared" si="0"/>
        <v>1</v>
      </c>
      <c r="F27" s="135" t="s">
        <v>915</v>
      </c>
      <c r="G27" s="292">
        <v>0</v>
      </c>
      <c r="H27" s="154">
        <v>0</v>
      </c>
      <c r="I27" s="1">
        <v>5</v>
      </c>
      <c r="J27" s="29">
        <f t="shared" si="1"/>
        <v>5</v>
      </c>
      <c r="K27" s="317"/>
      <c r="L27" s="250" t="s">
        <v>17</v>
      </c>
      <c r="M27" s="250" t="s">
        <v>5</v>
      </c>
      <c r="N27" s="250" t="s">
        <v>6</v>
      </c>
      <c r="O27" s="61" t="s">
        <v>17</v>
      </c>
      <c r="P27" s="61" t="s">
        <v>5</v>
      </c>
      <c r="Q27" s="61" t="s">
        <v>6</v>
      </c>
    </row>
    <row r="28" spans="1:27" ht="14.95" thickBot="1" x14ac:dyDescent="0.3">
      <c r="A28" s="64" t="s">
        <v>100</v>
      </c>
      <c r="B28" s="290">
        <v>2</v>
      </c>
      <c r="C28" s="101">
        <v>3</v>
      </c>
      <c r="D28" s="227">
        <v>2</v>
      </c>
      <c r="E28" s="61">
        <f t="shared" si="0"/>
        <v>7</v>
      </c>
      <c r="F28" s="135" t="s">
        <v>100</v>
      </c>
      <c r="G28" s="292">
        <v>10</v>
      </c>
      <c r="H28" s="154">
        <v>15</v>
      </c>
      <c r="I28" s="1">
        <v>10</v>
      </c>
      <c r="J28" s="29">
        <f t="shared" si="1"/>
        <v>35</v>
      </c>
      <c r="K28" s="64" t="s">
        <v>56</v>
      </c>
      <c r="L28" s="65">
        <v>5</v>
      </c>
      <c r="M28" s="65">
        <v>6</v>
      </c>
      <c r="N28" s="66">
        <f>SUM(L28/M28)*100</f>
        <v>83.333333333333343</v>
      </c>
      <c r="O28" s="61">
        <v>0</v>
      </c>
      <c r="P28" s="61">
        <v>4</v>
      </c>
      <c r="Q28" s="120">
        <v>0</v>
      </c>
    </row>
    <row r="29" spans="1:27" ht="14.95" thickBot="1" x14ac:dyDescent="0.3">
      <c r="A29" s="64" t="s">
        <v>50</v>
      </c>
      <c r="B29" s="290">
        <v>0</v>
      </c>
      <c r="C29" s="101">
        <v>3</v>
      </c>
      <c r="D29" s="227">
        <v>0</v>
      </c>
      <c r="E29" s="61">
        <f t="shared" si="0"/>
        <v>3</v>
      </c>
      <c r="F29" s="135" t="s">
        <v>50</v>
      </c>
      <c r="G29" s="292">
        <v>0</v>
      </c>
      <c r="H29" s="154">
        <v>15</v>
      </c>
      <c r="I29" s="1">
        <v>0</v>
      </c>
      <c r="J29" s="29">
        <f t="shared" si="1"/>
        <v>15</v>
      </c>
      <c r="K29" s="64" t="s">
        <v>60</v>
      </c>
      <c r="L29" s="65">
        <v>21</v>
      </c>
      <c r="M29" s="65">
        <v>26</v>
      </c>
      <c r="N29" s="66">
        <f>SUM(L29/M29)*100</f>
        <v>80.769230769230774</v>
      </c>
      <c r="O29" s="61">
        <v>6</v>
      </c>
      <c r="P29" s="61">
        <v>12</v>
      </c>
      <c r="Q29" s="120">
        <v>50</v>
      </c>
    </row>
    <row r="30" spans="1:27" ht="14.95" customHeight="1" thickBot="1" x14ac:dyDescent="0.3">
      <c r="A30" s="64" t="s">
        <v>61</v>
      </c>
      <c r="B30" s="290">
        <v>4</v>
      </c>
      <c r="C30" s="101">
        <v>5</v>
      </c>
      <c r="D30" s="227">
        <v>0</v>
      </c>
      <c r="E30" s="61">
        <f t="shared" si="0"/>
        <v>9</v>
      </c>
      <c r="F30" s="135" t="s">
        <v>61</v>
      </c>
      <c r="G30" s="292">
        <v>20</v>
      </c>
      <c r="H30" s="154">
        <v>25</v>
      </c>
      <c r="I30" s="1">
        <v>0</v>
      </c>
      <c r="J30" s="29">
        <f t="shared" si="1"/>
        <v>45</v>
      </c>
      <c r="K30" s="64" t="s">
        <v>66</v>
      </c>
      <c r="L30" s="65">
        <v>11</v>
      </c>
      <c r="M30" s="65">
        <v>14</v>
      </c>
      <c r="N30" s="66">
        <f>SUM(L30/M30)*100</f>
        <v>78.571428571428569</v>
      </c>
      <c r="O30" s="61">
        <v>2</v>
      </c>
      <c r="P30" s="61">
        <v>2</v>
      </c>
      <c r="Q30" s="120">
        <v>100</v>
      </c>
    </row>
    <row r="31" spans="1:27" ht="14.95" thickBot="1" x14ac:dyDescent="0.3">
      <c r="A31" s="64" t="s">
        <v>891</v>
      </c>
      <c r="B31" s="290">
        <v>4</v>
      </c>
      <c r="C31" s="101">
        <v>1</v>
      </c>
      <c r="D31" s="227">
        <v>0</v>
      </c>
      <c r="E31" s="61">
        <f t="shared" si="0"/>
        <v>5</v>
      </c>
      <c r="F31" s="135" t="s">
        <v>891</v>
      </c>
      <c r="G31" s="292">
        <v>20</v>
      </c>
      <c r="H31" s="154">
        <v>5</v>
      </c>
      <c r="I31" s="1">
        <v>0</v>
      </c>
      <c r="J31" s="29">
        <f t="shared" si="1"/>
        <v>25</v>
      </c>
      <c r="K31" s="64" t="s">
        <v>67</v>
      </c>
      <c r="L31" s="65">
        <v>0</v>
      </c>
      <c r="M31" s="65">
        <v>1</v>
      </c>
      <c r="N31" s="66">
        <f>SUM(L31/M31)*100</f>
        <v>0</v>
      </c>
      <c r="O31" s="61">
        <v>17</v>
      </c>
      <c r="P31" s="61">
        <v>30</v>
      </c>
      <c r="Q31" s="120">
        <v>56</v>
      </c>
    </row>
    <row r="32" spans="1:27" ht="14.95" thickBot="1" x14ac:dyDescent="0.3">
      <c r="A32" s="64" t="s">
        <v>51</v>
      </c>
      <c r="B32" s="290">
        <v>0</v>
      </c>
      <c r="C32" s="101">
        <v>2</v>
      </c>
      <c r="D32" s="227">
        <v>0</v>
      </c>
      <c r="E32" s="61">
        <f t="shared" si="0"/>
        <v>2</v>
      </c>
      <c r="F32" s="135" t="s">
        <v>51</v>
      </c>
      <c r="G32" s="292">
        <v>0</v>
      </c>
      <c r="H32" s="154">
        <v>10</v>
      </c>
      <c r="I32" s="1">
        <v>0</v>
      </c>
      <c r="J32" s="29">
        <f t="shared" si="1"/>
        <v>10</v>
      </c>
      <c r="K32" s="64" t="s">
        <v>68</v>
      </c>
      <c r="L32" s="65">
        <v>1</v>
      </c>
      <c r="M32" s="65">
        <v>1</v>
      </c>
      <c r="N32" s="66">
        <f>SUM(L32/M32)*100</f>
        <v>100</v>
      </c>
      <c r="O32" s="61" t="s">
        <v>8</v>
      </c>
      <c r="P32" s="61" t="s">
        <v>8</v>
      </c>
      <c r="Q32" s="120" t="s">
        <v>8</v>
      </c>
    </row>
    <row r="33" spans="1:17" ht="14.95" thickBot="1" x14ac:dyDescent="0.3">
      <c r="A33" s="64" t="s">
        <v>62</v>
      </c>
      <c r="B33" s="290">
        <v>0</v>
      </c>
      <c r="C33" s="101">
        <v>0</v>
      </c>
      <c r="D33" s="227">
        <v>0</v>
      </c>
      <c r="E33" s="61">
        <f t="shared" si="0"/>
        <v>0</v>
      </c>
      <c r="F33" s="135" t="s">
        <v>62</v>
      </c>
      <c r="G33" s="292">
        <v>0</v>
      </c>
      <c r="H33" s="154">
        <v>0</v>
      </c>
      <c r="I33" s="1">
        <v>0</v>
      </c>
      <c r="J33" s="29">
        <f t="shared" si="1"/>
        <v>0</v>
      </c>
    </row>
    <row r="34" spans="1:17" ht="14.95" thickBot="1" x14ac:dyDescent="0.3">
      <c r="A34" s="64" t="s">
        <v>52</v>
      </c>
      <c r="B34" s="290">
        <v>0</v>
      </c>
      <c r="C34" s="101">
        <v>0</v>
      </c>
      <c r="D34" s="227">
        <v>0</v>
      </c>
      <c r="E34" s="61">
        <f t="shared" si="0"/>
        <v>0</v>
      </c>
      <c r="F34" s="135" t="s">
        <v>52</v>
      </c>
      <c r="G34" s="292">
        <v>0</v>
      </c>
      <c r="H34" s="154">
        <v>0</v>
      </c>
      <c r="I34" s="1">
        <v>0</v>
      </c>
      <c r="J34" s="29">
        <f t="shared" si="1"/>
        <v>0</v>
      </c>
      <c r="K34" s="457" t="s">
        <v>509</v>
      </c>
      <c r="L34" s="447">
        <v>2024</v>
      </c>
      <c r="M34" s="448"/>
      <c r="N34" s="449"/>
      <c r="O34" s="447">
        <v>2023</v>
      </c>
      <c r="P34" s="448"/>
      <c r="Q34" s="449"/>
    </row>
    <row r="35" spans="1:17" ht="14.95" thickBot="1" x14ac:dyDescent="0.3">
      <c r="A35" s="64" t="s">
        <v>53</v>
      </c>
      <c r="B35" s="290">
        <v>0</v>
      </c>
      <c r="C35" s="101">
        <v>1</v>
      </c>
      <c r="D35" s="227">
        <v>1</v>
      </c>
      <c r="E35" s="61">
        <f t="shared" si="0"/>
        <v>2</v>
      </c>
      <c r="F35" s="135" t="s">
        <v>53</v>
      </c>
      <c r="G35" s="292">
        <v>0</v>
      </c>
      <c r="H35" s="154">
        <v>5</v>
      </c>
      <c r="I35" s="1">
        <v>5</v>
      </c>
      <c r="J35" s="29">
        <f t="shared" si="1"/>
        <v>10</v>
      </c>
      <c r="K35" s="458"/>
      <c r="L35" s="450"/>
      <c r="M35" s="451"/>
      <c r="N35" s="452"/>
      <c r="O35" s="450"/>
      <c r="P35" s="451"/>
      <c r="Q35" s="452"/>
    </row>
    <row r="36" spans="1:17" ht="14.95" thickBot="1" x14ac:dyDescent="0.3">
      <c r="A36" s="64" t="s">
        <v>63</v>
      </c>
      <c r="B36" s="290">
        <v>0</v>
      </c>
      <c r="C36" s="101">
        <v>1</v>
      </c>
      <c r="D36" s="227">
        <v>0</v>
      </c>
      <c r="E36" s="61">
        <f t="shared" si="0"/>
        <v>1</v>
      </c>
      <c r="F36" s="135" t="s">
        <v>63</v>
      </c>
      <c r="G36" s="292">
        <v>0</v>
      </c>
      <c r="H36" s="154">
        <v>5</v>
      </c>
      <c r="I36" s="1">
        <v>0</v>
      </c>
      <c r="J36" s="29">
        <f t="shared" si="1"/>
        <v>5</v>
      </c>
      <c r="K36" s="230"/>
      <c r="L36" s="61" t="s">
        <v>17</v>
      </c>
      <c r="M36" s="61" t="s">
        <v>5</v>
      </c>
      <c r="N36" s="61" t="s">
        <v>6</v>
      </c>
      <c r="O36" s="61" t="s">
        <v>17</v>
      </c>
      <c r="P36" s="61" t="s">
        <v>5</v>
      </c>
      <c r="Q36" s="61" t="s">
        <v>6</v>
      </c>
    </row>
    <row r="37" spans="1:17" ht="14.95" thickBot="1" x14ac:dyDescent="0.3">
      <c r="A37" s="64" t="s">
        <v>64</v>
      </c>
      <c r="B37" s="290">
        <v>1</v>
      </c>
      <c r="C37" s="101">
        <v>1</v>
      </c>
      <c r="D37" s="227">
        <v>1</v>
      </c>
      <c r="E37" s="61">
        <f t="shared" si="0"/>
        <v>3</v>
      </c>
      <c r="F37" s="135" t="s">
        <v>64</v>
      </c>
      <c r="G37" s="292">
        <v>5</v>
      </c>
      <c r="H37" s="154">
        <v>5</v>
      </c>
      <c r="I37" s="1">
        <v>5</v>
      </c>
      <c r="J37" s="29">
        <f t="shared" si="1"/>
        <v>15</v>
      </c>
      <c r="K37" s="64" t="s">
        <v>56</v>
      </c>
      <c r="L37" s="61" t="s">
        <v>8</v>
      </c>
      <c r="M37" s="61" t="s">
        <v>8</v>
      </c>
      <c r="N37" s="120" t="s">
        <v>8</v>
      </c>
      <c r="O37" s="61">
        <v>11</v>
      </c>
      <c r="P37" s="61">
        <v>12</v>
      </c>
      <c r="Q37" s="120">
        <f>SUM(O37/P37)*100</f>
        <v>91.666666666666657</v>
      </c>
    </row>
    <row r="38" spans="1:17" ht="14.95" thickBot="1" x14ac:dyDescent="0.3">
      <c r="A38" s="64" t="s">
        <v>212</v>
      </c>
      <c r="B38" s="290">
        <v>1</v>
      </c>
      <c r="C38" s="101">
        <v>0</v>
      </c>
      <c r="D38" s="227">
        <v>0</v>
      </c>
      <c r="E38" s="61">
        <f t="shared" si="0"/>
        <v>1</v>
      </c>
      <c r="F38" s="135" t="s">
        <v>212</v>
      </c>
      <c r="G38" s="292">
        <v>7</v>
      </c>
      <c r="H38" s="154">
        <v>0</v>
      </c>
      <c r="I38" s="1">
        <v>0</v>
      </c>
      <c r="J38" s="29">
        <f t="shared" si="1"/>
        <v>7</v>
      </c>
      <c r="K38" s="64" t="s">
        <v>60</v>
      </c>
      <c r="L38" s="61">
        <v>8</v>
      </c>
      <c r="M38" s="61">
        <v>9</v>
      </c>
      <c r="N38" s="120">
        <f>SUM(L38/M38)*100</f>
        <v>88.888888888888886</v>
      </c>
      <c r="O38" s="61" t="s">
        <v>8</v>
      </c>
      <c r="P38" s="61" t="s">
        <v>8</v>
      </c>
      <c r="Q38" s="120" t="s">
        <v>8</v>
      </c>
    </row>
    <row r="39" spans="1:17" ht="14.95" thickBot="1" x14ac:dyDescent="0.3">
      <c r="A39" s="64" t="s">
        <v>54</v>
      </c>
      <c r="B39" s="290">
        <v>0</v>
      </c>
      <c r="C39" s="101">
        <v>0</v>
      </c>
      <c r="D39" s="227">
        <v>0</v>
      </c>
      <c r="E39" s="61">
        <f t="shared" si="0"/>
        <v>0</v>
      </c>
      <c r="F39" s="135" t="s">
        <v>54</v>
      </c>
      <c r="G39" s="292">
        <v>0</v>
      </c>
      <c r="H39" s="154">
        <v>0</v>
      </c>
      <c r="I39" s="1">
        <v>0</v>
      </c>
      <c r="J39" s="29">
        <f t="shared" si="1"/>
        <v>0</v>
      </c>
      <c r="K39" s="64" t="s">
        <v>66</v>
      </c>
      <c r="L39" s="61">
        <v>5</v>
      </c>
      <c r="M39" s="61">
        <v>12</v>
      </c>
      <c r="N39" s="120">
        <f>SUM(L39/M39)*100</f>
        <v>41.666666666666671</v>
      </c>
      <c r="O39" s="61">
        <v>4</v>
      </c>
      <c r="P39" s="61">
        <v>6</v>
      </c>
      <c r="Q39" s="120">
        <f>SUM(O39/P39)*100</f>
        <v>66.666666666666657</v>
      </c>
    </row>
    <row r="40" spans="1:17" ht="14.95" thickBot="1" x14ac:dyDescent="0.3">
      <c r="A40" s="64" t="s">
        <v>65</v>
      </c>
      <c r="B40" s="290">
        <v>0</v>
      </c>
      <c r="C40" s="101">
        <v>0</v>
      </c>
      <c r="D40" s="227">
        <v>0</v>
      </c>
      <c r="E40" s="61">
        <f t="shared" si="0"/>
        <v>0</v>
      </c>
      <c r="F40" s="135" t="s">
        <v>65</v>
      </c>
      <c r="G40" s="292">
        <v>0</v>
      </c>
      <c r="H40" s="154">
        <v>0</v>
      </c>
      <c r="I40" s="1">
        <v>0</v>
      </c>
      <c r="J40" s="29">
        <f t="shared" si="1"/>
        <v>0</v>
      </c>
    </row>
    <row r="41" spans="1:17" ht="14.95" thickBot="1" x14ac:dyDescent="0.3">
      <c r="A41" s="64" t="s">
        <v>66</v>
      </c>
      <c r="B41" s="290">
        <v>0</v>
      </c>
      <c r="C41" s="101">
        <v>1</v>
      </c>
      <c r="D41" s="227">
        <v>3</v>
      </c>
      <c r="E41" s="61">
        <f t="shared" si="0"/>
        <v>4</v>
      </c>
      <c r="F41" s="135" t="s">
        <v>66</v>
      </c>
      <c r="G41" s="292">
        <v>0</v>
      </c>
      <c r="H41" s="154">
        <v>27</v>
      </c>
      <c r="I41" s="1">
        <v>15</v>
      </c>
      <c r="J41" s="29">
        <f t="shared" si="1"/>
        <v>42</v>
      </c>
    </row>
    <row r="42" spans="1:17" ht="14.95" thickBot="1" x14ac:dyDescent="0.3">
      <c r="A42" s="64" t="s">
        <v>67</v>
      </c>
      <c r="B42" s="290">
        <v>1</v>
      </c>
      <c r="C42" s="101">
        <v>0</v>
      </c>
      <c r="D42" s="227">
        <v>0</v>
      </c>
      <c r="E42" s="61">
        <f t="shared" si="0"/>
        <v>1</v>
      </c>
      <c r="F42" s="135" t="s">
        <v>67</v>
      </c>
      <c r="G42" s="292">
        <v>5</v>
      </c>
      <c r="H42" s="154">
        <v>0</v>
      </c>
      <c r="I42" s="1">
        <v>0</v>
      </c>
      <c r="J42" s="29">
        <f t="shared" si="1"/>
        <v>5</v>
      </c>
    </row>
    <row r="43" spans="1:17" ht="14.95" thickBot="1" x14ac:dyDescent="0.3">
      <c r="A43" s="64" t="s">
        <v>914</v>
      </c>
      <c r="B43" s="290">
        <v>0</v>
      </c>
      <c r="C43" s="101">
        <v>0</v>
      </c>
      <c r="D43" s="227">
        <v>1</v>
      </c>
      <c r="E43" s="61">
        <f t="shared" si="0"/>
        <v>1</v>
      </c>
      <c r="F43" s="135" t="s">
        <v>914</v>
      </c>
      <c r="G43" s="292">
        <v>0</v>
      </c>
      <c r="H43" s="154">
        <v>0</v>
      </c>
      <c r="I43" s="1">
        <v>5</v>
      </c>
      <c r="J43" s="29">
        <f t="shared" si="1"/>
        <v>5</v>
      </c>
    </row>
    <row r="44" spans="1:17" ht="14.95" thickBot="1" x14ac:dyDescent="0.3">
      <c r="A44" s="64" t="s">
        <v>68</v>
      </c>
      <c r="B44" s="290">
        <v>3</v>
      </c>
      <c r="C44" s="101">
        <v>0</v>
      </c>
      <c r="D44" s="227">
        <v>1</v>
      </c>
      <c r="E44" s="61">
        <f t="shared" si="0"/>
        <v>4</v>
      </c>
      <c r="F44" s="135" t="s">
        <v>68</v>
      </c>
      <c r="G44" s="292">
        <v>21</v>
      </c>
      <c r="H44" s="154">
        <v>2</v>
      </c>
      <c r="I44" s="1">
        <v>15</v>
      </c>
      <c r="J44" s="29">
        <f t="shared" si="1"/>
        <v>38</v>
      </c>
    </row>
    <row r="45" spans="1:17" ht="14.95" customHeight="1" thickBot="1" x14ac:dyDescent="0.3">
      <c r="A45" s="64" t="s">
        <v>422</v>
      </c>
      <c r="B45" s="290">
        <v>1</v>
      </c>
      <c r="C45" s="101">
        <v>1</v>
      </c>
      <c r="D45" s="227">
        <v>1</v>
      </c>
      <c r="E45" s="61">
        <f t="shared" si="0"/>
        <v>3</v>
      </c>
      <c r="F45" s="135" t="s">
        <v>422</v>
      </c>
      <c r="G45" s="292">
        <v>5</v>
      </c>
      <c r="H45" s="154">
        <v>5</v>
      </c>
      <c r="I45" s="1">
        <v>5</v>
      </c>
      <c r="J45" s="29">
        <f t="shared" si="1"/>
        <v>15</v>
      </c>
    </row>
    <row r="46" spans="1:17" ht="14.95" customHeight="1" thickBot="1" x14ac:dyDescent="0.3">
      <c r="A46" s="64" t="s">
        <v>70</v>
      </c>
      <c r="B46" s="290">
        <v>0</v>
      </c>
      <c r="C46" s="101">
        <v>0</v>
      </c>
      <c r="D46" s="227">
        <v>0</v>
      </c>
      <c r="E46" s="61">
        <f t="shared" si="0"/>
        <v>0</v>
      </c>
      <c r="F46" s="135" t="s">
        <v>70</v>
      </c>
      <c r="G46" s="292">
        <v>0</v>
      </c>
      <c r="H46" s="154">
        <v>0</v>
      </c>
      <c r="I46" s="1">
        <v>0</v>
      </c>
      <c r="J46" s="29">
        <f t="shared" si="1"/>
        <v>0</v>
      </c>
    </row>
    <row r="47" spans="1:17" ht="14.95" thickBot="1" x14ac:dyDescent="0.3">
      <c r="A47" s="64" t="s">
        <v>69</v>
      </c>
      <c r="B47" s="290">
        <v>0</v>
      </c>
      <c r="C47" s="101">
        <v>0</v>
      </c>
      <c r="D47" s="227">
        <v>0</v>
      </c>
      <c r="E47" s="61">
        <f t="shared" si="0"/>
        <v>0</v>
      </c>
      <c r="F47" s="135" t="s">
        <v>69</v>
      </c>
      <c r="G47" s="292">
        <v>0</v>
      </c>
      <c r="H47" s="154">
        <v>0</v>
      </c>
      <c r="I47" s="1">
        <v>0</v>
      </c>
      <c r="J47" s="29">
        <f t="shared" si="1"/>
        <v>0</v>
      </c>
    </row>
    <row r="48" spans="1:17" ht="14.95" thickBot="1" x14ac:dyDescent="0.3">
      <c r="A48" s="64" t="s">
        <v>738</v>
      </c>
      <c r="B48" s="290">
        <v>1</v>
      </c>
      <c r="C48" s="101">
        <v>0</v>
      </c>
      <c r="D48" s="227">
        <v>0</v>
      </c>
      <c r="E48" s="61">
        <f t="shared" si="0"/>
        <v>1</v>
      </c>
      <c r="F48" s="135" t="s">
        <v>738</v>
      </c>
      <c r="G48" s="292">
        <v>5</v>
      </c>
      <c r="H48" s="154">
        <v>0</v>
      </c>
      <c r="I48" s="1">
        <v>0</v>
      </c>
      <c r="J48" s="29">
        <f t="shared" si="1"/>
        <v>5</v>
      </c>
    </row>
    <row r="49" spans="1:10" ht="14.95" thickBot="1" x14ac:dyDescent="0.3">
      <c r="A49" s="64" t="s">
        <v>55</v>
      </c>
      <c r="B49" s="290">
        <v>1</v>
      </c>
      <c r="C49" s="101">
        <v>3</v>
      </c>
      <c r="D49" s="227">
        <v>0</v>
      </c>
      <c r="E49" s="61">
        <f t="shared" si="0"/>
        <v>4</v>
      </c>
      <c r="F49" s="135" t="s">
        <v>55</v>
      </c>
      <c r="G49" s="292">
        <v>5</v>
      </c>
      <c r="H49" s="154">
        <v>15</v>
      </c>
      <c r="I49" s="1">
        <v>0</v>
      </c>
      <c r="J49" s="29">
        <f t="shared" si="1"/>
        <v>20</v>
      </c>
    </row>
    <row r="50" spans="1:10" ht="14.95" customHeight="1" thickBot="1" x14ac:dyDescent="0.3">
      <c r="A50" s="64" t="s">
        <v>670</v>
      </c>
      <c r="B50" s="290">
        <v>0</v>
      </c>
      <c r="C50" s="101">
        <v>0</v>
      </c>
      <c r="D50" s="227">
        <v>0</v>
      </c>
      <c r="E50" s="61">
        <f t="shared" si="0"/>
        <v>0</v>
      </c>
      <c r="F50" s="135" t="s">
        <v>670</v>
      </c>
      <c r="G50" s="292">
        <v>0</v>
      </c>
      <c r="H50" s="154">
        <v>0</v>
      </c>
      <c r="I50" s="1">
        <v>0</v>
      </c>
      <c r="J50" s="29">
        <f t="shared" si="1"/>
        <v>0</v>
      </c>
    </row>
    <row r="51" spans="1:10" ht="14.95" customHeight="1" thickBot="1" x14ac:dyDescent="0.3">
      <c r="A51" s="64" t="s">
        <v>71</v>
      </c>
      <c r="B51" s="290">
        <v>0</v>
      </c>
      <c r="C51" s="101">
        <v>0</v>
      </c>
      <c r="D51" s="227">
        <v>0</v>
      </c>
      <c r="E51" s="61">
        <f t="shared" si="0"/>
        <v>0</v>
      </c>
      <c r="F51" s="135" t="s">
        <v>71</v>
      </c>
      <c r="G51" s="292">
        <v>0</v>
      </c>
      <c r="H51" s="154">
        <v>0</v>
      </c>
      <c r="I51" s="1">
        <v>0</v>
      </c>
      <c r="J51" s="29">
        <f t="shared" si="1"/>
        <v>0</v>
      </c>
    </row>
    <row r="52" spans="1:10" ht="14.45" customHeight="1" thickBot="1" x14ac:dyDescent="0.3">
      <c r="A52" s="64" t="s">
        <v>3</v>
      </c>
      <c r="B52" s="290">
        <f>SUM(B3:B51)</f>
        <v>40</v>
      </c>
      <c r="C52" s="101">
        <f>SUM(C3:C51)</f>
        <v>48</v>
      </c>
      <c r="D52" s="227">
        <f>SUM(D3:D51)</f>
        <v>21</v>
      </c>
      <c r="E52" s="61">
        <f t="shared" si="0"/>
        <v>109</v>
      </c>
      <c r="F52" s="136" t="s">
        <v>3</v>
      </c>
      <c r="G52" s="291">
        <f>SUM(G3:G51)</f>
        <v>256</v>
      </c>
      <c r="H52" s="153">
        <f>SUM(H3:H51)</f>
        <v>316</v>
      </c>
      <c r="I52" s="414">
        <f>SUM(I3:I51)</f>
        <v>137</v>
      </c>
      <c r="J52" s="121">
        <f t="shared" si="1"/>
        <v>709</v>
      </c>
    </row>
    <row r="53" spans="1:10" ht="16.3" x14ac:dyDescent="0.25">
      <c r="D53" s="52"/>
      <c r="F53" s="3"/>
      <c r="G53" s="3"/>
      <c r="H53" s="3"/>
      <c r="I53" s="53"/>
      <c r="J53" s="3"/>
    </row>
    <row r="54" spans="1:10" ht="17" thickBot="1" x14ac:dyDescent="0.3">
      <c r="A54" t="s">
        <v>7</v>
      </c>
      <c r="D54" s="52"/>
      <c r="F54" s="3"/>
      <c r="G54" s="3"/>
      <c r="H54" s="3"/>
      <c r="I54" s="53"/>
      <c r="J54" s="3"/>
    </row>
    <row r="55" spans="1:10" ht="14.95" thickBot="1" x14ac:dyDescent="0.3">
      <c r="A55" s="67" t="s">
        <v>0</v>
      </c>
      <c r="B55" s="289" t="s">
        <v>14</v>
      </c>
      <c r="C55" s="100" t="s">
        <v>734</v>
      </c>
      <c r="D55" s="415" t="s">
        <v>11</v>
      </c>
      <c r="E55" s="70" t="s">
        <v>1</v>
      </c>
      <c r="F55" s="133" t="s">
        <v>2</v>
      </c>
      <c r="G55" s="291" t="s">
        <v>14</v>
      </c>
      <c r="H55" s="153" t="s">
        <v>734</v>
      </c>
      <c r="I55" s="414" t="s">
        <v>11</v>
      </c>
      <c r="J55" s="121" t="s">
        <v>1</v>
      </c>
    </row>
    <row r="56" spans="1:10" ht="14.95" thickBot="1" x14ac:dyDescent="0.3">
      <c r="A56" s="64" t="s">
        <v>59</v>
      </c>
      <c r="B56" s="290">
        <v>6</v>
      </c>
      <c r="C56" s="101">
        <v>2</v>
      </c>
      <c r="D56" s="227">
        <v>1</v>
      </c>
      <c r="E56" s="61">
        <f>SUM(B56:D56)</f>
        <v>9</v>
      </c>
      <c r="F56" s="134" t="s">
        <v>60</v>
      </c>
      <c r="G56" s="292">
        <v>37</v>
      </c>
      <c r="H56" s="154">
        <v>42</v>
      </c>
      <c r="I56" s="1">
        <v>22</v>
      </c>
      <c r="J56" s="29">
        <f>SUM(G56:I56)</f>
        <v>101</v>
      </c>
    </row>
    <row r="57" spans="1:10" ht="14.95" thickBot="1" x14ac:dyDescent="0.3">
      <c r="A57" s="64" t="s">
        <v>61</v>
      </c>
      <c r="B57" s="290">
        <v>4</v>
      </c>
      <c r="C57" s="101">
        <v>5</v>
      </c>
      <c r="D57" s="227">
        <v>0</v>
      </c>
      <c r="E57" s="61">
        <f>SUM(B57:D57)</f>
        <v>9</v>
      </c>
      <c r="F57" s="134" t="s">
        <v>59</v>
      </c>
      <c r="G57" s="292">
        <v>30</v>
      </c>
      <c r="H57" s="154">
        <v>10</v>
      </c>
      <c r="I57" s="1">
        <v>5</v>
      </c>
      <c r="J57" s="29">
        <f>SUM(G57:I57)</f>
        <v>45</v>
      </c>
    </row>
    <row r="58" spans="1:10" ht="14.95" thickBot="1" x14ac:dyDescent="0.3">
      <c r="A58" s="64" t="s">
        <v>530</v>
      </c>
      <c r="B58" s="290">
        <v>2</v>
      </c>
      <c r="C58" s="101">
        <v>3</v>
      </c>
      <c r="D58" s="227">
        <v>2</v>
      </c>
      <c r="E58" s="61">
        <f>SUM(B58:D58)</f>
        <v>7</v>
      </c>
      <c r="F58" s="134" t="s">
        <v>61</v>
      </c>
      <c r="G58" s="292">
        <v>20</v>
      </c>
      <c r="H58" s="154">
        <v>25</v>
      </c>
      <c r="I58" s="1">
        <v>0</v>
      </c>
      <c r="J58" s="29">
        <f>SUM(G58:I58)</f>
        <v>45</v>
      </c>
    </row>
    <row r="59" spans="1:10" ht="14.95" thickBot="1" x14ac:dyDescent="0.3">
      <c r="A59" s="64" t="s">
        <v>42</v>
      </c>
      <c r="B59" s="290">
        <v>3</v>
      </c>
      <c r="C59" s="101">
        <v>2</v>
      </c>
      <c r="D59" s="227">
        <v>2</v>
      </c>
      <c r="E59" s="61">
        <f>SUM(B59:D59)</f>
        <v>7</v>
      </c>
      <c r="F59" s="134" t="s">
        <v>66</v>
      </c>
      <c r="G59" s="292">
        <v>0</v>
      </c>
      <c r="H59" s="154">
        <v>27</v>
      </c>
      <c r="I59" s="1">
        <v>15</v>
      </c>
      <c r="J59" s="29">
        <f>SUM(G59:I59)</f>
        <v>42</v>
      </c>
    </row>
    <row r="60" spans="1:10" ht="14.95" thickBot="1" x14ac:dyDescent="0.3">
      <c r="A60" s="64" t="s">
        <v>57</v>
      </c>
      <c r="B60" s="290">
        <v>0</v>
      </c>
      <c r="C60" s="101">
        <v>6</v>
      </c>
      <c r="D60" s="227">
        <v>1</v>
      </c>
      <c r="E60" s="61">
        <f>SUM(B60:D60)</f>
        <v>7</v>
      </c>
      <c r="F60" s="135" t="s">
        <v>68</v>
      </c>
      <c r="G60" s="292">
        <v>21</v>
      </c>
      <c r="H60" s="154">
        <v>2</v>
      </c>
      <c r="I60" s="1">
        <v>15</v>
      </c>
      <c r="J60" s="29">
        <f>SUM(G60:I60)</f>
        <v>38</v>
      </c>
    </row>
    <row r="61" spans="1:10" ht="14.95" thickBot="1" x14ac:dyDescent="0.3">
      <c r="A61" s="64" t="s">
        <v>769</v>
      </c>
      <c r="B61" s="290">
        <v>2</v>
      </c>
      <c r="C61" s="101">
        <v>5</v>
      </c>
      <c r="D61" s="227">
        <v>0</v>
      </c>
      <c r="E61" s="61">
        <f>SUM(B61:D61)</f>
        <v>7</v>
      </c>
      <c r="F61" s="135" t="s">
        <v>530</v>
      </c>
      <c r="G61" s="292">
        <v>10</v>
      </c>
      <c r="H61" s="154">
        <v>15</v>
      </c>
      <c r="I61" s="1">
        <v>10</v>
      </c>
      <c r="J61" s="29">
        <f>SUM(G61:I61)</f>
        <v>35</v>
      </c>
    </row>
    <row r="62" spans="1:10" ht="14.95" thickBot="1" x14ac:dyDescent="0.3">
      <c r="A62" s="64" t="s">
        <v>100</v>
      </c>
      <c r="B62" s="290">
        <v>2</v>
      </c>
      <c r="C62" s="101">
        <v>3</v>
      </c>
      <c r="D62" s="227">
        <v>2</v>
      </c>
      <c r="E62" s="61">
        <f>SUM(B62:D62)</f>
        <v>7</v>
      </c>
      <c r="F62" s="135" t="s">
        <v>42</v>
      </c>
      <c r="G62" s="292">
        <v>15</v>
      </c>
      <c r="H62" s="154">
        <v>10</v>
      </c>
      <c r="I62" s="1">
        <v>10</v>
      </c>
      <c r="J62" s="29">
        <f>SUM(G62:I62)</f>
        <v>35</v>
      </c>
    </row>
    <row r="63" spans="1:10" ht="14.95" thickBot="1" x14ac:dyDescent="0.3">
      <c r="A63" s="64" t="s">
        <v>47</v>
      </c>
      <c r="B63" s="290">
        <v>1</v>
      </c>
      <c r="C63" s="101">
        <v>4</v>
      </c>
      <c r="D63" s="227">
        <v>1</v>
      </c>
      <c r="E63" s="61">
        <f>SUM(B63:D63)</f>
        <v>6</v>
      </c>
      <c r="F63" s="135" t="s">
        <v>57</v>
      </c>
      <c r="G63" s="292">
        <v>0</v>
      </c>
      <c r="H63" s="154">
        <v>30</v>
      </c>
      <c r="I63" s="1">
        <v>5</v>
      </c>
      <c r="J63" s="29">
        <f>SUM(G63:I63)</f>
        <v>35</v>
      </c>
    </row>
    <row r="64" spans="1:10" ht="14.95" thickBot="1" x14ac:dyDescent="0.3">
      <c r="A64" s="64" t="s">
        <v>891</v>
      </c>
      <c r="B64" s="290">
        <v>4</v>
      </c>
      <c r="C64" s="101">
        <v>1</v>
      </c>
      <c r="D64" s="227">
        <v>0</v>
      </c>
      <c r="E64" s="61">
        <f>SUM(B64:D64)</f>
        <v>5</v>
      </c>
      <c r="F64" s="135" t="s">
        <v>769</v>
      </c>
      <c r="G64" s="292">
        <v>10</v>
      </c>
      <c r="H64" s="154">
        <v>25</v>
      </c>
      <c r="I64" s="1">
        <v>0</v>
      </c>
      <c r="J64" s="29">
        <f>SUM(G64:I64)</f>
        <v>35</v>
      </c>
    </row>
    <row r="65" spans="1:10" ht="14.95" thickBot="1" x14ac:dyDescent="0.3">
      <c r="A65" s="64" t="s">
        <v>603</v>
      </c>
      <c r="B65" s="290">
        <v>2</v>
      </c>
      <c r="C65" s="101">
        <v>1</v>
      </c>
      <c r="D65" s="227">
        <v>1</v>
      </c>
      <c r="E65" s="61">
        <f>SUM(B65:D65)</f>
        <v>4</v>
      </c>
      <c r="F65" s="135" t="s">
        <v>100</v>
      </c>
      <c r="G65" s="292">
        <v>10</v>
      </c>
      <c r="H65" s="154">
        <v>15</v>
      </c>
      <c r="I65" s="1">
        <v>10</v>
      </c>
      <c r="J65" s="29">
        <f>SUM(G65:I65)</f>
        <v>35</v>
      </c>
    </row>
    <row r="66" spans="1:10" ht="14.95" thickBot="1" x14ac:dyDescent="0.3">
      <c r="A66" s="64" t="s">
        <v>66</v>
      </c>
      <c r="B66" s="290">
        <v>0</v>
      </c>
      <c r="C66" s="101">
        <v>1</v>
      </c>
      <c r="D66" s="227">
        <v>3</v>
      </c>
      <c r="E66" s="61">
        <f>SUM(B66:D66)</f>
        <v>4</v>
      </c>
      <c r="F66" s="135" t="s">
        <v>56</v>
      </c>
      <c r="G66" s="292">
        <v>16</v>
      </c>
      <c r="H66" s="154">
        <v>15</v>
      </c>
      <c r="I66" s="1">
        <v>0</v>
      </c>
      <c r="J66" s="29">
        <f>SUM(G66:I66)</f>
        <v>31</v>
      </c>
    </row>
    <row r="67" spans="1:10" ht="14.95" thickBot="1" x14ac:dyDescent="0.3">
      <c r="A67" s="64" t="s">
        <v>68</v>
      </c>
      <c r="B67" s="290">
        <v>3</v>
      </c>
      <c r="C67" s="101">
        <v>0</v>
      </c>
      <c r="D67" s="227">
        <v>1</v>
      </c>
      <c r="E67" s="61">
        <f>SUM(B67:D67)</f>
        <v>4</v>
      </c>
      <c r="F67" s="135" t="s">
        <v>47</v>
      </c>
      <c r="G67" s="292">
        <v>5</v>
      </c>
      <c r="H67" s="154">
        <v>20</v>
      </c>
      <c r="I67" s="1">
        <v>5</v>
      </c>
      <c r="J67" s="29">
        <f>SUM(G67:I67)</f>
        <v>30</v>
      </c>
    </row>
    <row r="68" spans="1:10" ht="14.95" thickBot="1" x14ac:dyDescent="0.3">
      <c r="A68" s="64" t="s">
        <v>55</v>
      </c>
      <c r="B68" s="290">
        <v>1</v>
      </c>
      <c r="C68" s="101">
        <v>3</v>
      </c>
      <c r="D68" s="227">
        <v>0</v>
      </c>
      <c r="E68" s="61">
        <f>SUM(B68:D68)</f>
        <v>4</v>
      </c>
      <c r="F68" s="135" t="s">
        <v>891</v>
      </c>
      <c r="G68" s="292">
        <v>20</v>
      </c>
      <c r="H68" s="154">
        <v>5</v>
      </c>
      <c r="I68" s="1">
        <v>0</v>
      </c>
      <c r="J68" s="29">
        <f>SUM(G68:I68)</f>
        <v>25</v>
      </c>
    </row>
    <row r="69" spans="1:10" ht="14.95" thickBot="1" x14ac:dyDescent="0.3">
      <c r="A69" s="64" t="s">
        <v>50</v>
      </c>
      <c r="B69" s="290">
        <v>0</v>
      </c>
      <c r="C69" s="101">
        <v>3</v>
      </c>
      <c r="D69" s="227">
        <v>0</v>
      </c>
      <c r="E69" s="61">
        <f>SUM(B69:D69)</f>
        <v>3</v>
      </c>
      <c r="F69" s="135" t="s">
        <v>603</v>
      </c>
      <c r="G69" s="292">
        <v>10</v>
      </c>
      <c r="H69" s="154">
        <v>5</v>
      </c>
      <c r="I69" s="1">
        <v>5</v>
      </c>
      <c r="J69" s="29">
        <f>SUM(G69:I69)</f>
        <v>20</v>
      </c>
    </row>
    <row r="70" spans="1:10" ht="14.95" thickBot="1" x14ac:dyDescent="0.3">
      <c r="A70" s="64" t="s">
        <v>64</v>
      </c>
      <c r="B70" s="290">
        <v>1</v>
      </c>
      <c r="C70" s="101">
        <v>1</v>
      </c>
      <c r="D70" s="227">
        <v>1</v>
      </c>
      <c r="E70" s="61">
        <f>SUM(B70:D70)</f>
        <v>3</v>
      </c>
      <c r="F70" s="135" t="s">
        <v>55</v>
      </c>
      <c r="G70" s="292">
        <v>5</v>
      </c>
      <c r="H70" s="154">
        <v>15</v>
      </c>
      <c r="I70" s="1">
        <v>0</v>
      </c>
      <c r="J70" s="29">
        <f>SUM(G70:I70)</f>
        <v>20</v>
      </c>
    </row>
    <row r="71" spans="1:10" ht="14.95" thickBot="1" x14ac:dyDescent="0.3">
      <c r="A71" s="64" t="s">
        <v>422</v>
      </c>
      <c r="B71" s="290">
        <v>1</v>
      </c>
      <c r="C71" s="101">
        <v>1</v>
      </c>
      <c r="D71" s="227">
        <v>1</v>
      </c>
      <c r="E71" s="61">
        <f>SUM(B71:D71)</f>
        <v>3</v>
      </c>
      <c r="F71" s="135" t="s">
        <v>50</v>
      </c>
      <c r="G71" s="292">
        <v>0</v>
      </c>
      <c r="H71" s="154">
        <v>15</v>
      </c>
      <c r="I71" s="1">
        <v>0</v>
      </c>
      <c r="J71" s="29">
        <f>SUM(G71:I71)</f>
        <v>15</v>
      </c>
    </row>
    <row r="72" spans="1:10" ht="14.95" thickBot="1" x14ac:dyDescent="0.3">
      <c r="A72" s="64" t="s">
        <v>40</v>
      </c>
      <c r="B72" s="290">
        <v>2</v>
      </c>
      <c r="C72" s="101">
        <v>0</v>
      </c>
      <c r="D72" s="227">
        <v>0</v>
      </c>
      <c r="E72" s="61">
        <f>SUM(B72:D72)</f>
        <v>2</v>
      </c>
      <c r="F72" s="135" t="s">
        <v>64</v>
      </c>
      <c r="G72" s="292">
        <v>5</v>
      </c>
      <c r="H72" s="154">
        <v>5</v>
      </c>
      <c r="I72" s="1">
        <v>5</v>
      </c>
      <c r="J72" s="29">
        <f>SUM(G72:I72)</f>
        <v>15</v>
      </c>
    </row>
    <row r="73" spans="1:10" ht="14.95" thickBot="1" x14ac:dyDescent="0.3">
      <c r="A73" s="64" t="s">
        <v>43</v>
      </c>
      <c r="B73" s="290">
        <v>0</v>
      </c>
      <c r="C73" s="101">
        <v>1</v>
      </c>
      <c r="D73" s="227">
        <v>1</v>
      </c>
      <c r="E73" s="61">
        <f>SUM(B73:D73)</f>
        <v>2</v>
      </c>
      <c r="F73" s="135" t="s">
        <v>422</v>
      </c>
      <c r="G73" s="292">
        <v>5</v>
      </c>
      <c r="H73" s="154">
        <v>5</v>
      </c>
      <c r="I73" s="1">
        <v>5</v>
      </c>
      <c r="J73" s="29">
        <f>SUM(G73:I73)</f>
        <v>15</v>
      </c>
    </row>
    <row r="74" spans="1:10" ht="14.95" thickBot="1" x14ac:dyDescent="0.3">
      <c r="A74" s="64" t="s">
        <v>755</v>
      </c>
      <c r="B74" s="290">
        <v>2</v>
      </c>
      <c r="C74" s="101">
        <v>0</v>
      </c>
      <c r="D74" s="227">
        <v>0</v>
      </c>
      <c r="E74" s="61">
        <f>SUM(B74:D74)</f>
        <v>2</v>
      </c>
      <c r="F74" s="135" t="s">
        <v>40</v>
      </c>
      <c r="G74" s="292">
        <v>10</v>
      </c>
      <c r="H74" s="154">
        <v>0</v>
      </c>
      <c r="I74" s="1">
        <v>0</v>
      </c>
      <c r="J74" s="29">
        <f>SUM(G74:I74)</f>
        <v>10</v>
      </c>
    </row>
    <row r="75" spans="1:10" ht="14.95" thickBot="1" x14ac:dyDescent="0.3">
      <c r="A75" s="64" t="s">
        <v>51</v>
      </c>
      <c r="B75" s="290">
        <v>0</v>
      </c>
      <c r="C75" s="101">
        <v>2</v>
      </c>
      <c r="D75" s="227">
        <v>0</v>
      </c>
      <c r="E75" s="61">
        <f>SUM(B75:D75)</f>
        <v>2</v>
      </c>
      <c r="F75" s="135" t="s">
        <v>43</v>
      </c>
      <c r="G75" s="292">
        <v>0</v>
      </c>
      <c r="H75" s="154">
        <v>5</v>
      </c>
      <c r="I75" s="1">
        <v>5</v>
      </c>
      <c r="J75" s="29">
        <f>SUM(G75:I75)</f>
        <v>10</v>
      </c>
    </row>
    <row r="76" spans="1:10" ht="14.95" thickBot="1" x14ac:dyDescent="0.3">
      <c r="A76" s="64" t="s">
        <v>53</v>
      </c>
      <c r="B76" s="290">
        <v>0</v>
      </c>
      <c r="C76" s="101">
        <v>1</v>
      </c>
      <c r="D76" s="227">
        <v>1</v>
      </c>
      <c r="E76" s="61">
        <f>SUM(B76:D76)</f>
        <v>2</v>
      </c>
      <c r="F76" s="135" t="s">
        <v>756</v>
      </c>
      <c r="G76" s="292">
        <v>10</v>
      </c>
      <c r="H76" s="154">
        <v>0</v>
      </c>
      <c r="I76" s="1">
        <v>0</v>
      </c>
      <c r="J76" s="29">
        <f>SUM(G76:I76)</f>
        <v>10</v>
      </c>
    </row>
    <row r="77" spans="1:10" ht="14.95" thickBot="1" x14ac:dyDescent="0.3">
      <c r="A77" s="64" t="s">
        <v>56</v>
      </c>
      <c r="B77" s="290">
        <v>0</v>
      </c>
      <c r="C77" s="101">
        <v>1</v>
      </c>
      <c r="D77" s="227">
        <v>0</v>
      </c>
      <c r="E77" s="61">
        <f>SUM(B77:D77)</f>
        <v>1</v>
      </c>
      <c r="F77" s="135" t="s">
        <v>51</v>
      </c>
      <c r="G77" s="292">
        <v>0</v>
      </c>
      <c r="H77" s="154">
        <v>10</v>
      </c>
      <c r="I77" s="1">
        <v>0</v>
      </c>
      <c r="J77" s="29">
        <f>SUM(G77:I77)</f>
        <v>10</v>
      </c>
    </row>
    <row r="78" spans="1:10" ht="14.95" thickBot="1" x14ac:dyDescent="0.3">
      <c r="A78" s="64" t="s">
        <v>44</v>
      </c>
      <c r="B78" s="290">
        <v>0</v>
      </c>
      <c r="C78" s="101">
        <v>0</v>
      </c>
      <c r="D78" s="227">
        <v>1</v>
      </c>
      <c r="E78" s="61">
        <f>SUM(B78:D78)</f>
        <v>1</v>
      </c>
      <c r="F78" s="135" t="s">
        <v>53</v>
      </c>
      <c r="G78" s="292">
        <v>0</v>
      </c>
      <c r="H78" s="154">
        <v>5</v>
      </c>
      <c r="I78" s="1">
        <v>5</v>
      </c>
      <c r="J78" s="29">
        <f>SUM(G78:I78)</f>
        <v>10</v>
      </c>
    </row>
    <row r="79" spans="1:10" ht="14.95" thickBot="1" x14ac:dyDescent="0.3">
      <c r="A79" s="64" t="s">
        <v>504</v>
      </c>
      <c r="B79" s="290">
        <v>0</v>
      </c>
      <c r="C79" s="101">
        <v>1</v>
      </c>
      <c r="D79" s="227">
        <v>0</v>
      </c>
      <c r="E79" s="61">
        <f>SUM(B79:D79)</f>
        <v>1</v>
      </c>
      <c r="F79" s="135" t="s">
        <v>212</v>
      </c>
      <c r="G79" s="292">
        <v>7</v>
      </c>
      <c r="H79" s="154">
        <v>0</v>
      </c>
      <c r="I79" s="1">
        <v>0</v>
      </c>
      <c r="J79" s="29">
        <f>SUM(G79:I79)</f>
        <v>7</v>
      </c>
    </row>
    <row r="80" spans="1:10" ht="14.95" thickBot="1" x14ac:dyDescent="0.3">
      <c r="A80" s="64" t="s">
        <v>60</v>
      </c>
      <c r="B80" s="290">
        <v>1</v>
      </c>
      <c r="C80" s="101">
        <v>0</v>
      </c>
      <c r="D80" s="227">
        <v>0</v>
      </c>
      <c r="E80" s="61">
        <f>SUM(B80:D80)</f>
        <v>1</v>
      </c>
      <c r="F80" s="135" t="s">
        <v>44</v>
      </c>
      <c r="G80" s="292">
        <v>0</v>
      </c>
      <c r="H80" s="154">
        <v>0</v>
      </c>
      <c r="I80" s="1">
        <v>5</v>
      </c>
      <c r="J80" s="29">
        <f>SUM(G80:I80)</f>
        <v>5</v>
      </c>
    </row>
    <row r="81" spans="1:10" ht="14.95" thickBot="1" x14ac:dyDescent="0.3">
      <c r="A81" s="64" t="s">
        <v>915</v>
      </c>
      <c r="B81" s="290">
        <v>0</v>
      </c>
      <c r="C81" s="101">
        <v>0</v>
      </c>
      <c r="D81" s="227">
        <v>1</v>
      </c>
      <c r="E81" s="61">
        <f>SUM(B81:D81)</f>
        <v>1</v>
      </c>
      <c r="F81" s="135" t="s">
        <v>504</v>
      </c>
      <c r="G81" s="292">
        <v>0</v>
      </c>
      <c r="H81" s="154">
        <v>5</v>
      </c>
      <c r="I81" s="1">
        <v>0</v>
      </c>
      <c r="J81" s="29">
        <f>SUM(G81:I81)</f>
        <v>5</v>
      </c>
    </row>
    <row r="82" spans="1:10" ht="14.95" thickBot="1" x14ac:dyDescent="0.3">
      <c r="A82" s="64" t="s">
        <v>63</v>
      </c>
      <c r="B82" s="290">
        <v>0</v>
      </c>
      <c r="C82" s="101">
        <v>1</v>
      </c>
      <c r="D82" s="227">
        <v>0</v>
      </c>
      <c r="E82" s="61">
        <f>SUM(B82:D82)</f>
        <v>1</v>
      </c>
      <c r="F82" s="135" t="s">
        <v>915</v>
      </c>
      <c r="G82" s="292">
        <v>0</v>
      </c>
      <c r="H82" s="154">
        <v>0</v>
      </c>
      <c r="I82" s="1">
        <v>5</v>
      </c>
      <c r="J82" s="29">
        <f>SUM(G82:I82)</f>
        <v>5</v>
      </c>
    </row>
    <row r="83" spans="1:10" ht="14.95" thickBot="1" x14ac:dyDescent="0.3">
      <c r="A83" s="64" t="s">
        <v>212</v>
      </c>
      <c r="B83" s="290">
        <v>1</v>
      </c>
      <c r="C83" s="101">
        <v>0</v>
      </c>
      <c r="D83" s="227">
        <v>0</v>
      </c>
      <c r="E83" s="61">
        <f>SUM(B83:D83)</f>
        <v>1</v>
      </c>
      <c r="F83" s="135" t="s">
        <v>63</v>
      </c>
      <c r="G83" s="292">
        <v>0</v>
      </c>
      <c r="H83" s="154">
        <v>5</v>
      </c>
      <c r="I83" s="1">
        <v>0</v>
      </c>
      <c r="J83" s="29">
        <f>SUM(G83:I83)</f>
        <v>5</v>
      </c>
    </row>
    <row r="84" spans="1:10" ht="14.95" thickBot="1" x14ac:dyDescent="0.3">
      <c r="A84" s="64" t="s">
        <v>67</v>
      </c>
      <c r="B84" s="290">
        <v>1</v>
      </c>
      <c r="C84" s="101">
        <v>0</v>
      </c>
      <c r="D84" s="227">
        <v>0</v>
      </c>
      <c r="E84" s="61">
        <f>SUM(B84:D84)</f>
        <v>1</v>
      </c>
      <c r="F84" s="135" t="s">
        <v>67</v>
      </c>
      <c r="G84" s="292">
        <v>5</v>
      </c>
      <c r="H84" s="154">
        <v>0</v>
      </c>
      <c r="I84" s="1">
        <v>0</v>
      </c>
      <c r="J84" s="29">
        <f>SUM(G84:I84)</f>
        <v>5</v>
      </c>
    </row>
    <row r="85" spans="1:10" ht="14.95" thickBot="1" x14ac:dyDescent="0.3">
      <c r="A85" s="64" t="s">
        <v>914</v>
      </c>
      <c r="B85" s="290">
        <v>0</v>
      </c>
      <c r="C85" s="101">
        <v>0</v>
      </c>
      <c r="D85" s="227">
        <v>1</v>
      </c>
      <c r="E85" s="61">
        <f>SUM(B85:D85)</f>
        <v>1</v>
      </c>
      <c r="F85" s="135" t="s">
        <v>914</v>
      </c>
      <c r="G85" s="292">
        <v>0</v>
      </c>
      <c r="H85" s="154">
        <v>0</v>
      </c>
      <c r="I85" s="1">
        <v>5</v>
      </c>
      <c r="J85" s="29">
        <f>SUM(G85:I85)</f>
        <v>5</v>
      </c>
    </row>
    <row r="86" spans="1:10" ht="14.95" thickBot="1" x14ac:dyDescent="0.3">
      <c r="A86" s="64" t="s">
        <v>738</v>
      </c>
      <c r="B86" s="290">
        <v>1</v>
      </c>
      <c r="C86" s="101">
        <v>0</v>
      </c>
      <c r="D86" s="227">
        <v>0</v>
      </c>
      <c r="E86" s="61">
        <f>SUM(B86:D86)</f>
        <v>1</v>
      </c>
      <c r="F86" s="135" t="s">
        <v>738</v>
      </c>
      <c r="G86" s="292">
        <v>5</v>
      </c>
      <c r="H86" s="154">
        <v>0</v>
      </c>
      <c r="I86" s="1">
        <v>0</v>
      </c>
      <c r="J86" s="29">
        <f>SUM(G86:I86)</f>
        <v>5</v>
      </c>
    </row>
    <row r="87" spans="1:10" ht="14.95" thickBot="1" x14ac:dyDescent="0.3">
      <c r="A87" s="64" t="s">
        <v>503</v>
      </c>
      <c r="B87" s="290">
        <v>0</v>
      </c>
      <c r="C87" s="101">
        <v>0</v>
      </c>
      <c r="D87" s="227">
        <v>0</v>
      </c>
      <c r="E87" s="61">
        <f>SUM(B87:D87)</f>
        <v>0</v>
      </c>
      <c r="F87" s="135" t="s">
        <v>503</v>
      </c>
      <c r="G87" s="292">
        <v>0</v>
      </c>
      <c r="H87" s="154">
        <v>0</v>
      </c>
      <c r="I87" s="1">
        <v>0</v>
      </c>
      <c r="J87" s="29">
        <f>SUM(G87:I87)</f>
        <v>0</v>
      </c>
    </row>
    <row r="88" spans="1:10" ht="14.95" thickBot="1" x14ac:dyDescent="0.3">
      <c r="A88" s="64" t="s">
        <v>41</v>
      </c>
      <c r="B88" s="290">
        <v>0</v>
      </c>
      <c r="C88" s="101">
        <v>0</v>
      </c>
      <c r="D88" s="227">
        <v>0</v>
      </c>
      <c r="E88" s="61">
        <f>SUM(B88:D88)</f>
        <v>0</v>
      </c>
      <c r="F88" s="135" t="s">
        <v>41</v>
      </c>
      <c r="G88" s="292">
        <v>0</v>
      </c>
      <c r="H88" s="154">
        <v>0</v>
      </c>
      <c r="I88" s="1">
        <v>0</v>
      </c>
      <c r="J88" s="29">
        <f>SUM(G88:I88)</f>
        <v>0</v>
      </c>
    </row>
    <row r="89" spans="1:10" ht="14.95" thickBot="1" x14ac:dyDescent="0.3">
      <c r="A89" s="64" t="s">
        <v>668</v>
      </c>
      <c r="B89" s="290">
        <v>0</v>
      </c>
      <c r="C89" s="101">
        <v>0</v>
      </c>
      <c r="D89" s="227">
        <v>0</v>
      </c>
      <c r="E89" s="61">
        <f>SUM(B89:D89)</f>
        <v>0</v>
      </c>
      <c r="F89" s="135" t="s">
        <v>668</v>
      </c>
      <c r="G89" s="292">
        <v>0</v>
      </c>
      <c r="H89" s="154">
        <v>0</v>
      </c>
      <c r="I89" s="1">
        <v>0</v>
      </c>
      <c r="J89" s="29">
        <f>SUM(G89:I89)</f>
        <v>0</v>
      </c>
    </row>
    <row r="90" spans="1:10" ht="14.95" thickBot="1" x14ac:dyDescent="0.3">
      <c r="A90" s="64" t="s">
        <v>45</v>
      </c>
      <c r="B90" s="290">
        <v>0</v>
      </c>
      <c r="C90" s="101">
        <v>0</v>
      </c>
      <c r="D90" s="227">
        <v>0</v>
      </c>
      <c r="E90" s="61">
        <f>SUM(B90:D90)</f>
        <v>0</v>
      </c>
      <c r="F90" s="135" t="s">
        <v>45</v>
      </c>
      <c r="G90" s="292">
        <v>0</v>
      </c>
      <c r="H90" s="154">
        <v>0</v>
      </c>
      <c r="I90" s="1">
        <v>0</v>
      </c>
      <c r="J90" s="29">
        <f>SUM(G90:I90)</f>
        <v>0</v>
      </c>
    </row>
    <row r="91" spans="1:10" ht="14.95" thickBot="1" x14ac:dyDescent="0.3">
      <c r="A91" s="64" t="s">
        <v>46</v>
      </c>
      <c r="B91" s="290">
        <v>0</v>
      </c>
      <c r="C91" s="101">
        <v>0</v>
      </c>
      <c r="D91" s="227">
        <v>0</v>
      </c>
      <c r="E91" s="61">
        <f>SUM(B91:D91)</f>
        <v>0</v>
      </c>
      <c r="F91" s="135" t="s">
        <v>46</v>
      </c>
      <c r="G91" s="292">
        <v>0</v>
      </c>
      <c r="H91" s="154">
        <v>0</v>
      </c>
      <c r="I91" s="1">
        <v>0</v>
      </c>
      <c r="J91" s="29">
        <f>SUM(G91:I91)</f>
        <v>0</v>
      </c>
    </row>
    <row r="92" spans="1:10" ht="14.95" thickBot="1" x14ac:dyDescent="0.3">
      <c r="A92" s="64" t="s">
        <v>58</v>
      </c>
      <c r="B92" s="290">
        <v>0</v>
      </c>
      <c r="C92" s="101">
        <v>0</v>
      </c>
      <c r="D92" s="227">
        <v>0</v>
      </c>
      <c r="E92" s="61">
        <f>SUM(B92:D92)</f>
        <v>0</v>
      </c>
      <c r="F92" s="135" t="s">
        <v>58</v>
      </c>
      <c r="G92" s="292">
        <v>0</v>
      </c>
      <c r="H92" s="154">
        <v>0</v>
      </c>
      <c r="I92" s="1">
        <v>0</v>
      </c>
      <c r="J92" s="29">
        <f>SUM(G92:I92)</f>
        <v>0</v>
      </c>
    </row>
    <row r="93" spans="1:10" ht="14.95" thickBot="1" x14ac:dyDescent="0.3">
      <c r="A93" s="64" t="s">
        <v>48</v>
      </c>
      <c r="B93" s="290">
        <v>0</v>
      </c>
      <c r="C93" s="101">
        <v>0</v>
      </c>
      <c r="D93" s="227">
        <v>0</v>
      </c>
      <c r="E93" s="61">
        <f>SUM(B93:D93)</f>
        <v>0</v>
      </c>
      <c r="F93" s="135" t="s">
        <v>48</v>
      </c>
      <c r="G93" s="292">
        <v>0</v>
      </c>
      <c r="H93" s="154">
        <v>0</v>
      </c>
      <c r="I93" s="1">
        <v>0</v>
      </c>
      <c r="J93" s="29">
        <f>SUM(G93:I93)</f>
        <v>0</v>
      </c>
    </row>
    <row r="94" spans="1:10" ht="14.95" thickBot="1" x14ac:dyDescent="0.3">
      <c r="A94" s="64" t="s">
        <v>49</v>
      </c>
      <c r="B94" s="290">
        <v>0</v>
      </c>
      <c r="C94" s="101">
        <v>0</v>
      </c>
      <c r="D94" s="227">
        <v>0</v>
      </c>
      <c r="E94" s="61">
        <f>SUM(B94:D94)</f>
        <v>0</v>
      </c>
      <c r="F94" s="135" t="s">
        <v>49</v>
      </c>
      <c r="G94" s="292">
        <v>0</v>
      </c>
      <c r="H94" s="154">
        <v>0</v>
      </c>
      <c r="I94" s="1">
        <v>0</v>
      </c>
      <c r="J94" s="29">
        <f>SUM(G94:I94)</f>
        <v>0</v>
      </c>
    </row>
    <row r="95" spans="1:10" ht="14.95" thickBot="1" x14ac:dyDescent="0.3">
      <c r="A95" s="64" t="s">
        <v>390</v>
      </c>
      <c r="B95" s="290">
        <v>0</v>
      </c>
      <c r="C95" s="101">
        <v>0</v>
      </c>
      <c r="D95" s="227">
        <v>0</v>
      </c>
      <c r="E95" s="61">
        <f>SUM(B95:D95)</f>
        <v>0</v>
      </c>
      <c r="F95" s="135" t="s">
        <v>390</v>
      </c>
      <c r="G95" s="292">
        <v>0</v>
      </c>
      <c r="H95" s="154">
        <v>0</v>
      </c>
      <c r="I95" s="1">
        <v>0</v>
      </c>
      <c r="J95" s="29">
        <f>SUM(G95:I95)</f>
        <v>0</v>
      </c>
    </row>
    <row r="96" spans="1:10" ht="14.95" thickBot="1" x14ac:dyDescent="0.3">
      <c r="A96" s="64" t="s">
        <v>512</v>
      </c>
      <c r="B96" s="290">
        <v>0</v>
      </c>
      <c r="C96" s="101">
        <v>0</v>
      </c>
      <c r="D96" s="227">
        <v>0</v>
      </c>
      <c r="E96" s="61">
        <f>SUM(B96:D96)</f>
        <v>0</v>
      </c>
      <c r="F96" s="135" t="s">
        <v>512</v>
      </c>
      <c r="G96" s="292">
        <v>0</v>
      </c>
      <c r="H96" s="154">
        <v>0</v>
      </c>
      <c r="I96" s="1">
        <v>0</v>
      </c>
      <c r="J96" s="29">
        <f>SUM(G96:I96)</f>
        <v>0</v>
      </c>
    </row>
    <row r="97" spans="1:10" ht="14.95" thickBot="1" x14ac:dyDescent="0.3">
      <c r="A97" s="64" t="s">
        <v>62</v>
      </c>
      <c r="B97" s="290">
        <v>0</v>
      </c>
      <c r="C97" s="101">
        <v>0</v>
      </c>
      <c r="D97" s="227">
        <v>0</v>
      </c>
      <c r="E97" s="61">
        <f>SUM(B97:D97)</f>
        <v>0</v>
      </c>
      <c r="F97" s="135" t="s">
        <v>62</v>
      </c>
      <c r="G97" s="292">
        <v>0</v>
      </c>
      <c r="H97" s="154">
        <v>0</v>
      </c>
      <c r="I97" s="1">
        <v>0</v>
      </c>
      <c r="J97" s="29">
        <f>SUM(G97:I97)</f>
        <v>0</v>
      </c>
    </row>
    <row r="98" spans="1:10" ht="14.95" thickBot="1" x14ac:dyDescent="0.3">
      <c r="A98" s="64" t="s">
        <v>52</v>
      </c>
      <c r="B98" s="290">
        <v>0</v>
      </c>
      <c r="C98" s="101">
        <v>0</v>
      </c>
      <c r="D98" s="227">
        <v>0</v>
      </c>
      <c r="E98" s="61">
        <f>SUM(B98:D98)</f>
        <v>0</v>
      </c>
      <c r="F98" s="135" t="s">
        <v>52</v>
      </c>
      <c r="G98" s="292">
        <v>0</v>
      </c>
      <c r="H98" s="154">
        <v>0</v>
      </c>
      <c r="I98" s="1">
        <v>0</v>
      </c>
      <c r="J98" s="29">
        <f>SUM(G98:I98)</f>
        <v>0</v>
      </c>
    </row>
    <row r="99" spans="1:10" ht="14.95" thickBot="1" x14ac:dyDescent="0.3">
      <c r="A99" s="64" t="s">
        <v>54</v>
      </c>
      <c r="B99" s="290">
        <v>0</v>
      </c>
      <c r="C99" s="101">
        <v>0</v>
      </c>
      <c r="D99" s="227">
        <v>0</v>
      </c>
      <c r="E99" s="61">
        <f>SUM(B99:D99)</f>
        <v>0</v>
      </c>
      <c r="F99" s="135" t="s">
        <v>54</v>
      </c>
      <c r="G99" s="292">
        <v>0</v>
      </c>
      <c r="H99" s="154">
        <v>0</v>
      </c>
      <c r="I99" s="1">
        <v>0</v>
      </c>
      <c r="J99" s="29">
        <f>SUM(G99:I99)</f>
        <v>0</v>
      </c>
    </row>
    <row r="100" spans="1:10" ht="14.95" thickBot="1" x14ac:dyDescent="0.3">
      <c r="A100" s="64" t="s">
        <v>65</v>
      </c>
      <c r="B100" s="290">
        <v>0</v>
      </c>
      <c r="C100" s="101">
        <v>0</v>
      </c>
      <c r="D100" s="227">
        <v>0</v>
      </c>
      <c r="E100" s="61">
        <f>SUM(B100:D100)</f>
        <v>0</v>
      </c>
      <c r="F100" s="135" t="s">
        <v>65</v>
      </c>
      <c r="G100" s="292">
        <v>0</v>
      </c>
      <c r="H100" s="154">
        <v>0</v>
      </c>
      <c r="I100" s="1">
        <v>0</v>
      </c>
      <c r="J100" s="29">
        <f>SUM(G100:I100)</f>
        <v>0</v>
      </c>
    </row>
    <row r="101" spans="1:10" ht="14.95" thickBot="1" x14ac:dyDescent="0.3">
      <c r="A101" s="64" t="s">
        <v>70</v>
      </c>
      <c r="B101" s="290">
        <v>0</v>
      </c>
      <c r="C101" s="101">
        <v>0</v>
      </c>
      <c r="D101" s="227">
        <v>0</v>
      </c>
      <c r="E101" s="61">
        <f>SUM(B101:D101)</f>
        <v>0</v>
      </c>
      <c r="F101" s="135" t="s">
        <v>70</v>
      </c>
      <c r="G101" s="292">
        <v>0</v>
      </c>
      <c r="H101" s="154">
        <v>0</v>
      </c>
      <c r="I101" s="1">
        <v>0</v>
      </c>
      <c r="J101" s="29">
        <f>SUM(G101:I101)</f>
        <v>0</v>
      </c>
    </row>
    <row r="102" spans="1:10" ht="14.95" thickBot="1" x14ac:dyDescent="0.3">
      <c r="A102" s="64" t="s">
        <v>69</v>
      </c>
      <c r="B102" s="290">
        <v>0</v>
      </c>
      <c r="C102" s="101">
        <v>0</v>
      </c>
      <c r="D102" s="227">
        <v>0</v>
      </c>
      <c r="E102" s="61">
        <f>SUM(B102:D102)</f>
        <v>0</v>
      </c>
      <c r="F102" s="135" t="s">
        <v>69</v>
      </c>
      <c r="G102" s="292">
        <v>0</v>
      </c>
      <c r="H102" s="154">
        <v>0</v>
      </c>
      <c r="I102" s="1">
        <v>0</v>
      </c>
      <c r="J102" s="29">
        <f>SUM(G102:I102)</f>
        <v>0</v>
      </c>
    </row>
    <row r="103" spans="1:10" ht="14.95" thickBot="1" x14ac:dyDescent="0.3">
      <c r="A103" s="64" t="s">
        <v>670</v>
      </c>
      <c r="B103" s="290">
        <v>0</v>
      </c>
      <c r="C103" s="101">
        <v>0</v>
      </c>
      <c r="D103" s="227">
        <v>0</v>
      </c>
      <c r="E103" s="61">
        <f>SUM(B103:D103)</f>
        <v>0</v>
      </c>
      <c r="F103" s="135" t="s">
        <v>670</v>
      </c>
      <c r="G103" s="292">
        <v>0</v>
      </c>
      <c r="H103" s="154">
        <v>0</v>
      </c>
      <c r="I103" s="1">
        <v>0</v>
      </c>
      <c r="J103" s="29">
        <f>SUM(G103:I103)</f>
        <v>0</v>
      </c>
    </row>
    <row r="104" spans="1:10" ht="14.95" thickBot="1" x14ac:dyDescent="0.3">
      <c r="A104" s="64" t="s">
        <v>71</v>
      </c>
      <c r="B104" s="290">
        <v>0</v>
      </c>
      <c r="C104" s="101">
        <v>0</v>
      </c>
      <c r="D104" s="227">
        <v>0</v>
      </c>
      <c r="E104" s="61">
        <f>SUM(B104:D104)</f>
        <v>0</v>
      </c>
      <c r="F104" s="135" t="s">
        <v>71</v>
      </c>
      <c r="G104" s="292">
        <v>0</v>
      </c>
      <c r="H104" s="154">
        <v>0</v>
      </c>
      <c r="I104" s="1">
        <v>0</v>
      </c>
      <c r="J104" s="29">
        <f>SUM(G104:I104)</f>
        <v>0</v>
      </c>
    </row>
    <row r="105" spans="1:10" ht="14.95" thickBot="1" x14ac:dyDescent="0.3">
      <c r="A105" s="64" t="s">
        <v>3</v>
      </c>
      <c r="B105" s="290">
        <f>SUM(B56:B104)</f>
        <v>40</v>
      </c>
      <c r="C105" s="101">
        <f>SUM(C56:C104)</f>
        <v>48</v>
      </c>
      <c r="D105" s="227">
        <f>SUM(D56:D104)</f>
        <v>21</v>
      </c>
      <c r="E105" s="61">
        <f t="shared" ref="E60:E105" si="4">SUM(B105:D105)</f>
        <v>109</v>
      </c>
      <c r="F105" s="136" t="s">
        <v>3</v>
      </c>
      <c r="G105" s="291">
        <f>SUM(G56:G104)</f>
        <v>256</v>
      </c>
      <c r="H105" s="153">
        <f>SUM(H56:H104)</f>
        <v>316</v>
      </c>
      <c r="I105" s="414">
        <f>SUM(I56:I104)</f>
        <v>137</v>
      </c>
      <c r="J105" s="121">
        <f t="shared" ref="J56:J105" si="5">SUM(G105:I105)</f>
        <v>709</v>
      </c>
    </row>
    <row r="106" spans="1:10" ht="16.3" x14ac:dyDescent="0.3">
      <c r="A106" s="455" t="s">
        <v>10</v>
      </c>
      <c r="B106" s="455"/>
      <c r="C106" s="455"/>
      <c r="D106" s="456"/>
    </row>
  </sheetData>
  <sortState xmlns:xlrd2="http://schemas.microsoft.com/office/spreadsheetml/2017/richdata2" ref="F56:J104">
    <sortCondition descending="1" ref="J56:J104"/>
  </sortState>
  <mergeCells count="20">
    <mergeCell ref="A1:J1"/>
    <mergeCell ref="R1:R2"/>
    <mergeCell ref="K1:K2"/>
    <mergeCell ref="O1:Q2"/>
    <mergeCell ref="K13:K14"/>
    <mergeCell ref="AA1:AC2"/>
    <mergeCell ref="O13:Q14"/>
    <mergeCell ref="V1:X2"/>
    <mergeCell ref="U13:W14"/>
    <mergeCell ref="L13:N14"/>
    <mergeCell ref="L1:N2"/>
    <mergeCell ref="S1:U2"/>
    <mergeCell ref="R13:T14"/>
    <mergeCell ref="O34:Q35"/>
    <mergeCell ref="K25:K26"/>
    <mergeCell ref="A106:D106"/>
    <mergeCell ref="L25:N26"/>
    <mergeCell ref="K34:K35"/>
    <mergeCell ref="L34:N35"/>
    <mergeCell ref="O25:Q26"/>
  </mergeCells>
  <pageMargins left="0.7" right="0.7" top="0.75" bottom="0.75" header="0.3" footer="0.3"/>
  <pageSetup paperSize="9" orientation="portrait" r:id="rId1"/>
  <ignoredErrors>
    <ignoredError sqref="E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1EB6-180F-4222-8C94-B16A91BDFD4A}">
  <dimension ref="A1:AC84"/>
  <sheetViews>
    <sheetView workbookViewId="0">
      <selection activeCell="K70" sqref="K70"/>
    </sheetView>
  </sheetViews>
  <sheetFormatPr defaultRowHeight="14.3" x14ac:dyDescent="0.25"/>
  <cols>
    <col min="1" max="1" width="16.5" customWidth="1"/>
    <col min="2" max="3" width="4.5" customWidth="1"/>
    <col min="4" max="4" width="4.875" customWidth="1"/>
    <col min="5" max="5" width="4.5" customWidth="1"/>
    <col min="6" max="6" width="16.5" customWidth="1"/>
    <col min="7" max="8" width="4.5" customWidth="1"/>
    <col min="9" max="9" width="4.875" customWidth="1"/>
    <col min="10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498" t="s">
        <v>794</v>
      </c>
      <c r="B1" s="499"/>
      <c r="C1" s="499"/>
      <c r="D1" s="499"/>
      <c r="E1" s="499"/>
      <c r="F1" s="499"/>
      <c r="G1" s="499"/>
      <c r="H1" s="499"/>
      <c r="I1" s="499"/>
      <c r="J1" s="500"/>
      <c r="K1" s="492" t="s">
        <v>352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1">
        <v>2024</v>
      </c>
      <c r="T1" s="442"/>
      <c r="U1" s="443"/>
      <c r="V1" s="441">
        <v>2023</v>
      </c>
      <c r="W1" s="442"/>
      <c r="X1" s="443"/>
      <c r="AA1" s="441">
        <v>2022</v>
      </c>
      <c r="AB1" s="442"/>
      <c r="AC1" s="443"/>
    </row>
    <row r="2" spans="1:29" ht="14.95" customHeight="1" thickBot="1" x14ac:dyDescent="0.3">
      <c r="A2" s="118" t="s">
        <v>0</v>
      </c>
      <c r="B2" s="70" t="s">
        <v>11</v>
      </c>
      <c r="C2" s="160" t="s">
        <v>247</v>
      </c>
      <c r="D2" s="100" t="s">
        <v>734</v>
      </c>
      <c r="E2" s="70" t="s">
        <v>1</v>
      </c>
      <c r="F2" s="77" t="s">
        <v>2</v>
      </c>
      <c r="G2" s="106" t="s">
        <v>11</v>
      </c>
      <c r="H2" s="80" t="s">
        <v>247</v>
      </c>
      <c r="I2" s="106" t="s">
        <v>734</v>
      </c>
      <c r="J2" s="46" t="s">
        <v>1</v>
      </c>
      <c r="K2" s="493"/>
      <c r="L2" s="436"/>
      <c r="M2" s="437"/>
      <c r="N2" s="438"/>
      <c r="O2" s="436"/>
      <c r="P2" s="437"/>
      <c r="Q2" s="438"/>
      <c r="R2" s="454"/>
      <c r="S2" s="444"/>
      <c r="T2" s="445"/>
      <c r="U2" s="446"/>
      <c r="V2" s="444"/>
      <c r="W2" s="445"/>
      <c r="X2" s="446"/>
      <c r="AA2" s="444"/>
      <c r="AB2" s="445"/>
      <c r="AC2" s="446"/>
    </row>
    <row r="3" spans="1:29" ht="14.95" customHeight="1" thickBot="1" x14ac:dyDescent="0.3">
      <c r="A3" s="119" t="s">
        <v>830</v>
      </c>
      <c r="B3" s="61">
        <v>0</v>
      </c>
      <c r="C3" s="161">
        <v>1</v>
      </c>
      <c r="D3" s="101">
        <v>0</v>
      </c>
      <c r="E3" s="61">
        <f>SUM(B3:D3)</f>
        <v>1</v>
      </c>
      <c r="F3" s="18" t="s">
        <v>830</v>
      </c>
      <c r="G3" s="107">
        <v>0</v>
      </c>
      <c r="H3" s="69">
        <v>5</v>
      </c>
      <c r="I3" s="107">
        <v>0</v>
      </c>
      <c r="J3" s="19">
        <f t="shared" ref="J3:J40" si="0">SUM(G3:I3)</f>
        <v>5</v>
      </c>
      <c r="K3" s="4"/>
      <c r="L3" s="29" t="s">
        <v>17</v>
      </c>
      <c r="M3" s="29" t="s">
        <v>5</v>
      </c>
      <c r="N3" s="29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119" t="s">
        <v>218</v>
      </c>
      <c r="B4" s="61">
        <v>0</v>
      </c>
      <c r="C4" s="161">
        <v>0</v>
      </c>
      <c r="D4" s="101">
        <v>0</v>
      </c>
      <c r="E4" s="61">
        <f t="shared" ref="E4:E40" si="1">SUM(B4:D4)</f>
        <v>0</v>
      </c>
      <c r="F4" s="18" t="s">
        <v>218</v>
      </c>
      <c r="G4" s="107">
        <v>0</v>
      </c>
      <c r="H4" s="69">
        <v>0</v>
      </c>
      <c r="I4" s="107">
        <v>0</v>
      </c>
      <c r="J4" s="19">
        <f t="shared" si="0"/>
        <v>0</v>
      </c>
      <c r="K4" s="119" t="s">
        <v>887</v>
      </c>
      <c r="L4" s="29">
        <v>1</v>
      </c>
      <c r="M4" s="29">
        <v>5</v>
      </c>
      <c r="N4" s="29">
        <f>SUM(L4/M4)*100</f>
        <v>20</v>
      </c>
      <c r="O4" s="61" t="s">
        <v>8</v>
      </c>
      <c r="P4" s="61" t="s">
        <v>8</v>
      </c>
      <c r="Q4" s="61" t="s">
        <v>8</v>
      </c>
      <c r="R4" s="61">
        <v>-1</v>
      </c>
      <c r="S4" s="61" t="s">
        <v>8</v>
      </c>
      <c r="T4" s="61" t="s">
        <v>8</v>
      </c>
      <c r="U4" s="61" t="s">
        <v>8</v>
      </c>
      <c r="V4" s="61" t="s">
        <v>8</v>
      </c>
      <c r="W4" s="61" t="s">
        <v>8</v>
      </c>
      <c r="X4" s="61" t="s">
        <v>8</v>
      </c>
      <c r="AA4" s="271" t="s">
        <v>8</v>
      </c>
      <c r="AB4" s="61" t="s">
        <v>8</v>
      </c>
      <c r="AC4" s="61" t="s">
        <v>8</v>
      </c>
    </row>
    <row r="5" spans="1:29" ht="14.95" customHeight="1" thickBot="1" x14ac:dyDescent="0.3">
      <c r="A5" s="119" t="s">
        <v>387</v>
      </c>
      <c r="B5" s="61">
        <v>0</v>
      </c>
      <c r="C5" s="161">
        <v>0</v>
      </c>
      <c r="D5" s="101">
        <v>0</v>
      </c>
      <c r="E5" s="61">
        <f t="shared" si="1"/>
        <v>0</v>
      </c>
      <c r="F5" s="18" t="s">
        <v>387</v>
      </c>
      <c r="G5" s="107">
        <v>0</v>
      </c>
      <c r="H5" s="69">
        <v>0</v>
      </c>
      <c r="I5" s="107">
        <v>0</v>
      </c>
      <c r="J5" s="19">
        <f t="shared" si="0"/>
        <v>0</v>
      </c>
      <c r="K5" s="119" t="s">
        <v>260</v>
      </c>
      <c r="L5" s="29" t="s">
        <v>8</v>
      </c>
      <c r="M5" s="29" t="s">
        <v>8</v>
      </c>
      <c r="N5" s="29" t="s">
        <v>8</v>
      </c>
      <c r="O5" s="61" t="s">
        <v>8</v>
      </c>
      <c r="P5" s="61" t="s">
        <v>8</v>
      </c>
      <c r="Q5" s="61" t="s">
        <v>8</v>
      </c>
      <c r="R5" s="61">
        <v>-1</v>
      </c>
      <c r="S5" s="61">
        <v>0</v>
      </c>
      <c r="T5" s="61">
        <v>1</v>
      </c>
      <c r="U5" s="61">
        <f>SUM(S5/T5)*100</f>
        <v>0</v>
      </c>
      <c r="V5" s="61" t="s">
        <v>8</v>
      </c>
      <c r="W5" s="61" t="s">
        <v>8</v>
      </c>
      <c r="X5" s="61" t="s">
        <v>8</v>
      </c>
      <c r="AA5" s="271" t="s">
        <v>8</v>
      </c>
      <c r="AB5" s="61" t="s">
        <v>8</v>
      </c>
      <c r="AC5" s="61" t="s">
        <v>8</v>
      </c>
    </row>
    <row r="6" spans="1:29" ht="14.95" customHeight="1" thickBot="1" x14ac:dyDescent="0.3">
      <c r="A6" s="119" t="s">
        <v>653</v>
      </c>
      <c r="B6" s="61">
        <v>0</v>
      </c>
      <c r="C6" s="161">
        <v>0</v>
      </c>
      <c r="D6" s="101">
        <v>0</v>
      </c>
      <c r="E6" s="61">
        <f t="shared" si="1"/>
        <v>0</v>
      </c>
      <c r="F6" s="17" t="s">
        <v>653</v>
      </c>
      <c r="G6" s="107">
        <v>0</v>
      </c>
      <c r="H6" s="69">
        <v>0</v>
      </c>
      <c r="I6" s="107">
        <v>0</v>
      </c>
      <c r="J6" s="19">
        <f t="shared" si="0"/>
        <v>0</v>
      </c>
      <c r="K6" s="119" t="s">
        <v>219</v>
      </c>
      <c r="L6" s="29" t="s">
        <v>8</v>
      </c>
      <c r="M6" s="29" t="s">
        <v>8</v>
      </c>
      <c r="N6" s="29" t="s">
        <v>8</v>
      </c>
      <c r="O6" s="61" t="s">
        <v>8</v>
      </c>
      <c r="P6" s="61" t="s">
        <v>8</v>
      </c>
      <c r="Q6" s="61" t="s">
        <v>8</v>
      </c>
      <c r="R6" s="61" t="s">
        <v>353</v>
      </c>
      <c r="S6" s="61" t="s">
        <v>8</v>
      </c>
      <c r="T6" s="61" t="s">
        <v>8</v>
      </c>
      <c r="U6" s="61" t="s">
        <v>8</v>
      </c>
      <c r="V6" s="61" t="s">
        <v>8</v>
      </c>
      <c r="W6" s="61" t="s">
        <v>8</v>
      </c>
      <c r="X6" s="61" t="s">
        <v>8</v>
      </c>
      <c r="AA6" s="271">
        <v>14</v>
      </c>
      <c r="AB6" s="61" t="s">
        <v>353</v>
      </c>
      <c r="AC6" s="61" t="s">
        <v>353</v>
      </c>
    </row>
    <row r="7" spans="1:29" ht="14.95" customHeight="1" thickBot="1" x14ac:dyDescent="0.3">
      <c r="A7" s="119" t="s">
        <v>441</v>
      </c>
      <c r="B7" s="61">
        <v>0</v>
      </c>
      <c r="C7" s="161">
        <v>0</v>
      </c>
      <c r="D7" s="101">
        <v>0</v>
      </c>
      <c r="E7" s="61">
        <f t="shared" si="1"/>
        <v>0</v>
      </c>
      <c r="F7" s="17" t="s">
        <v>441</v>
      </c>
      <c r="G7" s="107">
        <v>0</v>
      </c>
      <c r="H7" s="69">
        <v>0</v>
      </c>
      <c r="I7" s="107">
        <v>0</v>
      </c>
      <c r="J7" s="19">
        <f t="shared" si="0"/>
        <v>0</v>
      </c>
      <c r="K7" s="119" t="s">
        <v>249</v>
      </c>
      <c r="L7" s="29" t="s">
        <v>8</v>
      </c>
      <c r="M7" s="29" t="s">
        <v>8</v>
      </c>
      <c r="N7" s="29" t="s">
        <v>8</v>
      </c>
      <c r="O7" s="61" t="s">
        <v>8</v>
      </c>
      <c r="P7" s="61" t="s">
        <v>8</v>
      </c>
      <c r="Q7" s="61" t="s">
        <v>8</v>
      </c>
      <c r="R7" s="61" t="s">
        <v>353</v>
      </c>
      <c r="S7" s="61" t="s">
        <v>8</v>
      </c>
      <c r="T7" s="61" t="s">
        <v>8</v>
      </c>
      <c r="U7" s="61" t="s">
        <v>8</v>
      </c>
      <c r="V7" s="61" t="s">
        <v>8</v>
      </c>
      <c r="W7" s="61" t="s">
        <v>8</v>
      </c>
      <c r="X7" s="61" t="s">
        <v>8</v>
      </c>
      <c r="AA7" s="271">
        <v>1</v>
      </c>
      <c r="AB7" s="61" t="s">
        <v>353</v>
      </c>
      <c r="AC7" s="61" t="s">
        <v>353</v>
      </c>
    </row>
    <row r="8" spans="1:29" ht="14.95" customHeight="1" thickBot="1" x14ac:dyDescent="0.3">
      <c r="A8" s="119" t="s">
        <v>795</v>
      </c>
      <c r="B8" s="61">
        <v>2</v>
      </c>
      <c r="C8" s="161">
        <v>0</v>
      </c>
      <c r="D8" s="101">
        <v>0</v>
      </c>
      <c r="E8" s="61">
        <f t="shared" si="1"/>
        <v>2</v>
      </c>
      <c r="F8" s="17" t="s">
        <v>795</v>
      </c>
      <c r="G8" s="107">
        <v>10</v>
      </c>
      <c r="H8" s="69">
        <v>0</v>
      </c>
      <c r="I8" s="107">
        <v>0</v>
      </c>
      <c r="J8" s="19">
        <f t="shared" si="0"/>
        <v>10</v>
      </c>
      <c r="K8" s="119" t="s">
        <v>968</v>
      </c>
      <c r="L8" s="29">
        <v>0</v>
      </c>
      <c r="M8" s="29">
        <v>1</v>
      </c>
      <c r="N8" s="29">
        <f>SUM(L8/M8)*100</f>
        <v>0</v>
      </c>
      <c r="O8" s="61" t="s">
        <v>8</v>
      </c>
      <c r="P8" s="61" t="s">
        <v>8</v>
      </c>
      <c r="Q8" s="61" t="s">
        <v>8</v>
      </c>
      <c r="R8" s="61">
        <v>-1</v>
      </c>
      <c r="S8" s="61" t="s">
        <v>8</v>
      </c>
      <c r="T8" s="61" t="s">
        <v>8</v>
      </c>
      <c r="U8" s="61" t="s">
        <v>8</v>
      </c>
      <c r="V8" s="61" t="s">
        <v>8</v>
      </c>
      <c r="W8" s="61" t="s">
        <v>8</v>
      </c>
      <c r="X8" s="61" t="s">
        <v>8</v>
      </c>
      <c r="AA8" s="195" t="s">
        <v>8</v>
      </c>
      <c r="AB8" s="61" t="s">
        <v>8</v>
      </c>
      <c r="AC8" s="61" t="s">
        <v>8</v>
      </c>
    </row>
    <row r="9" spans="1:29" ht="14.95" customHeight="1" thickBot="1" x14ac:dyDescent="0.3">
      <c r="A9" s="119" t="s">
        <v>887</v>
      </c>
      <c r="B9" s="61">
        <v>0</v>
      </c>
      <c r="C9" s="161">
        <v>0</v>
      </c>
      <c r="D9" s="101">
        <v>0</v>
      </c>
      <c r="E9" s="61">
        <f t="shared" si="1"/>
        <v>0</v>
      </c>
      <c r="F9" s="17" t="s">
        <v>887</v>
      </c>
      <c r="G9" s="107">
        <v>0</v>
      </c>
      <c r="H9" s="69">
        <v>2</v>
      </c>
      <c r="I9" s="107">
        <v>0</v>
      </c>
      <c r="J9" s="19">
        <f t="shared" si="0"/>
        <v>2</v>
      </c>
      <c r="K9" s="119" t="s">
        <v>438</v>
      </c>
      <c r="L9" s="29" t="s">
        <v>8</v>
      </c>
      <c r="M9" s="29" t="s">
        <v>8</v>
      </c>
      <c r="N9" s="29" t="s">
        <v>8</v>
      </c>
      <c r="O9" s="61" t="s">
        <v>8</v>
      </c>
      <c r="P9" s="61" t="s">
        <v>8</v>
      </c>
      <c r="Q9" s="61" t="s">
        <v>8</v>
      </c>
      <c r="R9" s="61">
        <v>-1</v>
      </c>
      <c r="S9" s="61" t="s">
        <v>8</v>
      </c>
      <c r="T9" s="61" t="s">
        <v>8</v>
      </c>
      <c r="U9" s="61" t="s">
        <v>8</v>
      </c>
      <c r="V9" s="61">
        <v>0</v>
      </c>
      <c r="W9" s="61">
        <v>1</v>
      </c>
      <c r="X9" s="61">
        <v>0</v>
      </c>
      <c r="AA9" s="271" t="s">
        <v>8</v>
      </c>
      <c r="AB9" s="61" t="s">
        <v>8</v>
      </c>
      <c r="AC9" s="120" t="s">
        <v>8</v>
      </c>
    </row>
    <row r="10" spans="1:29" ht="14.95" customHeight="1" thickBot="1" x14ac:dyDescent="0.3">
      <c r="A10" s="119" t="s">
        <v>831</v>
      </c>
      <c r="B10" s="61">
        <v>0</v>
      </c>
      <c r="C10" s="161">
        <v>1</v>
      </c>
      <c r="D10" s="101">
        <v>1</v>
      </c>
      <c r="E10" s="61">
        <f t="shared" si="1"/>
        <v>2</v>
      </c>
      <c r="F10" s="17" t="s">
        <v>831</v>
      </c>
      <c r="G10" s="107">
        <v>0</v>
      </c>
      <c r="H10" s="69">
        <v>5</v>
      </c>
      <c r="I10" s="107">
        <v>5</v>
      </c>
      <c r="J10" s="19">
        <f t="shared" si="0"/>
        <v>10</v>
      </c>
      <c r="K10" s="119" t="s">
        <v>250</v>
      </c>
      <c r="L10" s="29" t="s">
        <v>8</v>
      </c>
      <c r="M10" s="29" t="s">
        <v>8</v>
      </c>
      <c r="N10" s="29" t="s">
        <v>8</v>
      </c>
      <c r="O10" s="61" t="s">
        <v>8</v>
      </c>
      <c r="P10" s="61" t="s">
        <v>8</v>
      </c>
      <c r="Q10" s="61" t="s">
        <v>8</v>
      </c>
      <c r="R10" s="191">
        <v>2</v>
      </c>
      <c r="S10" s="61" t="s">
        <v>8</v>
      </c>
      <c r="T10" s="61" t="s">
        <v>8</v>
      </c>
      <c r="U10" s="61" t="s">
        <v>8</v>
      </c>
      <c r="V10" s="61" t="s">
        <v>8</v>
      </c>
      <c r="W10" s="61" t="s">
        <v>8</v>
      </c>
      <c r="X10" s="61" t="s">
        <v>8</v>
      </c>
      <c r="AA10" s="271">
        <v>4</v>
      </c>
      <c r="AB10" s="61" t="s">
        <v>353</v>
      </c>
      <c r="AC10" s="61" t="s">
        <v>353</v>
      </c>
    </row>
    <row r="11" spans="1:29" ht="14.95" customHeight="1" thickBot="1" x14ac:dyDescent="0.3">
      <c r="A11" s="119" t="s">
        <v>641</v>
      </c>
      <c r="B11" s="61">
        <v>0</v>
      </c>
      <c r="C11" s="161">
        <v>0</v>
      </c>
      <c r="D11" s="101">
        <v>0</v>
      </c>
      <c r="E11" s="61">
        <f t="shared" si="1"/>
        <v>0</v>
      </c>
      <c r="F11" s="17" t="s">
        <v>641</v>
      </c>
      <c r="G11" s="107">
        <v>0</v>
      </c>
      <c r="H11" s="69">
        <v>0</v>
      </c>
      <c r="I11" s="107">
        <v>0</v>
      </c>
      <c r="J11" s="19">
        <f t="shared" si="0"/>
        <v>0</v>
      </c>
      <c r="K11" s="119" t="s">
        <v>442</v>
      </c>
      <c r="L11" s="29">
        <v>2</v>
      </c>
      <c r="M11" s="29">
        <v>4</v>
      </c>
      <c r="N11" s="222">
        <f>SUM(L11/M11)*100</f>
        <v>50</v>
      </c>
      <c r="O11" s="61" t="s">
        <v>8</v>
      </c>
      <c r="P11" s="61" t="s">
        <v>8</v>
      </c>
      <c r="Q11" s="61" t="s">
        <v>8</v>
      </c>
      <c r="R11" s="216">
        <v>-1</v>
      </c>
      <c r="S11" s="61">
        <v>30</v>
      </c>
      <c r="T11" s="61">
        <v>47</v>
      </c>
      <c r="U11" s="120">
        <f>SUM(S11/T11)*100</f>
        <v>63.829787234042556</v>
      </c>
      <c r="V11" s="61">
        <v>13</v>
      </c>
      <c r="W11" s="61">
        <v>25</v>
      </c>
      <c r="X11" s="120">
        <f>SUM(V11/W11)*100</f>
        <v>52</v>
      </c>
      <c r="AA11" s="271" t="s">
        <v>8</v>
      </c>
      <c r="AB11" s="61" t="s">
        <v>8</v>
      </c>
      <c r="AC11" s="120" t="s">
        <v>8</v>
      </c>
    </row>
    <row r="12" spans="1:29" ht="14.95" customHeight="1" thickBot="1" x14ac:dyDescent="0.3">
      <c r="A12" s="119" t="s">
        <v>248</v>
      </c>
      <c r="B12" s="61">
        <v>0</v>
      </c>
      <c r="C12" s="161">
        <v>0</v>
      </c>
      <c r="D12" s="101">
        <v>1</v>
      </c>
      <c r="E12" s="61">
        <f t="shared" si="1"/>
        <v>1</v>
      </c>
      <c r="F12" s="17" t="s">
        <v>248</v>
      </c>
      <c r="G12" s="107">
        <v>0</v>
      </c>
      <c r="H12" s="69">
        <v>0</v>
      </c>
      <c r="I12" s="107">
        <v>5</v>
      </c>
      <c r="J12" s="19">
        <f t="shared" si="0"/>
        <v>5</v>
      </c>
      <c r="K12" s="119" t="s">
        <v>832</v>
      </c>
      <c r="L12" s="29">
        <v>11</v>
      </c>
      <c r="M12" s="29">
        <v>18</v>
      </c>
      <c r="N12" s="222">
        <f>SUM(L12/M12)*100</f>
        <v>61.111111111111114</v>
      </c>
      <c r="O12" s="61">
        <v>4</v>
      </c>
      <c r="P12" s="61">
        <v>4</v>
      </c>
      <c r="Q12" s="120">
        <f>SUM(O12/P12)*100</f>
        <v>100</v>
      </c>
      <c r="R12" s="61">
        <v>4</v>
      </c>
      <c r="S12" s="61" t="s">
        <v>8</v>
      </c>
      <c r="T12" s="61" t="s">
        <v>8</v>
      </c>
      <c r="U12" s="61" t="s">
        <v>8</v>
      </c>
      <c r="V12" s="61" t="s">
        <v>8</v>
      </c>
      <c r="W12" s="61" t="s">
        <v>8</v>
      </c>
      <c r="X12" s="61" t="s">
        <v>8</v>
      </c>
      <c r="AA12" s="195" t="s">
        <v>8</v>
      </c>
      <c r="AB12" s="61" t="s">
        <v>8</v>
      </c>
      <c r="AC12" s="61" t="s">
        <v>8</v>
      </c>
    </row>
    <row r="13" spans="1:29" ht="14.95" customHeight="1" thickBot="1" x14ac:dyDescent="0.3">
      <c r="A13" s="119" t="s">
        <v>259</v>
      </c>
      <c r="B13" s="61">
        <v>0</v>
      </c>
      <c r="C13" s="161">
        <v>0</v>
      </c>
      <c r="D13" s="101">
        <v>0</v>
      </c>
      <c r="E13" s="61">
        <f t="shared" si="1"/>
        <v>0</v>
      </c>
      <c r="F13" s="17" t="s">
        <v>259</v>
      </c>
      <c r="G13" s="107">
        <v>0</v>
      </c>
      <c r="H13" s="69">
        <v>0</v>
      </c>
      <c r="I13" s="107">
        <v>0</v>
      </c>
      <c r="J13" s="19">
        <f t="shared" si="0"/>
        <v>0</v>
      </c>
      <c r="K13" s="26"/>
      <c r="L13" s="20"/>
      <c r="M13" s="20"/>
      <c r="N13" s="20"/>
      <c r="O13" s="99"/>
      <c r="P13" s="99"/>
      <c r="Q13" s="99"/>
    </row>
    <row r="14" spans="1:29" ht="14.95" customHeight="1" thickBot="1" x14ac:dyDescent="0.3">
      <c r="A14" s="119" t="s">
        <v>649</v>
      </c>
      <c r="B14" s="61">
        <v>0</v>
      </c>
      <c r="C14" s="161">
        <v>0</v>
      </c>
      <c r="D14" s="101">
        <v>0</v>
      </c>
      <c r="E14" s="61">
        <f t="shared" si="1"/>
        <v>0</v>
      </c>
      <c r="F14" s="17" t="s">
        <v>649</v>
      </c>
      <c r="G14" s="107">
        <v>0</v>
      </c>
      <c r="H14" s="69">
        <v>0</v>
      </c>
      <c r="I14" s="107">
        <v>0</v>
      </c>
      <c r="J14" s="19">
        <f t="shared" si="0"/>
        <v>0</v>
      </c>
      <c r="K14" s="501" t="s">
        <v>443</v>
      </c>
      <c r="L14" s="433">
        <v>2025</v>
      </c>
      <c r="M14" s="434"/>
      <c r="N14" s="435"/>
      <c r="O14" s="447">
        <v>2024</v>
      </c>
      <c r="P14" s="448"/>
      <c r="Q14" s="449"/>
      <c r="R14" s="441">
        <v>2023</v>
      </c>
      <c r="S14" s="442"/>
      <c r="T14" s="443"/>
    </row>
    <row r="15" spans="1:29" ht="14.95" customHeight="1" thickBot="1" x14ac:dyDescent="0.3">
      <c r="A15" s="119" t="s">
        <v>258</v>
      </c>
      <c r="B15" s="61">
        <v>0</v>
      </c>
      <c r="C15" s="161">
        <v>0</v>
      </c>
      <c r="D15" s="101">
        <v>0</v>
      </c>
      <c r="E15" s="61">
        <f t="shared" si="1"/>
        <v>0</v>
      </c>
      <c r="F15" s="17" t="s">
        <v>258</v>
      </c>
      <c r="G15" s="107">
        <v>0</v>
      </c>
      <c r="H15" s="69">
        <v>0</v>
      </c>
      <c r="I15" s="107">
        <v>0</v>
      </c>
      <c r="J15" s="19">
        <f t="shared" si="0"/>
        <v>0</v>
      </c>
      <c r="K15" s="502"/>
      <c r="L15" s="436"/>
      <c r="M15" s="437"/>
      <c r="N15" s="438"/>
      <c r="O15" s="450"/>
      <c r="P15" s="451"/>
      <c r="Q15" s="452"/>
      <c r="R15" s="444"/>
      <c r="S15" s="445"/>
      <c r="T15" s="446"/>
    </row>
    <row r="16" spans="1:29" ht="14.95" customHeight="1" thickBot="1" x14ac:dyDescent="0.3">
      <c r="A16" s="119" t="s">
        <v>225</v>
      </c>
      <c r="B16" s="61">
        <v>0</v>
      </c>
      <c r="C16" s="161">
        <v>0</v>
      </c>
      <c r="D16" s="101">
        <v>0</v>
      </c>
      <c r="E16" s="61">
        <f t="shared" si="1"/>
        <v>0</v>
      </c>
      <c r="F16" s="17" t="s">
        <v>225</v>
      </c>
      <c r="G16" s="107">
        <v>0</v>
      </c>
      <c r="H16" s="69">
        <v>0</v>
      </c>
      <c r="I16" s="107">
        <v>0</v>
      </c>
      <c r="J16" s="19">
        <f t="shared" si="0"/>
        <v>0</v>
      </c>
      <c r="K16" s="375"/>
      <c r="L16" s="29" t="s">
        <v>17</v>
      </c>
      <c r="M16" s="29" t="s">
        <v>5</v>
      </c>
      <c r="N16" s="29" t="s">
        <v>6</v>
      </c>
      <c r="O16" s="61" t="s">
        <v>17</v>
      </c>
      <c r="P16" s="61" t="s">
        <v>5</v>
      </c>
      <c r="Q16" s="61" t="s">
        <v>6</v>
      </c>
      <c r="R16" s="61" t="s">
        <v>17</v>
      </c>
      <c r="S16" s="61" t="s">
        <v>5</v>
      </c>
      <c r="T16" s="61" t="s">
        <v>6</v>
      </c>
    </row>
    <row r="17" spans="1:20" ht="14.95" customHeight="1" thickBot="1" x14ac:dyDescent="0.3">
      <c r="A17" s="119" t="s">
        <v>645</v>
      </c>
      <c r="B17" s="61">
        <v>0</v>
      </c>
      <c r="C17" s="161">
        <v>0</v>
      </c>
      <c r="D17" s="101">
        <v>0</v>
      </c>
      <c r="E17" s="61">
        <f t="shared" si="1"/>
        <v>0</v>
      </c>
      <c r="F17" s="17" t="s">
        <v>645</v>
      </c>
      <c r="G17" s="107">
        <v>0</v>
      </c>
      <c r="H17" s="69">
        <v>0</v>
      </c>
      <c r="I17" s="107">
        <v>0</v>
      </c>
      <c r="J17" s="19">
        <f t="shared" si="0"/>
        <v>0</v>
      </c>
      <c r="K17" s="119" t="s">
        <v>887</v>
      </c>
      <c r="L17" s="29">
        <v>1</v>
      </c>
      <c r="M17" s="29">
        <v>4</v>
      </c>
      <c r="N17" s="222">
        <f>SUM(L17/M17)*100</f>
        <v>25</v>
      </c>
      <c r="O17" s="61" t="s">
        <v>8</v>
      </c>
      <c r="P17" s="61" t="s">
        <v>8</v>
      </c>
      <c r="Q17" s="120" t="s">
        <v>8</v>
      </c>
      <c r="R17" s="61" t="s">
        <v>8</v>
      </c>
      <c r="S17" s="61" t="s">
        <v>8</v>
      </c>
      <c r="T17" s="120" t="s">
        <v>8</v>
      </c>
    </row>
    <row r="18" spans="1:20" ht="14.95" customHeight="1" thickBot="1" x14ac:dyDescent="0.3">
      <c r="A18" s="119" t="s">
        <v>261</v>
      </c>
      <c r="B18" s="61">
        <v>0</v>
      </c>
      <c r="C18" s="161">
        <v>0</v>
      </c>
      <c r="D18" s="101">
        <v>0</v>
      </c>
      <c r="E18" s="61">
        <f t="shared" si="1"/>
        <v>0</v>
      </c>
      <c r="F18" s="17" t="s">
        <v>261</v>
      </c>
      <c r="G18" s="107">
        <v>0</v>
      </c>
      <c r="H18" s="69">
        <v>0</v>
      </c>
      <c r="I18" s="107">
        <v>0</v>
      </c>
      <c r="J18" s="19">
        <f t="shared" si="0"/>
        <v>0</v>
      </c>
      <c r="K18" s="119" t="s">
        <v>442</v>
      </c>
      <c r="L18" s="29">
        <v>1</v>
      </c>
      <c r="M18" s="29">
        <v>3</v>
      </c>
      <c r="N18" s="222">
        <f>SUM(L18/M18)*100</f>
        <v>33.333333333333329</v>
      </c>
      <c r="O18" s="61">
        <v>19</v>
      </c>
      <c r="P18" s="61">
        <v>26</v>
      </c>
      <c r="Q18" s="120">
        <f>SUM(O18/P18)*100</f>
        <v>73.076923076923066</v>
      </c>
      <c r="R18" s="61">
        <v>11</v>
      </c>
      <c r="S18" s="61">
        <v>21</v>
      </c>
      <c r="T18" s="120">
        <v>50</v>
      </c>
    </row>
    <row r="19" spans="1:20" ht="14.95" customHeight="1" thickBot="1" x14ac:dyDescent="0.3">
      <c r="A19" s="119" t="s">
        <v>834</v>
      </c>
      <c r="B19" s="61">
        <v>0</v>
      </c>
      <c r="C19" s="161">
        <v>1</v>
      </c>
      <c r="D19" s="101">
        <v>0</v>
      </c>
      <c r="E19" s="61">
        <f t="shared" si="1"/>
        <v>1</v>
      </c>
      <c r="F19" s="17" t="s">
        <v>834</v>
      </c>
      <c r="G19" s="107">
        <v>0</v>
      </c>
      <c r="H19" s="69">
        <v>5</v>
      </c>
      <c r="I19" s="107">
        <v>0</v>
      </c>
      <c r="J19" s="19">
        <f t="shared" si="0"/>
        <v>5</v>
      </c>
      <c r="K19" s="119" t="s">
        <v>256</v>
      </c>
      <c r="L19" s="29" t="s">
        <v>8</v>
      </c>
      <c r="M19" s="29" t="s">
        <v>8</v>
      </c>
      <c r="N19" s="222" t="s">
        <v>8</v>
      </c>
      <c r="O19" s="61" t="s">
        <v>8</v>
      </c>
      <c r="P19" s="61" t="s">
        <v>8</v>
      </c>
      <c r="Q19" s="120" t="s">
        <v>8</v>
      </c>
      <c r="R19" s="61">
        <v>1</v>
      </c>
      <c r="S19" s="61">
        <v>3</v>
      </c>
      <c r="T19" s="120">
        <v>33</v>
      </c>
    </row>
    <row r="20" spans="1:20" ht="14.95" customHeight="1" thickBot="1" x14ac:dyDescent="0.3">
      <c r="A20" s="119" t="s">
        <v>652</v>
      </c>
      <c r="B20" s="61">
        <v>0</v>
      </c>
      <c r="C20" s="161">
        <v>0</v>
      </c>
      <c r="D20" s="101">
        <v>1</v>
      </c>
      <c r="E20" s="61">
        <f t="shared" si="1"/>
        <v>1</v>
      </c>
      <c r="F20" s="17" t="s">
        <v>652</v>
      </c>
      <c r="G20" s="107">
        <v>0</v>
      </c>
      <c r="H20" s="69">
        <v>0</v>
      </c>
      <c r="I20" s="107">
        <v>5</v>
      </c>
      <c r="J20" s="19">
        <f t="shared" si="0"/>
        <v>5</v>
      </c>
      <c r="K20" s="119" t="s">
        <v>832</v>
      </c>
      <c r="L20" s="29">
        <v>2</v>
      </c>
      <c r="M20" s="29">
        <v>8</v>
      </c>
      <c r="N20" s="222">
        <f>SUM(L20/M20)*100</f>
        <v>25</v>
      </c>
      <c r="O20" s="61" t="s">
        <v>8</v>
      </c>
      <c r="P20" s="61" t="s">
        <v>8</v>
      </c>
      <c r="Q20" s="120" t="s">
        <v>8</v>
      </c>
      <c r="R20" s="61" t="s">
        <v>8</v>
      </c>
      <c r="S20" s="61" t="s">
        <v>8</v>
      </c>
      <c r="T20" s="120" t="s">
        <v>8</v>
      </c>
    </row>
    <row r="21" spans="1:20" ht="14.95" customHeight="1" thickBot="1" x14ac:dyDescent="0.3">
      <c r="A21" s="119" t="s">
        <v>833</v>
      </c>
      <c r="B21" s="61">
        <v>1</v>
      </c>
      <c r="C21" s="161">
        <v>1</v>
      </c>
      <c r="D21" s="101">
        <v>0</v>
      </c>
      <c r="E21" s="61">
        <f t="shared" si="1"/>
        <v>2</v>
      </c>
      <c r="F21" s="17" t="s">
        <v>833</v>
      </c>
      <c r="G21" s="107">
        <v>5</v>
      </c>
      <c r="H21" s="69">
        <v>5</v>
      </c>
      <c r="I21" s="107">
        <v>0</v>
      </c>
      <c r="J21" s="19">
        <f t="shared" si="0"/>
        <v>10</v>
      </c>
      <c r="K21" s="214"/>
      <c r="L21" s="217"/>
      <c r="M21" s="24"/>
      <c r="N21" s="25"/>
      <c r="O21" s="99"/>
      <c r="P21" s="99"/>
      <c r="Q21" s="99"/>
    </row>
    <row r="22" spans="1:20" ht="14.95" customHeight="1" thickBot="1" x14ac:dyDescent="0.3">
      <c r="A22" s="119" t="s">
        <v>646</v>
      </c>
      <c r="B22" s="61">
        <v>0</v>
      </c>
      <c r="C22" s="161">
        <v>0</v>
      </c>
      <c r="D22" s="101">
        <v>0</v>
      </c>
      <c r="E22" s="61">
        <f t="shared" si="1"/>
        <v>0</v>
      </c>
      <c r="F22" s="17" t="s">
        <v>646</v>
      </c>
      <c r="G22" s="107">
        <v>0</v>
      </c>
      <c r="H22" s="69">
        <v>0</v>
      </c>
      <c r="I22" s="107">
        <v>0</v>
      </c>
      <c r="J22" s="19">
        <f t="shared" si="0"/>
        <v>0</v>
      </c>
      <c r="K22" s="459" t="s">
        <v>351</v>
      </c>
      <c r="L22" s="433">
        <v>2025</v>
      </c>
      <c r="M22" s="434"/>
      <c r="N22" s="435"/>
      <c r="O22" s="441">
        <v>2022</v>
      </c>
      <c r="P22" s="442"/>
      <c r="Q22" s="443"/>
      <c r="R22" s="58"/>
      <c r="S22" s="58"/>
      <c r="T22" s="58"/>
    </row>
    <row r="23" spans="1:20" ht="14.95" customHeight="1" thickBot="1" x14ac:dyDescent="0.3">
      <c r="A23" s="119" t="s">
        <v>828</v>
      </c>
      <c r="B23" s="61">
        <v>1</v>
      </c>
      <c r="C23" s="161">
        <v>4</v>
      </c>
      <c r="D23" s="101">
        <v>2</v>
      </c>
      <c r="E23" s="61">
        <f t="shared" si="1"/>
        <v>7</v>
      </c>
      <c r="F23" s="17" t="s">
        <v>828</v>
      </c>
      <c r="G23" s="107">
        <v>5</v>
      </c>
      <c r="H23" s="69">
        <v>20</v>
      </c>
      <c r="I23" s="107">
        <v>10</v>
      </c>
      <c r="J23" s="19">
        <f t="shared" si="0"/>
        <v>35</v>
      </c>
      <c r="K23" s="460"/>
      <c r="L23" s="436"/>
      <c r="M23" s="437"/>
      <c r="N23" s="438"/>
      <c r="O23" s="444"/>
      <c r="P23" s="445"/>
      <c r="Q23" s="446"/>
      <c r="R23" s="58"/>
      <c r="S23" s="58"/>
      <c r="T23" s="58"/>
    </row>
    <row r="24" spans="1:20" ht="14.95" customHeight="1" thickBot="1" x14ac:dyDescent="0.3">
      <c r="A24" s="119" t="s">
        <v>829</v>
      </c>
      <c r="B24" s="61">
        <v>0</v>
      </c>
      <c r="C24" s="161">
        <v>1</v>
      </c>
      <c r="D24" s="101">
        <v>1</v>
      </c>
      <c r="E24" s="61">
        <f t="shared" si="1"/>
        <v>2</v>
      </c>
      <c r="F24" s="17" t="s">
        <v>829</v>
      </c>
      <c r="G24" s="107">
        <v>0</v>
      </c>
      <c r="H24" s="69">
        <v>5</v>
      </c>
      <c r="I24" s="107">
        <v>5</v>
      </c>
      <c r="J24" s="19">
        <f t="shared" si="0"/>
        <v>10</v>
      </c>
      <c r="K24" s="317"/>
      <c r="L24" s="29" t="s">
        <v>17</v>
      </c>
      <c r="M24" s="29" t="s">
        <v>5</v>
      </c>
      <c r="N24" s="29" t="s">
        <v>6</v>
      </c>
      <c r="O24" s="61" t="s">
        <v>17</v>
      </c>
      <c r="P24" s="61" t="s">
        <v>5</v>
      </c>
      <c r="Q24" s="61" t="s">
        <v>6</v>
      </c>
      <c r="R24" s="58"/>
      <c r="S24" s="58"/>
      <c r="T24" s="58"/>
    </row>
    <row r="25" spans="1:20" ht="14.95" customHeight="1" thickBot="1" x14ac:dyDescent="0.3">
      <c r="A25" s="119" t="s">
        <v>648</v>
      </c>
      <c r="B25" s="61">
        <v>0</v>
      </c>
      <c r="C25" s="161">
        <v>0</v>
      </c>
      <c r="D25" s="101">
        <v>0</v>
      </c>
      <c r="E25" s="61">
        <f t="shared" si="1"/>
        <v>0</v>
      </c>
      <c r="F25" s="17" t="s">
        <v>648</v>
      </c>
      <c r="G25" s="107">
        <v>0</v>
      </c>
      <c r="H25" s="69">
        <v>0</v>
      </c>
      <c r="I25" s="107">
        <v>0</v>
      </c>
      <c r="J25" s="19">
        <f t="shared" si="0"/>
        <v>0</v>
      </c>
      <c r="K25" s="119" t="s">
        <v>387</v>
      </c>
      <c r="L25" s="29" t="s">
        <v>8</v>
      </c>
      <c r="M25" s="29" t="s">
        <v>8</v>
      </c>
      <c r="N25" s="222" t="s">
        <v>8</v>
      </c>
      <c r="O25" s="61">
        <v>5</v>
      </c>
      <c r="P25" s="61">
        <v>7</v>
      </c>
      <c r="Q25" s="120">
        <v>71</v>
      </c>
      <c r="R25" s="58"/>
      <c r="S25" s="58"/>
      <c r="T25" s="58"/>
    </row>
    <row r="26" spans="1:20" ht="14.95" customHeight="1" thickBot="1" x14ac:dyDescent="0.3">
      <c r="A26" s="119" t="s">
        <v>438</v>
      </c>
      <c r="B26" s="61">
        <v>0</v>
      </c>
      <c r="C26" s="161">
        <v>0</v>
      </c>
      <c r="D26" s="101">
        <v>0</v>
      </c>
      <c r="E26" s="61">
        <f t="shared" si="1"/>
        <v>0</v>
      </c>
      <c r="F26" s="17" t="s">
        <v>438</v>
      </c>
      <c r="G26" s="107">
        <v>0</v>
      </c>
      <c r="H26" s="69">
        <v>0</v>
      </c>
      <c r="I26" s="107">
        <v>0</v>
      </c>
      <c r="J26" s="19">
        <f t="shared" si="0"/>
        <v>0</v>
      </c>
      <c r="K26" s="119" t="s">
        <v>887</v>
      </c>
      <c r="L26" s="29">
        <v>0</v>
      </c>
      <c r="M26" s="29">
        <v>1</v>
      </c>
      <c r="N26" s="29">
        <f>SUM(L26/M26)*100</f>
        <v>0</v>
      </c>
      <c r="O26" s="61" t="s">
        <v>8</v>
      </c>
      <c r="P26" s="61" t="s">
        <v>8</v>
      </c>
      <c r="Q26" s="120" t="s">
        <v>8</v>
      </c>
      <c r="R26" s="58"/>
      <c r="S26" s="58"/>
      <c r="T26" s="58"/>
    </row>
    <row r="27" spans="1:20" ht="14.95" customHeight="1" thickBot="1" x14ac:dyDescent="0.3">
      <c r="A27" s="119" t="s">
        <v>250</v>
      </c>
      <c r="B27" s="61">
        <v>0</v>
      </c>
      <c r="C27" s="161">
        <v>0</v>
      </c>
      <c r="D27" s="101">
        <v>0</v>
      </c>
      <c r="E27" s="61">
        <f t="shared" si="1"/>
        <v>0</v>
      </c>
      <c r="F27" s="17" t="s">
        <v>250</v>
      </c>
      <c r="G27" s="107">
        <v>0</v>
      </c>
      <c r="H27" s="69">
        <v>0</v>
      </c>
      <c r="I27" s="107">
        <v>0</v>
      </c>
      <c r="J27" s="19">
        <f t="shared" si="0"/>
        <v>0</v>
      </c>
      <c r="K27" s="119" t="s">
        <v>968</v>
      </c>
      <c r="L27" s="29">
        <v>0</v>
      </c>
      <c r="M27" s="29">
        <v>1</v>
      </c>
      <c r="N27" s="29">
        <f>SUM(L27/M27)*100</f>
        <v>0</v>
      </c>
      <c r="O27" s="61" t="s">
        <v>8</v>
      </c>
      <c r="P27" s="61" t="s">
        <v>8</v>
      </c>
      <c r="Q27" s="120" t="s">
        <v>8</v>
      </c>
      <c r="R27" s="58"/>
      <c r="S27" s="58"/>
      <c r="T27" s="58"/>
    </row>
    <row r="28" spans="1:20" ht="14.95" customHeight="1" thickBot="1" x14ac:dyDescent="0.3">
      <c r="A28" s="119" t="s">
        <v>251</v>
      </c>
      <c r="B28" s="61">
        <v>0</v>
      </c>
      <c r="C28" s="161">
        <v>0</v>
      </c>
      <c r="D28" s="101">
        <v>0</v>
      </c>
      <c r="E28" s="61">
        <f t="shared" si="1"/>
        <v>0</v>
      </c>
      <c r="F28" s="17" t="s">
        <v>251</v>
      </c>
      <c r="G28" s="107">
        <v>0</v>
      </c>
      <c r="H28" s="69">
        <v>0</v>
      </c>
      <c r="I28" s="107">
        <v>0</v>
      </c>
      <c r="J28" s="19">
        <f t="shared" si="0"/>
        <v>0</v>
      </c>
      <c r="K28" s="119" t="s">
        <v>832</v>
      </c>
      <c r="L28" s="29">
        <v>5</v>
      </c>
      <c r="M28" s="29">
        <v>6</v>
      </c>
      <c r="N28" s="222">
        <f>SUM(L28/M28)*100</f>
        <v>83.333333333333343</v>
      </c>
      <c r="O28" s="61" t="s">
        <v>8</v>
      </c>
      <c r="P28" s="61" t="s">
        <v>8</v>
      </c>
      <c r="Q28" s="120" t="s">
        <v>8</v>
      </c>
      <c r="R28" s="58"/>
      <c r="S28" s="58"/>
      <c r="T28" s="58"/>
    </row>
    <row r="29" spans="1:20" ht="14.95" customHeight="1" thickBot="1" x14ac:dyDescent="0.3">
      <c r="A29" s="119" t="s">
        <v>252</v>
      </c>
      <c r="B29" s="61">
        <v>0</v>
      </c>
      <c r="C29" s="161">
        <v>0</v>
      </c>
      <c r="D29" s="101">
        <v>0</v>
      </c>
      <c r="E29" s="61">
        <f t="shared" si="1"/>
        <v>0</v>
      </c>
      <c r="F29" s="17" t="s">
        <v>252</v>
      </c>
      <c r="G29" s="107">
        <v>0</v>
      </c>
      <c r="H29" s="69">
        <v>0</v>
      </c>
      <c r="I29" s="107">
        <v>0</v>
      </c>
      <c r="J29" s="19">
        <f t="shared" si="0"/>
        <v>0</v>
      </c>
      <c r="K29" s="496"/>
      <c r="L29" s="497"/>
      <c r="M29" s="497"/>
      <c r="N29" s="497"/>
      <c r="O29" s="497"/>
      <c r="P29" s="497"/>
      <c r="Q29" s="497"/>
      <c r="R29" s="497"/>
    </row>
    <row r="30" spans="1:20" ht="14.95" customHeight="1" thickBot="1" x14ac:dyDescent="0.3">
      <c r="A30" s="119" t="s">
        <v>827</v>
      </c>
      <c r="B30" s="61">
        <v>0</v>
      </c>
      <c r="C30" s="161">
        <v>1</v>
      </c>
      <c r="D30" s="101">
        <v>1</v>
      </c>
      <c r="E30" s="61">
        <f t="shared" si="1"/>
        <v>2</v>
      </c>
      <c r="F30" s="17" t="s">
        <v>827</v>
      </c>
      <c r="G30" s="107">
        <v>0</v>
      </c>
      <c r="H30" s="69">
        <v>5</v>
      </c>
      <c r="I30" s="107">
        <v>5</v>
      </c>
      <c r="J30" s="19">
        <f t="shared" si="0"/>
        <v>10</v>
      </c>
      <c r="K30" s="457" t="s">
        <v>509</v>
      </c>
      <c r="L30" s="441">
        <v>2024</v>
      </c>
      <c r="M30" s="442"/>
      <c r="N30" s="443"/>
    </row>
    <row r="31" spans="1:20" ht="14.95" customHeight="1" thickBot="1" x14ac:dyDescent="0.3">
      <c r="A31" s="119" t="s">
        <v>253</v>
      </c>
      <c r="B31" s="61">
        <v>0</v>
      </c>
      <c r="C31" s="161">
        <v>0</v>
      </c>
      <c r="D31" s="101">
        <v>0</v>
      </c>
      <c r="E31" s="61">
        <f t="shared" si="1"/>
        <v>0</v>
      </c>
      <c r="F31" s="17" t="s">
        <v>253</v>
      </c>
      <c r="G31" s="107">
        <v>0</v>
      </c>
      <c r="H31" s="69">
        <v>0</v>
      </c>
      <c r="I31" s="107">
        <v>0</v>
      </c>
      <c r="J31" s="19">
        <f t="shared" si="0"/>
        <v>0</v>
      </c>
      <c r="K31" s="458"/>
      <c r="L31" s="444"/>
      <c r="M31" s="445"/>
      <c r="N31" s="446"/>
    </row>
    <row r="32" spans="1:20" ht="14.95" customHeight="1" thickBot="1" x14ac:dyDescent="0.3">
      <c r="A32" s="119" t="s">
        <v>257</v>
      </c>
      <c r="B32" s="61">
        <v>0</v>
      </c>
      <c r="C32" s="161">
        <v>1</v>
      </c>
      <c r="D32" s="101">
        <v>0</v>
      </c>
      <c r="E32" s="61">
        <f t="shared" si="1"/>
        <v>1</v>
      </c>
      <c r="F32" s="17" t="s">
        <v>257</v>
      </c>
      <c r="G32" s="107">
        <v>0</v>
      </c>
      <c r="H32" s="69">
        <v>5</v>
      </c>
      <c r="I32" s="107">
        <v>0</v>
      </c>
      <c r="J32" s="19">
        <f t="shared" si="0"/>
        <v>5</v>
      </c>
      <c r="K32" s="230"/>
      <c r="L32" s="61" t="s">
        <v>17</v>
      </c>
      <c r="M32" s="61" t="s">
        <v>5</v>
      </c>
      <c r="N32" s="61" t="s">
        <v>6</v>
      </c>
    </row>
    <row r="33" spans="1:18" ht="14.95" customHeight="1" thickBot="1" x14ac:dyDescent="0.3">
      <c r="A33" s="119" t="s">
        <v>500</v>
      </c>
      <c r="B33" s="61">
        <v>0</v>
      </c>
      <c r="C33" s="161">
        <v>0</v>
      </c>
      <c r="D33" s="101">
        <v>0</v>
      </c>
      <c r="E33" s="61">
        <f t="shared" si="1"/>
        <v>0</v>
      </c>
      <c r="F33" s="17" t="s">
        <v>500</v>
      </c>
      <c r="G33" s="107">
        <v>0</v>
      </c>
      <c r="H33" s="69">
        <v>0</v>
      </c>
      <c r="I33" s="107">
        <v>0</v>
      </c>
      <c r="J33" s="19">
        <f t="shared" si="0"/>
        <v>0</v>
      </c>
      <c r="K33" s="119" t="s">
        <v>260</v>
      </c>
      <c r="L33" s="61">
        <v>0</v>
      </c>
      <c r="M33" s="61">
        <v>1</v>
      </c>
      <c r="N33" s="120">
        <v>71</v>
      </c>
    </row>
    <row r="34" spans="1:18" ht="14.95" customHeight="1" thickBot="1" x14ac:dyDescent="0.3">
      <c r="A34" s="119" t="s">
        <v>442</v>
      </c>
      <c r="B34" s="61">
        <v>0</v>
      </c>
      <c r="C34" s="161">
        <v>0</v>
      </c>
      <c r="D34" s="101">
        <v>0</v>
      </c>
      <c r="E34" s="61">
        <f t="shared" si="1"/>
        <v>0</v>
      </c>
      <c r="F34" s="17" t="s">
        <v>442</v>
      </c>
      <c r="G34" s="107">
        <v>2</v>
      </c>
      <c r="H34" s="69">
        <v>2</v>
      </c>
      <c r="I34" s="107">
        <v>0</v>
      </c>
      <c r="J34" s="19">
        <f t="shared" si="0"/>
        <v>4</v>
      </c>
      <c r="K34" s="119" t="s">
        <v>442</v>
      </c>
      <c r="L34" s="61">
        <v>7</v>
      </c>
      <c r="M34" s="61">
        <v>11</v>
      </c>
      <c r="N34" s="120">
        <v>71</v>
      </c>
    </row>
    <row r="35" spans="1:18" ht="14.95" customHeight="1" thickBot="1" x14ac:dyDescent="0.3">
      <c r="A35" s="119" t="s">
        <v>640</v>
      </c>
      <c r="B35" s="61">
        <v>0</v>
      </c>
      <c r="C35" s="161">
        <v>2</v>
      </c>
      <c r="D35" s="101">
        <v>1</v>
      </c>
      <c r="E35" s="61">
        <f t="shared" si="1"/>
        <v>3</v>
      </c>
      <c r="F35" s="17" t="s">
        <v>640</v>
      </c>
      <c r="G35" s="107">
        <v>0</v>
      </c>
      <c r="H35" s="69">
        <v>10</v>
      </c>
      <c r="I35" s="107">
        <v>13</v>
      </c>
      <c r="J35" s="19">
        <f t="shared" si="0"/>
        <v>23</v>
      </c>
      <c r="K35" s="496" t="s">
        <v>661</v>
      </c>
      <c r="L35" s="497"/>
      <c r="M35" s="497"/>
      <c r="N35" s="497"/>
      <c r="O35" s="497"/>
      <c r="P35" s="497"/>
      <c r="Q35" s="497"/>
      <c r="R35" s="497"/>
    </row>
    <row r="36" spans="1:18" ht="14.95" customHeight="1" thickBot="1" x14ac:dyDescent="0.3">
      <c r="A36" s="119" t="s">
        <v>835</v>
      </c>
      <c r="B36" s="61">
        <v>0</v>
      </c>
      <c r="C36" s="161">
        <v>1</v>
      </c>
      <c r="D36" s="101">
        <v>0</v>
      </c>
      <c r="E36" s="61">
        <f t="shared" si="1"/>
        <v>1</v>
      </c>
      <c r="F36" s="17" t="s">
        <v>836</v>
      </c>
      <c r="G36" s="107">
        <v>0</v>
      </c>
      <c r="H36" s="69">
        <v>5</v>
      </c>
      <c r="I36" s="107">
        <v>0</v>
      </c>
      <c r="J36" s="19">
        <f t="shared" si="0"/>
        <v>5</v>
      </c>
      <c r="K36" s="2" t="s">
        <v>662</v>
      </c>
    </row>
    <row r="37" spans="1:18" ht="14.95" customHeight="1" thickBot="1" x14ac:dyDescent="0.3">
      <c r="A37" s="119" t="s">
        <v>254</v>
      </c>
      <c r="B37" s="61">
        <v>0</v>
      </c>
      <c r="C37" s="161">
        <v>0</v>
      </c>
      <c r="D37" s="101">
        <v>0</v>
      </c>
      <c r="E37" s="61">
        <f t="shared" si="1"/>
        <v>0</v>
      </c>
      <c r="F37" s="17" t="s">
        <v>254</v>
      </c>
      <c r="G37" s="107">
        <v>0</v>
      </c>
      <c r="H37" s="69">
        <v>0</v>
      </c>
      <c r="I37" s="107">
        <v>0</v>
      </c>
      <c r="J37" s="19">
        <f t="shared" si="0"/>
        <v>0</v>
      </c>
    </row>
    <row r="38" spans="1:18" ht="14.95" customHeight="1" thickBot="1" x14ac:dyDescent="0.3">
      <c r="A38" s="119" t="s">
        <v>832</v>
      </c>
      <c r="B38" s="61">
        <v>0</v>
      </c>
      <c r="C38" s="161">
        <v>1</v>
      </c>
      <c r="D38" s="101">
        <v>0</v>
      </c>
      <c r="E38" s="61">
        <f t="shared" si="1"/>
        <v>1</v>
      </c>
      <c r="F38" s="17" t="s">
        <v>832</v>
      </c>
      <c r="G38" s="107">
        <v>9</v>
      </c>
      <c r="H38" s="69">
        <v>9</v>
      </c>
      <c r="I38" s="107">
        <v>2</v>
      </c>
      <c r="J38" s="19">
        <f t="shared" si="0"/>
        <v>20</v>
      </c>
    </row>
    <row r="39" spans="1:18" ht="14.95" customHeight="1" thickBot="1" x14ac:dyDescent="0.3">
      <c r="A39" s="119" t="s">
        <v>255</v>
      </c>
      <c r="B39" s="61">
        <v>0</v>
      </c>
      <c r="C39" s="161">
        <v>0</v>
      </c>
      <c r="D39" s="101">
        <v>0</v>
      </c>
      <c r="E39" s="61">
        <f t="shared" si="1"/>
        <v>0</v>
      </c>
      <c r="F39" s="17" t="s">
        <v>255</v>
      </c>
      <c r="G39" s="107">
        <v>0</v>
      </c>
      <c r="H39" s="69">
        <v>0</v>
      </c>
      <c r="I39" s="107">
        <v>0</v>
      </c>
      <c r="J39" s="19">
        <f t="shared" si="0"/>
        <v>0</v>
      </c>
    </row>
    <row r="40" spans="1:18" ht="14.95" customHeight="1" thickBot="1" x14ac:dyDescent="0.3">
      <c r="A40" s="119" t="s">
        <v>168</v>
      </c>
      <c r="B40" s="61">
        <v>0</v>
      </c>
      <c r="C40" s="161">
        <v>0</v>
      </c>
      <c r="D40" s="101">
        <v>0</v>
      </c>
      <c r="E40" s="61">
        <f t="shared" si="1"/>
        <v>0</v>
      </c>
      <c r="F40" s="17" t="s">
        <v>168</v>
      </c>
      <c r="G40" s="107">
        <v>0</v>
      </c>
      <c r="H40" s="69">
        <v>0</v>
      </c>
      <c r="I40" s="107">
        <v>0</v>
      </c>
      <c r="J40" s="19">
        <f t="shared" si="0"/>
        <v>0</v>
      </c>
    </row>
    <row r="41" spans="1:18" ht="14.95" customHeight="1" thickBot="1" x14ac:dyDescent="0.3">
      <c r="A41" s="119" t="s">
        <v>3</v>
      </c>
      <c r="B41" s="61">
        <f>SUM(B3:B40)</f>
        <v>4</v>
      </c>
      <c r="C41" s="161">
        <f>SUM(C3:C40)</f>
        <v>15</v>
      </c>
      <c r="D41" s="101">
        <f>SUM(D3:D40)</f>
        <v>8</v>
      </c>
      <c r="E41" s="61">
        <f>SUM(B41:D41)</f>
        <v>27</v>
      </c>
      <c r="F41" s="51" t="s">
        <v>3</v>
      </c>
      <c r="G41" s="106">
        <f>SUM(G3:G40)</f>
        <v>31</v>
      </c>
      <c r="H41" s="80">
        <f>SUM(H3:H40)</f>
        <v>83</v>
      </c>
      <c r="I41" s="106">
        <f>SUM(I3:I40)</f>
        <v>50</v>
      </c>
      <c r="J41" s="46">
        <f>SUM(G41:I41)</f>
        <v>164</v>
      </c>
    </row>
    <row r="42" spans="1:18" ht="14.95" customHeight="1" x14ac:dyDescent="0.25">
      <c r="A42" s="503"/>
      <c r="B42" s="504"/>
      <c r="C42" s="504"/>
      <c r="D42" s="504"/>
      <c r="E42" s="504"/>
      <c r="F42" s="504"/>
      <c r="G42" s="504"/>
      <c r="H42" s="504"/>
      <c r="I42" s="504"/>
      <c r="J42" s="504"/>
      <c r="O42" s="9"/>
      <c r="P42" s="9"/>
      <c r="Q42" s="9"/>
    </row>
    <row r="43" spans="1:18" ht="17" thickBot="1" x14ac:dyDescent="0.3">
      <c r="A43" t="s">
        <v>7</v>
      </c>
      <c r="B43" s="52"/>
      <c r="C43" s="52"/>
      <c r="D43" s="52"/>
      <c r="F43" s="3"/>
      <c r="G43" s="53"/>
      <c r="H43" s="53"/>
      <c r="I43" s="53"/>
      <c r="J43" s="3"/>
    </row>
    <row r="44" spans="1:18" ht="14.95" thickBot="1" x14ac:dyDescent="0.3">
      <c r="A44" s="118" t="s">
        <v>0</v>
      </c>
      <c r="B44" s="70" t="s">
        <v>11</v>
      </c>
      <c r="C44" s="160" t="s">
        <v>247</v>
      </c>
      <c r="D44" s="100" t="s">
        <v>734</v>
      </c>
      <c r="E44" s="70" t="s">
        <v>1</v>
      </c>
      <c r="F44" s="77" t="s">
        <v>2</v>
      </c>
      <c r="G44" s="106" t="s">
        <v>11</v>
      </c>
      <c r="H44" s="80" t="s">
        <v>247</v>
      </c>
      <c r="I44" s="106" t="s">
        <v>734</v>
      </c>
      <c r="J44" s="46" t="s">
        <v>1</v>
      </c>
    </row>
    <row r="45" spans="1:18" ht="14.95" thickBot="1" x14ac:dyDescent="0.3">
      <c r="A45" s="119" t="s">
        <v>828</v>
      </c>
      <c r="B45" s="61">
        <v>1</v>
      </c>
      <c r="C45" s="161">
        <v>4</v>
      </c>
      <c r="D45" s="101">
        <v>2</v>
      </c>
      <c r="E45" s="61">
        <f t="shared" ref="E45:E83" si="2">SUM(B45:D45)</f>
        <v>7</v>
      </c>
      <c r="F45" s="18" t="s">
        <v>828</v>
      </c>
      <c r="G45" s="107">
        <v>5</v>
      </c>
      <c r="H45" s="69">
        <v>20</v>
      </c>
      <c r="I45" s="107">
        <v>10</v>
      </c>
      <c r="J45" s="19">
        <f t="shared" ref="J45:J83" si="3">SUM(G45:I45)</f>
        <v>35</v>
      </c>
    </row>
    <row r="46" spans="1:18" ht="14.95" thickBot="1" x14ac:dyDescent="0.3">
      <c r="A46" s="119" t="s">
        <v>640</v>
      </c>
      <c r="B46" s="61">
        <v>0</v>
      </c>
      <c r="C46" s="161">
        <v>2</v>
      </c>
      <c r="D46" s="101">
        <v>1</v>
      </c>
      <c r="E46" s="61">
        <f t="shared" si="2"/>
        <v>3</v>
      </c>
      <c r="F46" s="18" t="s">
        <v>640</v>
      </c>
      <c r="G46" s="107">
        <v>0</v>
      </c>
      <c r="H46" s="69">
        <v>10</v>
      </c>
      <c r="I46" s="107">
        <v>13</v>
      </c>
      <c r="J46" s="19">
        <f t="shared" si="3"/>
        <v>23</v>
      </c>
    </row>
    <row r="47" spans="1:18" ht="14.95" thickBot="1" x14ac:dyDescent="0.3">
      <c r="A47" s="119" t="s">
        <v>795</v>
      </c>
      <c r="B47" s="61">
        <v>2</v>
      </c>
      <c r="C47" s="161">
        <v>0</v>
      </c>
      <c r="D47" s="101">
        <v>0</v>
      </c>
      <c r="E47" s="61">
        <f t="shared" si="2"/>
        <v>2</v>
      </c>
      <c r="F47" s="18" t="s">
        <v>832</v>
      </c>
      <c r="G47" s="107">
        <v>9</v>
      </c>
      <c r="H47" s="69">
        <v>9</v>
      </c>
      <c r="I47" s="107">
        <v>2</v>
      </c>
      <c r="J47" s="19">
        <f t="shared" si="3"/>
        <v>20</v>
      </c>
    </row>
    <row r="48" spans="1:18" ht="14.95" thickBot="1" x14ac:dyDescent="0.3">
      <c r="A48" s="119" t="s">
        <v>831</v>
      </c>
      <c r="B48" s="61">
        <v>0</v>
      </c>
      <c r="C48" s="161">
        <v>1</v>
      </c>
      <c r="D48" s="101">
        <v>1</v>
      </c>
      <c r="E48" s="61">
        <f t="shared" si="2"/>
        <v>2</v>
      </c>
      <c r="F48" s="17" t="s">
        <v>795</v>
      </c>
      <c r="G48" s="107">
        <v>10</v>
      </c>
      <c r="H48" s="69">
        <v>0</v>
      </c>
      <c r="I48" s="107">
        <v>0</v>
      </c>
      <c r="J48" s="19">
        <f t="shared" si="3"/>
        <v>10</v>
      </c>
    </row>
    <row r="49" spans="1:10" ht="14.95" thickBot="1" x14ac:dyDescent="0.3">
      <c r="A49" s="119" t="s">
        <v>833</v>
      </c>
      <c r="B49" s="61">
        <v>1</v>
      </c>
      <c r="C49" s="161">
        <v>1</v>
      </c>
      <c r="D49" s="101">
        <v>0</v>
      </c>
      <c r="E49" s="61">
        <f t="shared" si="2"/>
        <v>2</v>
      </c>
      <c r="F49" s="17" t="s">
        <v>831</v>
      </c>
      <c r="G49" s="107">
        <v>0</v>
      </c>
      <c r="H49" s="69">
        <v>5</v>
      </c>
      <c r="I49" s="107">
        <v>5</v>
      </c>
      <c r="J49" s="19">
        <f t="shared" si="3"/>
        <v>10</v>
      </c>
    </row>
    <row r="50" spans="1:10" ht="14.95" thickBot="1" x14ac:dyDescent="0.3">
      <c r="A50" s="119" t="s">
        <v>829</v>
      </c>
      <c r="B50" s="61">
        <v>0</v>
      </c>
      <c r="C50" s="161">
        <v>1</v>
      </c>
      <c r="D50" s="101">
        <v>1</v>
      </c>
      <c r="E50" s="61">
        <f t="shared" si="2"/>
        <v>2</v>
      </c>
      <c r="F50" s="17" t="s">
        <v>833</v>
      </c>
      <c r="G50" s="107">
        <v>5</v>
      </c>
      <c r="H50" s="69">
        <v>5</v>
      </c>
      <c r="I50" s="107">
        <v>0</v>
      </c>
      <c r="J50" s="19">
        <f t="shared" si="3"/>
        <v>10</v>
      </c>
    </row>
    <row r="51" spans="1:10" ht="14.95" thickBot="1" x14ac:dyDescent="0.3">
      <c r="A51" s="119" t="s">
        <v>827</v>
      </c>
      <c r="B51" s="61">
        <v>0</v>
      </c>
      <c r="C51" s="161">
        <v>1</v>
      </c>
      <c r="D51" s="101">
        <v>1</v>
      </c>
      <c r="E51" s="61">
        <f t="shared" si="2"/>
        <v>2</v>
      </c>
      <c r="F51" s="17" t="s">
        <v>829</v>
      </c>
      <c r="G51" s="107">
        <v>0</v>
      </c>
      <c r="H51" s="69">
        <v>5</v>
      </c>
      <c r="I51" s="107">
        <v>5</v>
      </c>
      <c r="J51" s="19">
        <f t="shared" si="3"/>
        <v>10</v>
      </c>
    </row>
    <row r="52" spans="1:10" ht="14.95" thickBot="1" x14ac:dyDescent="0.3">
      <c r="A52" s="119" t="s">
        <v>830</v>
      </c>
      <c r="B52" s="61">
        <v>0</v>
      </c>
      <c r="C52" s="161">
        <v>1</v>
      </c>
      <c r="D52" s="101">
        <v>0</v>
      </c>
      <c r="E52" s="61">
        <f t="shared" si="2"/>
        <v>1</v>
      </c>
      <c r="F52" s="17" t="s">
        <v>827</v>
      </c>
      <c r="G52" s="107">
        <v>0</v>
      </c>
      <c r="H52" s="69">
        <v>5</v>
      </c>
      <c r="I52" s="107">
        <v>5</v>
      </c>
      <c r="J52" s="19">
        <f t="shared" si="3"/>
        <v>10</v>
      </c>
    </row>
    <row r="53" spans="1:10" ht="14.95" thickBot="1" x14ac:dyDescent="0.3">
      <c r="A53" s="119" t="s">
        <v>248</v>
      </c>
      <c r="B53" s="61">
        <v>0</v>
      </c>
      <c r="C53" s="161">
        <v>0</v>
      </c>
      <c r="D53" s="101">
        <v>1</v>
      </c>
      <c r="E53" s="61">
        <f t="shared" si="2"/>
        <v>1</v>
      </c>
      <c r="F53" s="17" t="s">
        <v>830</v>
      </c>
      <c r="G53" s="107">
        <v>0</v>
      </c>
      <c r="H53" s="69">
        <v>5</v>
      </c>
      <c r="I53" s="107">
        <v>0</v>
      </c>
      <c r="J53" s="19">
        <f t="shared" si="3"/>
        <v>5</v>
      </c>
    </row>
    <row r="54" spans="1:10" ht="14.95" thickBot="1" x14ac:dyDescent="0.3">
      <c r="A54" s="119" t="s">
        <v>834</v>
      </c>
      <c r="B54" s="61">
        <v>0</v>
      </c>
      <c r="C54" s="161">
        <v>1</v>
      </c>
      <c r="D54" s="101">
        <v>0</v>
      </c>
      <c r="E54" s="61">
        <f t="shared" si="2"/>
        <v>1</v>
      </c>
      <c r="F54" s="17" t="s">
        <v>248</v>
      </c>
      <c r="G54" s="107">
        <v>0</v>
      </c>
      <c r="H54" s="69">
        <v>0</v>
      </c>
      <c r="I54" s="107">
        <v>5</v>
      </c>
      <c r="J54" s="19">
        <f t="shared" si="3"/>
        <v>5</v>
      </c>
    </row>
    <row r="55" spans="1:10" ht="14.95" thickBot="1" x14ac:dyDescent="0.3">
      <c r="A55" s="119" t="s">
        <v>652</v>
      </c>
      <c r="B55" s="61">
        <v>0</v>
      </c>
      <c r="C55" s="161">
        <v>0</v>
      </c>
      <c r="D55" s="101">
        <v>1</v>
      </c>
      <c r="E55" s="61">
        <f t="shared" si="2"/>
        <v>1</v>
      </c>
      <c r="F55" s="17" t="s">
        <v>834</v>
      </c>
      <c r="G55" s="107">
        <v>0</v>
      </c>
      <c r="H55" s="69">
        <v>5</v>
      </c>
      <c r="I55" s="107">
        <v>0</v>
      </c>
      <c r="J55" s="19">
        <f t="shared" si="3"/>
        <v>5</v>
      </c>
    </row>
    <row r="56" spans="1:10" ht="14.95" thickBot="1" x14ac:dyDescent="0.3">
      <c r="A56" s="119" t="s">
        <v>257</v>
      </c>
      <c r="B56" s="61">
        <v>0</v>
      </c>
      <c r="C56" s="161">
        <v>1</v>
      </c>
      <c r="D56" s="101">
        <v>0</v>
      </c>
      <c r="E56" s="61">
        <f t="shared" si="2"/>
        <v>1</v>
      </c>
      <c r="F56" s="17" t="s">
        <v>652</v>
      </c>
      <c r="G56" s="107">
        <v>0</v>
      </c>
      <c r="H56" s="69">
        <v>0</v>
      </c>
      <c r="I56" s="107">
        <v>5</v>
      </c>
      <c r="J56" s="19">
        <f t="shared" si="3"/>
        <v>5</v>
      </c>
    </row>
    <row r="57" spans="1:10" ht="14.95" thickBot="1" x14ac:dyDescent="0.3">
      <c r="A57" s="119" t="s">
        <v>835</v>
      </c>
      <c r="B57" s="61">
        <v>0</v>
      </c>
      <c r="C57" s="161">
        <v>1</v>
      </c>
      <c r="D57" s="101">
        <v>0</v>
      </c>
      <c r="E57" s="61">
        <f t="shared" si="2"/>
        <v>1</v>
      </c>
      <c r="F57" s="17" t="s">
        <v>257</v>
      </c>
      <c r="G57" s="107">
        <v>0</v>
      </c>
      <c r="H57" s="69">
        <v>5</v>
      </c>
      <c r="I57" s="107">
        <v>0</v>
      </c>
      <c r="J57" s="19">
        <f t="shared" si="3"/>
        <v>5</v>
      </c>
    </row>
    <row r="58" spans="1:10" ht="14.95" thickBot="1" x14ac:dyDescent="0.3">
      <c r="A58" s="119" t="s">
        <v>832</v>
      </c>
      <c r="B58" s="61">
        <v>0</v>
      </c>
      <c r="C58" s="161">
        <v>1</v>
      </c>
      <c r="D58" s="101">
        <v>0</v>
      </c>
      <c r="E58" s="61">
        <f t="shared" si="2"/>
        <v>1</v>
      </c>
      <c r="F58" s="17" t="s">
        <v>836</v>
      </c>
      <c r="G58" s="107">
        <v>0</v>
      </c>
      <c r="H58" s="69">
        <v>5</v>
      </c>
      <c r="I58" s="107">
        <v>0</v>
      </c>
      <c r="J58" s="19">
        <f t="shared" si="3"/>
        <v>5</v>
      </c>
    </row>
    <row r="59" spans="1:10" ht="14.95" thickBot="1" x14ac:dyDescent="0.3">
      <c r="A59" s="119" t="s">
        <v>218</v>
      </c>
      <c r="B59" s="61">
        <v>0</v>
      </c>
      <c r="C59" s="161">
        <v>0</v>
      </c>
      <c r="D59" s="101">
        <v>0</v>
      </c>
      <c r="E59" s="61">
        <f t="shared" si="2"/>
        <v>0</v>
      </c>
      <c r="F59" s="17" t="s">
        <v>442</v>
      </c>
      <c r="G59" s="107">
        <v>2</v>
      </c>
      <c r="H59" s="69">
        <v>2</v>
      </c>
      <c r="I59" s="107">
        <v>0</v>
      </c>
      <c r="J59" s="19">
        <f t="shared" si="3"/>
        <v>4</v>
      </c>
    </row>
    <row r="60" spans="1:10" ht="14.95" thickBot="1" x14ac:dyDescent="0.3">
      <c r="A60" s="119" t="s">
        <v>387</v>
      </c>
      <c r="B60" s="61">
        <v>0</v>
      </c>
      <c r="C60" s="161">
        <v>0</v>
      </c>
      <c r="D60" s="101">
        <v>0</v>
      </c>
      <c r="E60" s="61">
        <f t="shared" si="2"/>
        <v>0</v>
      </c>
      <c r="F60" s="17" t="s">
        <v>887</v>
      </c>
      <c r="G60" s="107">
        <v>0</v>
      </c>
      <c r="H60" s="69">
        <v>2</v>
      </c>
      <c r="I60" s="107">
        <v>0</v>
      </c>
      <c r="J60" s="19">
        <f t="shared" si="3"/>
        <v>2</v>
      </c>
    </row>
    <row r="61" spans="1:10" ht="14.95" thickBot="1" x14ac:dyDescent="0.3">
      <c r="A61" s="119" t="s">
        <v>653</v>
      </c>
      <c r="B61" s="61">
        <v>0</v>
      </c>
      <c r="C61" s="161">
        <v>0</v>
      </c>
      <c r="D61" s="101">
        <v>0</v>
      </c>
      <c r="E61" s="61">
        <f t="shared" si="2"/>
        <v>0</v>
      </c>
      <c r="F61" s="17" t="s">
        <v>218</v>
      </c>
      <c r="G61" s="107">
        <v>0</v>
      </c>
      <c r="H61" s="69">
        <v>0</v>
      </c>
      <c r="I61" s="107">
        <v>0</v>
      </c>
      <c r="J61" s="19">
        <f t="shared" si="3"/>
        <v>0</v>
      </c>
    </row>
    <row r="62" spans="1:10" ht="14.95" thickBot="1" x14ac:dyDescent="0.3">
      <c r="A62" s="119" t="s">
        <v>441</v>
      </c>
      <c r="B62" s="61">
        <v>0</v>
      </c>
      <c r="C62" s="161">
        <v>0</v>
      </c>
      <c r="D62" s="101">
        <v>0</v>
      </c>
      <c r="E62" s="61">
        <f t="shared" si="2"/>
        <v>0</v>
      </c>
      <c r="F62" s="17" t="s">
        <v>387</v>
      </c>
      <c r="G62" s="107">
        <v>0</v>
      </c>
      <c r="H62" s="69">
        <v>0</v>
      </c>
      <c r="I62" s="107">
        <v>0</v>
      </c>
      <c r="J62" s="19">
        <f t="shared" si="3"/>
        <v>0</v>
      </c>
    </row>
    <row r="63" spans="1:10" ht="14.95" thickBot="1" x14ac:dyDescent="0.3">
      <c r="A63" s="119" t="s">
        <v>887</v>
      </c>
      <c r="B63" s="61">
        <v>0</v>
      </c>
      <c r="C63" s="161">
        <v>0</v>
      </c>
      <c r="D63" s="101">
        <v>0</v>
      </c>
      <c r="E63" s="61">
        <f t="shared" si="2"/>
        <v>0</v>
      </c>
      <c r="F63" s="17" t="s">
        <v>653</v>
      </c>
      <c r="G63" s="107">
        <v>0</v>
      </c>
      <c r="H63" s="69">
        <v>0</v>
      </c>
      <c r="I63" s="107">
        <v>0</v>
      </c>
      <c r="J63" s="19">
        <f t="shared" si="3"/>
        <v>0</v>
      </c>
    </row>
    <row r="64" spans="1:10" ht="14.95" thickBot="1" x14ac:dyDescent="0.3">
      <c r="A64" s="119" t="s">
        <v>641</v>
      </c>
      <c r="B64" s="61">
        <v>0</v>
      </c>
      <c r="C64" s="161">
        <v>0</v>
      </c>
      <c r="D64" s="101">
        <v>0</v>
      </c>
      <c r="E64" s="61">
        <f t="shared" si="2"/>
        <v>0</v>
      </c>
      <c r="F64" s="17" t="s">
        <v>441</v>
      </c>
      <c r="G64" s="107">
        <v>0</v>
      </c>
      <c r="H64" s="69">
        <v>0</v>
      </c>
      <c r="I64" s="107">
        <v>0</v>
      </c>
      <c r="J64" s="19">
        <f t="shared" si="3"/>
        <v>0</v>
      </c>
    </row>
    <row r="65" spans="1:10" ht="14.95" thickBot="1" x14ac:dyDescent="0.3">
      <c r="A65" s="119" t="s">
        <v>259</v>
      </c>
      <c r="B65" s="61">
        <v>0</v>
      </c>
      <c r="C65" s="161">
        <v>0</v>
      </c>
      <c r="D65" s="101">
        <v>0</v>
      </c>
      <c r="E65" s="61">
        <f t="shared" si="2"/>
        <v>0</v>
      </c>
      <c r="F65" s="17" t="s">
        <v>641</v>
      </c>
      <c r="G65" s="107">
        <v>0</v>
      </c>
      <c r="H65" s="69">
        <v>0</v>
      </c>
      <c r="I65" s="107">
        <v>0</v>
      </c>
      <c r="J65" s="19">
        <f t="shared" si="3"/>
        <v>0</v>
      </c>
    </row>
    <row r="66" spans="1:10" ht="14.95" thickBot="1" x14ac:dyDescent="0.3">
      <c r="A66" s="119" t="s">
        <v>649</v>
      </c>
      <c r="B66" s="61">
        <v>0</v>
      </c>
      <c r="C66" s="161">
        <v>0</v>
      </c>
      <c r="D66" s="101">
        <v>0</v>
      </c>
      <c r="E66" s="61">
        <f t="shared" si="2"/>
        <v>0</v>
      </c>
      <c r="F66" s="17" t="s">
        <v>259</v>
      </c>
      <c r="G66" s="107">
        <v>0</v>
      </c>
      <c r="H66" s="69">
        <v>0</v>
      </c>
      <c r="I66" s="107">
        <v>0</v>
      </c>
      <c r="J66" s="19">
        <f t="shared" si="3"/>
        <v>0</v>
      </c>
    </row>
    <row r="67" spans="1:10" ht="14.95" thickBot="1" x14ac:dyDescent="0.3">
      <c r="A67" s="119" t="s">
        <v>258</v>
      </c>
      <c r="B67" s="61">
        <v>0</v>
      </c>
      <c r="C67" s="161">
        <v>0</v>
      </c>
      <c r="D67" s="101">
        <v>0</v>
      </c>
      <c r="E67" s="61">
        <f t="shared" si="2"/>
        <v>0</v>
      </c>
      <c r="F67" s="17" t="s">
        <v>649</v>
      </c>
      <c r="G67" s="107">
        <v>0</v>
      </c>
      <c r="H67" s="69">
        <v>0</v>
      </c>
      <c r="I67" s="107">
        <v>0</v>
      </c>
      <c r="J67" s="19">
        <f t="shared" si="3"/>
        <v>0</v>
      </c>
    </row>
    <row r="68" spans="1:10" ht="14.95" thickBot="1" x14ac:dyDescent="0.3">
      <c r="A68" s="119" t="s">
        <v>225</v>
      </c>
      <c r="B68" s="61">
        <v>0</v>
      </c>
      <c r="C68" s="161">
        <v>0</v>
      </c>
      <c r="D68" s="101">
        <v>0</v>
      </c>
      <c r="E68" s="61">
        <f t="shared" si="2"/>
        <v>0</v>
      </c>
      <c r="F68" s="17" t="s">
        <v>258</v>
      </c>
      <c r="G68" s="107">
        <v>0</v>
      </c>
      <c r="H68" s="69">
        <v>0</v>
      </c>
      <c r="I68" s="107">
        <v>0</v>
      </c>
      <c r="J68" s="19">
        <f t="shared" si="3"/>
        <v>0</v>
      </c>
    </row>
    <row r="69" spans="1:10" ht="14.95" thickBot="1" x14ac:dyDescent="0.3">
      <c r="A69" s="119" t="s">
        <v>645</v>
      </c>
      <c r="B69" s="61">
        <v>0</v>
      </c>
      <c r="C69" s="161">
        <v>0</v>
      </c>
      <c r="D69" s="101">
        <v>0</v>
      </c>
      <c r="E69" s="61">
        <f t="shared" si="2"/>
        <v>0</v>
      </c>
      <c r="F69" s="17" t="s">
        <v>225</v>
      </c>
      <c r="G69" s="107">
        <v>0</v>
      </c>
      <c r="H69" s="69">
        <v>0</v>
      </c>
      <c r="I69" s="107">
        <v>0</v>
      </c>
      <c r="J69" s="19">
        <f t="shared" si="3"/>
        <v>0</v>
      </c>
    </row>
    <row r="70" spans="1:10" ht="14.95" thickBot="1" x14ac:dyDescent="0.3">
      <c r="A70" s="119" t="s">
        <v>261</v>
      </c>
      <c r="B70" s="61">
        <v>0</v>
      </c>
      <c r="C70" s="161">
        <v>0</v>
      </c>
      <c r="D70" s="101">
        <v>0</v>
      </c>
      <c r="E70" s="61">
        <f t="shared" si="2"/>
        <v>0</v>
      </c>
      <c r="F70" s="17" t="s">
        <v>645</v>
      </c>
      <c r="G70" s="107">
        <v>0</v>
      </c>
      <c r="H70" s="69">
        <v>0</v>
      </c>
      <c r="I70" s="107">
        <v>0</v>
      </c>
      <c r="J70" s="19">
        <f t="shared" si="3"/>
        <v>0</v>
      </c>
    </row>
    <row r="71" spans="1:10" ht="14.95" thickBot="1" x14ac:dyDescent="0.3">
      <c r="A71" s="119" t="s">
        <v>646</v>
      </c>
      <c r="B71" s="61">
        <v>0</v>
      </c>
      <c r="C71" s="161">
        <v>0</v>
      </c>
      <c r="D71" s="101">
        <v>0</v>
      </c>
      <c r="E71" s="61">
        <f t="shared" si="2"/>
        <v>0</v>
      </c>
      <c r="F71" s="17" t="s">
        <v>261</v>
      </c>
      <c r="G71" s="107">
        <v>0</v>
      </c>
      <c r="H71" s="69">
        <v>0</v>
      </c>
      <c r="I71" s="107">
        <v>0</v>
      </c>
      <c r="J71" s="19">
        <f t="shared" si="3"/>
        <v>0</v>
      </c>
    </row>
    <row r="72" spans="1:10" ht="14.95" thickBot="1" x14ac:dyDescent="0.3">
      <c r="A72" s="119" t="s">
        <v>648</v>
      </c>
      <c r="B72" s="61">
        <v>0</v>
      </c>
      <c r="C72" s="161">
        <v>0</v>
      </c>
      <c r="D72" s="101">
        <v>0</v>
      </c>
      <c r="E72" s="61">
        <f t="shared" si="2"/>
        <v>0</v>
      </c>
      <c r="F72" s="17" t="s">
        <v>646</v>
      </c>
      <c r="G72" s="107">
        <v>0</v>
      </c>
      <c r="H72" s="69">
        <v>0</v>
      </c>
      <c r="I72" s="107">
        <v>0</v>
      </c>
      <c r="J72" s="19">
        <f t="shared" si="3"/>
        <v>0</v>
      </c>
    </row>
    <row r="73" spans="1:10" ht="14.95" thickBot="1" x14ac:dyDescent="0.3">
      <c r="A73" s="119" t="s">
        <v>438</v>
      </c>
      <c r="B73" s="61">
        <v>0</v>
      </c>
      <c r="C73" s="161">
        <v>0</v>
      </c>
      <c r="D73" s="101">
        <v>0</v>
      </c>
      <c r="E73" s="61">
        <f t="shared" si="2"/>
        <v>0</v>
      </c>
      <c r="F73" s="17" t="s">
        <v>648</v>
      </c>
      <c r="G73" s="107">
        <v>0</v>
      </c>
      <c r="H73" s="69">
        <v>0</v>
      </c>
      <c r="I73" s="107">
        <v>0</v>
      </c>
      <c r="J73" s="19">
        <f t="shared" si="3"/>
        <v>0</v>
      </c>
    </row>
    <row r="74" spans="1:10" ht="14.95" thickBot="1" x14ac:dyDescent="0.3">
      <c r="A74" s="119" t="s">
        <v>250</v>
      </c>
      <c r="B74" s="61">
        <v>0</v>
      </c>
      <c r="C74" s="161">
        <v>0</v>
      </c>
      <c r="D74" s="101">
        <v>0</v>
      </c>
      <c r="E74" s="61">
        <f t="shared" si="2"/>
        <v>0</v>
      </c>
      <c r="F74" s="17" t="s">
        <v>438</v>
      </c>
      <c r="G74" s="107">
        <v>0</v>
      </c>
      <c r="H74" s="69">
        <v>0</v>
      </c>
      <c r="I74" s="107">
        <v>0</v>
      </c>
      <c r="J74" s="19">
        <f t="shared" si="3"/>
        <v>0</v>
      </c>
    </row>
    <row r="75" spans="1:10" ht="14.95" thickBot="1" x14ac:dyDescent="0.3">
      <c r="A75" s="119" t="s">
        <v>251</v>
      </c>
      <c r="B75" s="61">
        <v>0</v>
      </c>
      <c r="C75" s="161">
        <v>0</v>
      </c>
      <c r="D75" s="101">
        <v>0</v>
      </c>
      <c r="E75" s="61">
        <f t="shared" si="2"/>
        <v>0</v>
      </c>
      <c r="F75" s="17" t="s">
        <v>250</v>
      </c>
      <c r="G75" s="107">
        <v>0</v>
      </c>
      <c r="H75" s="69">
        <v>0</v>
      </c>
      <c r="I75" s="107">
        <v>0</v>
      </c>
      <c r="J75" s="19">
        <f t="shared" si="3"/>
        <v>0</v>
      </c>
    </row>
    <row r="76" spans="1:10" ht="14.95" thickBot="1" x14ac:dyDescent="0.3">
      <c r="A76" s="119" t="s">
        <v>252</v>
      </c>
      <c r="B76" s="61">
        <v>0</v>
      </c>
      <c r="C76" s="161">
        <v>0</v>
      </c>
      <c r="D76" s="101">
        <v>0</v>
      </c>
      <c r="E76" s="61">
        <f t="shared" si="2"/>
        <v>0</v>
      </c>
      <c r="F76" s="17" t="s">
        <v>251</v>
      </c>
      <c r="G76" s="107">
        <v>0</v>
      </c>
      <c r="H76" s="69">
        <v>0</v>
      </c>
      <c r="I76" s="107">
        <v>0</v>
      </c>
      <c r="J76" s="19">
        <f t="shared" si="3"/>
        <v>0</v>
      </c>
    </row>
    <row r="77" spans="1:10" ht="14.95" thickBot="1" x14ac:dyDescent="0.3">
      <c r="A77" s="119" t="s">
        <v>253</v>
      </c>
      <c r="B77" s="61">
        <v>0</v>
      </c>
      <c r="C77" s="161">
        <v>0</v>
      </c>
      <c r="D77" s="101">
        <v>0</v>
      </c>
      <c r="E77" s="61">
        <f t="shared" si="2"/>
        <v>0</v>
      </c>
      <c r="F77" s="17" t="s">
        <v>252</v>
      </c>
      <c r="G77" s="107">
        <v>0</v>
      </c>
      <c r="H77" s="69">
        <v>0</v>
      </c>
      <c r="I77" s="107">
        <v>0</v>
      </c>
      <c r="J77" s="19">
        <f t="shared" si="3"/>
        <v>0</v>
      </c>
    </row>
    <row r="78" spans="1:10" ht="14.95" thickBot="1" x14ac:dyDescent="0.3">
      <c r="A78" s="119" t="s">
        <v>500</v>
      </c>
      <c r="B78" s="61">
        <v>0</v>
      </c>
      <c r="C78" s="161">
        <v>0</v>
      </c>
      <c r="D78" s="101">
        <v>0</v>
      </c>
      <c r="E78" s="61">
        <f t="shared" si="2"/>
        <v>0</v>
      </c>
      <c r="F78" s="17" t="s">
        <v>253</v>
      </c>
      <c r="G78" s="107">
        <v>0</v>
      </c>
      <c r="H78" s="69">
        <v>0</v>
      </c>
      <c r="I78" s="107">
        <v>0</v>
      </c>
      <c r="J78" s="19">
        <f t="shared" si="3"/>
        <v>0</v>
      </c>
    </row>
    <row r="79" spans="1:10" ht="14.95" thickBot="1" x14ac:dyDescent="0.3">
      <c r="A79" s="119" t="s">
        <v>442</v>
      </c>
      <c r="B79" s="61">
        <v>0</v>
      </c>
      <c r="C79" s="161">
        <v>0</v>
      </c>
      <c r="D79" s="101">
        <v>0</v>
      </c>
      <c r="E79" s="61">
        <f t="shared" si="2"/>
        <v>0</v>
      </c>
      <c r="F79" s="17" t="s">
        <v>500</v>
      </c>
      <c r="G79" s="107">
        <v>0</v>
      </c>
      <c r="H79" s="69">
        <v>0</v>
      </c>
      <c r="I79" s="107">
        <v>0</v>
      </c>
      <c r="J79" s="19">
        <f t="shared" si="3"/>
        <v>0</v>
      </c>
    </row>
    <row r="80" spans="1:10" ht="14.95" thickBot="1" x14ac:dyDescent="0.3">
      <c r="A80" s="119" t="s">
        <v>254</v>
      </c>
      <c r="B80" s="61">
        <v>0</v>
      </c>
      <c r="C80" s="161">
        <v>0</v>
      </c>
      <c r="D80" s="101">
        <v>0</v>
      </c>
      <c r="E80" s="61">
        <f t="shared" si="2"/>
        <v>0</v>
      </c>
      <c r="F80" s="17" t="s">
        <v>254</v>
      </c>
      <c r="G80" s="107">
        <v>0</v>
      </c>
      <c r="H80" s="69">
        <v>0</v>
      </c>
      <c r="I80" s="107">
        <v>0</v>
      </c>
      <c r="J80" s="19">
        <f t="shared" si="3"/>
        <v>0</v>
      </c>
    </row>
    <row r="81" spans="1:10" ht="14.95" thickBot="1" x14ac:dyDescent="0.3">
      <c r="A81" s="119" t="s">
        <v>255</v>
      </c>
      <c r="B81" s="61">
        <v>0</v>
      </c>
      <c r="C81" s="161">
        <v>0</v>
      </c>
      <c r="D81" s="101">
        <v>0</v>
      </c>
      <c r="E81" s="61">
        <f t="shared" si="2"/>
        <v>0</v>
      </c>
      <c r="F81" s="17" t="s">
        <v>255</v>
      </c>
      <c r="G81" s="107">
        <v>0</v>
      </c>
      <c r="H81" s="69">
        <v>0</v>
      </c>
      <c r="I81" s="107">
        <v>0</v>
      </c>
      <c r="J81" s="19">
        <f t="shared" si="3"/>
        <v>0</v>
      </c>
    </row>
    <row r="82" spans="1:10" ht="14.95" thickBot="1" x14ac:dyDescent="0.3">
      <c r="A82" s="119" t="s">
        <v>168</v>
      </c>
      <c r="B82" s="61">
        <v>0</v>
      </c>
      <c r="C82" s="161">
        <v>0</v>
      </c>
      <c r="D82" s="101">
        <v>0</v>
      </c>
      <c r="E82" s="61">
        <f t="shared" si="2"/>
        <v>0</v>
      </c>
      <c r="F82" s="17" t="s">
        <v>168</v>
      </c>
      <c r="G82" s="107">
        <v>0</v>
      </c>
      <c r="H82" s="69">
        <v>0</v>
      </c>
      <c r="I82" s="107">
        <v>0</v>
      </c>
      <c r="J82" s="19">
        <f t="shared" si="3"/>
        <v>0</v>
      </c>
    </row>
    <row r="83" spans="1:10" ht="14.95" thickBot="1" x14ac:dyDescent="0.3">
      <c r="A83" s="119" t="s">
        <v>3</v>
      </c>
      <c r="B83" s="61">
        <f>SUM(B45:B82)</f>
        <v>4</v>
      </c>
      <c r="C83" s="161">
        <f>SUM(C45:C82)</f>
        <v>15</v>
      </c>
      <c r="D83" s="101">
        <f>SUM(D45:D82)</f>
        <v>8</v>
      </c>
      <c r="E83" s="61">
        <f t="shared" si="2"/>
        <v>27</v>
      </c>
      <c r="F83" s="51" t="s">
        <v>3</v>
      </c>
      <c r="G83" s="106">
        <f>SUM(G45:G82)</f>
        <v>31</v>
      </c>
      <c r="H83" s="80">
        <f>SUM(H45:H82)</f>
        <v>83</v>
      </c>
      <c r="I83" s="106">
        <f>SUM(I45:I82)</f>
        <v>50</v>
      </c>
      <c r="J83" s="46">
        <f t="shared" si="3"/>
        <v>164</v>
      </c>
    </row>
    <row r="84" spans="1:10" ht="16.3" x14ac:dyDescent="0.3">
      <c r="A84" s="455" t="s">
        <v>10</v>
      </c>
      <c r="B84" s="455"/>
      <c r="C84" s="456"/>
    </row>
  </sheetData>
  <sortState xmlns:xlrd2="http://schemas.microsoft.com/office/spreadsheetml/2017/richdata2" ref="F45:J82">
    <sortCondition descending="1" ref="J45:J82"/>
  </sortState>
  <mergeCells count="21">
    <mergeCell ref="AA1:AC2"/>
    <mergeCell ref="K35:R35"/>
    <mergeCell ref="V1:X2"/>
    <mergeCell ref="S1:U2"/>
    <mergeCell ref="O14:Q15"/>
    <mergeCell ref="L22:N23"/>
    <mergeCell ref="A84:C84"/>
    <mergeCell ref="K22:K23"/>
    <mergeCell ref="O22:Q23"/>
    <mergeCell ref="K29:R29"/>
    <mergeCell ref="R1:R2"/>
    <mergeCell ref="A1:J1"/>
    <mergeCell ref="K1:K2"/>
    <mergeCell ref="L1:N2"/>
    <mergeCell ref="O1:Q2"/>
    <mergeCell ref="K14:K15"/>
    <mergeCell ref="L14:N15"/>
    <mergeCell ref="R14:T15"/>
    <mergeCell ref="A42:J42"/>
    <mergeCell ref="K30:K31"/>
    <mergeCell ref="L30:N3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98"/>
  <sheetViews>
    <sheetView zoomScaleNormal="100" workbookViewId="0">
      <selection activeCell="H4" sqref="H4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5.25" customWidth="1"/>
    <col min="8" max="8" width="4.875" customWidth="1"/>
    <col min="9" max="10" width="5.25" customWidth="1"/>
    <col min="11" max="11" width="15.25" customWidth="1"/>
    <col min="12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505" t="s">
        <v>735</v>
      </c>
      <c r="B1" s="506"/>
      <c r="C1" s="506"/>
      <c r="D1" s="506"/>
      <c r="E1" s="506"/>
      <c r="F1" s="506"/>
      <c r="G1" s="506"/>
      <c r="H1" s="506"/>
      <c r="I1" s="506"/>
      <c r="J1" s="507"/>
      <c r="K1" s="510" t="s">
        <v>15</v>
      </c>
      <c r="L1" s="433">
        <v>2025</v>
      </c>
      <c r="M1" s="434"/>
      <c r="N1" s="435"/>
      <c r="O1" s="433" t="s">
        <v>12</v>
      </c>
      <c r="P1" s="434"/>
      <c r="Q1" s="435"/>
      <c r="R1" s="453" t="s">
        <v>16</v>
      </c>
      <c r="S1" s="447">
        <v>2024</v>
      </c>
      <c r="T1" s="448"/>
      <c r="U1" s="449"/>
      <c r="V1" s="447">
        <v>2023</v>
      </c>
      <c r="W1" s="448"/>
      <c r="X1" s="449"/>
      <c r="AA1" s="447">
        <v>2022</v>
      </c>
      <c r="AB1" s="448"/>
      <c r="AC1" s="449"/>
    </row>
    <row r="2" spans="1:29" ht="14.95" customHeight="1" thickBot="1" x14ac:dyDescent="0.3">
      <c r="A2" s="87" t="s">
        <v>0</v>
      </c>
      <c r="B2" s="293" t="s">
        <v>14</v>
      </c>
      <c r="C2" s="246" t="s">
        <v>734</v>
      </c>
      <c r="D2" s="78" t="s">
        <v>11</v>
      </c>
      <c r="E2" s="79" t="s">
        <v>1</v>
      </c>
      <c r="F2" s="71" t="s">
        <v>2</v>
      </c>
      <c r="G2" s="286" t="s">
        <v>14</v>
      </c>
      <c r="H2" s="106" t="s">
        <v>734</v>
      </c>
      <c r="I2" s="423" t="s">
        <v>11</v>
      </c>
      <c r="J2" s="72" t="s">
        <v>1</v>
      </c>
      <c r="K2" s="511"/>
      <c r="L2" s="436"/>
      <c r="M2" s="437"/>
      <c r="N2" s="438"/>
      <c r="O2" s="436"/>
      <c r="P2" s="437"/>
      <c r="Q2" s="438"/>
      <c r="R2" s="454"/>
      <c r="S2" s="450"/>
      <c r="T2" s="451"/>
      <c r="U2" s="452"/>
      <c r="V2" s="450"/>
      <c r="W2" s="451"/>
      <c r="X2" s="452"/>
      <c r="AA2" s="450"/>
      <c r="AB2" s="451"/>
      <c r="AC2" s="452"/>
    </row>
    <row r="3" spans="1:29" ht="14.95" customHeight="1" thickBot="1" x14ac:dyDescent="0.3">
      <c r="A3" s="35" t="s">
        <v>587</v>
      </c>
      <c r="B3" s="294">
        <v>1</v>
      </c>
      <c r="C3" s="245">
        <v>3</v>
      </c>
      <c r="D3" s="68">
        <v>0</v>
      </c>
      <c r="E3" s="36">
        <f t="shared" ref="E3" si="0">SUM(B3:D3)</f>
        <v>4</v>
      </c>
      <c r="F3" s="14" t="s">
        <v>587</v>
      </c>
      <c r="G3" s="287">
        <v>5</v>
      </c>
      <c r="H3" s="107">
        <v>15</v>
      </c>
      <c r="I3" s="424">
        <v>0</v>
      </c>
      <c r="J3" s="15">
        <f t="shared" ref="J3" si="1">SUM(G3:I3)</f>
        <v>20</v>
      </c>
      <c r="K3" s="4"/>
      <c r="L3" s="1" t="s">
        <v>17</v>
      </c>
      <c r="M3" s="1" t="s">
        <v>5</v>
      </c>
      <c r="N3" s="1" t="s">
        <v>6</v>
      </c>
      <c r="O3" s="73" t="s">
        <v>17</v>
      </c>
      <c r="P3" s="29" t="s">
        <v>5</v>
      </c>
      <c r="Q3" s="29" t="s">
        <v>6</v>
      </c>
      <c r="R3" s="1"/>
      <c r="S3" s="61" t="s">
        <v>17</v>
      </c>
      <c r="T3" s="61" t="s">
        <v>5</v>
      </c>
      <c r="U3" s="61" t="s">
        <v>6</v>
      </c>
      <c r="V3" s="61" t="s">
        <v>17</v>
      </c>
      <c r="W3" s="61" t="s">
        <v>5</v>
      </c>
      <c r="X3" s="61" t="s">
        <v>6</v>
      </c>
      <c r="AA3" s="271" t="s">
        <v>17</v>
      </c>
      <c r="AB3" s="61" t="s">
        <v>5</v>
      </c>
      <c r="AC3" s="61" t="s">
        <v>6</v>
      </c>
    </row>
    <row r="4" spans="1:29" ht="14.95" customHeight="1" thickBot="1" x14ac:dyDescent="0.3">
      <c r="A4" s="35" t="s">
        <v>399</v>
      </c>
      <c r="B4" s="294">
        <v>2</v>
      </c>
      <c r="C4" s="245">
        <v>0</v>
      </c>
      <c r="D4" s="68">
        <v>0</v>
      </c>
      <c r="E4" s="36">
        <f t="shared" ref="E4:E47" si="2">SUM(B4:D4)</f>
        <v>2</v>
      </c>
      <c r="F4" s="14" t="s">
        <v>399</v>
      </c>
      <c r="G4" s="287">
        <v>10</v>
      </c>
      <c r="H4" s="107">
        <v>2</v>
      </c>
      <c r="I4" s="424">
        <v>0</v>
      </c>
      <c r="J4" s="15">
        <f t="shared" ref="J4:J47" si="3">SUM(G4:I4)</f>
        <v>12</v>
      </c>
      <c r="K4" s="35" t="s">
        <v>399</v>
      </c>
      <c r="L4" s="36">
        <v>1</v>
      </c>
      <c r="M4" s="36">
        <v>1</v>
      </c>
      <c r="N4" s="39">
        <f>SUM(L4/M4)*100</f>
        <v>100</v>
      </c>
      <c r="O4" s="36">
        <v>1</v>
      </c>
      <c r="P4" s="36">
        <v>1</v>
      </c>
      <c r="Q4" s="39">
        <f>SUM(O4/P4)*100</f>
        <v>100</v>
      </c>
      <c r="R4" s="36">
        <v>2</v>
      </c>
      <c r="S4" s="61" t="s">
        <v>8</v>
      </c>
      <c r="T4" s="61" t="s">
        <v>8</v>
      </c>
      <c r="U4" s="120" t="s">
        <v>8</v>
      </c>
      <c r="V4" s="61">
        <v>2</v>
      </c>
      <c r="W4" s="61">
        <v>2</v>
      </c>
      <c r="X4" s="120">
        <f>SUM(V4/W4)*100</f>
        <v>100</v>
      </c>
      <c r="AA4" s="271" t="s">
        <v>8</v>
      </c>
      <c r="AB4" s="61" t="s">
        <v>8</v>
      </c>
      <c r="AC4" s="120" t="s">
        <v>8</v>
      </c>
    </row>
    <row r="5" spans="1:29" ht="14.95" customHeight="1" thickBot="1" x14ac:dyDescent="0.3">
      <c r="A5" s="35" t="s">
        <v>72</v>
      </c>
      <c r="B5" s="294">
        <v>0</v>
      </c>
      <c r="C5" s="245">
        <v>0</v>
      </c>
      <c r="D5" s="68">
        <v>0</v>
      </c>
      <c r="E5" s="36">
        <f t="shared" si="2"/>
        <v>0</v>
      </c>
      <c r="F5" s="14" t="s">
        <v>72</v>
      </c>
      <c r="G5" s="287">
        <v>0</v>
      </c>
      <c r="H5" s="107">
        <v>0</v>
      </c>
      <c r="I5" s="424">
        <v>0</v>
      </c>
      <c r="J5" s="15">
        <f t="shared" si="3"/>
        <v>0</v>
      </c>
      <c r="K5" s="35" t="s">
        <v>752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-3</v>
      </c>
      <c r="S5" s="61" t="s">
        <v>8</v>
      </c>
      <c r="T5" s="61" t="s">
        <v>8</v>
      </c>
      <c r="U5" s="120" t="s">
        <v>8</v>
      </c>
      <c r="V5" s="61">
        <v>2</v>
      </c>
      <c r="W5" s="61">
        <v>6</v>
      </c>
      <c r="X5" s="120">
        <f>SUM(V5/W5)*100</f>
        <v>33.333333333333329</v>
      </c>
      <c r="AA5" s="271">
        <v>15</v>
      </c>
      <c r="AB5" s="61">
        <v>19</v>
      </c>
      <c r="AC5" s="120">
        <f>SUM(AA5/AB5)*100</f>
        <v>78.94736842105263</v>
      </c>
    </row>
    <row r="6" spans="1:29" ht="14.95" customHeight="1" thickBot="1" x14ac:dyDescent="0.3">
      <c r="A6" s="35" t="s">
        <v>73</v>
      </c>
      <c r="B6" s="294">
        <v>0</v>
      </c>
      <c r="C6" s="245">
        <v>0</v>
      </c>
      <c r="D6" s="68">
        <v>0</v>
      </c>
      <c r="E6" s="36">
        <f t="shared" si="2"/>
        <v>0</v>
      </c>
      <c r="F6" s="14" t="s">
        <v>73</v>
      </c>
      <c r="G6" s="287">
        <v>0</v>
      </c>
      <c r="H6" s="107">
        <v>0</v>
      </c>
      <c r="I6" s="424">
        <v>0</v>
      </c>
      <c r="J6" s="15">
        <f t="shared" si="3"/>
        <v>0</v>
      </c>
      <c r="K6" s="35" t="s">
        <v>407</v>
      </c>
      <c r="L6" s="36">
        <v>40</v>
      </c>
      <c r="M6" s="36">
        <v>51</v>
      </c>
      <c r="N6" s="39">
        <f>SUM(L6/M6)*100</f>
        <v>78.431372549019613</v>
      </c>
      <c r="O6" s="36" t="s">
        <v>8</v>
      </c>
      <c r="P6" s="36" t="s">
        <v>8</v>
      </c>
      <c r="Q6" s="39" t="s">
        <v>8</v>
      </c>
      <c r="R6" s="36">
        <v>-1</v>
      </c>
      <c r="S6" s="61">
        <v>2</v>
      </c>
      <c r="T6" s="61">
        <v>2</v>
      </c>
      <c r="U6" s="120">
        <f>SUM(S6/T6)*100</f>
        <v>100</v>
      </c>
      <c r="V6" s="61">
        <v>11</v>
      </c>
      <c r="W6" s="61">
        <v>17</v>
      </c>
      <c r="X6" s="120">
        <f>SUM(V6/W6)*100</f>
        <v>64.705882352941174</v>
      </c>
      <c r="AA6" s="271" t="s">
        <v>8</v>
      </c>
      <c r="AB6" s="61" t="s">
        <v>8</v>
      </c>
      <c r="AC6" s="120" t="s">
        <v>8</v>
      </c>
    </row>
    <row r="7" spans="1:29" ht="14.95" customHeight="1" thickBot="1" x14ac:dyDescent="0.3">
      <c r="A7" s="35" t="s">
        <v>74</v>
      </c>
      <c r="B7" s="294">
        <v>0</v>
      </c>
      <c r="C7" s="245">
        <v>0</v>
      </c>
      <c r="D7" s="68">
        <v>0</v>
      </c>
      <c r="E7" s="36">
        <f t="shared" si="2"/>
        <v>0</v>
      </c>
      <c r="F7" s="14" t="s">
        <v>74</v>
      </c>
      <c r="G7" s="287">
        <v>0</v>
      </c>
      <c r="H7" s="107">
        <v>0</v>
      </c>
      <c r="I7" s="424">
        <v>0</v>
      </c>
      <c r="J7" s="15">
        <f t="shared" si="3"/>
        <v>0</v>
      </c>
      <c r="K7" s="35" t="s">
        <v>77</v>
      </c>
      <c r="L7" s="36" t="s">
        <v>8</v>
      </c>
      <c r="M7" s="36" t="s">
        <v>8</v>
      </c>
      <c r="N7" s="39" t="s">
        <v>8</v>
      </c>
      <c r="O7" s="36" t="s">
        <v>8</v>
      </c>
      <c r="P7" s="36" t="s">
        <v>8</v>
      </c>
      <c r="Q7" s="39" t="s">
        <v>8</v>
      </c>
      <c r="R7" s="36">
        <v>2</v>
      </c>
      <c r="S7" s="61" t="s">
        <v>8</v>
      </c>
      <c r="T7" s="61" t="s">
        <v>8</v>
      </c>
      <c r="U7" s="120" t="s">
        <v>8</v>
      </c>
      <c r="V7" s="61" t="s">
        <v>8</v>
      </c>
      <c r="W7" s="61" t="s">
        <v>8</v>
      </c>
      <c r="X7" s="120" t="s">
        <v>8</v>
      </c>
      <c r="AA7" s="271">
        <v>28</v>
      </c>
      <c r="AB7" s="61">
        <v>40</v>
      </c>
      <c r="AC7" s="120">
        <f>SUM(AA7/AB7)*100</f>
        <v>70</v>
      </c>
    </row>
    <row r="8" spans="1:29" ht="14.95" customHeight="1" thickBot="1" x14ac:dyDescent="0.3">
      <c r="A8" s="35" t="s">
        <v>763</v>
      </c>
      <c r="B8" s="294">
        <v>1</v>
      </c>
      <c r="C8" s="245">
        <v>0</v>
      </c>
      <c r="D8" s="68">
        <v>0</v>
      </c>
      <c r="E8" s="36">
        <f t="shared" si="2"/>
        <v>1</v>
      </c>
      <c r="F8" s="14" t="s">
        <v>763</v>
      </c>
      <c r="G8" s="287">
        <v>5</v>
      </c>
      <c r="H8" s="107">
        <v>0</v>
      </c>
      <c r="I8" s="424">
        <v>0</v>
      </c>
      <c r="J8" s="15">
        <f t="shared" si="3"/>
        <v>5</v>
      </c>
      <c r="K8" s="35" t="s">
        <v>83</v>
      </c>
      <c r="L8" s="36" t="s">
        <v>8</v>
      </c>
      <c r="M8" s="36" t="s">
        <v>8</v>
      </c>
      <c r="N8" s="39" t="s">
        <v>8</v>
      </c>
      <c r="O8" s="36" t="s">
        <v>8</v>
      </c>
      <c r="P8" s="36" t="s">
        <v>8</v>
      </c>
      <c r="Q8" s="39" t="s">
        <v>8</v>
      </c>
      <c r="R8" s="36">
        <v>-3</v>
      </c>
      <c r="S8" s="61">
        <v>2</v>
      </c>
      <c r="T8" s="61">
        <v>5</v>
      </c>
      <c r="U8" s="120">
        <f>SUM(S8/T8)*100</f>
        <v>40</v>
      </c>
      <c r="V8" s="61" t="s">
        <v>8</v>
      </c>
      <c r="W8" s="61" t="s">
        <v>8</v>
      </c>
      <c r="X8" s="120" t="s">
        <v>8</v>
      </c>
      <c r="AA8" s="271" t="s">
        <v>8</v>
      </c>
      <c r="AB8" s="61" t="s">
        <v>8</v>
      </c>
      <c r="AC8" s="120" t="s">
        <v>8</v>
      </c>
    </row>
    <row r="9" spans="1:29" ht="14.95" customHeight="1" thickBot="1" x14ac:dyDescent="0.3">
      <c r="A9" s="35" t="s">
        <v>214</v>
      </c>
      <c r="B9" s="294">
        <v>0</v>
      </c>
      <c r="C9" s="245">
        <v>0</v>
      </c>
      <c r="D9" s="68">
        <v>0</v>
      </c>
      <c r="E9" s="36">
        <f t="shared" si="2"/>
        <v>0</v>
      </c>
      <c r="F9" s="14" t="s">
        <v>214</v>
      </c>
      <c r="G9" s="287">
        <v>0</v>
      </c>
      <c r="H9" s="107">
        <v>0</v>
      </c>
      <c r="I9" s="424">
        <v>0</v>
      </c>
      <c r="J9" s="15">
        <f t="shared" si="3"/>
        <v>0</v>
      </c>
      <c r="K9" s="35" t="s">
        <v>388</v>
      </c>
      <c r="L9" s="36">
        <v>9</v>
      </c>
      <c r="M9" s="36">
        <v>18</v>
      </c>
      <c r="N9" s="39">
        <f>SUM(L9/M9)*100</f>
        <v>50</v>
      </c>
      <c r="O9" s="36" t="s">
        <v>8</v>
      </c>
      <c r="P9" s="36" t="s">
        <v>8</v>
      </c>
      <c r="Q9" s="39" t="s">
        <v>8</v>
      </c>
      <c r="R9" s="36">
        <v>-1</v>
      </c>
      <c r="S9" s="61">
        <v>23</v>
      </c>
      <c r="T9" s="61">
        <v>29</v>
      </c>
      <c r="U9" s="120">
        <f>SUM(S9/T9)*100</f>
        <v>79.310344827586206</v>
      </c>
      <c r="V9" s="61" t="s">
        <v>8</v>
      </c>
      <c r="W9" s="61" t="s">
        <v>8</v>
      </c>
      <c r="X9" s="120" t="s">
        <v>8</v>
      </c>
      <c r="AA9" s="271" t="s">
        <v>8</v>
      </c>
      <c r="AB9" s="61" t="s">
        <v>8</v>
      </c>
      <c r="AC9" s="120" t="s">
        <v>8</v>
      </c>
    </row>
    <row r="10" spans="1:29" ht="14.95" customHeight="1" thickBot="1" x14ac:dyDescent="0.3">
      <c r="A10" s="35" t="s">
        <v>204</v>
      </c>
      <c r="B10" s="294">
        <v>3</v>
      </c>
      <c r="C10" s="245">
        <v>5</v>
      </c>
      <c r="D10" s="68">
        <v>0</v>
      </c>
      <c r="E10" s="36">
        <f t="shared" si="2"/>
        <v>8</v>
      </c>
      <c r="F10" s="14" t="s">
        <v>204</v>
      </c>
      <c r="G10" s="287">
        <v>15</v>
      </c>
      <c r="H10" s="107">
        <v>25</v>
      </c>
      <c r="I10" s="424">
        <v>0</v>
      </c>
      <c r="J10" s="15">
        <f t="shared" si="3"/>
        <v>40</v>
      </c>
      <c r="K10" s="35" t="s">
        <v>657</v>
      </c>
      <c r="L10" s="36">
        <v>2</v>
      </c>
      <c r="M10" s="36">
        <v>3</v>
      </c>
      <c r="N10" s="39">
        <f>SUM(L10/M10)*100</f>
        <v>66.666666666666657</v>
      </c>
      <c r="O10" s="36">
        <v>2</v>
      </c>
      <c r="P10" s="36">
        <v>3</v>
      </c>
      <c r="Q10" s="39">
        <f>SUM(O10/P10)*100</f>
        <v>66.666666666666657</v>
      </c>
      <c r="R10" s="36">
        <v>-1</v>
      </c>
      <c r="S10" s="61">
        <v>2</v>
      </c>
      <c r="T10" s="61">
        <v>3</v>
      </c>
      <c r="U10" s="120">
        <f>SUM(S10/T10)*100</f>
        <v>66.666666666666657</v>
      </c>
      <c r="V10" s="61" t="s">
        <v>8</v>
      </c>
      <c r="W10" s="61" t="s">
        <v>8</v>
      </c>
      <c r="X10" s="120" t="s">
        <v>8</v>
      </c>
      <c r="AA10" s="271" t="s">
        <v>8</v>
      </c>
      <c r="AB10" s="61" t="s">
        <v>8</v>
      </c>
      <c r="AC10" s="120" t="s">
        <v>8</v>
      </c>
    </row>
    <row r="11" spans="1:29" ht="14.95" customHeight="1" thickBot="1" x14ac:dyDescent="0.3">
      <c r="A11" s="35" t="s">
        <v>752</v>
      </c>
      <c r="B11" s="294">
        <v>1</v>
      </c>
      <c r="C11" s="245">
        <v>2</v>
      </c>
      <c r="D11" s="68">
        <v>0</v>
      </c>
      <c r="E11" s="36">
        <f t="shared" si="2"/>
        <v>3</v>
      </c>
      <c r="F11" s="14" t="s">
        <v>752</v>
      </c>
      <c r="G11" s="287">
        <v>8</v>
      </c>
      <c r="H11" s="107">
        <v>10</v>
      </c>
      <c r="I11" s="424">
        <v>0</v>
      </c>
      <c r="J11" s="15">
        <f t="shared" si="3"/>
        <v>18</v>
      </c>
      <c r="S11" s="58"/>
    </row>
    <row r="12" spans="1:29" ht="14.95" customHeight="1" thickBot="1" x14ac:dyDescent="0.3">
      <c r="A12" s="35" t="s">
        <v>407</v>
      </c>
      <c r="B12" s="294">
        <v>3</v>
      </c>
      <c r="C12" s="245">
        <v>0</v>
      </c>
      <c r="D12" s="68">
        <v>0</v>
      </c>
      <c r="E12" s="36">
        <f t="shared" si="2"/>
        <v>3</v>
      </c>
      <c r="F12" s="14" t="s">
        <v>407</v>
      </c>
      <c r="G12" s="287">
        <v>73</v>
      </c>
      <c r="H12" s="107">
        <v>27</v>
      </c>
      <c r="I12" s="424">
        <v>6</v>
      </c>
      <c r="J12" s="15">
        <f t="shared" si="3"/>
        <v>106</v>
      </c>
      <c r="K12" s="494" t="s">
        <v>13</v>
      </c>
      <c r="L12" s="433">
        <v>2025</v>
      </c>
      <c r="M12" s="434"/>
      <c r="N12" s="435"/>
      <c r="O12" s="447">
        <v>2024</v>
      </c>
      <c r="P12" s="448"/>
      <c r="Q12" s="449"/>
      <c r="R12" s="447">
        <v>2023</v>
      </c>
      <c r="S12" s="448"/>
      <c r="T12" s="449"/>
      <c r="U12" s="447">
        <v>2022</v>
      </c>
      <c r="V12" s="448"/>
      <c r="W12" s="449"/>
      <c r="X12" s="58"/>
      <c r="Y12" s="58"/>
    </row>
    <row r="13" spans="1:29" ht="14.95" customHeight="1" thickBot="1" x14ac:dyDescent="0.3">
      <c r="A13" s="35" t="s">
        <v>772</v>
      </c>
      <c r="B13" s="294">
        <v>1</v>
      </c>
      <c r="C13" s="245">
        <v>1</v>
      </c>
      <c r="D13" s="68">
        <v>0</v>
      </c>
      <c r="E13" s="36">
        <f t="shared" si="2"/>
        <v>2</v>
      </c>
      <c r="F13" s="14" t="s">
        <v>772</v>
      </c>
      <c r="G13" s="287">
        <v>5</v>
      </c>
      <c r="H13" s="107">
        <v>5</v>
      </c>
      <c r="I13" s="424">
        <v>0</v>
      </c>
      <c r="J13" s="15">
        <f t="shared" si="3"/>
        <v>10</v>
      </c>
      <c r="K13" s="495"/>
      <c r="L13" s="436"/>
      <c r="M13" s="437"/>
      <c r="N13" s="438"/>
      <c r="O13" s="450"/>
      <c r="P13" s="451"/>
      <c r="Q13" s="452"/>
      <c r="R13" s="450"/>
      <c r="S13" s="451"/>
      <c r="T13" s="452"/>
      <c r="U13" s="450"/>
      <c r="V13" s="451"/>
      <c r="W13" s="452"/>
      <c r="X13" s="58"/>
      <c r="Y13" s="58"/>
    </row>
    <row r="14" spans="1:29" ht="14.95" customHeight="1" thickBot="1" x14ac:dyDescent="0.3">
      <c r="A14" s="35" t="s">
        <v>765</v>
      </c>
      <c r="B14" s="294">
        <v>1</v>
      </c>
      <c r="C14" s="245">
        <v>1</v>
      </c>
      <c r="D14" s="68">
        <v>0</v>
      </c>
      <c r="E14" s="36">
        <f t="shared" si="2"/>
        <v>2</v>
      </c>
      <c r="F14" s="14" t="s">
        <v>765</v>
      </c>
      <c r="G14" s="287">
        <v>5</v>
      </c>
      <c r="H14" s="107">
        <v>5</v>
      </c>
      <c r="I14" s="424">
        <v>0</v>
      </c>
      <c r="J14" s="15">
        <f t="shared" si="3"/>
        <v>10</v>
      </c>
      <c r="K14" s="288"/>
      <c r="L14" s="1" t="s">
        <v>17</v>
      </c>
      <c r="M14" s="1" t="s">
        <v>5</v>
      </c>
      <c r="N14" s="1" t="s">
        <v>6</v>
      </c>
      <c r="O14" s="61" t="s">
        <v>17</v>
      </c>
      <c r="P14" s="61" t="s">
        <v>5</v>
      </c>
      <c r="Q14" s="61" t="s">
        <v>6</v>
      </c>
      <c r="R14" s="61" t="s">
        <v>17</v>
      </c>
      <c r="S14" s="61" t="s">
        <v>5</v>
      </c>
      <c r="T14" s="61" t="s">
        <v>6</v>
      </c>
      <c r="U14" s="61" t="s">
        <v>17</v>
      </c>
      <c r="V14" s="61" t="s">
        <v>5</v>
      </c>
      <c r="W14" s="61" t="s">
        <v>6</v>
      </c>
      <c r="X14" s="58"/>
      <c r="Y14" s="58"/>
    </row>
    <row r="15" spans="1:29" ht="14.95" customHeight="1" thickBot="1" x14ac:dyDescent="0.3">
      <c r="A15" s="35" t="s">
        <v>991</v>
      </c>
      <c r="B15" s="294">
        <v>0</v>
      </c>
      <c r="C15" s="245">
        <v>2</v>
      </c>
      <c r="D15" s="68">
        <v>0</v>
      </c>
      <c r="E15" s="36">
        <f t="shared" si="2"/>
        <v>2</v>
      </c>
      <c r="F15" s="14" t="s">
        <v>991</v>
      </c>
      <c r="G15" s="287">
        <v>0</v>
      </c>
      <c r="H15" s="107">
        <v>10</v>
      </c>
      <c r="I15" s="424">
        <v>0</v>
      </c>
      <c r="J15" s="15">
        <f t="shared" si="3"/>
        <v>10</v>
      </c>
      <c r="K15" s="35" t="s">
        <v>399</v>
      </c>
      <c r="L15" s="36" t="s">
        <v>8</v>
      </c>
      <c r="M15" s="36" t="s">
        <v>8</v>
      </c>
      <c r="N15" s="39" t="s">
        <v>8</v>
      </c>
      <c r="O15" s="61" t="s">
        <v>8</v>
      </c>
      <c r="P15" s="61" t="s">
        <v>8</v>
      </c>
      <c r="Q15" s="120" t="s">
        <v>8</v>
      </c>
      <c r="R15" s="61">
        <v>2</v>
      </c>
      <c r="S15" s="61">
        <v>2</v>
      </c>
      <c r="T15" s="120">
        <f>SUM(R15/S15)*100</f>
        <v>100</v>
      </c>
      <c r="U15" s="61" t="s">
        <v>8</v>
      </c>
      <c r="V15" s="61" t="s">
        <v>8</v>
      </c>
      <c r="W15" s="61" t="s">
        <v>8</v>
      </c>
      <c r="X15" s="58"/>
      <c r="Y15" s="58"/>
    </row>
    <row r="16" spans="1:29" ht="14.95" customHeight="1" thickBot="1" x14ac:dyDescent="0.3">
      <c r="A16" s="35" t="s">
        <v>75</v>
      </c>
      <c r="B16" s="294">
        <v>0</v>
      </c>
      <c r="C16" s="245">
        <v>0</v>
      </c>
      <c r="D16" s="68">
        <v>0</v>
      </c>
      <c r="E16" s="36">
        <f t="shared" si="2"/>
        <v>0</v>
      </c>
      <c r="F16" s="14" t="s">
        <v>75</v>
      </c>
      <c r="G16" s="287">
        <v>0</v>
      </c>
      <c r="H16" s="107">
        <v>0</v>
      </c>
      <c r="I16" s="424">
        <v>0</v>
      </c>
      <c r="J16" s="15">
        <f t="shared" si="3"/>
        <v>0</v>
      </c>
      <c r="K16" s="35" t="s">
        <v>752</v>
      </c>
      <c r="L16" s="36" t="s">
        <v>8</v>
      </c>
      <c r="M16" s="36" t="s">
        <v>8</v>
      </c>
      <c r="N16" s="39" t="s">
        <v>8</v>
      </c>
      <c r="O16" s="61" t="s">
        <v>8</v>
      </c>
      <c r="P16" s="61" t="s">
        <v>8</v>
      </c>
      <c r="Q16" s="120" t="s">
        <v>8</v>
      </c>
      <c r="R16" s="61">
        <v>2</v>
      </c>
      <c r="S16" s="61">
        <v>6</v>
      </c>
      <c r="T16" s="120">
        <f>SUM(R16/S16)*100</f>
        <v>33.333333333333329</v>
      </c>
      <c r="U16" s="61" t="s">
        <v>8</v>
      </c>
      <c r="V16" s="61" t="s">
        <v>8</v>
      </c>
      <c r="W16" s="61" t="s">
        <v>8</v>
      </c>
      <c r="X16" s="58"/>
      <c r="Y16" s="58"/>
    </row>
    <row r="17" spans="1:25" ht="14.95" customHeight="1" thickBot="1" x14ac:dyDescent="0.3">
      <c r="A17" s="35" t="s">
        <v>76</v>
      </c>
      <c r="B17" s="294">
        <v>0</v>
      </c>
      <c r="C17" s="245">
        <v>0</v>
      </c>
      <c r="D17" s="68">
        <v>0</v>
      </c>
      <c r="E17" s="36">
        <f t="shared" si="2"/>
        <v>0</v>
      </c>
      <c r="F17" s="14" t="s">
        <v>76</v>
      </c>
      <c r="G17" s="287">
        <v>0</v>
      </c>
      <c r="H17" s="107">
        <v>0</v>
      </c>
      <c r="I17" s="424">
        <v>0</v>
      </c>
      <c r="J17" s="15">
        <f t="shared" si="3"/>
        <v>0</v>
      </c>
      <c r="K17" s="35" t="s">
        <v>407</v>
      </c>
      <c r="L17" s="36">
        <v>26</v>
      </c>
      <c r="M17" s="36">
        <v>32</v>
      </c>
      <c r="N17" s="39">
        <f>SUM(L17/M17)*100</f>
        <v>81.25</v>
      </c>
      <c r="O17" s="61">
        <v>2</v>
      </c>
      <c r="P17" s="61">
        <v>2</v>
      </c>
      <c r="Q17" s="120">
        <f>SUM(O17/P17)*100</f>
        <v>100</v>
      </c>
      <c r="R17" s="61">
        <v>2</v>
      </c>
      <c r="S17" s="61">
        <v>5</v>
      </c>
      <c r="T17" s="120">
        <f>SUM(R17/S17)*100</f>
        <v>40</v>
      </c>
      <c r="U17" s="61" t="s">
        <v>8</v>
      </c>
      <c r="V17" s="61" t="s">
        <v>8</v>
      </c>
      <c r="W17" s="61" t="s">
        <v>8</v>
      </c>
      <c r="X17" s="58"/>
      <c r="Y17" s="58"/>
    </row>
    <row r="18" spans="1:25" ht="14.95" customHeight="1" thickBot="1" x14ac:dyDescent="0.3">
      <c r="A18" s="35" t="s">
        <v>77</v>
      </c>
      <c r="B18" s="294">
        <v>0</v>
      </c>
      <c r="C18" s="245">
        <v>0</v>
      </c>
      <c r="D18" s="68">
        <v>0</v>
      </c>
      <c r="E18" s="36">
        <f t="shared" si="2"/>
        <v>0</v>
      </c>
      <c r="F18" s="14" t="s">
        <v>77</v>
      </c>
      <c r="G18" s="287">
        <v>0</v>
      </c>
      <c r="H18" s="107">
        <v>0</v>
      </c>
      <c r="I18" s="424">
        <v>0</v>
      </c>
      <c r="J18" s="15">
        <f t="shared" si="3"/>
        <v>0</v>
      </c>
      <c r="K18" s="35" t="s">
        <v>77</v>
      </c>
      <c r="L18" s="36" t="s">
        <v>8</v>
      </c>
      <c r="M18" s="36" t="s">
        <v>8</v>
      </c>
      <c r="N18" s="39" t="s">
        <v>8</v>
      </c>
      <c r="O18" s="61" t="s">
        <v>8</v>
      </c>
      <c r="P18" s="61" t="s">
        <v>8</v>
      </c>
      <c r="Q18" s="120" t="s">
        <v>8</v>
      </c>
      <c r="R18" s="61" t="s">
        <v>8</v>
      </c>
      <c r="S18" s="61" t="s">
        <v>8</v>
      </c>
      <c r="T18" s="120" t="s">
        <v>8</v>
      </c>
      <c r="U18" s="61">
        <v>8</v>
      </c>
      <c r="V18" s="61">
        <v>14</v>
      </c>
      <c r="W18" s="120">
        <f>SUM(U18/V18)*100</f>
        <v>57.142857142857139</v>
      </c>
      <c r="X18" s="58"/>
      <c r="Y18" s="58"/>
    </row>
    <row r="19" spans="1:25" ht="14.95" customHeight="1" thickBot="1" x14ac:dyDescent="0.3">
      <c r="A19" s="35" t="s">
        <v>78</v>
      </c>
      <c r="B19" s="294">
        <v>0</v>
      </c>
      <c r="C19" s="245">
        <v>3</v>
      </c>
      <c r="D19" s="68">
        <v>0</v>
      </c>
      <c r="E19" s="36">
        <f t="shared" si="2"/>
        <v>3</v>
      </c>
      <c r="F19" s="14" t="s">
        <v>78</v>
      </c>
      <c r="G19" s="287">
        <v>0</v>
      </c>
      <c r="H19" s="107">
        <v>15</v>
      </c>
      <c r="I19" s="424">
        <v>0</v>
      </c>
      <c r="J19" s="15">
        <f t="shared" si="3"/>
        <v>15</v>
      </c>
      <c r="K19" s="35" t="s">
        <v>388</v>
      </c>
      <c r="L19" s="36" t="s">
        <v>8</v>
      </c>
      <c r="M19" s="36" t="s">
        <v>8</v>
      </c>
      <c r="N19" s="39" t="s">
        <v>8</v>
      </c>
      <c r="O19" s="61">
        <v>18</v>
      </c>
      <c r="P19" s="61">
        <v>23</v>
      </c>
      <c r="Q19" s="120">
        <f>SUM(O19/P19)*100</f>
        <v>78.260869565217391</v>
      </c>
      <c r="R19" s="61" t="s">
        <v>8</v>
      </c>
      <c r="S19" s="61" t="s">
        <v>8</v>
      </c>
      <c r="T19" s="120" t="s">
        <v>8</v>
      </c>
      <c r="U19" s="61" t="s">
        <v>8</v>
      </c>
      <c r="V19" s="61" t="s">
        <v>8</v>
      </c>
      <c r="W19" s="61" t="s">
        <v>8</v>
      </c>
      <c r="X19" s="58"/>
      <c r="Y19" s="58"/>
    </row>
    <row r="20" spans="1:25" ht="14.95" customHeight="1" thickBot="1" x14ac:dyDescent="0.3">
      <c r="A20" s="35" t="s">
        <v>751</v>
      </c>
      <c r="B20" s="294">
        <v>0</v>
      </c>
      <c r="C20" s="245">
        <v>0</v>
      </c>
      <c r="D20" s="68">
        <v>0</v>
      </c>
      <c r="E20" s="36">
        <f t="shared" si="2"/>
        <v>0</v>
      </c>
      <c r="F20" s="14" t="s">
        <v>751</v>
      </c>
      <c r="G20" s="287">
        <v>0</v>
      </c>
      <c r="H20" s="107">
        <v>0</v>
      </c>
      <c r="I20" s="424">
        <v>0</v>
      </c>
      <c r="J20" s="15">
        <f t="shared" si="3"/>
        <v>0</v>
      </c>
      <c r="O20" s="58"/>
      <c r="P20" s="58"/>
      <c r="Q20" s="58"/>
      <c r="R20" s="58"/>
    </row>
    <row r="21" spans="1:25" ht="14.95" customHeight="1" thickBot="1" x14ac:dyDescent="0.3">
      <c r="A21" s="35" t="s">
        <v>606</v>
      </c>
      <c r="B21" s="294">
        <v>1</v>
      </c>
      <c r="C21" s="245">
        <v>0</v>
      </c>
      <c r="D21" s="68">
        <v>0</v>
      </c>
      <c r="E21" s="36">
        <f t="shared" si="2"/>
        <v>1</v>
      </c>
      <c r="F21" s="14" t="s">
        <v>606</v>
      </c>
      <c r="G21" s="287">
        <v>5</v>
      </c>
      <c r="H21" s="107">
        <v>0</v>
      </c>
      <c r="I21" s="424">
        <v>0</v>
      </c>
      <c r="J21" s="15">
        <f t="shared" si="3"/>
        <v>5</v>
      </c>
      <c r="K21" s="459" t="s">
        <v>351</v>
      </c>
      <c r="L21" s="433">
        <v>2025</v>
      </c>
      <c r="M21" s="434"/>
      <c r="N21" s="435"/>
      <c r="O21" s="447">
        <v>2022</v>
      </c>
      <c r="P21" s="448"/>
      <c r="Q21" s="449"/>
      <c r="R21" s="58"/>
      <c r="S21" s="58"/>
      <c r="T21" s="58"/>
      <c r="U21" s="58"/>
      <c r="V21" s="58"/>
    </row>
    <row r="22" spans="1:25" ht="14.95" customHeight="1" thickBot="1" x14ac:dyDescent="0.3">
      <c r="A22" s="35" t="s">
        <v>688</v>
      </c>
      <c r="B22" s="294">
        <v>1</v>
      </c>
      <c r="C22" s="245">
        <v>0</v>
      </c>
      <c r="D22" s="68">
        <v>0</v>
      </c>
      <c r="E22" s="36">
        <f t="shared" si="2"/>
        <v>1</v>
      </c>
      <c r="F22" s="14" t="s">
        <v>688</v>
      </c>
      <c r="G22" s="287">
        <v>5</v>
      </c>
      <c r="H22" s="107">
        <v>0</v>
      </c>
      <c r="I22" s="424">
        <v>0</v>
      </c>
      <c r="J22" s="15">
        <f t="shared" si="3"/>
        <v>5</v>
      </c>
      <c r="K22" s="460"/>
      <c r="L22" s="436"/>
      <c r="M22" s="437"/>
      <c r="N22" s="438"/>
      <c r="O22" s="450"/>
      <c r="P22" s="451"/>
      <c r="Q22" s="452"/>
      <c r="R22" s="58"/>
      <c r="S22" s="58"/>
      <c r="T22" s="58"/>
      <c r="U22" s="58"/>
      <c r="V22" s="58"/>
    </row>
    <row r="23" spans="1:25" ht="14.95" customHeight="1" thickBot="1" x14ac:dyDescent="0.3">
      <c r="A23" s="35" t="s">
        <v>79</v>
      </c>
      <c r="B23" s="294">
        <v>0</v>
      </c>
      <c r="C23" s="245">
        <v>0</v>
      </c>
      <c r="D23" s="68">
        <v>0</v>
      </c>
      <c r="E23" s="36">
        <f t="shared" si="2"/>
        <v>0</v>
      </c>
      <c r="F23" s="14" t="s">
        <v>79</v>
      </c>
      <c r="G23" s="287">
        <v>0</v>
      </c>
      <c r="H23" s="107">
        <v>0</v>
      </c>
      <c r="I23" s="424">
        <v>0</v>
      </c>
      <c r="J23" s="15">
        <f t="shared" si="3"/>
        <v>0</v>
      </c>
      <c r="K23" s="317"/>
      <c r="L23" s="1" t="s">
        <v>17</v>
      </c>
      <c r="M23" s="1" t="s">
        <v>5</v>
      </c>
      <c r="N23" s="1" t="s">
        <v>6</v>
      </c>
      <c r="O23" s="61" t="s">
        <v>17</v>
      </c>
      <c r="P23" s="61" t="s">
        <v>5</v>
      </c>
      <c r="Q23" s="61" t="s">
        <v>6</v>
      </c>
      <c r="R23" s="58"/>
      <c r="S23" s="58"/>
      <c r="T23" s="58"/>
      <c r="U23" s="58"/>
      <c r="V23" s="58"/>
    </row>
    <row r="24" spans="1:25" ht="14.95" customHeight="1" thickBot="1" x14ac:dyDescent="0.3">
      <c r="A24" s="35" t="s">
        <v>80</v>
      </c>
      <c r="B24" s="294">
        <v>0</v>
      </c>
      <c r="C24" s="245">
        <v>0</v>
      </c>
      <c r="D24" s="68">
        <v>0</v>
      </c>
      <c r="E24" s="36">
        <f t="shared" si="2"/>
        <v>0</v>
      </c>
      <c r="F24" s="14" t="s">
        <v>80</v>
      </c>
      <c r="G24" s="287">
        <v>0</v>
      </c>
      <c r="H24" s="107">
        <v>0</v>
      </c>
      <c r="I24" s="424">
        <v>0</v>
      </c>
      <c r="J24" s="15">
        <f t="shared" si="3"/>
        <v>0</v>
      </c>
      <c r="K24" s="35" t="s">
        <v>399</v>
      </c>
      <c r="L24" s="36">
        <v>1</v>
      </c>
      <c r="M24" s="36">
        <v>1</v>
      </c>
      <c r="N24" s="39">
        <f>SUM(L24/M24)*100</f>
        <v>100</v>
      </c>
      <c r="O24" s="61" t="s">
        <v>8</v>
      </c>
      <c r="P24" s="61" t="s">
        <v>8</v>
      </c>
      <c r="Q24" s="120" t="s">
        <v>8</v>
      </c>
      <c r="R24" s="58"/>
      <c r="S24" s="58"/>
      <c r="T24" s="58"/>
      <c r="U24" s="58"/>
      <c r="V24" s="58"/>
    </row>
    <row r="25" spans="1:25" ht="14.95" customHeight="1" thickBot="1" x14ac:dyDescent="0.3">
      <c r="A25" s="35" t="s">
        <v>1022</v>
      </c>
      <c r="B25" s="294">
        <v>0</v>
      </c>
      <c r="C25" s="245">
        <v>1</v>
      </c>
      <c r="D25" s="68">
        <v>0</v>
      </c>
      <c r="E25" s="36">
        <f t="shared" si="2"/>
        <v>1</v>
      </c>
      <c r="F25" s="14" t="s">
        <v>1022</v>
      </c>
      <c r="G25" s="287">
        <v>0</v>
      </c>
      <c r="H25" s="107">
        <v>5</v>
      </c>
      <c r="I25" s="424">
        <v>0</v>
      </c>
      <c r="J25" s="15">
        <f t="shared" si="3"/>
        <v>5</v>
      </c>
      <c r="K25" s="35" t="s">
        <v>407</v>
      </c>
      <c r="L25" s="36">
        <v>12</v>
      </c>
      <c r="M25" s="36">
        <v>17</v>
      </c>
      <c r="N25" s="39">
        <f>SUM(L25/M25)*100</f>
        <v>70.588235294117652</v>
      </c>
      <c r="O25" s="61" t="s">
        <v>8</v>
      </c>
      <c r="P25" s="61" t="s">
        <v>8</v>
      </c>
      <c r="Q25" s="120" t="s">
        <v>8</v>
      </c>
      <c r="R25" s="58"/>
      <c r="S25" s="58"/>
      <c r="T25" s="58"/>
      <c r="U25" s="58"/>
      <c r="V25" s="58"/>
    </row>
    <row r="26" spans="1:25" ht="14.95" customHeight="1" thickBot="1" x14ac:dyDescent="0.3">
      <c r="A26" s="35" t="s">
        <v>386</v>
      </c>
      <c r="B26" s="294">
        <v>2</v>
      </c>
      <c r="C26" s="245">
        <v>4</v>
      </c>
      <c r="D26" s="68">
        <v>0</v>
      </c>
      <c r="E26" s="36">
        <f t="shared" si="2"/>
        <v>6</v>
      </c>
      <c r="F26" s="14" t="s">
        <v>386</v>
      </c>
      <c r="G26" s="287">
        <v>10</v>
      </c>
      <c r="H26" s="107">
        <v>20</v>
      </c>
      <c r="I26" s="424">
        <v>0</v>
      </c>
      <c r="J26" s="15">
        <f t="shared" si="3"/>
        <v>30</v>
      </c>
      <c r="K26" s="35" t="s">
        <v>77</v>
      </c>
      <c r="L26" s="36" t="s">
        <v>8</v>
      </c>
      <c r="M26" s="36" t="s">
        <v>8</v>
      </c>
      <c r="N26" s="39" t="s">
        <v>8</v>
      </c>
      <c r="O26" s="61">
        <v>15</v>
      </c>
      <c r="P26" s="61">
        <v>21</v>
      </c>
      <c r="Q26" s="120">
        <v>73</v>
      </c>
      <c r="R26" s="58"/>
      <c r="S26" s="58"/>
      <c r="T26" s="58"/>
      <c r="U26" s="58"/>
      <c r="V26" s="58"/>
    </row>
    <row r="27" spans="1:25" ht="14.95" customHeight="1" thickBot="1" x14ac:dyDescent="0.3">
      <c r="A27" s="35" t="s">
        <v>81</v>
      </c>
      <c r="B27" s="294">
        <v>0</v>
      </c>
      <c r="C27" s="245">
        <v>0</v>
      </c>
      <c r="D27" s="68">
        <v>0</v>
      </c>
      <c r="E27" s="36">
        <f t="shared" si="2"/>
        <v>0</v>
      </c>
      <c r="F27" s="14" t="s">
        <v>81</v>
      </c>
      <c r="G27" s="287">
        <v>0</v>
      </c>
      <c r="H27" s="107">
        <v>0</v>
      </c>
      <c r="I27" s="424">
        <v>0</v>
      </c>
      <c r="J27" s="15">
        <f t="shared" si="3"/>
        <v>0</v>
      </c>
      <c r="K27" s="35" t="s">
        <v>201</v>
      </c>
      <c r="L27" s="36" t="s">
        <v>8</v>
      </c>
      <c r="M27" s="36" t="s">
        <v>8</v>
      </c>
      <c r="N27" s="39" t="s">
        <v>8</v>
      </c>
      <c r="O27" s="61">
        <v>4</v>
      </c>
      <c r="P27" s="61">
        <v>7</v>
      </c>
      <c r="Q27" s="120">
        <v>57</v>
      </c>
      <c r="V27" s="58"/>
    </row>
    <row r="28" spans="1:25" ht="14.95" customHeight="1" thickBot="1" x14ac:dyDescent="0.3">
      <c r="A28" s="35" t="s">
        <v>82</v>
      </c>
      <c r="B28" s="294">
        <v>0</v>
      </c>
      <c r="C28" s="245">
        <v>0</v>
      </c>
      <c r="D28" s="68">
        <v>0</v>
      </c>
      <c r="E28" s="36">
        <f t="shared" si="2"/>
        <v>0</v>
      </c>
      <c r="F28" s="14" t="s">
        <v>82</v>
      </c>
      <c r="G28" s="287">
        <v>0</v>
      </c>
      <c r="H28" s="107">
        <v>0</v>
      </c>
      <c r="I28" s="424">
        <v>0</v>
      </c>
      <c r="J28" s="15">
        <f t="shared" si="3"/>
        <v>0</v>
      </c>
      <c r="K28" s="35" t="s">
        <v>388</v>
      </c>
      <c r="L28" s="36">
        <v>9</v>
      </c>
      <c r="M28" s="36">
        <v>18</v>
      </c>
      <c r="N28" s="39">
        <f>SUM(L28/M28)*100</f>
        <v>50</v>
      </c>
      <c r="O28" s="61">
        <v>4</v>
      </c>
      <c r="P28" s="61">
        <v>5</v>
      </c>
      <c r="Q28" s="120">
        <v>80</v>
      </c>
      <c r="V28" s="58"/>
    </row>
    <row r="29" spans="1:25" ht="14.95" customHeight="1" thickBot="1" x14ac:dyDescent="0.3">
      <c r="A29" s="35" t="s">
        <v>83</v>
      </c>
      <c r="B29" s="294">
        <v>0</v>
      </c>
      <c r="C29" s="245">
        <v>0</v>
      </c>
      <c r="D29" s="68">
        <v>0</v>
      </c>
      <c r="E29" s="36">
        <f t="shared" si="2"/>
        <v>0</v>
      </c>
      <c r="F29" s="14" t="s">
        <v>83</v>
      </c>
      <c r="G29" s="287">
        <v>0</v>
      </c>
      <c r="H29" s="107">
        <v>0</v>
      </c>
      <c r="I29" s="424">
        <v>0</v>
      </c>
      <c r="J29" s="15">
        <f t="shared" si="3"/>
        <v>0</v>
      </c>
      <c r="K29" s="35" t="s">
        <v>657</v>
      </c>
      <c r="L29" s="36">
        <v>2</v>
      </c>
      <c r="M29" s="36">
        <v>3</v>
      </c>
      <c r="N29" s="39">
        <f>SUM(L29/M29)*100</f>
        <v>66.666666666666657</v>
      </c>
      <c r="O29" s="61" t="s">
        <v>8</v>
      </c>
      <c r="P29" s="61" t="s">
        <v>8</v>
      </c>
      <c r="Q29" s="120" t="s">
        <v>8</v>
      </c>
      <c r="V29" s="58"/>
    </row>
    <row r="30" spans="1:25" ht="14.95" customHeight="1" thickBot="1" x14ac:dyDescent="0.3">
      <c r="A30" s="35" t="s">
        <v>84</v>
      </c>
      <c r="B30" s="294">
        <v>0</v>
      </c>
      <c r="C30" s="245">
        <v>0</v>
      </c>
      <c r="D30" s="68">
        <v>0</v>
      </c>
      <c r="E30" s="36">
        <f t="shared" si="2"/>
        <v>0</v>
      </c>
      <c r="F30" s="14" t="s">
        <v>84</v>
      </c>
      <c r="G30" s="287">
        <v>0</v>
      </c>
      <c r="H30" s="107">
        <v>0</v>
      </c>
      <c r="I30" s="424">
        <v>0</v>
      </c>
      <c r="J30" s="15">
        <f t="shared" si="3"/>
        <v>0</v>
      </c>
      <c r="S30" s="58"/>
    </row>
    <row r="31" spans="1:25" ht="14.95" customHeight="1" thickBot="1" x14ac:dyDescent="0.3">
      <c r="A31" s="35" t="s">
        <v>85</v>
      </c>
      <c r="B31" s="294">
        <v>0</v>
      </c>
      <c r="C31" s="245">
        <v>1</v>
      </c>
      <c r="D31" s="68">
        <v>0</v>
      </c>
      <c r="E31" s="36">
        <f t="shared" si="2"/>
        <v>1</v>
      </c>
      <c r="F31" s="14" t="s">
        <v>85</v>
      </c>
      <c r="G31" s="287">
        <v>0</v>
      </c>
      <c r="H31" s="107">
        <v>5</v>
      </c>
      <c r="I31" s="424">
        <v>0</v>
      </c>
      <c r="J31" s="15">
        <f t="shared" si="3"/>
        <v>5</v>
      </c>
      <c r="K31" s="477" t="s">
        <v>509</v>
      </c>
      <c r="L31" s="447">
        <v>2024</v>
      </c>
      <c r="M31" s="448"/>
      <c r="N31" s="449"/>
      <c r="O31" s="447">
        <v>2023</v>
      </c>
      <c r="P31" s="448"/>
      <c r="Q31" s="449"/>
      <c r="S31" s="58"/>
    </row>
    <row r="32" spans="1:25" ht="14.95" customHeight="1" thickBot="1" x14ac:dyDescent="0.3">
      <c r="A32" s="35" t="s">
        <v>599</v>
      </c>
      <c r="B32" s="294">
        <v>0</v>
      </c>
      <c r="C32" s="245">
        <v>3</v>
      </c>
      <c r="D32" s="68">
        <v>0</v>
      </c>
      <c r="E32" s="36">
        <f t="shared" si="2"/>
        <v>3</v>
      </c>
      <c r="F32" s="14" t="s">
        <v>599</v>
      </c>
      <c r="G32" s="287">
        <v>0</v>
      </c>
      <c r="H32" s="107">
        <v>15</v>
      </c>
      <c r="I32" s="424">
        <v>0</v>
      </c>
      <c r="J32" s="15">
        <f t="shared" si="3"/>
        <v>15</v>
      </c>
      <c r="K32" s="478"/>
      <c r="L32" s="450"/>
      <c r="M32" s="451"/>
      <c r="N32" s="452"/>
      <c r="O32" s="450"/>
      <c r="P32" s="451"/>
      <c r="Q32" s="452"/>
      <c r="S32" s="58"/>
    </row>
    <row r="33" spans="1:24" ht="14.95" customHeight="1" thickBot="1" x14ac:dyDescent="0.3">
      <c r="A33" s="35" t="s">
        <v>86</v>
      </c>
      <c r="B33" s="294">
        <v>0</v>
      </c>
      <c r="C33" s="245">
        <v>0</v>
      </c>
      <c r="D33" s="68">
        <v>0</v>
      </c>
      <c r="E33" s="36">
        <f t="shared" si="2"/>
        <v>0</v>
      </c>
      <c r="F33" s="14" t="s">
        <v>86</v>
      </c>
      <c r="G33" s="287">
        <v>0</v>
      </c>
      <c r="H33" s="107">
        <v>0</v>
      </c>
      <c r="I33" s="424">
        <v>0</v>
      </c>
      <c r="J33" s="15">
        <f t="shared" si="3"/>
        <v>0</v>
      </c>
      <c r="K33" s="231"/>
      <c r="L33" s="61" t="s">
        <v>17</v>
      </c>
      <c r="M33" s="61" t="s">
        <v>5</v>
      </c>
      <c r="N33" s="61" t="s">
        <v>6</v>
      </c>
      <c r="O33" s="61" t="s">
        <v>17</v>
      </c>
      <c r="P33" s="61" t="s">
        <v>5</v>
      </c>
      <c r="Q33" s="61" t="s">
        <v>6</v>
      </c>
      <c r="S33" s="58"/>
    </row>
    <row r="34" spans="1:24" ht="14.95" customHeight="1" thickBot="1" x14ac:dyDescent="0.3">
      <c r="A34" s="35" t="s">
        <v>87</v>
      </c>
      <c r="B34" s="294">
        <v>0</v>
      </c>
      <c r="C34" s="245">
        <v>0</v>
      </c>
      <c r="D34" s="68">
        <v>0</v>
      </c>
      <c r="E34" s="36">
        <f t="shared" si="2"/>
        <v>0</v>
      </c>
      <c r="F34" s="14" t="s">
        <v>87</v>
      </c>
      <c r="G34" s="287">
        <v>0</v>
      </c>
      <c r="H34" s="107">
        <v>0</v>
      </c>
      <c r="I34" s="424">
        <v>0</v>
      </c>
      <c r="J34" s="15">
        <f t="shared" si="3"/>
        <v>0</v>
      </c>
      <c r="K34" s="35" t="s">
        <v>407</v>
      </c>
      <c r="L34" s="61" t="s">
        <v>8</v>
      </c>
      <c r="M34" s="61" t="s">
        <v>8</v>
      </c>
      <c r="N34" s="120" t="s">
        <v>8</v>
      </c>
      <c r="O34" s="61">
        <v>9</v>
      </c>
      <c r="P34" s="61">
        <v>12</v>
      </c>
      <c r="Q34" s="120">
        <f>SUM(O34/P34)*100</f>
        <v>75</v>
      </c>
      <c r="S34" s="58"/>
    </row>
    <row r="35" spans="1:24" ht="14.95" customHeight="1" thickBot="1" x14ac:dyDescent="0.3">
      <c r="A35" s="35" t="s">
        <v>89</v>
      </c>
      <c r="B35" s="294">
        <v>3</v>
      </c>
      <c r="C35" s="245">
        <v>2</v>
      </c>
      <c r="D35" s="68">
        <v>0</v>
      </c>
      <c r="E35" s="36">
        <f t="shared" si="2"/>
        <v>5</v>
      </c>
      <c r="F35" s="13" t="s">
        <v>89</v>
      </c>
      <c r="G35" s="287">
        <v>15</v>
      </c>
      <c r="H35" s="107">
        <v>10</v>
      </c>
      <c r="I35" s="424">
        <v>0</v>
      </c>
      <c r="J35" s="15">
        <f t="shared" si="3"/>
        <v>25</v>
      </c>
      <c r="K35" s="35" t="s">
        <v>83</v>
      </c>
      <c r="L35" s="61">
        <v>2</v>
      </c>
      <c r="M35" s="61">
        <v>5</v>
      </c>
      <c r="N35" s="120">
        <f>SUM(L35/M35)*100</f>
        <v>40</v>
      </c>
      <c r="O35" s="61" t="s">
        <v>8</v>
      </c>
      <c r="P35" s="61" t="s">
        <v>8</v>
      </c>
      <c r="Q35" s="120" t="s">
        <v>8</v>
      </c>
    </row>
    <row r="36" spans="1:24" ht="14.95" customHeight="1" thickBot="1" x14ac:dyDescent="0.3">
      <c r="A36" s="35" t="s">
        <v>88</v>
      </c>
      <c r="B36" s="294">
        <v>1</v>
      </c>
      <c r="C36" s="245">
        <v>0</v>
      </c>
      <c r="D36" s="68">
        <v>0</v>
      </c>
      <c r="E36" s="36">
        <f t="shared" si="2"/>
        <v>1</v>
      </c>
      <c r="F36" s="13" t="s">
        <v>88</v>
      </c>
      <c r="G36" s="287">
        <v>5</v>
      </c>
      <c r="H36" s="107">
        <v>0</v>
      </c>
      <c r="I36" s="424">
        <v>0</v>
      </c>
      <c r="J36" s="15">
        <f t="shared" si="3"/>
        <v>5</v>
      </c>
      <c r="K36" s="35" t="s">
        <v>388</v>
      </c>
      <c r="L36" s="61">
        <v>5</v>
      </c>
      <c r="M36" s="61">
        <v>6</v>
      </c>
      <c r="N36" s="120">
        <f>SUM(L36/M36)*100</f>
        <v>83.333333333333343</v>
      </c>
      <c r="O36" s="61" t="s">
        <v>8</v>
      </c>
      <c r="P36" s="61" t="s">
        <v>8</v>
      </c>
      <c r="Q36" s="120" t="s">
        <v>8</v>
      </c>
    </row>
    <row r="37" spans="1:24" ht="14.95" customHeight="1" thickBot="1" x14ac:dyDescent="0.3">
      <c r="A37" s="35" t="s">
        <v>989</v>
      </c>
      <c r="B37" s="294">
        <v>0</v>
      </c>
      <c r="C37" s="245">
        <v>1</v>
      </c>
      <c r="D37" s="68">
        <v>0</v>
      </c>
      <c r="E37" s="36">
        <f t="shared" si="2"/>
        <v>1</v>
      </c>
      <c r="F37" s="13" t="s">
        <v>989</v>
      </c>
      <c r="G37" s="287">
        <v>0</v>
      </c>
      <c r="H37" s="107">
        <v>5</v>
      </c>
      <c r="I37" s="424">
        <v>0</v>
      </c>
      <c r="J37" s="15">
        <f t="shared" si="3"/>
        <v>5</v>
      </c>
    </row>
    <row r="38" spans="1:24" ht="14.95" customHeight="1" thickBot="1" x14ac:dyDescent="0.3">
      <c r="A38" s="35" t="s">
        <v>745</v>
      </c>
      <c r="B38" s="294">
        <v>1</v>
      </c>
      <c r="C38" s="245">
        <v>2</v>
      </c>
      <c r="D38" s="68">
        <v>0</v>
      </c>
      <c r="E38" s="36">
        <f t="shared" si="2"/>
        <v>3</v>
      </c>
      <c r="F38" s="13" t="s">
        <v>745</v>
      </c>
      <c r="G38" s="287">
        <v>5</v>
      </c>
      <c r="H38" s="107">
        <v>10</v>
      </c>
      <c r="I38" s="424">
        <v>0</v>
      </c>
      <c r="J38" s="15">
        <f t="shared" si="3"/>
        <v>15</v>
      </c>
      <c r="K38" s="508" t="s">
        <v>746</v>
      </c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</row>
    <row r="39" spans="1:24" ht="14.95" customHeight="1" thickBot="1" x14ac:dyDescent="0.3">
      <c r="A39" s="35" t="s">
        <v>212</v>
      </c>
      <c r="B39" s="294">
        <v>1</v>
      </c>
      <c r="C39" s="245">
        <v>0</v>
      </c>
      <c r="D39" s="68">
        <v>0</v>
      </c>
      <c r="E39" s="36">
        <f t="shared" si="2"/>
        <v>1</v>
      </c>
      <c r="F39" s="13" t="s">
        <v>212</v>
      </c>
      <c r="G39" s="287">
        <v>7</v>
      </c>
      <c r="H39" s="107">
        <v>0</v>
      </c>
      <c r="I39" s="424">
        <v>0</v>
      </c>
      <c r="J39" s="15">
        <f t="shared" ref="J39" si="4">SUM(G39:I39)</f>
        <v>7</v>
      </c>
    </row>
    <row r="40" spans="1:24" ht="14.95" customHeight="1" thickBot="1" x14ac:dyDescent="0.3">
      <c r="A40" s="35" t="s">
        <v>90</v>
      </c>
      <c r="B40" s="294">
        <v>0</v>
      </c>
      <c r="C40" s="245">
        <v>0</v>
      </c>
      <c r="D40" s="68">
        <v>0</v>
      </c>
      <c r="E40" s="36">
        <f t="shared" si="2"/>
        <v>0</v>
      </c>
      <c r="F40" s="13" t="s">
        <v>90</v>
      </c>
      <c r="G40" s="287">
        <v>0</v>
      </c>
      <c r="H40" s="107">
        <v>0</v>
      </c>
      <c r="I40" s="424">
        <v>0</v>
      </c>
      <c r="J40" s="15">
        <f t="shared" si="3"/>
        <v>0</v>
      </c>
    </row>
    <row r="41" spans="1:24" ht="14.95" customHeight="1" thickBot="1" x14ac:dyDescent="0.3">
      <c r="A41" s="35" t="s">
        <v>388</v>
      </c>
      <c r="B41" s="294">
        <v>0</v>
      </c>
      <c r="C41" s="245">
        <v>1</v>
      </c>
      <c r="D41" s="68">
        <v>0</v>
      </c>
      <c r="E41" s="36">
        <f t="shared" si="2"/>
        <v>1</v>
      </c>
      <c r="F41" s="13" t="s">
        <v>388</v>
      </c>
      <c r="G41" s="287">
        <v>0</v>
      </c>
      <c r="H41" s="107">
        <v>23</v>
      </c>
      <c r="I41" s="424">
        <v>0</v>
      </c>
      <c r="J41" s="15">
        <f t="shared" si="3"/>
        <v>23</v>
      </c>
    </row>
    <row r="42" spans="1:24" ht="14.95" customHeight="1" thickBot="1" x14ac:dyDescent="0.3">
      <c r="A42" s="35" t="s">
        <v>524</v>
      </c>
      <c r="B42" s="294">
        <v>0</v>
      </c>
      <c r="C42" s="245">
        <v>0</v>
      </c>
      <c r="D42" s="68">
        <v>0</v>
      </c>
      <c r="E42" s="36">
        <f t="shared" si="2"/>
        <v>0</v>
      </c>
      <c r="F42" s="13" t="s">
        <v>524</v>
      </c>
      <c r="G42" s="287">
        <v>0</v>
      </c>
      <c r="H42" s="107">
        <v>0</v>
      </c>
      <c r="I42" s="424">
        <v>0</v>
      </c>
      <c r="J42" s="15">
        <f t="shared" si="3"/>
        <v>0</v>
      </c>
    </row>
    <row r="43" spans="1:24" ht="14.95" customHeight="1" thickBot="1" x14ac:dyDescent="0.3">
      <c r="A43" s="35" t="s">
        <v>91</v>
      </c>
      <c r="B43" s="294">
        <v>0</v>
      </c>
      <c r="C43" s="245">
        <v>0</v>
      </c>
      <c r="D43" s="68">
        <v>0</v>
      </c>
      <c r="E43" s="36">
        <f t="shared" si="2"/>
        <v>0</v>
      </c>
      <c r="F43" s="13" t="s">
        <v>91</v>
      </c>
      <c r="G43" s="287">
        <v>0</v>
      </c>
      <c r="H43" s="107">
        <v>0</v>
      </c>
      <c r="I43" s="424">
        <v>0</v>
      </c>
      <c r="J43" s="15">
        <f t="shared" si="3"/>
        <v>0</v>
      </c>
    </row>
    <row r="44" spans="1:24" ht="14.95" customHeight="1" thickBot="1" x14ac:dyDescent="0.3">
      <c r="A44" s="35" t="s">
        <v>92</v>
      </c>
      <c r="B44" s="294">
        <v>0</v>
      </c>
      <c r="C44" s="245">
        <v>0</v>
      </c>
      <c r="D44" s="68">
        <v>0</v>
      </c>
      <c r="E44" s="36">
        <f t="shared" si="2"/>
        <v>0</v>
      </c>
      <c r="F44" s="13" t="s">
        <v>92</v>
      </c>
      <c r="G44" s="287">
        <v>0</v>
      </c>
      <c r="H44" s="107">
        <v>0</v>
      </c>
      <c r="I44" s="424">
        <v>0</v>
      </c>
      <c r="J44" s="15">
        <f t="shared" si="3"/>
        <v>0</v>
      </c>
    </row>
    <row r="45" spans="1:24" ht="14.95" customHeight="1" thickBot="1" x14ac:dyDescent="0.3">
      <c r="A45" s="35" t="s">
        <v>201</v>
      </c>
      <c r="B45" s="294">
        <v>0</v>
      </c>
      <c r="C45" s="245">
        <v>0</v>
      </c>
      <c r="D45" s="68">
        <v>0</v>
      </c>
      <c r="E45" s="36">
        <f t="shared" si="2"/>
        <v>0</v>
      </c>
      <c r="F45" s="13" t="s">
        <v>201</v>
      </c>
      <c r="G45" s="287">
        <v>0</v>
      </c>
      <c r="H45" s="107">
        <v>0</v>
      </c>
      <c r="I45" s="424">
        <v>0</v>
      </c>
      <c r="J45" s="15">
        <f t="shared" si="3"/>
        <v>0</v>
      </c>
    </row>
    <row r="46" spans="1:24" ht="14.95" thickBot="1" x14ac:dyDescent="0.3">
      <c r="A46" s="35" t="s">
        <v>657</v>
      </c>
      <c r="B46" s="294">
        <v>0</v>
      </c>
      <c r="C46" s="245">
        <v>1</v>
      </c>
      <c r="D46" s="68">
        <v>0</v>
      </c>
      <c r="E46" s="36">
        <f t="shared" si="2"/>
        <v>1</v>
      </c>
      <c r="F46" s="13" t="s">
        <v>657</v>
      </c>
      <c r="G46" s="287">
        <v>0</v>
      </c>
      <c r="H46" s="107">
        <v>9</v>
      </c>
      <c r="I46" s="424">
        <v>0</v>
      </c>
      <c r="J46" s="15">
        <f t="shared" si="3"/>
        <v>9</v>
      </c>
    </row>
    <row r="47" spans="1:24" ht="14.95" thickBot="1" x14ac:dyDescent="0.3">
      <c r="A47" s="35" t="s">
        <v>93</v>
      </c>
      <c r="B47" s="294">
        <v>1</v>
      </c>
      <c r="C47" s="245">
        <v>2</v>
      </c>
      <c r="D47" s="68">
        <v>0</v>
      </c>
      <c r="E47" s="36">
        <f t="shared" si="2"/>
        <v>3</v>
      </c>
      <c r="F47" s="13" t="s">
        <v>93</v>
      </c>
      <c r="G47" s="287">
        <v>5</v>
      </c>
      <c r="H47" s="107">
        <v>10</v>
      </c>
      <c r="I47" s="424">
        <v>0</v>
      </c>
      <c r="J47" s="15">
        <f t="shared" si="3"/>
        <v>15</v>
      </c>
    </row>
    <row r="48" spans="1:24" ht="14.95" thickBot="1" x14ac:dyDescent="0.3">
      <c r="A48" s="35" t="s">
        <v>3</v>
      </c>
      <c r="B48" s="294">
        <f>SUM(B3:B47)</f>
        <v>24</v>
      </c>
      <c r="C48" s="245">
        <f>SUM(C3:C47)</f>
        <v>35</v>
      </c>
      <c r="D48" s="68">
        <f>SUM(D3:D47)</f>
        <v>0</v>
      </c>
      <c r="E48" s="36">
        <f>SUM(E3:E47)</f>
        <v>59</v>
      </c>
      <c r="F48" s="13" t="s">
        <v>3</v>
      </c>
      <c r="G48" s="287">
        <f>SUM(G3:G47)</f>
        <v>183</v>
      </c>
      <c r="H48" s="107">
        <f>SUM(H3:H47)</f>
        <v>226</v>
      </c>
      <c r="I48" s="424">
        <f>SUM(I3:I47)</f>
        <v>6</v>
      </c>
      <c r="J48" s="15">
        <f>SUM(J3:J47)</f>
        <v>415</v>
      </c>
    </row>
    <row r="49" spans="1:10" ht="14.95" customHeight="1" x14ac:dyDescent="0.25">
      <c r="A49" t="s">
        <v>9</v>
      </c>
      <c r="F49" s="5"/>
      <c r="G49" s="6"/>
      <c r="H49" s="6"/>
      <c r="I49" s="6"/>
      <c r="J49" s="6"/>
    </row>
    <row r="50" spans="1:10" ht="14.95" customHeight="1" thickBot="1" x14ac:dyDescent="0.3">
      <c r="A50" t="s">
        <v>7</v>
      </c>
      <c r="F50" s="10"/>
    </row>
    <row r="51" spans="1:10" ht="14.95" thickBot="1" x14ac:dyDescent="0.3">
      <c r="A51" s="87" t="s">
        <v>0</v>
      </c>
      <c r="B51" s="293" t="s">
        <v>14</v>
      </c>
      <c r="C51" s="246" t="s">
        <v>734</v>
      </c>
      <c r="D51" s="78" t="s">
        <v>11</v>
      </c>
      <c r="E51" s="79" t="s">
        <v>1</v>
      </c>
      <c r="F51" s="71" t="s">
        <v>2</v>
      </c>
      <c r="G51" s="286" t="s">
        <v>14</v>
      </c>
      <c r="H51" s="106" t="s">
        <v>734</v>
      </c>
      <c r="I51" s="423" t="s">
        <v>11</v>
      </c>
      <c r="J51" s="72" t="s">
        <v>1</v>
      </c>
    </row>
    <row r="52" spans="1:10" ht="14.95" thickBot="1" x14ac:dyDescent="0.3">
      <c r="A52" s="35" t="s">
        <v>204</v>
      </c>
      <c r="B52" s="294">
        <v>3</v>
      </c>
      <c r="C52" s="245">
        <v>5</v>
      </c>
      <c r="D52" s="68">
        <v>0</v>
      </c>
      <c r="E52" s="36">
        <f>SUM(B52:D52)</f>
        <v>8</v>
      </c>
      <c r="F52" s="14" t="s">
        <v>407</v>
      </c>
      <c r="G52" s="287">
        <v>73</v>
      </c>
      <c r="H52" s="107">
        <v>27</v>
      </c>
      <c r="I52" s="424">
        <v>6</v>
      </c>
      <c r="J52" s="15">
        <f>SUM(G52:I52)</f>
        <v>106</v>
      </c>
    </row>
    <row r="53" spans="1:10" ht="14.95" thickBot="1" x14ac:dyDescent="0.3">
      <c r="A53" s="35" t="s">
        <v>386</v>
      </c>
      <c r="B53" s="294">
        <v>2</v>
      </c>
      <c r="C53" s="245">
        <v>4</v>
      </c>
      <c r="D53" s="68">
        <v>0</v>
      </c>
      <c r="E53" s="36">
        <f>SUM(B53:D53)</f>
        <v>6</v>
      </c>
      <c r="F53" s="14" t="s">
        <v>204</v>
      </c>
      <c r="G53" s="287">
        <v>15</v>
      </c>
      <c r="H53" s="107">
        <v>25</v>
      </c>
      <c r="I53" s="424">
        <v>0</v>
      </c>
      <c r="J53" s="15">
        <f>SUM(G53:I53)</f>
        <v>40</v>
      </c>
    </row>
    <row r="54" spans="1:10" ht="14.95" thickBot="1" x14ac:dyDescent="0.3">
      <c r="A54" s="35" t="s">
        <v>89</v>
      </c>
      <c r="B54" s="294">
        <v>3</v>
      </c>
      <c r="C54" s="245">
        <v>2</v>
      </c>
      <c r="D54" s="68">
        <v>0</v>
      </c>
      <c r="E54" s="36">
        <f>SUM(B54:D54)</f>
        <v>5</v>
      </c>
      <c r="F54" s="14" t="s">
        <v>386</v>
      </c>
      <c r="G54" s="287">
        <v>10</v>
      </c>
      <c r="H54" s="107">
        <v>20</v>
      </c>
      <c r="I54" s="424">
        <v>0</v>
      </c>
      <c r="J54" s="15">
        <f>SUM(G54:I54)</f>
        <v>30</v>
      </c>
    </row>
    <row r="55" spans="1:10" ht="14.95" thickBot="1" x14ac:dyDescent="0.3">
      <c r="A55" s="35" t="s">
        <v>587</v>
      </c>
      <c r="B55" s="294">
        <v>1</v>
      </c>
      <c r="C55" s="245">
        <v>3</v>
      </c>
      <c r="D55" s="68">
        <v>0</v>
      </c>
      <c r="E55" s="36">
        <f>SUM(B55:D55)</f>
        <v>4</v>
      </c>
      <c r="F55" s="14" t="s">
        <v>89</v>
      </c>
      <c r="G55" s="287">
        <v>15</v>
      </c>
      <c r="H55" s="107">
        <v>10</v>
      </c>
      <c r="I55" s="424">
        <v>0</v>
      </c>
      <c r="J55" s="15">
        <f>SUM(G55:I55)</f>
        <v>25</v>
      </c>
    </row>
    <row r="56" spans="1:10" ht="14.95" thickBot="1" x14ac:dyDescent="0.3">
      <c r="A56" s="35" t="s">
        <v>752</v>
      </c>
      <c r="B56" s="294">
        <v>1</v>
      </c>
      <c r="C56" s="245">
        <v>2</v>
      </c>
      <c r="D56" s="68">
        <v>0</v>
      </c>
      <c r="E56" s="36">
        <f>SUM(B56:D56)</f>
        <v>3</v>
      </c>
      <c r="F56" s="14" t="s">
        <v>388</v>
      </c>
      <c r="G56" s="287">
        <v>0</v>
      </c>
      <c r="H56" s="107">
        <v>23</v>
      </c>
      <c r="I56" s="424">
        <v>0</v>
      </c>
      <c r="J56" s="15">
        <f>SUM(G56:I56)</f>
        <v>23</v>
      </c>
    </row>
    <row r="57" spans="1:10" ht="14.95" thickBot="1" x14ac:dyDescent="0.3">
      <c r="A57" s="35" t="s">
        <v>407</v>
      </c>
      <c r="B57" s="294">
        <v>3</v>
      </c>
      <c r="C57" s="245">
        <v>0</v>
      </c>
      <c r="D57" s="68">
        <v>0</v>
      </c>
      <c r="E57" s="36">
        <f>SUM(B57:D57)</f>
        <v>3</v>
      </c>
      <c r="F57" s="14" t="s">
        <v>587</v>
      </c>
      <c r="G57" s="287">
        <v>5</v>
      </c>
      <c r="H57" s="107">
        <v>15</v>
      </c>
      <c r="I57" s="424">
        <v>0</v>
      </c>
      <c r="J57" s="15">
        <f>SUM(G57:I57)</f>
        <v>20</v>
      </c>
    </row>
    <row r="58" spans="1:10" ht="14.95" thickBot="1" x14ac:dyDescent="0.3">
      <c r="A58" s="35" t="s">
        <v>78</v>
      </c>
      <c r="B58" s="294">
        <v>0</v>
      </c>
      <c r="C58" s="245">
        <v>3</v>
      </c>
      <c r="D58" s="68">
        <v>0</v>
      </c>
      <c r="E58" s="36">
        <f>SUM(B58:D58)</f>
        <v>3</v>
      </c>
      <c r="F58" s="14" t="s">
        <v>752</v>
      </c>
      <c r="G58" s="287">
        <v>8</v>
      </c>
      <c r="H58" s="107">
        <v>10</v>
      </c>
      <c r="I58" s="424">
        <v>0</v>
      </c>
      <c r="J58" s="15">
        <f>SUM(G58:I58)</f>
        <v>18</v>
      </c>
    </row>
    <row r="59" spans="1:10" ht="14.95" thickBot="1" x14ac:dyDescent="0.3">
      <c r="A59" s="35" t="s">
        <v>599</v>
      </c>
      <c r="B59" s="294">
        <v>0</v>
      </c>
      <c r="C59" s="245">
        <v>3</v>
      </c>
      <c r="D59" s="68">
        <v>0</v>
      </c>
      <c r="E59" s="36">
        <f>SUM(B59:D59)</f>
        <v>3</v>
      </c>
      <c r="F59" s="14" t="s">
        <v>78</v>
      </c>
      <c r="G59" s="287">
        <v>0</v>
      </c>
      <c r="H59" s="107">
        <v>15</v>
      </c>
      <c r="I59" s="424">
        <v>0</v>
      </c>
      <c r="J59" s="15">
        <f>SUM(G59:I59)</f>
        <v>15</v>
      </c>
    </row>
    <row r="60" spans="1:10" ht="14.95" thickBot="1" x14ac:dyDescent="0.3">
      <c r="A60" s="35" t="s">
        <v>745</v>
      </c>
      <c r="B60" s="294">
        <v>1</v>
      </c>
      <c r="C60" s="245">
        <v>2</v>
      </c>
      <c r="D60" s="68">
        <v>0</v>
      </c>
      <c r="E60" s="36">
        <f>SUM(B60:D60)</f>
        <v>3</v>
      </c>
      <c r="F60" s="14" t="s">
        <v>599</v>
      </c>
      <c r="G60" s="287">
        <v>0</v>
      </c>
      <c r="H60" s="107">
        <v>15</v>
      </c>
      <c r="I60" s="424">
        <v>0</v>
      </c>
      <c r="J60" s="15">
        <f>SUM(G60:I60)</f>
        <v>15</v>
      </c>
    </row>
    <row r="61" spans="1:10" ht="14.95" thickBot="1" x14ac:dyDescent="0.3">
      <c r="A61" s="35" t="s">
        <v>93</v>
      </c>
      <c r="B61" s="294">
        <v>1</v>
      </c>
      <c r="C61" s="245">
        <v>2</v>
      </c>
      <c r="D61" s="68">
        <v>0</v>
      </c>
      <c r="E61" s="36">
        <f>SUM(B61:D61)</f>
        <v>3</v>
      </c>
      <c r="F61" s="14" t="s">
        <v>745</v>
      </c>
      <c r="G61" s="287">
        <v>5</v>
      </c>
      <c r="H61" s="107">
        <v>10</v>
      </c>
      <c r="I61" s="424">
        <v>0</v>
      </c>
      <c r="J61" s="15">
        <f>SUM(G61:I61)</f>
        <v>15</v>
      </c>
    </row>
    <row r="62" spans="1:10" ht="14.95" thickBot="1" x14ac:dyDescent="0.3">
      <c r="A62" s="35" t="s">
        <v>399</v>
      </c>
      <c r="B62" s="294">
        <v>2</v>
      </c>
      <c r="C62" s="245">
        <v>0</v>
      </c>
      <c r="D62" s="68">
        <v>0</v>
      </c>
      <c r="E62" s="36">
        <f>SUM(B62:D62)</f>
        <v>2</v>
      </c>
      <c r="F62" s="14" t="s">
        <v>93</v>
      </c>
      <c r="G62" s="287">
        <v>5</v>
      </c>
      <c r="H62" s="107">
        <v>10</v>
      </c>
      <c r="I62" s="424">
        <v>0</v>
      </c>
      <c r="J62" s="15">
        <f>SUM(G62:I62)</f>
        <v>15</v>
      </c>
    </row>
    <row r="63" spans="1:10" ht="14.95" thickBot="1" x14ac:dyDescent="0.3">
      <c r="A63" s="35" t="s">
        <v>772</v>
      </c>
      <c r="B63" s="294">
        <v>1</v>
      </c>
      <c r="C63" s="245">
        <v>1</v>
      </c>
      <c r="D63" s="68">
        <v>0</v>
      </c>
      <c r="E63" s="36">
        <f>SUM(B63:D63)</f>
        <v>2</v>
      </c>
      <c r="F63" s="14" t="s">
        <v>399</v>
      </c>
      <c r="G63" s="287">
        <v>10</v>
      </c>
      <c r="H63" s="107">
        <v>2</v>
      </c>
      <c r="I63" s="424">
        <v>0</v>
      </c>
      <c r="J63" s="15">
        <f>SUM(G63:I63)</f>
        <v>12</v>
      </c>
    </row>
    <row r="64" spans="1:10" ht="14.95" thickBot="1" x14ac:dyDescent="0.3">
      <c r="A64" s="35" t="s">
        <v>765</v>
      </c>
      <c r="B64" s="294">
        <v>1</v>
      </c>
      <c r="C64" s="245">
        <v>1</v>
      </c>
      <c r="D64" s="68">
        <v>0</v>
      </c>
      <c r="E64" s="36">
        <f>SUM(B64:D64)</f>
        <v>2</v>
      </c>
      <c r="F64" s="14" t="s">
        <v>772</v>
      </c>
      <c r="G64" s="287">
        <v>5</v>
      </c>
      <c r="H64" s="107">
        <v>5</v>
      </c>
      <c r="I64" s="424">
        <v>0</v>
      </c>
      <c r="J64" s="15">
        <f>SUM(G64:I64)</f>
        <v>10</v>
      </c>
    </row>
    <row r="65" spans="1:10" ht="14.95" thickBot="1" x14ac:dyDescent="0.3">
      <c r="A65" s="35" t="s">
        <v>991</v>
      </c>
      <c r="B65" s="294">
        <v>0</v>
      </c>
      <c r="C65" s="245">
        <v>2</v>
      </c>
      <c r="D65" s="68">
        <v>0</v>
      </c>
      <c r="E65" s="36">
        <f>SUM(B65:D65)</f>
        <v>2</v>
      </c>
      <c r="F65" s="14" t="s">
        <v>765</v>
      </c>
      <c r="G65" s="287">
        <v>5</v>
      </c>
      <c r="H65" s="107">
        <v>5</v>
      </c>
      <c r="I65" s="424">
        <v>0</v>
      </c>
      <c r="J65" s="15">
        <f>SUM(G65:I65)</f>
        <v>10</v>
      </c>
    </row>
    <row r="66" spans="1:10" ht="14.95" thickBot="1" x14ac:dyDescent="0.3">
      <c r="A66" s="35" t="s">
        <v>763</v>
      </c>
      <c r="B66" s="294">
        <v>1</v>
      </c>
      <c r="C66" s="245">
        <v>0</v>
      </c>
      <c r="D66" s="68">
        <v>0</v>
      </c>
      <c r="E66" s="36">
        <f>SUM(B66:D66)</f>
        <v>1</v>
      </c>
      <c r="F66" s="14" t="s">
        <v>991</v>
      </c>
      <c r="G66" s="287">
        <v>0</v>
      </c>
      <c r="H66" s="107">
        <v>10</v>
      </c>
      <c r="I66" s="424">
        <v>0</v>
      </c>
      <c r="J66" s="15">
        <f>SUM(G66:I66)</f>
        <v>10</v>
      </c>
    </row>
    <row r="67" spans="1:10" ht="14.95" thickBot="1" x14ac:dyDescent="0.3">
      <c r="A67" s="35" t="s">
        <v>606</v>
      </c>
      <c r="B67" s="294">
        <v>1</v>
      </c>
      <c r="C67" s="245">
        <v>0</v>
      </c>
      <c r="D67" s="68">
        <v>0</v>
      </c>
      <c r="E67" s="36">
        <f>SUM(B67:D67)</f>
        <v>1</v>
      </c>
      <c r="F67" s="14" t="s">
        <v>657</v>
      </c>
      <c r="G67" s="287">
        <v>0</v>
      </c>
      <c r="H67" s="107">
        <v>9</v>
      </c>
      <c r="I67" s="424">
        <v>0</v>
      </c>
      <c r="J67" s="15">
        <f>SUM(G67:I67)</f>
        <v>9</v>
      </c>
    </row>
    <row r="68" spans="1:10" ht="14.95" thickBot="1" x14ac:dyDescent="0.3">
      <c r="A68" s="35" t="s">
        <v>688</v>
      </c>
      <c r="B68" s="294">
        <v>1</v>
      </c>
      <c r="C68" s="245">
        <v>0</v>
      </c>
      <c r="D68" s="68">
        <v>0</v>
      </c>
      <c r="E68" s="36">
        <f>SUM(B68:D68)</f>
        <v>1</v>
      </c>
      <c r="F68" s="14" t="s">
        <v>212</v>
      </c>
      <c r="G68" s="287">
        <v>7</v>
      </c>
      <c r="H68" s="107">
        <v>0</v>
      </c>
      <c r="I68" s="424">
        <v>0</v>
      </c>
      <c r="J68" s="15">
        <f>SUM(G68:I68)</f>
        <v>7</v>
      </c>
    </row>
    <row r="69" spans="1:10" ht="14.95" thickBot="1" x14ac:dyDescent="0.3">
      <c r="A69" s="35" t="s">
        <v>1022</v>
      </c>
      <c r="B69" s="294">
        <v>0</v>
      </c>
      <c r="C69" s="245">
        <v>1</v>
      </c>
      <c r="D69" s="68">
        <v>0</v>
      </c>
      <c r="E69" s="36">
        <f>SUM(B69:D69)</f>
        <v>1</v>
      </c>
      <c r="F69" s="14" t="s">
        <v>763</v>
      </c>
      <c r="G69" s="287">
        <v>5</v>
      </c>
      <c r="H69" s="107">
        <v>0</v>
      </c>
      <c r="I69" s="424">
        <v>0</v>
      </c>
      <c r="J69" s="15">
        <f>SUM(G69:I69)</f>
        <v>5</v>
      </c>
    </row>
    <row r="70" spans="1:10" ht="14.95" thickBot="1" x14ac:dyDescent="0.3">
      <c r="A70" s="35" t="s">
        <v>85</v>
      </c>
      <c r="B70" s="294">
        <v>0</v>
      </c>
      <c r="C70" s="245">
        <v>1</v>
      </c>
      <c r="D70" s="68">
        <v>0</v>
      </c>
      <c r="E70" s="36">
        <f>SUM(B70:D70)</f>
        <v>1</v>
      </c>
      <c r="F70" s="14" t="s">
        <v>606</v>
      </c>
      <c r="G70" s="287">
        <v>5</v>
      </c>
      <c r="H70" s="107">
        <v>0</v>
      </c>
      <c r="I70" s="424">
        <v>0</v>
      </c>
      <c r="J70" s="15">
        <f>SUM(G70:I70)</f>
        <v>5</v>
      </c>
    </row>
    <row r="71" spans="1:10" ht="14.95" thickBot="1" x14ac:dyDescent="0.3">
      <c r="A71" s="35" t="s">
        <v>88</v>
      </c>
      <c r="B71" s="294">
        <v>1</v>
      </c>
      <c r="C71" s="245">
        <v>0</v>
      </c>
      <c r="D71" s="68">
        <v>0</v>
      </c>
      <c r="E71" s="36">
        <f>SUM(B71:D71)</f>
        <v>1</v>
      </c>
      <c r="F71" s="14" t="s">
        <v>688</v>
      </c>
      <c r="G71" s="287">
        <v>5</v>
      </c>
      <c r="H71" s="107">
        <v>0</v>
      </c>
      <c r="I71" s="424">
        <v>0</v>
      </c>
      <c r="J71" s="15">
        <f>SUM(G71:I71)</f>
        <v>5</v>
      </c>
    </row>
    <row r="72" spans="1:10" ht="14.95" thickBot="1" x14ac:dyDescent="0.3">
      <c r="A72" s="35" t="s">
        <v>989</v>
      </c>
      <c r="B72" s="294">
        <v>0</v>
      </c>
      <c r="C72" s="245">
        <v>1</v>
      </c>
      <c r="D72" s="68">
        <v>0</v>
      </c>
      <c r="E72" s="36">
        <f>SUM(B72:D72)</f>
        <v>1</v>
      </c>
      <c r="F72" s="14" t="s">
        <v>1022</v>
      </c>
      <c r="G72" s="287">
        <v>0</v>
      </c>
      <c r="H72" s="107">
        <v>5</v>
      </c>
      <c r="I72" s="424">
        <v>0</v>
      </c>
      <c r="J72" s="15">
        <f>SUM(G72:I72)</f>
        <v>5</v>
      </c>
    </row>
    <row r="73" spans="1:10" ht="14.95" thickBot="1" x14ac:dyDescent="0.3">
      <c r="A73" s="35" t="s">
        <v>212</v>
      </c>
      <c r="B73" s="294">
        <v>1</v>
      </c>
      <c r="C73" s="245">
        <v>0</v>
      </c>
      <c r="D73" s="68">
        <v>0</v>
      </c>
      <c r="E73" s="36">
        <f>SUM(B73:D73)</f>
        <v>1</v>
      </c>
      <c r="F73" s="14" t="s">
        <v>85</v>
      </c>
      <c r="G73" s="287">
        <v>0</v>
      </c>
      <c r="H73" s="107">
        <v>5</v>
      </c>
      <c r="I73" s="424">
        <v>0</v>
      </c>
      <c r="J73" s="15">
        <f>SUM(G73:I73)</f>
        <v>5</v>
      </c>
    </row>
    <row r="74" spans="1:10" ht="14.95" thickBot="1" x14ac:dyDescent="0.3">
      <c r="A74" s="35" t="s">
        <v>388</v>
      </c>
      <c r="B74" s="294">
        <v>0</v>
      </c>
      <c r="C74" s="245">
        <v>1</v>
      </c>
      <c r="D74" s="68">
        <v>0</v>
      </c>
      <c r="E74" s="36">
        <f>SUM(B74:D74)</f>
        <v>1</v>
      </c>
      <c r="F74" s="14" t="s">
        <v>88</v>
      </c>
      <c r="G74" s="287">
        <v>5</v>
      </c>
      <c r="H74" s="107">
        <v>0</v>
      </c>
      <c r="I74" s="424">
        <v>0</v>
      </c>
      <c r="J74" s="15">
        <f>SUM(G74:I74)</f>
        <v>5</v>
      </c>
    </row>
    <row r="75" spans="1:10" ht="14.95" thickBot="1" x14ac:dyDescent="0.3">
      <c r="A75" s="35" t="s">
        <v>657</v>
      </c>
      <c r="B75" s="294">
        <v>0</v>
      </c>
      <c r="C75" s="245">
        <v>1</v>
      </c>
      <c r="D75" s="68">
        <v>0</v>
      </c>
      <c r="E75" s="36">
        <f>SUM(B75:D75)</f>
        <v>1</v>
      </c>
      <c r="F75" s="14" t="s">
        <v>989</v>
      </c>
      <c r="G75" s="287">
        <v>0</v>
      </c>
      <c r="H75" s="107">
        <v>5</v>
      </c>
      <c r="I75" s="424">
        <v>0</v>
      </c>
      <c r="J75" s="15">
        <f>SUM(G75:I75)</f>
        <v>5</v>
      </c>
    </row>
    <row r="76" spans="1:10" ht="14.95" thickBot="1" x14ac:dyDescent="0.3">
      <c r="A76" s="35" t="s">
        <v>72</v>
      </c>
      <c r="B76" s="294">
        <v>0</v>
      </c>
      <c r="C76" s="245">
        <v>0</v>
      </c>
      <c r="D76" s="68">
        <v>0</v>
      </c>
      <c r="E76" s="36">
        <f>SUM(B76:D76)</f>
        <v>0</v>
      </c>
      <c r="F76" s="14" t="s">
        <v>72</v>
      </c>
      <c r="G76" s="287">
        <v>0</v>
      </c>
      <c r="H76" s="107">
        <v>0</v>
      </c>
      <c r="I76" s="424">
        <v>0</v>
      </c>
      <c r="J76" s="15">
        <f>SUM(G76:I76)</f>
        <v>0</v>
      </c>
    </row>
    <row r="77" spans="1:10" ht="14.95" thickBot="1" x14ac:dyDescent="0.3">
      <c r="A77" s="35" t="s">
        <v>73</v>
      </c>
      <c r="B77" s="294">
        <v>0</v>
      </c>
      <c r="C77" s="245">
        <v>0</v>
      </c>
      <c r="D77" s="68">
        <v>0</v>
      </c>
      <c r="E77" s="36">
        <f>SUM(B77:D77)</f>
        <v>0</v>
      </c>
      <c r="F77" s="14" t="s">
        <v>73</v>
      </c>
      <c r="G77" s="287">
        <v>0</v>
      </c>
      <c r="H77" s="107">
        <v>0</v>
      </c>
      <c r="I77" s="424">
        <v>0</v>
      </c>
      <c r="J77" s="15">
        <f>SUM(G77:I77)</f>
        <v>0</v>
      </c>
    </row>
    <row r="78" spans="1:10" ht="14.95" thickBot="1" x14ac:dyDescent="0.3">
      <c r="A78" s="35" t="s">
        <v>74</v>
      </c>
      <c r="B78" s="294">
        <v>0</v>
      </c>
      <c r="C78" s="245">
        <v>0</v>
      </c>
      <c r="D78" s="68">
        <v>0</v>
      </c>
      <c r="E78" s="36">
        <f>SUM(B78:D78)</f>
        <v>0</v>
      </c>
      <c r="F78" s="14" t="s">
        <v>74</v>
      </c>
      <c r="G78" s="287">
        <v>0</v>
      </c>
      <c r="H78" s="107">
        <v>0</v>
      </c>
      <c r="I78" s="424">
        <v>0</v>
      </c>
      <c r="J78" s="15">
        <f>SUM(G78:I78)</f>
        <v>0</v>
      </c>
    </row>
    <row r="79" spans="1:10" ht="14.95" thickBot="1" x14ac:dyDescent="0.3">
      <c r="A79" s="35" t="s">
        <v>214</v>
      </c>
      <c r="B79" s="294">
        <v>0</v>
      </c>
      <c r="C79" s="245">
        <v>0</v>
      </c>
      <c r="D79" s="68">
        <v>0</v>
      </c>
      <c r="E79" s="36">
        <f>SUM(B79:D79)</f>
        <v>0</v>
      </c>
      <c r="F79" s="14" t="s">
        <v>214</v>
      </c>
      <c r="G79" s="287">
        <v>0</v>
      </c>
      <c r="H79" s="107">
        <v>0</v>
      </c>
      <c r="I79" s="424">
        <v>0</v>
      </c>
      <c r="J79" s="15">
        <f>SUM(G79:I79)</f>
        <v>0</v>
      </c>
    </row>
    <row r="80" spans="1:10" ht="14.95" thickBot="1" x14ac:dyDescent="0.3">
      <c r="A80" s="35" t="s">
        <v>75</v>
      </c>
      <c r="B80" s="294">
        <v>0</v>
      </c>
      <c r="C80" s="245">
        <v>0</v>
      </c>
      <c r="D80" s="68">
        <v>0</v>
      </c>
      <c r="E80" s="36">
        <f>SUM(B80:D80)</f>
        <v>0</v>
      </c>
      <c r="F80" s="14" t="s">
        <v>75</v>
      </c>
      <c r="G80" s="287">
        <v>0</v>
      </c>
      <c r="H80" s="107">
        <v>0</v>
      </c>
      <c r="I80" s="424">
        <v>0</v>
      </c>
      <c r="J80" s="15">
        <f>SUM(G80:I80)</f>
        <v>0</v>
      </c>
    </row>
    <row r="81" spans="1:10" ht="14.95" thickBot="1" x14ac:dyDescent="0.3">
      <c r="A81" s="35" t="s">
        <v>76</v>
      </c>
      <c r="B81" s="294">
        <v>0</v>
      </c>
      <c r="C81" s="245">
        <v>0</v>
      </c>
      <c r="D81" s="68">
        <v>0</v>
      </c>
      <c r="E81" s="36">
        <f>SUM(B81:D81)</f>
        <v>0</v>
      </c>
      <c r="F81" s="14" t="s">
        <v>76</v>
      </c>
      <c r="G81" s="287">
        <v>0</v>
      </c>
      <c r="H81" s="107">
        <v>0</v>
      </c>
      <c r="I81" s="424">
        <v>0</v>
      </c>
      <c r="J81" s="15">
        <f>SUM(G81:I81)</f>
        <v>0</v>
      </c>
    </row>
    <row r="82" spans="1:10" ht="14.95" thickBot="1" x14ac:dyDescent="0.3">
      <c r="A82" s="35" t="s">
        <v>77</v>
      </c>
      <c r="B82" s="294">
        <v>0</v>
      </c>
      <c r="C82" s="245">
        <v>0</v>
      </c>
      <c r="D82" s="68">
        <v>0</v>
      </c>
      <c r="E82" s="36">
        <f>SUM(B82:D82)</f>
        <v>0</v>
      </c>
      <c r="F82" s="14" t="s">
        <v>77</v>
      </c>
      <c r="G82" s="287">
        <v>0</v>
      </c>
      <c r="H82" s="107">
        <v>0</v>
      </c>
      <c r="I82" s="424">
        <v>0</v>
      </c>
      <c r="J82" s="15">
        <f>SUM(G82:I82)</f>
        <v>0</v>
      </c>
    </row>
    <row r="83" spans="1:10" ht="14.95" thickBot="1" x14ac:dyDescent="0.3">
      <c r="A83" s="35" t="s">
        <v>751</v>
      </c>
      <c r="B83" s="294">
        <v>0</v>
      </c>
      <c r="C83" s="245">
        <v>0</v>
      </c>
      <c r="D83" s="68">
        <v>0</v>
      </c>
      <c r="E83" s="36">
        <f>SUM(B83:D83)</f>
        <v>0</v>
      </c>
      <c r="F83" s="14" t="s">
        <v>751</v>
      </c>
      <c r="G83" s="287">
        <v>0</v>
      </c>
      <c r="H83" s="107">
        <v>0</v>
      </c>
      <c r="I83" s="424">
        <v>0</v>
      </c>
      <c r="J83" s="15">
        <f>SUM(G83:I83)</f>
        <v>0</v>
      </c>
    </row>
    <row r="84" spans="1:10" ht="14.95" thickBot="1" x14ac:dyDescent="0.3">
      <c r="A84" s="35" t="s">
        <v>79</v>
      </c>
      <c r="B84" s="294">
        <v>0</v>
      </c>
      <c r="C84" s="245">
        <v>0</v>
      </c>
      <c r="D84" s="68">
        <v>0</v>
      </c>
      <c r="E84" s="36">
        <f>SUM(B84:D84)</f>
        <v>0</v>
      </c>
      <c r="F84" s="13" t="s">
        <v>79</v>
      </c>
      <c r="G84" s="287">
        <v>0</v>
      </c>
      <c r="H84" s="107">
        <v>0</v>
      </c>
      <c r="I84" s="424">
        <v>0</v>
      </c>
      <c r="J84" s="15">
        <f>SUM(G84:I84)</f>
        <v>0</v>
      </c>
    </row>
    <row r="85" spans="1:10" ht="14.95" thickBot="1" x14ac:dyDescent="0.3">
      <c r="A85" s="35" t="s">
        <v>80</v>
      </c>
      <c r="B85" s="294">
        <v>0</v>
      </c>
      <c r="C85" s="245">
        <v>0</v>
      </c>
      <c r="D85" s="68">
        <v>0</v>
      </c>
      <c r="E85" s="36">
        <f>SUM(B85:D85)</f>
        <v>0</v>
      </c>
      <c r="F85" s="13" t="s">
        <v>80</v>
      </c>
      <c r="G85" s="287">
        <v>0</v>
      </c>
      <c r="H85" s="107">
        <v>0</v>
      </c>
      <c r="I85" s="424">
        <v>0</v>
      </c>
      <c r="J85" s="15">
        <f>SUM(G85:I85)</f>
        <v>0</v>
      </c>
    </row>
    <row r="86" spans="1:10" ht="14.95" thickBot="1" x14ac:dyDescent="0.3">
      <c r="A86" s="35" t="s">
        <v>81</v>
      </c>
      <c r="B86" s="294">
        <v>0</v>
      </c>
      <c r="C86" s="245">
        <v>0</v>
      </c>
      <c r="D86" s="68">
        <v>0</v>
      </c>
      <c r="E86" s="36">
        <f>SUM(B86:D86)</f>
        <v>0</v>
      </c>
      <c r="F86" s="13" t="s">
        <v>81</v>
      </c>
      <c r="G86" s="287">
        <v>0</v>
      </c>
      <c r="H86" s="107">
        <v>0</v>
      </c>
      <c r="I86" s="424">
        <v>0</v>
      </c>
      <c r="J86" s="15">
        <f>SUM(G86:I86)</f>
        <v>0</v>
      </c>
    </row>
    <row r="87" spans="1:10" ht="14.95" thickBot="1" x14ac:dyDescent="0.3">
      <c r="A87" s="35" t="s">
        <v>82</v>
      </c>
      <c r="B87" s="294">
        <v>0</v>
      </c>
      <c r="C87" s="245">
        <v>0</v>
      </c>
      <c r="D87" s="68">
        <v>0</v>
      </c>
      <c r="E87" s="36">
        <f>SUM(B87:D87)</f>
        <v>0</v>
      </c>
      <c r="F87" s="13" t="s">
        <v>82</v>
      </c>
      <c r="G87" s="287">
        <v>0</v>
      </c>
      <c r="H87" s="107">
        <v>0</v>
      </c>
      <c r="I87" s="424">
        <v>0</v>
      </c>
      <c r="J87" s="15">
        <f>SUM(G87:I87)</f>
        <v>0</v>
      </c>
    </row>
    <row r="88" spans="1:10" ht="14.95" thickBot="1" x14ac:dyDescent="0.3">
      <c r="A88" s="35" t="s">
        <v>83</v>
      </c>
      <c r="B88" s="294">
        <v>0</v>
      </c>
      <c r="C88" s="245">
        <v>0</v>
      </c>
      <c r="D88" s="68">
        <v>0</v>
      </c>
      <c r="E88" s="36">
        <f>SUM(B88:D88)</f>
        <v>0</v>
      </c>
      <c r="F88" s="13" t="s">
        <v>83</v>
      </c>
      <c r="G88" s="287">
        <v>0</v>
      </c>
      <c r="H88" s="107">
        <v>0</v>
      </c>
      <c r="I88" s="424">
        <v>0</v>
      </c>
      <c r="J88" s="15">
        <f>SUM(G88:I88)</f>
        <v>0</v>
      </c>
    </row>
    <row r="89" spans="1:10" ht="14.95" thickBot="1" x14ac:dyDescent="0.3">
      <c r="A89" s="35" t="s">
        <v>84</v>
      </c>
      <c r="B89" s="294">
        <v>0</v>
      </c>
      <c r="C89" s="245">
        <v>0</v>
      </c>
      <c r="D89" s="68">
        <v>0</v>
      </c>
      <c r="E89" s="36">
        <f>SUM(B89:D89)</f>
        <v>0</v>
      </c>
      <c r="F89" s="13" t="s">
        <v>84</v>
      </c>
      <c r="G89" s="287">
        <v>0</v>
      </c>
      <c r="H89" s="107">
        <v>0</v>
      </c>
      <c r="I89" s="424">
        <v>0</v>
      </c>
      <c r="J89" s="15">
        <f>SUM(G89:I89)</f>
        <v>0</v>
      </c>
    </row>
    <row r="90" spans="1:10" ht="14.95" thickBot="1" x14ac:dyDescent="0.3">
      <c r="A90" s="35" t="s">
        <v>86</v>
      </c>
      <c r="B90" s="294">
        <v>0</v>
      </c>
      <c r="C90" s="245">
        <v>0</v>
      </c>
      <c r="D90" s="68">
        <v>0</v>
      </c>
      <c r="E90" s="36">
        <f>SUM(B90:D90)</f>
        <v>0</v>
      </c>
      <c r="F90" s="13" t="s">
        <v>86</v>
      </c>
      <c r="G90" s="287">
        <v>0</v>
      </c>
      <c r="H90" s="107">
        <v>0</v>
      </c>
      <c r="I90" s="424">
        <v>0</v>
      </c>
      <c r="J90" s="15">
        <f>SUM(G90:I90)</f>
        <v>0</v>
      </c>
    </row>
    <row r="91" spans="1:10" ht="14.95" thickBot="1" x14ac:dyDescent="0.3">
      <c r="A91" s="35" t="s">
        <v>87</v>
      </c>
      <c r="B91" s="294">
        <v>0</v>
      </c>
      <c r="C91" s="245">
        <v>0</v>
      </c>
      <c r="D91" s="68">
        <v>0</v>
      </c>
      <c r="E91" s="36">
        <f>SUM(B91:D91)</f>
        <v>0</v>
      </c>
      <c r="F91" s="13" t="s">
        <v>87</v>
      </c>
      <c r="G91" s="287">
        <v>0</v>
      </c>
      <c r="H91" s="107">
        <v>0</v>
      </c>
      <c r="I91" s="424">
        <v>0</v>
      </c>
      <c r="J91" s="15">
        <f>SUM(G91:I91)</f>
        <v>0</v>
      </c>
    </row>
    <row r="92" spans="1:10" ht="14.95" thickBot="1" x14ac:dyDescent="0.3">
      <c r="A92" s="35" t="s">
        <v>90</v>
      </c>
      <c r="B92" s="294">
        <v>0</v>
      </c>
      <c r="C92" s="245">
        <v>0</v>
      </c>
      <c r="D92" s="68">
        <v>0</v>
      </c>
      <c r="E92" s="36">
        <f>SUM(B92:D92)</f>
        <v>0</v>
      </c>
      <c r="F92" s="13" t="s">
        <v>90</v>
      </c>
      <c r="G92" s="287">
        <v>0</v>
      </c>
      <c r="H92" s="107">
        <v>0</v>
      </c>
      <c r="I92" s="424">
        <v>0</v>
      </c>
      <c r="J92" s="15">
        <f>SUM(G92:I92)</f>
        <v>0</v>
      </c>
    </row>
    <row r="93" spans="1:10" ht="14.95" thickBot="1" x14ac:dyDescent="0.3">
      <c r="A93" s="35" t="s">
        <v>524</v>
      </c>
      <c r="B93" s="294">
        <v>0</v>
      </c>
      <c r="C93" s="245">
        <v>0</v>
      </c>
      <c r="D93" s="68">
        <v>0</v>
      </c>
      <c r="E93" s="36">
        <f>SUM(B93:D93)</f>
        <v>0</v>
      </c>
      <c r="F93" s="13" t="s">
        <v>524</v>
      </c>
      <c r="G93" s="287">
        <v>0</v>
      </c>
      <c r="H93" s="107">
        <v>0</v>
      </c>
      <c r="I93" s="424">
        <v>0</v>
      </c>
      <c r="J93" s="15">
        <f>SUM(G93:I93)</f>
        <v>0</v>
      </c>
    </row>
    <row r="94" spans="1:10" ht="14.95" thickBot="1" x14ac:dyDescent="0.3">
      <c r="A94" s="35" t="s">
        <v>91</v>
      </c>
      <c r="B94" s="294">
        <v>0</v>
      </c>
      <c r="C94" s="245">
        <v>0</v>
      </c>
      <c r="D94" s="68">
        <v>0</v>
      </c>
      <c r="E94" s="36">
        <f>SUM(B94:D94)</f>
        <v>0</v>
      </c>
      <c r="F94" s="13" t="s">
        <v>91</v>
      </c>
      <c r="G94" s="287">
        <v>0</v>
      </c>
      <c r="H94" s="107">
        <v>0</v>
      </c>
      <c r="I94" s="424">
        <v>0</v>
      </c>
      <c r="J94" s="15">
        <f>SUM(G94:I94)</f>
        <v>0</v>
      </c>
    </row>
    <row r="95" spans="1:10" ht="14.95" thickBot="1" x14ac:dyDescent="0.3">
      <c r="A95" s="35" t="s">
        <v>92</v>
      </c>
      <c r="B95" s="294">
        <v>0</v>
      </c>
      <c r="C95" s="245">
        <v>0</v>
      </c>
      <c r="D95" s="68">
        <v>0</v>
      </c>
      <c r="E95" s="36">
        <f>SUM(B95:D95)</f>
        <v>0</v>
      </c>
      <c r="F95" s="13" t="s">
        <v>92</v>
      </c>
      <c r="G95" s="287">
        <v>0</v>
      </c>
      <c r="H95" s="107">
        <v>0</v>
      </c>
      <c r="I95" s="424">
        <v>0</v>
      </c>
      <c r="J95" s="15">
        <f>SUM(G95:I95)</f>
        <v>0</v>
      </c>
    </row>
    <row r="96" spans="1:10" ht="14.95" thickBot="1" x14ac:dyDescent="0.3">
      <c r="A96" s="35" t="s">
        <v>201</v>
      </c>
      <c r="B96" s="294">
        <v>0</v>
      </c>
      <c r="C96" s="245">
        <v>0</v>
      </c>
      <c r="D96" s="68">
        <v>0</v>
      </c>
      <c r="E96" s="36">
        <f>SUM(B96:D96)</f>
        <v>0</v>
      </c>
      <c r="F96" s="13" t="s">
        <v>201</v>
      </c>
      <c r="G96" s="287">
        <v>0</v>
      </c>
      <c r="H96" s="107">
        <v>0</v>
      </c>
      <c r="I96" s="424">
        <v>0</v>
      </c>
      <c r="J96" s="15">
        <f>SUM(G96:I96)</f>
        <v>0</v>
      </c>
    </row>
    <row r="97" spans="1:10" ht="14.95" thickBot="1" x14ac:dyDescent="0.3">
      <c r="A97" s="35" t="s">
        <v>3</v>
      </c>
      <c r="B97" s="294">
        <f>SUM(B52:B96)</f>
        <v>24</v>
      </c>
      <c r="C97" s="245">
        <f>SUM(C52:C96)</f>
        <v>35</v>
      </c>
      <c r="D97" s="68">
        <f>SUM(D52:D96)</f>
        <v>0</v>
      </c>
      <c r="E97" s="36">
        <f>SUM(E52:E96)</f>
        <v>59</v>
      </c>
      <c r="F97" s="13" t="s">
        <v>3</v>
      </c>
      <c r="G97" s="287">
        <f>SUM(G52:G96)</f>
        <v>183</v>
      </c>
      <c r="H97" s="107">
        <f>SUM(H52:H96)</f>
        <v>226</v>
      </c>
      <c r="I97" s="424">
        <f>SUM(I52:I96)</f>
        <v>6</v>
      </c>
      <c r="J97" s="15">
        <f>SUM(J52:J96)</f>
        <v>415</v>
      </c>
    </row>
    <row r="98" spans="1:10" ht="16.3" x14ac:dyDescent="0.3">
      <c r="A98" s="455" t="s">
        <v>10</v>
      </c>
      <c r="B98" s="455"/>
      <c r="C98" s="455"/>
      <c r="D98" s="456"/>
    </row>
  </sheetData>
  <sortState xmlns:xlrd2="http://schemas.microsoft.com/office/spreadsheetml/2017/richdata2" ref="F52:J96">
    <sortCondition descending="1" ref="J52:J96"/>
  </sortState>
  <mergeCells count="21">
    <mergeCell ref="A98:D98"/>
    <mergeCell ref="K21:K22"/>
    <mergeCell ref="O21:Q22"/>
    <mergeCell ref="S1:U2"/>
    <mergeCell ref="R12:T13"/>
    <mergeCell ref="O31:Q32"/>
    <mergeCell ref="O1:Q2"/>
    <mergeCell ref="A1:J1"/>
    <mergeCell ref="K38:X38"/>
    <mergeCell ref="K31:K32"/>
    <mergeCell ref="L31:N32"/>
    <mergeCell ref="K1:K2"/>
    <mergeCell ref="L1:N2"/>
    <mergeCell ref="L12:N13"/>
    <mergeCell ref="K12:K13"/>
    <mergeCell ref="L21:N22"/>
    <mergeCell ref="AA1:AC2"/>
    <mergeCell ref="O12:Q13"/>
    <mergeCell ref="V1:X2"/>
    <mergeCell ref="U12:W13"/>
    <mergeCell ref="R1:R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1170</vt:i4>
      </vt:variant>
    </vt:vector>
  </HeadingPairs>
  <TitlesOfParts>
    <vt:vector size="1189" baseType="lpstr">
      <vt:lpstr>WC</vt:lpstr>
      <vt:lpstr>6N</vt:lpstr>
      <vt:lpstr>P4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AdamsWAL6NPTS</vt:lpstr>
      <vt:lpstr>AdamsWAL6NTRIES</vt:lpstr>
      <vt:lpstr>Aitchisoneng6natt</vt:lpstr>
      <vt:lpstr>Aitchisoneng6ngls</vt:lpstr>
      <vt:lpstr>Aitchisonengpts</vt:lpstr>
      <vt:lpstr>Aitchisonengtries</vt:lpstr>
      <vt:lpstr>aitchisonengwxvatt</vt:lpstr>
      <vt:lpstr>Aitchisonengwxvgls</vt:lpstr>
      <vt:lpstr>aitchisonengwxvpts</vt:lpstr>
      <vt:lpstr>aitchisonengwxvtries</vt:lpstr>
      <vt:lpstr>Akiire6npts</vt:lpstr>
      <vt:lpstr>Akiiretries</vt:lpstr>
      <vt:lpstr>alamedaespwxvpts</vt:lpstr>
      <vt:lpstr>alamedaespwxvtries</vt:lpstr>
      <vt:lpstr>Aldcrofteng6npts</vt:lpstr>
      <vt:lpstr>Aldcrofteng6ntries</vt:lpstr>
      <vt:lpstr>aldcroftengwxvpts</vt:lpstr>
      <vt:lpstr>aldcroftengwxvtries</vt:lpstr>
      <vt:lpstr>amosaauswxvpts</vt:lpstr>
      <vt:lpstr>amosaauswxvtries</vt:lpstr>
      <vt:lpstr>andopnwxvpts</vt:lpstr>
      <vt:lpstr>andopnwxvtries</vt:lpstr>
      <vt:lpstr>antolinezespwxvpts</vt:lpstr>
      <vt:lpstr>antolinezespwxvtries</vt:lpstr>
      <vt:lpstr>Appscanp4pts</vt:lpstr>
      <vt:lpstr>Appscanp4tries</vt:lpstr>
      <vt:lpstr>Arbeyfra6npts</vt:lpstr>
      <vt:lpstr>Arbeyfra6ntries</vt:lpstr>
      <vt:lpstr>arbeyfrawxvpts</vt:lpstr>
      <vt:lpstr>arbeyfrawxvtries</vt:lpstr>
      <vt:lpstr>arbezfra6natt</vt:lpstr>
      <vt:lpstr>Arbezfra6ngls</vt:lpstr>
      <vt:lpstr>ArbezFRA6NPTS</vt:lpstr>
      <vt:lpstr>ArbezFRA6NTRIES</vt:lpstr>
      <vt:lpstr>arbezfrawxpts</vt:lpstr>
      <vt:lpstr>arbezfrawxtries</vt:lpstr>
      <vt:lpstr>argudoespwxvpts</vt:lpstr>
      <vt:lpstr>argudoespwxvtries</vt:lpstr>
      <vt:lpstr>AshenbruckerUSAP4pts</vt:lpstr>
      <vt:lpstr>AshenbruckerUSAP4tries</vt:lpstr>
      <vt:lpstr>atkindavieseng6npts</vt:lpstr>
      <vt:lpstr>atkindavieseng6ntries</vt:lpstr>
      <vt:lpstr>atkindaviesengwxvpts</vt:lpstr>
      <vt:lpstr>atkindaviesengwxvtries</vt:lpstr>
      <vt:lpstr>BailleFRA6NPTS</vt:lpstr>
      <vt:lpstr>BailleFRA6NTRIES</vt:lpstr>
      <vt:lpstr>Bairdire6npts</vt:lpstr>
      <vt:lpstr>Bairdire6ntries</vt:lpstr>
      <vt:lpstr>banetfrawxvpts</vt:lpstr>
      <vt:lpstr>banetfrawxvtries</vt:lpstr>
      <vt:lpstr>Barattinitapts</vt:lpstr>
      <vt:lpstr>Barattinitatries</vt:lpstr>
      <vt:lpstr>bargellusawxtries</vt:lpstr>
      <vt:lpstr>bargellusawxvpts</vt:lpstr>
      <vt:lpstr>Bartlettsco6npts</vt:lpstr>
      <vt:lpstr>Bartlettsco6ntries</vt:lpstr>
      <vt:lpstr>bartlettscowxvpts</vt:lpstr>
      <vt:lpstr>bartlettscowxvtries</vt:lpstr>
      <vt:lpstr>BashamWAL6NPTS</vt:lpstr>
      <vt:lpstr>BashamWAL6NTRIES</vt:lpstr>
      <vt:lpstr>bayfieldnzlwxvpts</vt:lpstr>
      <vt:lpstr>bayfieldnzlwxvtries</vt:lpstr>
      <vt:lpstr>Bealhamire6npts</vt:lpstr>
      <vt:lpstr>Bealhamire6ntries</vt:lpstr>
      <vt:lpstr>Bermudezcanp4pts</vt:lpstr>
      <vt:lpstr>Bermudezcanp4tries</vt:lpstr>
      <vt:lpstr>bermudezcanwxvpts</vt:lpstr>
      <vt:lpstr>bermudezcanwxvtries</vt:lpstr>
      <vt:lpstr>Berneng6npts</vt:lpstr>
      <vt:lpstr>Berneng6ntries</vt:lpstr>
      <vt:lpstr>bernengwxvpts</vt:lpstr>
      <vt:lpstr>bernengwxvtries</vt:lpstr>
      <vt:lpstr>Bettoniita6npts</vt:lpstr>
      <vt:lpstr>Bettoniita6ntries</vt:lpstr>
      <vt:lpstr>Beukeboomcanp4pts</vt:lpstr>
      <vt:lpstr>Beukeboomcanp4tries</vt:lpstr>
      <vt:lpstr>bevanwal6natt</vt:lpstr>
      <vt:lpstr>Bevanwal6ngls</vt:lpstr>
      <vt:lpstr>Bevanwal6nglscorrect</vt:lpstr>
      <vt:lpstr>Bevanwalwxvatt</vt:lpstr>
      <vt:lpstr>Bevanwalwxvgls</vt:lpstr>
      <vt:lpstr>bevanwalwxvpts</vt:lpstr>
      <vt:lpstr>bevanwalwxvtries</vt:lpstr>
      <vt:lpstr>Biggarwal6natt</vt:lpstr>
      <vt:lpstr>biggarwal6nattcorrect</vt:lpstr>
      <vt:lpstr>Biggarwal6nglscorrect</vt:lpstr>
      <vt:lpstr>Biggarwal6npts</vt:lpstr>
      <vt:lpstr>Biggarwal6ntries</vt:lpstr>
      <vt:lpstr>biggarwalatt</vt:lpstr>
      <vt:lpstr>Biggarwalgls</vt:lpstr>
      <vt:lpstr>biggarwalpts</vt:lpstr>
      <vt:lpstr>biggarwaltries</vt:lpstr>
      <vt:lpstr>Bigotfra6npts</vt:lpstr>
      <vt:lpstr>Bigotfra6ntries</vt:lpstr>
      <vt:lpstr>bitonciitawxvpts</vt:lpstr>
      <vt:lpstr>bitonciitawxvtries</vt:lpstr>
      <vt:lpstr>Bitterusawxvatt</vt:lpstr>
      <vt:lpstr>Bitterusawxvgls</vt:lpstr>
      <vt:lpstr>blancoespwxvpts</vt:lpstr>
      <vt:lpstr>blancoespwxvtries</vt:lpstr>
      <vt:lpstr>Bluckwal6npts</vt:lpstr>
      <vt:lpstr>Bluckwal6ntries</vt:lpstr>
      <vt:lpstr>Boagcanp4pts</vt:lpstr>
      <vt:lpstr>Boagcanp4tries</vt:lpstr>
      <vt:lpstr>boagcanwxvpts</vt:lpstr>
      <vt:lpstr>boagcanwxvtries</vt:lpstr>
      <vt:lpstr>bonarrscowxvpts</vt:lpstr>
      <vt:lpstr>bonarrscowxvtries</vt:lpstr>
      <vt:lpstr>Bonarsco6npts</vt:lpstr>
      <vt:lpstr>Bonarsco6ntries</vt:lpstr>
      <vt:lpstr>botesrsawxvpts</vt:lpstr>
      <vt:lpstr>botesrsawxvtries</vt:lpstr>
      <vt:lpstr>bottermanengwxvpts</vt:lpstr>
      <vt:lpstr>bottermanengwxvtries</vt:lpstr>
      <vt:lpstr>Boujardfra6npts</vt:lpstr>
      <vt:lpstr>Boujardfra6ntries</vt:lpstr>
      <vt:lpstr>Boulard_Efra6npts</vt:lpstr>
      <vt:lpstr>Boulard_Efra6ntries</vt:lpstr>
      <vt:lpstr>boulardfrawxvpts</vt:lpstr>
      <vt:lpstr>boulardfrawxvtries</vt:lpstr>
      <vt:lpstr>Bourdonfra6natt</vt:lpstr>
      <vt:lpstr>Bourdonfra6ngls</vt:lpstr>
      <vt:lpstr>Bourdonfra6npts</vt:lpstr>
      <vt:lpstr>Bourdonfra6ntries</vt:lpstr>
      <vt:lpstr>bourdonfragls</vt:lpstr>
      <vt:lpstr>bourdonfrawxvpts</vt:lpstr>
      <vt:lpstr>bourdonfrawxvtries</vt:lpstr>
      <vt:lpstr>Bourgeoisfra6natt</vt:lpstr>
      <vt:lpstr>Bourgeoisfra6ngls</vt:lpstr>
      <vt:lpstr>Bourgeoisfrawxvatt</vt:lpstr>
      <vt:lpstr>Bourgeoisfrawxvgls</vt:lpstr>
      <vt:lpstr>bourgeoisfrawxvtpts</vt:lpstr>
      <vt:lpstr>bourgeoisfrawxvtries</vt:lpstr>
      <vt:lpstr>Braleyita6npts</vt:lpstr>
      <vt:lpstr>Braleyita6ntries</vt:lpstr>
      <vt:lpstr>breachengwxvpts</vt:lpstr>
      <vt:lpstr>breachengwxvtries</vt:lpstr>
      <vt:lpstr>brebnerholdenscowxvpts</vt:lpstr>
      <vt:lpstr>brebnerholdenscowxvtries</vt:lpstr>
      <vt:lpstr>Breenire6natt</vt:lpstr>
      <vt:lpstr>Breenire6nattcorrect</vt:lpstr>
      <vt:lpstr>Breenire6ngls</vt:lpstr>
      <vt:lpstr>Breenire6nglscorrect</vt:lpstr>
      <vt:lpstr>breenirewxvpts</vt:lpstr>
      <vt:lpstr>breenirewxvtries</vt:lpstr>
      <vt:lpstr>Bremner_AnzlP4pts</vt:lpstr>
      <vt:lpstr>Bremner_AnzlP4tries</vt:lpstr>
      <vt:lpstr>Bremner_CnzlP4pts</vt:lpstr>
      <vt:lpstr>Bremner_CnzlP4tries</vt:lpstr>
      <vt:lpstr>brockengwxvpts</vt:lpstr>
      <vt:lpstr>brockengwxvtries</vt:lpstr>
      <vt:lpstr>brodyusawxvpts</vt:lpstr>
      <vt:lpstr>brodyusawxvtries</vt:lpstr>
      <vt:lpstr>BruntnzlP4pts</vt:lpstr>
      <vt:lpstr>BruntnzlP4tries</vt:lpstr>
      <vt:lpstr>bruntnzlwxvpts</vt:lpstr>
      <vt:lpstr>bruntnzlwxvtries</vt:lpstr>
      <vt:lpstr>Burtoneng6npts</vt:lpstr>
      <vt:lpstr>Burtoneng6ntries</vt:lpstr>
      <vt:lpstr>busoitawxvpts</vt:lpstr>
      <vt:lpstr>busoitawxvtries</vt:lpstr>
      <vt:lpstr>callenderwalwxpts</vt:lpstr>
      <vt:lpstr>callenderwalwxtries</vt:lpstr>
      <vt:lpstr>callenderwalwxvpts</vt:lpstr>
      <vt:lpstr>callenderwalwxvtries</vt:lpstr>
      <vt:lpstr>cantornaUSAp4att</vt:lpstr>
      <vt:lpstr>CantornaUSAp4gls</vt:lpstr>
      <vt:lpstr>CantornaUSAP4pts</vt:lpstr>
      <vt:lpstr>Cantornausap4tries</vt:lpstr>
      <vt:lpstr>Cantornausawxvatt</vt:lpstr>
      <vt:lpstr>Cantornausawxvgls</vt:lpstr>
      <vt:lpstr>cantornausawxvpts</vt:lpstr>
      <vt:lpstr>cantornausawxvtries</vt:lpstr>
      <vt:lpstr>Capomaggiita6natt</vt:lpstr>
      <vt:lpstr>Capomaggiita6nattcorrect</vt:lpstr>
      <vt:lpstr>Capomaggiita6ngls</vt:lpstr>
      <vt:lpstr>Capomaggiita6nglscorrect</vt:lpstr>
      <vt:lpstr>capomaggiitawxvatt</vt:lpstr>
      <vt:lpstr>Capomaggiitawxvgls</vt:lpstr>
      <vt:lpstr>capomaggiitawxvpts</vt:lpstr>
      <vt:lpstr>capomaggiitawxvtries</vt:lpstr>
      <vt:lpstr>Capuozzoita6npts</vt:lpstr>
      <vt:lpstr>Capuozzoita6ntries</vt:lpstr>
      <vt:lpstr>Carberyire6npts</vt:lpstr>
      <vt:lpstr>Carberyire6ntries</vt:lpstr>
      <vt:lpstr>CarsonEeng6npts</vt:lpstr>
      <vt:lpstr>CarsonEeng6ntries</vt:lpstr>
      <vt:lpstr>carsonengwxvpts</vt:lpstr>
      <vt:lpstr>carsonengwxvtries</vt:lpstr>
      <vt:lpstr>Caslickausp4pts</vt:lpstr>
      <vt:lpstr>Caslickausp4tries</vt:lpstr>
      <vt:lpstr>casteloespwxvpts</vt:lpstr>
      <vt:lpstr>casteloespwxvtries</vt:lpstr>
      <vt:lpstr>Chambonfra6npts</vt:lpstr>
      <vt:lpstr>Chambonfra6ntries</vt:lpstr>
      <vt:lpstr>chambonfrawxvpts</vt:lpstr>
      <vt:lpstr>chambonfrawxvptscorrect</vt:lpstr>
      <vt:lpstr>chambonfrawxvtries</vt:lpstr>
      <vt:lpstr>chambonfrawxvtriescorrect</vt:lpstr>
      <vt:lpstr>champonfrawxvpts</vt:lpstr>
      <vt:lpstr>champonfrawxvtries</vt:lpstr>
      <vt:lpstr>chancellorauswxvpts</vt:lpstr>
      <vt:lpstr>chancellorauswxvtries</vt:lpstr>
      <vt:lpstr>ClappUSAP4pts</vt:lpstr>
      <vt:lpstr>ClappUSAp4tries</vt:lpstr>
      <vt:lpstr>clappusawxvpts</vt:lpstr>
      <vt:lpstr>clappusawxvtries</vt:lpstr>
      <vt:lpstr>Cleall_Penftries</vt:lpstr>
      <vt:lpstr>Cleall_Pengpts</vt:lpstr>
      <vt:lpstr>Cliffordeng6npts</vt:lpstr>
      <vt:lpstr>Cliffordeng6ntries</vt:lpstr>
      <vt:lpstr>Cliffordeng6ntriescorrect</vt:lpstr>
      <vt:lpstr>cliffordengwxvpts</vt:lpstr>
      <vt:lpstr>cliffordengwxvtries</vt:lpstr>
      <vt:lpstr>Clinecanp4pts</vt:lpstr>
      <vt:lpstr>Clinecanp4tries</vt:lpstr>
      <vt:lpstr>Cokayneeng6npts</vt:lpstr>
      <vt:lpstr>Cokayneeng6ntries</vt:lpstr>
      <vt:lpstr>cokayneengwxvpts</vt:lpstr>
      <vt:lpstr>cokayneengwxvtries</vt:lpstr>
      <vt:lpstr>Conanire6npts</vt:lpstr>
      <vt:lpstr>Conanire6ntries</vt:lpstr>
      <vt:lpstr>ConnornzlP4tries</vt:lpstr>
      <vt:lpstr>ConnorrnzlP4pts</vt:lpstr>
      <vt:lpstr>Conwayire6npts</vt:lpstr>
      <vt:lpstr>Conwayire6ntries</vt:lpstr>
      <vt:lpstr>corradiniitawxvpts</vt:lpstr>
      <vt:lpstr>corradiniitawxvtries</vt:lpstr>
      <vt:lpstr>Corrigancanp4pts</vt:lpstr>
      <vt:lpstr>Corrigancanp4tries</vt:lpstr>
      <vt:lpstr>corrigancanwxvpts</vt:lpstr>
      <vt:lpstr>corrigancanwxvtries</vt:lpstr>
      <vt:lpstr>Corriganire6npts</vt:lpstr>
      <vt:lpstr>Corriganire6ntries</vt:lpstr>
      <vt:lpstr>costiganirewxvpts</vt:lpstr>
      <vt:lpstr>costiganirewxvtries</vt:lpstr>
      <vt:lpstr>coulibalyusawxpts</vt:lpstr>
      <vt:lpstr>coulibalyusawxtries</vt:lpstr>
      <vt:lpstr>Cowellengpts</vt:lpstr>
      <vt:lpstr>Cowellengtries</vt:lpstr>
      <vt:lpstr>coxwalwxvtries</vt:lpstr>
      <vt:lpstr>coxwalwxvtriespts</vt:lpstr>
      <vt:lpstr>Crabbwal6npts</vt:lpstr>
      <vt:lpstr>Crabbwal6ntries</vt:lpstr>
      <vt:lpstr>cramerausP4att</vt:lpstr>
      <vt:lpstr>CramerausP4gls</vt:lpstr>
      <vt:lpstr>Cramerausp4pts</vt:lpstr>
      <vt:lpstr>Cramerausp4tries</vt:lpstr>
      <vt:lpstr>cramerauswxvpts</vt:lpstr>
      <vt:lpstr>cramerauswxvtries</vt:lpstr>
      <vt:lpstr>croninire6natt</vt:lpstr>
      <vt:lpstr>Croninire6ngls</vt:lpstr>
      <vt:lpstr>Croninire6npts</vt:lpstr>
      <vt:lpstr>Croninire6ntries</vt:lpstr>
      <vt:lpstr>crossleycanwxvpts</vt:lpstr>
      <vt:lpstr>crossleycanwxvtries</vt:lpstr>
      <vt:lpstr>Croweire6npts</vt:lpstr>
      <vt:lpstr>Croweire6ntries</vt:lpstr>
      <vt:lpstr>D_Incaita6npts</vt:lpstr>
      <vt:lpstr>D_Incaita6ntries</vt:lpstr>
      <vt:lpstr>Dallavallewal6npts</vt:lpstr>
      <vt:lpstr>Dallavallewal6ntries</vt:lpstr>
      <vt:lpstr>dallingerauswxvatt</vt:lpstr>
      <vt:lpstr>Dallingerauswxvgls</vt:lpstr>
      <vt:lpstr>dallingerauswxvpts</vt:lpstr>
      <vt:lpstr>dallingerauswxvtries</vt:lpstr>
      <vt:lpstr>Daltonire6npts</vt:lpstr>
      <vt:lpstr>Daltonire6ntries</vt:lpstr>
      <vt:lpstr>Dalyeng6npts</vt:lpstr>
      <vt:lpstr>Dalyeng6ntries</vt:lpstr>
      <vt:lpstr>Dantyfra6npts</vt:lpstr>
      <vt:lpstr>Dantyfra6ntries</vt:lpstr>
      <vt:lpstr>Dargesco6npts</vt:lpstr>
      <vt:lpstr>Dargesco6ntries</vt:lpstr>
      <vt:lpstr>De_Goedecanp4att</vt:lpstr>
      <vt:lpstr>De_Goedecanp4gls</vt:lpstr>
      <vt:lpstr>de_Goedecanp4pts</vt:lpstr>
      <vt:lpstr>de_Goedecanp4tries</vt:lpstr>
      <vt:lpstr>de_Goedecanwxvatt</vt:lpstr>
      <vt:lpstr>de_Goedecanwxvgls</vt:lpstr>
      <vt:lpstr>degoedecanwxvpts</vt:lpstr>
      <vt:lpstr>degoedecanwxvtries</vt:lpstr>
      <vt:lpstr>Demantnzlp4att</vt:lpstr>
      <vt:lpstr>Demantnzlp4attcorrect</vt:lpstr>
      <vt:lpstr>Demantnzlp4gls</vt:lpstr>
      <vt:lpstr>DemantnzlP4pts</vt:lpstr>
      <vt:lpstr>DemantnzlP4tries</vt:lpstr>
      <vt:lpstr>Demantnzlwxvatt</vt:lpstr>
      <vt:lpstr>Demantnzlwxvgls</vt:lpstr>
      <vt:lpstr>demantnzlwxvpts</vt:lpstr>
      <vt:lpstr>demantnzlwxvtries</vt:lpstr>
      <vt:lpstr>DeMerchantcanP4pts</vt:lpstr>
      <vt:lpstr>DeMerchantcanP4tries</vt:lpstr>
      <vt:lpstr>demerchantcanwxvpts</vt:lpstr>
      <vt:lpstr>demerchantcanwxvtries</vt:lpstr>
      <vt:lpstr>deshayefrawxvpts</vt:lpstr>
      <vt:lpstr>deshayefrawxvtries</vt:lpstr>
      <vt:lpstr>DetiveauxUSAP4pts</vt:lpstr>
      <vt:lpstr>DetiveauxUSAP4tries</vt:lpstr>
      <vt:lpstr>dincaitawxvpts</vt:lpstr>
      <vt:lpstr>dincaitawxvtries</vt:lpstr>
      <vt:lpstr>djougangirewxvpts</vt:lpstr>
      <vt:lpstr>djougangirewxvtries</vt:lpstr>
      <vt:lpstr>dolfrsawxvpts</vt:lpstr>
      <vt:lpstr>dolfrsawxvtries</vt:lpstr>
      <vt:lpstr>Dombrandteng6npts</vt:lpstr>
      <vt:lpstr>Dombrandteng6ntries</vt:lpstr>
      <vt:lpstr>Dowengpts</vt:lpstr>
      <vt:lpstr>Dowengtries</vt:lpstr>
      <vt:lpstr>dowengwxvpts</vt:lpstr>
      <vt:lpstr>dowengwxvtries</vt:lpstr>
      <vt:lpstr>drouinfra6natt</vt:lpstr>
      <vt:lpstr>Drouinfra6ngls</vt:lpstr>
      <vt:lpstr>Drouinfra6npts</vt:lpstr>
      <vt:lpstr>Drouinfra6ntries</vt:lpstr>
      <vt:lpstr>du_PlessisnzlP4pts</vt:lpstr>
      <vt:lpstr>du_PlessisnzlP4tries</vt:lpstr>
      <vt:lpstr>ducautawxvpts</vt:lpstr>
      <vt:lpstr>ducautawxvtrie</vt:lpstr>
      <vt:lpstr>dumkersawxvpts</vt:lpstr>
      <vt:lpstr>dumkersawxvtries</vt:lpstr>
      <vt:lpstr>duplessisnzlwxvpts</vt:lpstr>
      <vt:lpstr>duplessisnzlwxvtries</vt:lpstr>
      <vt:lpstr>DupontFRA6NPTS</vt:lpstr>
      <vt:lpstr>DupontFRA6NTRIES</vt:lpstr>
      <vt:lpstr>EscuderoFRA6NPTS</vt:lpstr>
      <vt:lpstr>EscuderoFRA6NTRIES</vt:lpstr>
      <vt:lpstr>escuderofrawxpts</vt:lpstr>
      <vt:lpstr>escuderofrawxtries</vt:lpstr>
      <vt:lpstr>evanswalwxvpts</vt:lpstr>
      <vt:lpstr>evanswalwxvtries</vt:lpstr>
      <vt:lpstr>Farrelleng6Ngatt</vt:lpstr>
      <vt:lpstr>Farrelleng6Ngoals</vt:lpstr>
      <vt:lpstr>farriescanwxvpts</vt:lpstr>
      <vt:lpstr>farriescanwxvtries</vt:lpstr>
      <vt:lpstr>Feaunatieng6npts</vt:lpstr>
      <vt:lpstr>Feaunatieng6ntries</vt:lpstr>
      <vt:lpstr>feaunatiengwxvpts</vt:lpstr>
      <vt:lpstr>feaunatiengwxvtries</vt:lpstr>
      <vt:lpstr>Fedrighiita6npts</vt:lpstr>
      <vt:lpstr>Fedrighiita6ntries</vt:lpstr>
      <vt:lpstr>fedrighiitawxvpts</vt:lpstr>
      <vt:lpstr>fedrighiitawxvtries</vt:lpstr>
      <vt:lpstr>Feleu_Tfra6npts</vt:lpstr>
      <vt:lpstr>Feleu_Tfra6Ntries</vt:lpstr>
      <vt:lpstr>Feuryusawxvatt</vt:lpstr>
      <vt:lpstr>Feuryusawxvgls</vt:lpstr>
      <vt:lpstr>feuryusawxvpts</vt:lpstr>
      <vt:lpstr>feuryusawxvtries</vt:lpstr>
      <vt:lpstr>Fickoufra6npts</vt:lpstr>
      <vt:lpstr>Fickoufra6ntries</vt:lpstr>
      <vt:lpstr>Flemingwal6npts</vt:lpstr>
      <vt:lpstr>Flemingwal6ntries</vt:lpstr>
      <vt:lpstr>flemingwalwxvpts</vt:lpstr>
      <vt:lpstr>flemingwalwxvtries</vt:lpstr>
      <vt:lpstr>floodirewxvpts</vt:lpstr>
      <vt:lpstr>floodirewxvtries</vt:lpstr>
      <vt:lpstr>Fordeng6ngatt</vt:lpstr>
      <vt:lpstr>Fordeng6ngoals</vt:lpstr>
      <vt:lpstr>Forlanifra6npts</vt:lpstr>
      <vt:lpstr>Forlanifra6ntries</vt:lpstr>
      <vt:lpstr>fortezacanP4pts</vt:lpstr>
      <vt:lpstr>FortezacanP4tries</vt:lpstr>
      <vt:lpstr>fortezacanwxvpts</vt:lpstr>
      <vt:lpstr>fortezacanwxvtries</vt:lpstr>
      <vt:lpstr>Fowley6nireatt</vt:lpstr>
      <vt:lpstr>Fowley6niregls</vt:lpstr>
      <vt:lpstr>FriedrichsausP4pts</vt:lpstr>
      <vt:lpstr>FriedrichsausP4tries</vt:lpstr>
      <vt:lpstr>friedrichsauswxvpts</vt:lpstr>
      <vt:lpstr>friedrichsauswxvtries</vt:lpstr>
      <vt:lpstr>Frydayire6npts</vt:lpstr>
      <vt:lpstr>Frydayire6ntries</vt:lpstr>
      <vt:lpstr>Gaffneysco6npts</vt:lpstr>
      <vt:lpstr>Gaffneysco6ntries</vt:lpstr>
      <vt:lpstr>gaffneyscointpts</vt:lpstr>
      <vt:lpstr>gaffneyscointtries</vt:lpstr>
      <vt:lpstr>Gagop4nzlpts</vt:lpstr>
      <vt:lpstr>Gagop4nzltries</vt:lpstr>
      <vt:lpstr>Gallaghercanp4att</vt:lpstr>
      <vt:lpstr>Gallaghercanp4gls</vt:lpstr>
      <vt:lpstr>Gallaghercanp4pts</vt:lpstr>
      <vt:lpstr>Gallaghercanp4tries</vt:lpstr>
      <vt:lpstr>gallagherscowxvpts</vt:lpstr>
      <vt:lpstr>gallagherscowxvtries</vt:lpstr>
      <vt:lpstr>Galliganeng6npts</vt:lpstr>
      <vt:lpstr>Galliganeng6ntries</vt:lpstr>
      <vt:lpstr>Garbisiita6npts</vt:lpstr>
      <vt:lpstr>Georgeeng6npts</vt:lpstr>
      <vt:lpstr>Georgeeng6ntries</vt:lpstr>
      <vt:lpstr>Georgewal6natt</vt:lpstr>
      <vt:lpstr>Georgewal6ngls</vt:lpstr>
      <vt:lpstr>Georgewal6npts</vt:lpstr>
      <vt:lpstr>Georgewal6ntries</vt:lpstr>
      <vt:lpstr>georgewalwxvatt</vt:lpstr>
      <vt:lpstr>Georgewalwxvgls</vt:lpstr>
      <vt:lpstr>gerinfrawxvpts</vt:lpstr>
      <vt:lpstr>gerinfrawxvtries</vt:lpstr>
      <vt:lpstr>Gibson_Parkire6npts</vt:lpstr>
      <vt:lpstr>Gibson_Parkire6ntries</vt:lpstr>
      <vt:lpstr>giordanoitawxvpts</vt:lpstr>
      <vt:lpstr>giordanoitawxvtries</vt:lpstr>
      <vt:lpstr>Grahamsco6npts</vt:lpstr>
      <vt:lpstr>Grahamsco6ntries</vt:lpstr>
      <vt:lpstr>grahamscopts</vt:lpstr>
      <vt:lpstr>grahamscotries</vt:lpstr>
      <vt:lpstr>Grantcanp4pts</vt:lpstr>
      <vt:lpstr>Grantcanp4tries</vt:lpstr>
      <vt:lpstr>grantcanwxvpts</vt:lpstr>
      <vt:lpstr>grantcanwxvtries</vt:lpstr>
      <vt:lpstr>Grantsco6npts</vt:lpstr>
      <vt:lpstr>Grantsco6ntries</vt:lpstr>
      <vt:lpstr>grantscowxvpts</vt:lpstr>
      <vt:lpstr>grantscowxvtries</vt:lpstr>
      <vt:lpstr>Granzottoita6npts</vt:lpstr>
      <vt:lpstr>Granzottoita6ntries</vt:lpstr>
      <vt:lpstr>granzottoitawxvpts</vt:lpstr>
      <vt:lpstr>granzottoitawxvtries</vt:lpstr>
      <vt:lpstr>Grisezfra6npts</vt:lpstr>
      <vt:lpstr>Grisezfra6ntries</vt:lpstr>
      <vt:lpstr>grisezfrawxvpts</vt:lpstr>
      <vt:lpstr>grisezfrawxvtries</vt:lpstr>
      <vt:lpstr>halseauswxvpts</vt:lpstr>
      <vt:lpstr>halseauswxvtries</vt:lpstr>
      <vt:lpstr>HamiltonausP4pts</vt:lpstr>
      <vt:lpstr>HamiltonausP4tries</vt:lpstr>
      <vt:lpstr>Hansenire6npts</vt:lpstr>
      <vt:lpstr>Hansenire6nries</vt:lpstr>
      <vt:lpstr>HardyWAL6NPTS</vt:lpstr>
      <vt:lpstr>HardyWAL6NTRIES</vt:lpstr>
      <vt:lpstr>Harrieswal6npts</vt:lpstr>
      <vt:lpstr>Harrieswal6ntries</vt:lpstr>
      <vt:lpstr>harrisoneng6natt</vt:lpstr>
      <vt:lpstr>Harrisoneng6ngls</vt:lpstr>
      <vt:lpstr>Harrisoneng6npts</vt:lpstr>
      <vt:lpstr>Harrisoneng6ntries</vt:lpstr>
      <vt:lpstr>Harrisonengwxvatt</vt:lpstr>
      <vt:lpstr>Harrisonengwxvgls</vt:lpstr>
      <vt:lpstr>harrisonengwxvpts</vt:lpstr>
      <vt:lpstr>harrisonengwxvtries</vt:lpstr>
      <vt:lpstr>HarrisSCO6NPTS</vt:lpstr>
      <vt:lpstr>HarrisSCO6NTRIES</vt:lpstr>
      <vt:lpstr>Hartryscorers</vt:lpstr>
      <vt:lpstr>hatadajpnwxvpts</vt:lpstr>
      <vt:lpstr>hatadajpnwxvtries</vt:lpstr>
      <vt:lpstr>hawkinsUSAp4att</vt:lpstr>
      <vt:lpstr>HawkinsUSAp4gls</vt:lpstr>
      <vt:lpstr>HawkinsUSAP4pts</vt:lpstr>
      <vt:lpstr>Hawkinsusap4tries</vt:lpstr>
      <vt:lpstr>Hawkinsusawxvatt</vt:lpstr>
      <vt:lpstr>Hawkinsusawxvgls</vt:lpstr>
      <vt:lpstr>hawkinsusawxvpts</vt:lpstr>
      <vt:lpstr>hawkinsusawxvtries</vt:lpstr>
      <vt:lpstr>helersawxvpts</vt:lpstr>
      <vt:lpstr>helersawxvtries</vt:lpstr>
      <vt:lpstr>Hermetfra6npts</vt:lpstr>
      <vt:lpstr>Hermetfra6ntries</vt:lpstr>
      <vt:lpstr>Higginsire6npts</vt:lpstr>
      <vt:lpstr>Higginsire6ntries</vt:lpstr>
      <vt:lpstr>higginsirewxvpts</vt:lpstr>
      <vt:lpstr>higginsirewxvtries</vt:lpstr>
      <vt:lpstr>Hinganousap4pts</vt:lpstr>
      <vt:lpstr>Hinganousap4tries</vt:lpstr>
      <vt:lpstr>hinganousawxvpts</vt:lpstr>
      <vt:lpstr>hinganousawxvtries</vt:lpstr>
      <vt:lpstr>hirotsujpnwxvpts</vt:lpstr>
      <vt:lpstr>hirotsujpnwxvtries</vt:lpstr>
      <vt:lpstr>hirotsupnwxvpts</vt:lpstr>
      <vt:lpstr>hirotsupnwxvtries</vt:lpstr>
      <vt:lpstr>Hogan_Rochestercanp4pts</vt:lpstr>
      <vt:lpstr>Hogan_Rochestercanp4tries</vt:lpstr>
      <vt:lpstr>Hoganire6npts</vt:lpstr>
      <vt:lpstr>Hoganire6ntries</vt:lpstr>
      <vt:lpstr>hoganrochestercanwxvpts</vt:lpstr>
      <vt:lpstr>hoganrochestercanwxvtries</vt:lpstr>
      <vt:lpstr>HohalanzlP4pts</vt:lpstr>
      <vt:lpstr>HohalanzlP4tries</vt:lpstr>
      <vt:lpstr>holmesnzlP4att</vt:lpstr>
      <vt:lpstr>HolmesnzlP4gls</vt:lpstr>
      <vt:lpstr>HolmesnzlP4pts</vt:lpstr>
      <vt:lpstr>HolmesnzlP4tries</vt:lpstr>
      <vt:lpstr>Holmesnzlwxvatt</vt:lpstr>
      <vt:lpstr>Holmesnzlwxvgls</vt:lpstr>
      <vt:lpstr>holmesnzlwxvpts</vt:lpstr>
      <vt:lpstr>holmesnzlwxvtries</vt:lpstr>
      <vt:lpstr>Hopkinswal6npts</vt:lpstr>
      <vt:lpstr>Hopkinswal6ntries</vt:lpstr>
      <vt:lpstr>Huntcanp4pts</vt:lpstr>
      <vt:lpstr>Huntcanp4tries</vt:lpstr>
      <vt:lpstr>huntcanwxvpts</vt:lpstr>
      <vt:lpstr>huntcanwxvtries</vt:lpstr>
      <vt:lpstr>Huntereng6npts</vt:lpstr>
      <vt:lpstr>Huntereng6ntries</vt:lpstr>
      <vt:lpstr>imakugijpnwxvpts</vt:lpstr>
      <vt:lpstr>imakugijpnwxvtries</vt:lpstr>
      <vt:lpstr>Infanteengpts</vt:lpstr>
      <vt:lpstr>Infanteengtries</vt:lpstr>
      <vt:lpstr>jacobsrsawxvpts</vt:lpstr>
      <vt:lpstr>jacobsrsawxvtries</vt:lpstr>
      <vt:lpstr>jacobyusawxvpts</vt:lpstr>
      <vt:lpstr>jacobyusawxvtries</vt:lpstr>
      <vt:lpstr>Jacquetfra6npts</vt:lpstr>
      <vt:lpstr>Jacquetfra6ntries</vt:lpstr>
      <vt:lpstr>Jaminetfra6npts</vt:lpstr>
      <vt:lpstr>Janse_v_Rensburgrsawxvatt</vt:lpstr>
      <vt:lpstr>Janse_v_Rensburgrsawxvgls</vt:lpstr>
      <vt:lpstr>jansevanrensburgrsawxvpts</vt:lpstr>
      <vt:lpstr>jansevanrensburgrsawxvtries</vt:lpstr>
      <vt:lpstr>jarrellsearcyusawxvpts</vt:lpstr>
      <vt:lpstr>jarrellsearcyusawxvtries</vt:lpstr>
      <vt:lpstr>Jelonchfra6npts</vt:lpstr>
      <vt:lpstr>Jelonchfra6ntries</vt:lpstr>
      <vt:lpstr>jenkinsnzlwxvpts</vt:lpstr>
      <vt:lpstr>jenkinsnzlwxvtries</vt:lpstr>
      <vt:lpstr>Johnson_Rusap4pts</vt:lpstr>
      <vt:lpstr>Johnson_Rusap4tries</vt:lpstr>
      <vt:lpstr>johnsonrusawxvpts</vt:lpstr>
      <vt:lpstr>johnsonrusawxvtries</vt:lpstr>
      <vt:lpstr>Johnsonsco6npts</vt:lpstr>
      <vt:lpstr>JohnsonSCO6NTRIES</vt:lpstr>
      <vt:lpstr>Jones_Kwal6npts</vt:lpstr>
      <vt:lpstr>Jones_Kwal6ntries</vt:lpstr>
      <vt:lpstr>joneseng6natt</vt:lpstr>
      <vt:lpstr>Joneseng6ngls</vt:lpstr>
      <vt:lpstr>Joneseng6npts</vt:lpstr>
      <vt:lpstr>Joneseng6ntries</vt:lpstr>
      <vt:lpstr>jonesengwxvpts</vt:lpstr>
      <vt:lpstr>jonesengwxvtries</vt:lpstr>
      <vt:lpstr>jonesirewxvpts</vt:lpstr>
      <vt:lpstr>jonesirewxvtries</vt:lpstr>
      <vt:lpstr>joneskwalwxvpts</vt:lpstr>
      <vt:lpstr>joneskwalwxvtries</vt:lpstr>
      <vt:lpstr>Jonesmengatt</vt:lpstr>
      <vt:lpstr>Jonesmenggls</vt:lpstr>
      <vt:lpstr>josephnzlwxvpts</vt:lpstr>
      <vt:lpstr>josephnzlwxvtries</vt:lpstr>
      <vt:lpstr>Joyeuxfra6npts</vt:lpstr>
      <vt:lpstr>Joyeuxfra6ntries</vt:lpstr>
      <vt:lpstr>Kabeyaeng6npts</vt:lpstr>
      <vt:lpstr>Kabeyaeng6ntries</vt:lpstr>
      <vt:lpstr>kabeyaengwxvpts</vt:lpstr>
      <vt:lpstr>kabeyaengWXVtries</vt:lpstr>
      <vt:lpstr>kalouivalenzlwxvpts</vt:lpstr>
      <vt:lpstr>kalouivalenzlwxvtries</vt:lpstr>
      <vt:lpstr>KalounivalenzlP4pts</vt:lpstr>
      <vt:lpstr>KalounivalenzlP4tries</vt:lpstr>
      <vt:lpstr>KarpaniausP4pts</vt:lpstr>
      <vt:lpstr>KarpaniausP4tries</vt:lpstr>
      <vt:lpstr>karpaniauswxvpts</vt:lpstr>
      <vt:lpstr>karpaniauswxvtries</vt:lpstr>
      <vt:lpstr>kassilcanwxvpts</vt:lpstr>
      <vt:lpstr>kassilcanwxvtries</vt:lpstr>
      <vt:lpstr>kawamurajpnwxvpts</vt:lpstr>
      <vt:lpstr>kawamurajpnwxvtries</vt:lpstr>
      <vt:lpstr>Keenanire6npts</vt:lpstr>
      <vt:lpstr>Keenanire6ntries</vt:lpstr>
      <vt:lpstr>Kelterusap4pts</vt:lpstr>
      <vt:lpstr>Kelterusap4tries</vt:lpstr>
      <vt:lpstr>Khalfaouifra6npts</vt:lpstr>
      <vt:lpstr>Khalfaouifra6ntries</vt:lpstr>
      <vt:lpstr>khalfaouifrawxvpts</vt:lpstr>
      <vt:lpstr>khalfaouifrawxvtries</vt:lpstr>
      <vt:lpstr>Kildunneeng6npts</vt:lpstr>
      <vt:lpstr>Kildunneeng6ntries</vt:lpstr>
      <vt:lpstr>kildunneengwxvpts</vt:lpstr>
      <vt:lpstr>kildunneengwxvtries</vt:lpstr>
      <vt:lpstr>kingnzlp4att</vt:lpstr>
      <vt:lpstr>Kingnzlp4gls</vt:lpstr>
      <vt:lpstr>Kingnzlp4pts</vt:lpstr>
      <vt:lpstr>Kingnzlp4tries</vt:lpstr>
      <vt:lpstr>Kingnzlwxvatt</vt:lpstr>
      <vt:lpstr>Kingnzlwxvgls</vt:lpstr>
      <vt:lpstr>kitanojpnwxvpts</vt:lpstr>
      <vt:lpstr>kitanojpnwxvtries</vt:lpstr>
      <vt:lpstr>Kochhannbrawxvpts</vt:lpstr>
      <vt:lpstr>Kochhannbrawxvtries</vt:lpstr>
      <vt:lpstr>komaitaifijwxvpts</vt:lpstr>
      <vt:lpstr>komaitaifijwxvtries</vt:lpstr>
      <vt:lpstr>Kondefra6npts</vt:lpstr>
      <vt:lpstr>Kondefra6ntries</vt:lpstr>
      <vt:lpstr>kondefrawxvpts</vt:lpstr>
      <vt:lpstr>kondefrawxvtries</vt:lpstr>
      <vt:lpstr>konkelintries</vt:lpstr>
      <vt:lpstr>Konkelscopts</vt:lpstr>
      <vt:lpstr>Konkelscotries</vt:lpstr>
      <vt:lpstr>koraijpnwxvpts</vt:lpstr>
      <vt:lpstr>koraijpnwxvtries</vt:lpstr>
      <vt:lpstr>Lachancecanp4pts</vt:lpstr>
      <vt:lpstr>Lachancecanp4tries</vt:lpstr>
      <vt:lpstr>lachancecanwxvpts</vt:lpstr>
      <vt:lpstr>lachancecanwxvtries</vt:lpstr>
      <vt:lpstr>Lakewal6npts</vt:lpstr>
      <vt:lpstr>Lakewal6ntries</vt:lpstr>
      <vt:lpstr>Laneire6npts</vt:lpstr>
      <vt:lpstr>Laneire6ntries</vt:lpstr>
      <vt:lpstr>LATSHARSAWXVPTS</vt:lpstr>
      <vt:lpstr>LATSHARSAWXVTRIES</vt:lpstr>
      <vt:lpstr>lawscointpts</vt:lpstr>
      <vt:lpstr>Leti_l_iganzlp4pts</vt:lpstr>
      <vt:lpstr>Leti_l_iganzlp4tries</vt:lpstr>
      <vt:lpstr>letiiiganzlwxvpts</vt:lpstr>
      <vt:lpstr>letiiiganzlwxvtries</vt:lpstr>
      <vt:lpstr>Lewis_Bwal6npts</vt:lpstr>
      <vt:lpstr>Lewis_Bwal6ntries</vt:lpstr>
      <vt:lpstr>Lewis_Fwal6npts</vt:lpstr>
      <vt:lpstr>Lewis_Fwal6ntries</vt:lpstr>
      <vt:lpstr>Llorensfra6npts</vt:lpstr>
      <vt:lpstr>Llorensfra6ntries</vt:lpstr>
      <vt:lpstr>Lloydsco6npts</vt:lpstr>
      <vt:lpstr>Lloydscointpts</vt:lpstr>
      <vt:lpstr>lloydscointptscorrect</vt:lpstr>
      <vt:lpstr>lloydscointtries</vt:lpstr>
      <vt:lpstr>lloydscowxvpts</vt:lpstr>
      <vt:lpstr>lloydscowxvtries</vt:lpstr>
      <vt:lpstr>Lloydscpo6ntries</vt:lpstr>
      <vt:lpstr>lomanifijwvpts</vt:lpstr>
      <vt:lpstr>lomanifijwvtries</vt:lpstr>
      <vt:lpstr>Lovenzlp4pts</vt:lpstr>
      <vt:lpstr>Lovenzlp4tries</vt:lpstr>
      <vt:lpstr>Loweire6npts</vt:lpstr>
      <vt:lpstr>Loweire6ntries</vt:lpstr>
      <vt:lpstr>Lowryire6npts</vt:lpstr>
      <vt:lpstr>Lowryire6ntries</vt:lpstr>
      <vt:lpstr>MacDonaldeng6npts</vt:lpstr>
      <vt:lpstr>MacDonaldeng6ntries</vt:lpstr>
      <vt:lpstr>macdonaldengwxvpts</vt:lpstr>
      <vt:lpstr>macdonaldengwxvtries</vt:lpstr>
      <vt:lpstr>Madiaita6npts</vt:lpstr>
      <vt:lpstr>Madiaita6ntries</vt:lpstr>
      <vt:lpstr>makuarsawxvpts</vt:lpstr>
      <vt:lpstr>makuarsawxvtries</vt:lpstr>
      <vt:lpstr>Malcolmsco6npts</vt:lpstr>
      <vt:lpstr>Malcolmsco6ntries</vt:lpstr>
      <vt:lpstr>Malieponzlp4pts</vt:lpstr>
      <vt:lpstr>Malieponzlp4tries</vt:lpstr>
      <vt:lpstr>malingarsawxvpts</vt:lpstr>
      <vt:lpstr>malingarsawxvtries</vt:lpstr>
      <vt:lpstr>mannianiitawxvpts</vt:lpstr>
      <vt:lpstr>mannianiitawxvtries</vt:lpstr>
      <vt:lpstr>Marino_Tauhinunzlp4pts</vt:lpstr>
      <vt:lpstr>Marino_Tauhinunzlp4tries</vt:lpstr>
      <vt:lpstr>Marstersausp4pts</vt:lpstr>
      <vt:lpstr>Marstersausp4tries</vt:lpstr>
      <vt:lpstr>marstersauswxvpts</vt:lpstr>
      <vt:lpstr>marstersauswxvtries</vt:lpstr>
      <vt:lpstr>Martinsco6npts</vt:lpstr>
      <vt:lpstr>Martinsco6ntries</vt:lpstr>
      <vt:lpstr>matsumurajpnwxvpts</vt:lpstr>
      <vt:lpstr>matsumurajpnwxvtries</vt:lpstr>
      <vt:lpstr>matthewsengwxvpts</vt:lpstr>
      <vt:lpstr>matthewsengwxvtries</vt:lpstr>
      <vt:lpstr>mcatshulwarsawxvpts</vt:lpstr>
      <vt:lpstr>mcatshulwarsawxvtries</vt:lpstr>
      <vt:lpstr>McGannire6npts</vt:lpstr>
      <vt:lpstr>McGannire6ntries</vt:lpstr>
      <vt:lpstr>mcgannirewxpts</vt:lpstr>
      <vt:lpstr>mcgannirewxtries</vt:lpstr>
      <vt:lpstr>McGhiesco6npts</vt:lpstr>
      <vt:lpstr>McGhiesco6ntries</vt:lpstr>
      <vt:lpstr>mcghiescowxvpts</vt:lpstr>
      <vt:lpstr>mcghiescowxvtries</vt:lpstr>
      <vt:lpstr>McKennaeng6npts</vt:lpstr>
      <vt:lpstr>McKennaeng6ntries</vt:lpstr>
      <vt:lpstr>mckenzieausP4att</vt:lpstr>
      <vt:lpstr>McKenzieausP4gls</vt:lpstr>
      <vt:lpstr>McKenzieausP4pts</vt:lpstr>
      <vt:lpstr>McKenzieausp4tries</vt:lpstr>
      <vt:lpstr>McKenzieauswxvatt</vt:lpstr>
      <vt:lpstr>McKenzieauswxvgls</vt:lpstr>
      <vt:lpstr>mckenzieauswxvpts</vt:lpstr>
      <vt:lpstr>mckenzieauswxvtries</vt:lpstr>
      <vt:lpstr>McLachlansco6npts</vt:lpstr>
      <vt:lpstr>McLachlansco6ntries</vt:lpstr>
      <vt:lpstr>Menager_Mfra6npts</vt:lpstr>
      <vt:lpstr>Menager_Mfra6ntries</vt:lpstr>
      <vt:lpstr>menagerfrawxvpts</vt:lpstr>
      <vt:lpstr>menagerfrawxvtries</vt:lpstr>
      <vt:lpstr>Menincanp4pts</vt:lpstr>
      <vt:lpstr>Menincanp4tries</vt:lpstr>
      <vt:lpstr>Menoncelloita6npts</vt:lpstr>
      <vt:lpstr>Menoncelloita6ntries</vt:lpstr>
      <vt:lpstr>Mikaele_Tu_unzlp4pts</vt:lpstr>
      <vt:lpstr>Mikaele_Tu_unzlp4tries</vt:lpstr>
      <vt:lpstr>MikaeleTuunzlwxvpts</vt:lpstr>
      <vt:lpstr>MikaeleTuunzlwxvtries</vt:lpstr>
      <vt:lpstr>Millerausp4pts</vt:lpstr>
      <vt:lpstr>Millerausp4tries</vt:lpstr>
      <vt:lpstr>millerauswxvpts</vt:lpstr>
      <vt:lpstr>millerauswxvtries</vt:lpstr>
      <vt:lpstr>millernzlwxvpts</vt:lpstr>
      <vt:lpstr>millernzlwxvtries</vt:lpstr>
      <vt:lpstr>Minuzziita6npts</vt:lpstr>
      <vt:lpstr>Minuzziita6ntries</vt:lpstr>
      <vt:lpstr>minuzziitawxvpts</vt:lpstr>
      <vt:lpstr>minuzziitawxvtries</vt:lpstr>
      <vt:lpstr>Moefana6npts</vt:lpstr>
      <vt:lpstr>Moefanafra6ntries</vt:lpstr>
      <vt:lpstr>Molekaausp4att</vt:lpstr>
      <vt:lpstr>Molekaausp4gls</vt:lpstr>
      <vt:lpstr>Molekaausp4pts</vt:lpstr>
      <vt:lpstr>Molekaausp4tries</vt:lpstr>
      <vt:lpstr>Moloneyire6npts</vt:lpstr>
      <vt:lpstr>Moloneyire6ntries</vt:lpstr>
      <vt:lpstr>mooreirewxvpts</vt:lpstr>
      <vt:lpstr>mooreirewxvtries</vt:lpstr>
      <vt:lpstr>morlandfrawxvpts</vt:lpstr>
      <vt:lpstr>morlandfrawxvtries</vt:lpstr>
      <vt:lpstr>Muireng6npts</vt:lpstr>
      <vt:lpstr>Muireng6ntries</vt:lpstr>
      <vt:lpstr>muirengwxvpts</vt:lpstr>
      <vt:lpstr>muirengwxvtries</vt:lpstr>
      <vt:lpstr>Muzzoita6npts</vt:lpstr>
      <vt:lpstr>Muzzoita6ntries</vt:lpstr>
      <vt:lpstr>muzzoitawxvpts</vt:lpstr>
      <vt:lpstr>muzzoitawxvtries</vt:lpstr>
      <vt:lpstr>Nadenausp4pts</vt:lpstr>
      <vt:lpstr>Nadenausp4tries</vt:lpstr>
      <vt:lpstr>nagataijpnwxvpts</vt:lpstr>
      <vt:lpstr>nagataijpnwxvtries</vt:lpstr>
      <vt:lpstr>naisewafijwxvpts</vt:lpstr>
      <vt:lpstr>naisewafijwxvtries</vt:lpstr>
      <vt:lpstr>ndukajpnwxvpts</vt:lpstr>
      <vt:lpstr>ndukajpnwxvptscorrect</vt:lpstr>
      <vt:lpstr>ndukajpnwxvtries</vt:lpstr>
      <vt:lpstr>ndukajpnwxvtriescorrect</vt:lpstr>
      <vt:lpstr>neihamufijwxots</vt:lpstr>
      <vt:lpstr>neihamufijwxvtries</vt:lpstr>
      <vt:lpstr>nelsonsco6nAtt</vt:lpstr>
      <vt:lpstr>Nelsonsco6ngls</vt:lpstr>
      <vt:lpstr>Nelsonsco6npts</vt:lpstr>
      <vt:lpstr>Nelsonsco6ntries</vt:lpstr>
      <vt:lpstr>nelsonscointpts</vt:lpstr>
      <vt:lpstr>nelsonscointtries</vt:lpstr>
      <vt:lpstr>Nelsonscowxvatt</vt:lpstr>
      <vt:lpstr>Nelsonscowxvgls</vt:lpstr>
      <vt:lpstr>nelsonscowxvpts</vt:lpstr>
      <vt:lpstr>nelsonscowxvtries</vt:lpstr>
      <vt:lpstr>nelsonscoyratt</vt:lpstr>
      <vt:lpstr>Nelsonscoyrgls</vt:lpstr>
      <vt:lpstr>neumannwalwxvpts</vt:lpstr>
      <vt:lpstr>neumannwalwxvtries</vt:lpstr>
      <vt:lpstr>ngwevursawxvpts</vt:lpstr>
      <vt:lpstr>ngwevursawxvtries</vt:lpstr>
      <vt:lpstr>nishimurajpnwxvpts</vt:lpstr>
      <vt:lpstr>nishimurajpnwxvtries</vt:lpstr>
      <vt:lpstr>Ntamackfra6npts</vt:lpstr>
      <vt:lpstr>O_Brienire6natt</vt:lpstr>
      <vt:lpstr>O_Brienire6ngls</vt:lpstr>
      <vt:lpstr>O_Brienire6npts</vt:lpstr>
      <vt:lpstr>O_Brienire6ntries</vt:lpstr>
      <vt:lpstr>O_Brieniregls</vt:lpstr>
      <vt:lpstr>O_Connorire6natt</vt:lpstr>
      <vt:lpstr>O_Connorire6ngls</vt:lpstr>
      <vt:lpstr>O_Donnellcanp4pts</vt:lpstr>
      <vt:lpstr>O_Donnellcanp4triees</vt:lpstr>
      <vt:lpstr>O_Mahonyire6npts</vt:lpstr>
      <vt:lpstr>O_Mahonyire6ntries</vt:lpstr>
      <vt:lpstr>O’Connorire6npts</vt:lpstr>
      <vt:lpstr>O’Connorire6ntries</vt:lpstr>
      <vt:lpstr>obrienire6natt</vt:lpstr>
      <vt:lpstr>obrienirewxvpts</vt:lpstr>
      <vt:lpstr>obrienirewxvtries</vt:lpstr>
      <vt:lpstr>Okembafra6Npts</vt:lpstr>
      <vt:lpstr>OkembaFra6Ntries</vt:lpstr>
      <vt:lpstr>okembafrawxvpts</vt:lpstr>
      <vt:lpstr>okembafrawxvtries</vt:lpstr>
      <vt:lpstr>Olsen_Bakernzlp4tries</vt:lpstr>
      <vt:lpstr>Olsen_Bakerp4pts</vt:lpstr>
      <vt:lpstr>olsenbakernzlwxvpts</vt:lpstr>
      <vt:lpstr>olsenbakernzlwxvtries</vt:lpstr>
      <vt:lpstr>Omokhualecanp4pts</vt:lpstr>
      <vt:lpstr>Omokhualecanp4tries</vt:lpstr>
      <vt:lpstr>Orrsco6npts</vt:lpstr>
      <vt:lpstr>Orrsco6ntries</vt:lpstr>
      <vt:lpstr>orrscowxvpts</vt:lpstr>
      <vt:lpstr>orrscowxvtries</vt:lpstr>
      <vt:lpstr>ortizusawxvpts</vt:lpstr>
      <vt:lpstr>ortizusawxvtries</vt:lpstr>
      <vt:lpstr>Otsukajpnwxvatt</vt:lpstr>
      <vt:lpstr>Otsukajpnwxvgls</vt:lpstr>
      <vt:lpstr>otsukajpnwxvtries</vt:lpstr>
      <vt:lpstr>otsukapnwxvpts</vt:lpstr>
      <vt:lpstr>otsukapnwxvtries</vt:lpstr>
      <vt:lpstr>Packer_Mengpts</vt:lpstr>
      <vt:lpstr>Packer_Mengtries</vt:lpstr>
      <vt:lpstr>packerlengwxvpts</vt:lpstr>
      <vt:lpstr>packerlengwxvtries</vt:lpstr>
      <vt:lpstr>packermengwxvpts</vt:lpstr>
      <vt:lpstr>packermengwxvtries</vt:lpstr>
      <vt:lpstr>PadovaniITA6NPTS</vt:lpstr>
      <vt:lpstr>PadovaniITA6NTRIES</vt:lpstr>
      <vt:lpstr>Paquincanp4pts</vt:lpstr>
      <vt:lpstr>Paquincanp4tries</vt:lpstr>
      <vt:lpstr>paqyuincanwxvpts</vt:lpstr>
      <vt:lpstr>paqyuincanwxvtries</vt:lpstr>
      <vt:lpstr>Parsonsire6npts</vt:lpstr>
      <vt:lpstr>Parsonsire6ntries</vt:lpstr>
      <vt:lpstr>parsonsirewxvpts</vt:lpstr>
      <vt:lpstr>parsonsirewxvtries</vt:lpstr>
      <vt:lpstr>PaulnzlP4pts</vt:lpstr>
      <vt:lpstr>PaulnzlP4tries</vt:lpstr>
      <vt:lpstr>paulnzlwxvpts</vt:lpstr>
      <vt:lpstr>paulnzlwxvtries</vt:lpstr>
      <vt:lpstr>Pelletiercanp4pts</vt:lpstr>
      <vt:lpstr>pelletiercanwxvpts</vt:lpstr>
      <vt:lpstr>pelletiercanwxvtries</vt:lpstr>
      <vt:lpstr>Pelletiercsanp4tries</vt:lpstr>
      <vt:lpstr>penaespwxvpts</vt:lpstr>
      <vt:lpstr>penaespwxvtries</vt:lpstr>
      <vt:lpstr>Penalty_Triesausp4pts</vt:lpstr>
      <vt:lpstr>Penalty_Triesausp4tries</vt:lpstr>
      <vt:lpstr>Penalty_Trieseng6npts</vt:lpstr>
      <vt:lpstr>Penalty_Trieseng6ntries</vt:lpstr>
      <vt:lpstr>Penalty_Triesfra6npts</vt:lpstr>
      <vt:lpstr>Penalty_Triesfra6ntries</vt:lpstr>
      <vt:lpstr>Penalty_Triesire6npts</vt:lpstr>
      <vt:lpstr>Penalty_Triesire6ntries</vt:lpstr>
      <vt:lpstr>Penalty_Triessco6npts</vt:lpstr>
      <vt:lpstr>Penalty_Triessco6ntries</vt:lpstr>
      <vt:lpstr>Penalty_Triesusap4pts</vt:lpstr>
      <vt:lpstr>Penalty_Triesusap4tries</vt:lpstr>
      <vt:lpstr>penaltytriescanwxvpts</vt:lpstr>
      <vt:lpstr>penaltytriescanwxvtries</vt:lpstr>
      <vt:lpstr>penaltytriesjpnwxpts</vt:lpstr>
      <vt:lpstr>penaltytriesjpnwxtries</vt:lpstr>
      <vt:lpstr>Penaudfra6npts</vt:lpstr>
      <vt:lpstr>Penaudfra6ntries</vt:lpstr>
      <vt:lpstr>pentriesscowxscopts</vt:lpstr>
      <vt:lpstr>pentriesscowxvtries</vt:lpstr>
      <vt:lpstr>pentrieswalwxvpts</vt:lpstr>
      <vt:lpstr>pentrieswalwxvtries</vt:lpstr>
      <vt:lpstr>perezcespwxvpts</vt:lpstr>
      <vt:lpstr>perezcespwxvtries</vt:lpstr>
      <vt:lpstr>Perris_Reddingusap4pts</vt:lpstr>
      <vt:lpstr>Perris_Reddingusap4tries</vt:lpstr>
      <vt:lpstr>perrycanwxvpts</vt:lpstr>
      <vt:lpstr>perrycanwxvtries</vt:lpstr>
      <vt:lpstr>Phillipswal6npts</vt:lpstr>
      <vt:lpstr>Phillipswal6ntries</vt:lpstr>
      <vt:lpstr>phillipswalwxvpts</vt:lpstr>
      <vt:lpstr>phillipswalwxvtries</vt:lpstr>
      <vt:lpstr>Ponsonbynzlp4pts</vt:lpstr>
      <vt:lpstr>Ponsonbynzlp4tries</vt:lpstr>
      <vt:lpstr>ponsonbynzlwxvpts</vt:lpstr>
      <vt:lpstr>ponsonbynzlwxvtries</vt:lpstr>
      <vt:lpstr>Poulincanp4pts</vt:lpstr>
      <vt:lpstr>Poulincanp4tries</vt:lpstr>
      <vt:lpstr>pourilanenzlwxvpts</vt:lpstr>
      <vt:lpstr>pourilanenzlwxvtries</vt:lpstr>
      <vt:lpstr>Powell</vt:lpstr>
      <vt:lpstr>Powellengpts</vt:lpstr>
      <vt:lpstr>Powellengtries</vt:lpstr>
      <vt:lpstr>Powellwal6natt</vt:lpstr>
      <vt:lpstr>powellwal6nattcorrect</vt:lpstr>
      <vt:lpstr>Powellwal6ngls</vt:lpstr>
      <vt:lpstr>powellwal6nglscorrect</vt:lpstr>
      <vt:lpstr>Powellwal6ntries</vt:lpstr>
      <vt:lpstr>powellwalwxvpts</vt:lpstr>
      <vt:lpstr>powellwalwxvtries</vt:lpstr>
      <vt:lpstr>powellwalyratt</vt:lpstr>
      <vt:lpstr>powellwalyrgls</vt:lpstr>
      <vt:lpstr>Pyrswal6npts</vt:lpstr>
      <vt:lpstr>Pyrswal6ntries</vt:lpstr>
      <vt:lpstr>Queyroifra6natt</vt:lpstr>
      <vt:lpstr>Queyroifra6ngls</vt:lpstr>
      <vt:lpstr>Queyroifra6npts</vt:lpstr>
      <vt:lpstr>Queyroifra6ntries</vt:lpstr>
      <vt:lpstr>queyroifrawxvpts</vt:lpstr>
      <vt:lpstr>queyroifrawxvtries</vt:lpstr>
      <vt:lpstr>railumufijwxvpts</vt:lpstr>
      <vt:lpstr>railumufijwxvtries</vt:lpstr>
      <vt:lpstr>ranucciniitawxvpts</vt:lpstr>
      <vt:lpstr>ranucciniitawxvtries</vt:lpstr>
      <vt:lpstr>riffoneaufrawxvpts</vt:lpstr>
      <vt:lpstr>riffoneaufrawxvtries</vt:lpstr>
      <vt:lpstr>rigoniia6natt</vt:lpstr>
      <vt:lpstr>Rigoniita6ngls</vt:lpstr>
      <vt:lpstr>Rigoniita6npts</vt:lpstr>
      <vt:lpstr>Rigoniita6ntries</vt:lpstr>
      <vt:lpstr>Rigoniitawxvatt</vt:lpstr>
      <vt:lpstr>Rigoniitawxvgls</vt:lpstr>
      <vt:lpstr>rigoniitawxvpts</vt:lpstr>
      <vt:lpstr>rigoniitawxvtries</vt:lpstr>
      <vt:lpstr>Ringroseire6npts</vt:lpstr>
      <vt:lpstr>Ringroseire6ntries</vt:lpstr>
      <vt:lpstr>RogersUSAP4pts</vt:lpstr>
      <vt:lpstr>RogersUSAp4tries</vt:lpstr>
      <vt:lpstr>rogersusawxvpts</vt:lpstr>
      <vt:lpstr>rogersusawxvtries</vt:lpstr>
      <vt:lpstr>Rolliesco6npts</vt:lpstr>
      <vt:lpstr>Rolliesco6nptscorrect</vt:lpstr>
      <vt:lpstr>Rolliesco6nptsthisone</vt:lpstr>
      <vt:lpstr>Rolliesco6ntries</vt:lpstr>
      <vt:lpstr>Rolliesco6ntriescorrect</vt:lpstr>
      <vt:lpstr>Rolliesco6ntriesthisone</vt:lpstr>
      <vt:lpstr>rolliescointpts</vt:lpstr>
      <vt:lpstr>rolliescointtries</vt:lpstr>
      <vt:lpstr>rolliescowxvpts</vt:lpstr>
      <vt:lpstr>rolliescowxvtries</vt:lpstr>
      <vt:lpstr>romanespwxvpts</vt:lpstr>
      <vt:lpstr>romanespwxvtries</vt:lpstr>
      <vt:lpstr>roosrsawxvpts</vt:lpstr>
      <vt:lpstr>roosrsawxvtries</vt:lpstr>
      <vt:lpstr>Rose6nwaltries</vt:lpstr>
      <vt:lpstr>rosellespwxvpts</vt:lpstr>
      <vt:lpstr>rosellespwxvtries</vt:lpstr>
      <vt:lpstr>Rosewal6npts</vt:lpstr>
      <vt:lpstr>rowlandeng6natt</vt:lpstr>
      <vt:lpstr>Rowlandeng6ngls</vt:lpstr>
      <vt:lpstr>Rowlandengpts</vt:lpstr>
      <vt:lpstr>Rowlandengtries</vt:lpstr>
      <vt:lpstr>Rowlandengwxvatt</vt:lpstr>
      <vt:lpstr>Rowlandengwxvgls</vt:lpstr>
      <vt:lpstr>rowlandengwxvpts</vt:lpstr>
      <vt:lpstr>rowlandengwxvtries</vt:lpstr>
      <vt:lpstr>Royercanp4pts</vt:lpstr>
      <vt:lpstr>Royercanp4tries</vt:lpstr>
      <vt:lpstr>Russellsco6npts</vt:lpstr>
      <vt:lpstr>Saenzlp4pts</vt:lpstr>
      <vt:lpstr>Saenzlp4tries</vt:lpstr>
      <vt:lpstr>sagapoluusawxvpts</vt:lpstr>
      <vt:lpstr>sagapoluusawxvtries</vt:lpstr>
      <vt:lpstr>Sansusfra6npts</vt:lpstr>
      <vt:lpstr>Sansusfra6ntries</vt:lpstr>
      <vt:lpstr>scarratteng6natt</vt:lpstr>
      <vt:lpstr>Scarratteng6ngls</vt:lpstr>
      <vt:lpstr>Scarrattengpts</vt:lpstr>
      <vt:lpstr>Scarrattengtries</vt:lpstr>
      <vt:lpstr>schellcanp4att</vt:lpstr>
      <vt:lpstr>Schellcanp4gls</vt:lpstr>
      <vt:lpstr>Schellcanp4pts</vt:lpstr>
      <vt:lpstr>Schellcanp4tries</vt:lpstr>
      <vt:lpstr>schellcanwxvpts</vt:lpstr>
      <vt:lpstr>schellcanwxvtries</vt:lpstr>
      <vt:lpstr>Scoblewal6npts</vt:lpstr>
      <vt:lpstr>Scoblewal6ntries</vt:lpstr>
      <vt:lpstr>Scurfieldcanp4pts</vt:lpstr>
      <vt:lpstr>Scurfieldcanp4tries</vt:lpstr>
      <vt:lpstr>scurfieldcanwxvpts</vt:lpstr>
      <vt:lpstr>scurfieldcanwxvtries</vt:lpstr>
      <vt:lpstr>senivutufijwxvpts</vt:lpstr>
      <vt:lpstr>senivutufijwxvtries</vt:lpstr>
      <vt:lpstr>setefanonzlwxvpts</vt:lpstr>
      <vt:lpstr>setefanonzlwxvtries</vt:lpstr>
      <vt:lpstr>Seumanutafacanp4pts</vt:lpstr>
      <vt:lpstr>Seumanutafacanp4tries</vt:lpstr>
      <vt:lpstr>Sextonire6natt</vt:lpstr>
      <vt:lpstr>Sextonire6ngoals</vt:lpstr>
      <vt:lpstr>seyeitawxvpts</vt:lpstr>
      <vt:lpstr>seyeitawxvtries</vt:lpstr>
      <vt:lpstr>Sgorbiniita6ntries</vt:lpstr>
      <vt:lpstr>sgorbiniitawxvpts</vt:lpstr>
      <vt:lpstr>sgorbiniitawxvtries</vt:lpstr>
      <vt:lpstr>Sgorbiniits6npts</vt:lpstr>
      <vt:lpstr>Sheedywal6npts</vt:lpstr>
      <vt:lpstr>Sillariita6ngls</vt:lpstr>
      <vt:lpstr>Sillariita6npts</vt:lpstr>
      <vt:lpstr>Sillariita6ntries</vt:lpstr>
      <vt:lpstr>sillariitawxvatt</vt:lpstr>
      <vt:lpstr>Sillariitawxvgls</vt:lpstr>
      <vt:lpstr>sillariitawxvpts</vt:lpstr>
      <vt:lpstr>sillariitawxvtries</vt:lpstr>
      <vt:lpstr>sillarita6natt</vt:lpstr>
      <vt:lpstr>Silvabrawxvpts</vt:lpstr>
      <vt:lpstr>Silvabrawxvtries</vt:lpstr>
      <vt:lpstr>Simonnzlp4pts</vt:lpstr>
      <vt:lpstr>Simonnzlp4tries</vt:lpstr>
      <vt:lpstr>simonnzlwxvpts</vt:lpstr>
      <vt:lpstr>simonnzlwxvtries</vt:lpstr>
      <vt:lpstr>Sincklereng6npts</vt:lpstr>
      <vt:lpstr>Sincklereng6ntries</vt:lpstr>
      <vt:lpstr>singeng6natt</vt:lpstr>
      <vt:lpstr>Singeng6ngls</vt:lpstr>
      <vt:lpstr>Singeng6npts</vt:lpstr>
      <vt:lpstr>Singeng6ntries</vt:lpstr>
      <vt:lpstr>singengwxvpts</vt:lpstr>
      <vt:lpstr>singengwxvtries</vt:lpstr>
      <vt:lpstr>skeldonscointpts</vt:lpstr>
      <vt:lpstr>skeldonscointtries</vt:lpstr>
      <vt:lpstr>Skeldonscopts</vt:lpstr>
      <vt:lpstr>Skeldonscotries</vt:lpstr>
      <vt:lpstr>skeldonscowxvpts</vt:lpstr>
      <vt:lpstr>skeldonscowxvtries</vt:lpstr>
      <vt:lpstr>Smith_Msco6npts</vt:lpstr>
      <vt:lpstr>Smith_Msco6ntries</vt:lpstr>
      <vt:lpstr>Smith_Mscowxvatt</vt:lpstr>
      <vt:lpstr>Smith_Mscowxvgls</vt:lpstr>
      <vt:lpstr>smithausP4att</vt:lpstr>
      <vt:lpstr>SmithausP4gls</vt:lpstr>
      <vt:lpstr>SmithausP4pts</vt:lpstr>
      <vt:lpstr>Smithausp4tries</vt:lpstr>
      <vt:lpstr>smithauswxvpts</vt:lpstr>
      <vt:lpstr>smithauswxvtries</vt:lpstr>
      <vt:lpstr>Smitheng6npts</vt:lpstr>
      <vt:lpstr>Smitheng6ntries</vt:lpstr>
      <vt:lpstr>smithmscowxvpts</vt:lpstr>
      <vt:lpstr>smithmscowxvtries</vt:lpstr>
      <vt:lpstr>Snowsillwal6npts</vt:lpstr>
      <vt:lpstr>solontsirsawxvpts</vt:lpstr>
      <vt:lpstr>solontsirsawxvtries</vt:lpstr>
      <vt:lpstr>Sorensen_McGeenzlp4pts</vt:lpstr>
      <vt:lpstr>Sorensen_McGeenzlp4tries</vt:lpstr>
      <vt:lpstr>sorensenmcgeenzlwxvpts</vt:lpstr>
      <vt:lpstr>sorensenmcgeenzlwxvtries</vt:lpstr>
      <vt:lpstr>Stathopoulosusawxvpts</vt:lpstr>
      <vt:lpstr>Stathopoulosusawxvtries</vt:lpstr>
      <vt:lpstr>Stefanita6npts</vt:lpstr>
      <vt:lpstr>Stefanita6ntries</vt:lpstr>
      <vt:lpstr>stefanutawxvpts</vt:lpstr>
      <vt:lpstr>stefanutawxvtries</vt:lpstr>
      <vt:lpstr>Stevaninita6npts</vt:lpstr>
      <vt:lpstr>Stevaninita6ntries</vt:lpstr>
      <vt:lpstr>StewartausP4pts</vt:lpstr>
      <vt:lpstr>StewartausP4tries</vt:lpstr>
      <vt:lpstr>stewartauswxvpts</vt:lpstr>
      <vt:lpstr>stewartauswxvtries</vt:lpstr>
      <vt:lpstr>svobodacanwxvpts</vt:lpstr>
      <vt:lpstr>svobodacanwxvtries</vt:lpstr>
      <vt:lpstr>symondscanwxvpts</vt:lpstr>
      <vt:lpstr>symondscanwxvtries</vt:lpstr>
      <vt:lpstr>Tafunausap4pts</vt:lpstr>
      <vt:lpstr>Tafunausap4tries</vt:lpstr>
      <vt:lpstr>tafunausawxvpts</vt:lpstr>
      <vt:lpstr>tafunausawxvtries</vt:lpstr>
      <vt:lpstr>TalakaiausP4pts</vt:lpstr>
      <vt:lpstr>TalakaiausP4tries</vt:lpstr>
      <vt:lpstr>talakaiauswxvpts</vt:lpstr>
      <vt:lpstr>talakaiauswxvtries</vt:lpstr>
      <vt:lpstr>Tallingeng6npts</vt:lpstr>
      <vt:lpstr>Tallingeng6ntries</vt:lpstr>
      <vt:lpstr>tallingengwxvpts</vt:lpstr>
      <vt:lpstr>tallingengwxvtries</vt:lpstr>
      <vt:lpstr>Taufoouusap4pts</vt:lpstr>
      <vt:lpstr>Taufoouusap4tries</vt:lpstr>
      <vt:lpstr>taufoouusawxvpts</vt:lpstr>
      <vt:lpstr>taufoouusawxvtries</vt:lpstr>
      <vt:lpstr>Taylorcanp4pts</vt:lpstr>
      <vt:lpstr>Taylorcanp4tries</vt:lpstr>
      <vt:lpstr>TenetinzlP4pts</vt:lpstr>
      <vt:lpstr>TenetinzlP4tries</vt:lpstr>
      <vt:lpstr>Tessiercanp4att</vt:lpstr>
      <vt:lpstr>Tessiercanp4gls</vt:lpstr>
      <vt:lpstr>Tessiercanp4pts</vt:lpstr>
      <vt:lpstr>Tessiercanp4tries</vt:lpstr>
      <vt:lpstr>tessiercanwxvpts</vt:lpstr>
      <vt:lpstr>tessiercanwxvtries</vt:lpstr>
      <vt:lpstr>Thompsoneng6npts</vt:lpstr>
      <vt:lpstr>Thompsoneng6ntries</vt:lpstr>
      <vt:lpstr>Thomsonsco6npts</vt:lpstr>
      <vt:lpstr>Thomsonsco6ntries</vt:lpstr>
      <vt:lpstr>Thomsonscointpts</vt:lpstr>
      <vt:lpstr>Thomsonscointtries</vt:lpstr>
      <vt:lpstr>thomsonscowxvpts</vt:lpstr>
      <vt:lpstr>thomsonscowxvtries</vt:lpstr>
      <vt:lpstr>TompkinsWAL6NPTS</vt:lpstr>
      <vt:lpstr>TompkinsWAL6NTRIES</vt:lpstr>
      <vt:lpstr>tovefijwxvpts</vt:lpstr>
      <vt:lpstr>tovefijwxvtries</vt:lpstr>
      <vt:lpstr>Trederusap4pts</vt:lpstr>
      <vt:lpstr>Trederusap4tries</vt:lpstr>
      <vt:lpstr>Tremoulierefra6npts</vt:lpstr>
      <vt:lpstr>Tremoulierefra6ntries</vt:lpstr>
      <vt:lpstr>tsukuijpnwxvpts</vt:lpstr>
      <vt:lpstr>tsukuijpnwxvtries</vt:lpstr>
      <vt:lpstr>Tuinzlp4pts</vt:lpstr>
      <vt:lpstr>Tuinzlp4tries</vt:lpstr>
      <vt:lpstr>tuinzlwxvpts</vt:lpstr>
      <vt:lpstr>tuinzlwxvtries</vt:lpstr>
      <vt:lpstr>Tuipulotuwal6npts</vt:lpstr>
      <vt:lpstr>Tuipulotuwal6ntries</vt:lpstr>
      <vt:lpstr>tuipulotuwalwxvpts</vt:lpstr>
      <vt:lpstr>tuipulotuwalwxvtries</vt:lpstr>
      <vt:lpstr>tuiteirewxvpts</vt:lpstr>
      <vt:lpstr>tuiteirewxvtries</vt:lpstr>
      <vt:lpstr>tukuafunzlwxvpts</vt:lpstr>
      <vt:lpstr>tukuafunzlwxvtries</vt:lpstr>
      <vt:lpstr>Turaniita6npts</vt:lpstr>
      <vt:lpstr>Turaniita6ntries</vt:lpstr>
      <vt:lpstr>turaniitawxvpts</vt:lpstr>
      <vt:lpstr>turaniitawxvtries</vt:lpstr>
      <vt:lpstr>Tuttosicanp4pts</vt:lpstr>
      <vt:lpstr>Tuttosicanp4tries</vt:lpstr>
      <vt:lpstr>tuttosicanwxvpts</vt:lpstr>
      <vt:lpstr>tuttosicanwxvtries</vt:lpstr>
      <vt:lpstr>tuyfrawxvpts</vt:lpstr>
      <vt:lpstr>tuyfrawxvtries</vt:lpstr>
      <vt:lpstr>Vaha_akolonzlp4pts</vt:lpstr>
      <vt:lpstr>Vaha_akolonzlp4tries</vt:lpstr>
      <vt:lpstr>Vahaakolonzlwxvpts</vt:lpstr>
      <vt:lpstr>Vahaakolonzlwxvtries</vt:lpstr>
      <vt:lpstr>Vaipulunzlp4pts</vt:lpstr>
      <vt:lpstr>Vaipulunzlp4tries</vt:lpstr>
      <vt:lpstr>van_der_Merwe6nscopts</vt:lpstr>
      <vt:lpstr>van_der_Merwesco6ntries</vt:lpstr>
      <vt:lpstr>vatausamwxvpts</vt:lpstr>
      <vt:lpstr>vatausamwxvtries</vt:lpstr>
      <vt:lpstr>Vecchiniita6npts</vt:lpstr>
      <vt:lpstr>Vecchiniita6ntries</vt:lpstr>
      <vt:lpstr>vecchiniitawxvpts</vt:lpstr>
      <vt:lpstr>vecchiniitawxvtries</vt:lpstr>
      <vt:lpstr>Vennereng6npts</vt:lpstr>
      <vt:lpstr>Vennereng6ntries</vt:lpstr>
      <vt:lpstr>VernierFRA6NPTS</vt:lpstr>
      <vt:lpstr>VernierFRA6NTRIES</vt:lpstr>
      <vt:lpstr>vernierfrawxvpts</vt:lpstr>
      <vt:lpstr>vernierfrawxvtries</vt:lpstr>
      <vt:lpstr>Vilikonzlp4pts</vt:lpstr>
      <vt:lpstr>Vilikonzlp4tries</vt:lpstr>
      <vt:lpstr>vilikonzlwxvpts</vt:lpstr>
      <vt:lpstr>vilikonzlwxvtries</vt:lpstr>
      <vt:lpstr>Villierefra6npts</vt:lpstr>
      <vt:lpstr>Villierefra6ntries</vt:lpstr>
      <vt:lpstr>vuetifijwvpts</vt:lpstr>
      <vt:lpstr>vuetifijwvtries</vt:lpstr>
      <vt:lpstr>Waakanzlp4pts</vt:lpstr>
      <vt:lpstr>Waakanzlp4tries</vt:lpstr>
      <vt:lpstr>waakanzlwxvpts</vt:lpstr>
      <vt:lpstr>waakanzlwxvtries</vt:lpstr>
      <vt:lpstr>Waferire6npts</vt:lpstr>
      <vt:lpstr>Waferire6ntries</vt:lpstr>
      <vt:lpstr>Wallire6npts</vt:lpstr>
      <vt:lpstr>Wallire6ntries</vt:lpstr>
      <vt:lpstr>Wardeng6npts</vt:lpstr>
      <vt:lpstr>Wardeng6ntries</vt:lpstr>
      <vt:lpstr>wardrngwxvpts</vt:lpstr>
      <vt:lpstr>wardrngwxvtries</vt:lpstr>
      <vt:lpstr>Wassellsco6npts</vt:lpstr>
      <vt:lpstr>Wassellsco6ntries</vt:lpstr>
      <vt:lpstr>wassellscowxvpts</vt:lpstr>
      <vt:lpstr>wassellscowxvtries</vt:lpstr>
      <vt:lpstr>westcombeevansengpts</vt:lpstr>
      <vt:lpstr>westcombeevansengtries</vt:lpstr>
      <vt:lpstr>wilinswalwxvpts</vt:lpstr>
      <vt:lpstr>wilinswalwxvtries</vt:lpstr>
      <vt:lpstr>wilkinswal6natt</vt:lpstr>
      <vt:lpstr>Wilkinswal6ngls</vt:lpstr>
      <vt:lpstr>Wilkinswal6npts</vt:lpstr>
      <vt:lpstr>Wilkinswal6ntries</vt:lpstr>
      <vt:lpstr>wilkinswalwxvatt</vt:lpstr>
      <vt:lpstr>Wilkinswalwxvgls</vt:lpstr>
      <vt:lpstr>Willemsefra6npts</vt:lpstr>
      <vt:lpstr>Willemsefra6ntries</vt:lpstr>
      <vt:lpstr>Williamswal6npts</vt:lpstr>
      <vt:lpstr>Williamswal6ntries</vt:lpstr>
      <vt:lpstr>WillisonnzlP4att</vt:lpstr>
      <vt:lpstr>WillisonnzlP4gls</vt:lpstr>
      <vt:lpstr>WillisonnzlP4pts</vt:lpstr>
      <vt:lpstr>WongausP4pts</vt:lpstr>
      <vt:lpstr>WongausP4tries</vt:lpstr>
      <vt:lpstr>wongauswxvpts</vt:lpstr>
      <vt:lpstr>wongauswxvtries</vt:lpstr>
      <vt:lpstr>Woodman_Wickliffenzlp4pts</vt:lpstr>
      <vt:lpstr>Woodman_Wickliffenzlp4tries</vt:lpstr>
      <vt:lpstr>woodmanwickliffenzlwxvpts</vt:lpstr>
      <vt:lpstr>woodmanwickliffenzlwxvtries</vt:lpstr>
      <vt:lpstr>Wrightsco6npts</vt:lpstr>
      <vt:lpstr>Wrightsco6ntries</vt:lpstr>
      <vt:lpstr>wrightscointpts</vt:lpstr>
      <vt:lpstr>wrightscointrtries</vt:lpstr>
      <vt:lpstr>wyrwasengwxvpts</vt:lpstr>
      <vt:lpstr>wyrwasengwxvtries</vt:lpstr>
      <vt:lpstr>RSA!wywwasengwxvtries</vt:lpstr>
      <vt:lpstr>yamamotoajpnwxvpts</vt:lpstr>
      <vt:lpstr>yamamotoajpnwxvtries</vt:lpstr>
      <vt:lpstr>yamamotojpnwxvatt</vt:lpstr>
      <vt:lpstr>yamamotojpnwxvgls</vt:lpstr>
      <vt:lpstr>Zackaryusap4pts</vt:lpstr>
      <vt:lpstr>Zackaryusap4tries</vt:lpstr>
      <vt:lpstr>zackaryusawxvpts</vt:lpstr>
      <vt:lpstr>zackaryusawxvtries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2025-10-21T17:52:12Z</dcterms:modified>
</cp:coreProperties>
</file>