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BT PREMIERSHIP/Season 2014-15/"/>
    </mc:Choice>
  </mc:AlternateContent>
  <xr:revisionPtr revIDLastSave="1" documentId="11_63592F5F36E7F85FAD4ACC2DEA7685A2CB2F950D" xr6:coauthVersionLast="46" xr6:coauthVersionMax="46" xr10:uidLastSave="{31422F79-4CF2-4F17-A3CF-208E9AA84FC2}"/>
  <bookViews>
    <workbookView xWindow="-120" yWindow="-120" windowWidth="29040" windowHeight="15840" tabRatio="911" activeTab="5" xr2:uid="{00000000-000D-0000-FFFF-FFFF00000000}"/>
  </bookViews>
  <sheets>
    <sheet name="Summary" sheetId="1" r:id="rId1"/>
    <sheet name="Yr-By-Yr" sheetId="22" r:id="rId2"/>
    <sheet name="Cards" sheetId="2" r:id="rId3"/>
    <sheet name="Team Stats" sheetId="4" r:id="rId4"/>
    <sheet name="Form" sheetId="5" r:id="rId5"/>
    <sheet name="Table" sheetId="6" r:id="rId6"/>
    <sheet name="Results" sheetId="21" r:id="rId7"/>
    <sheet name="BTH" sheetId="9" r:id="rId8"/>
    <sheet name="EXE" sheetId="10" r:id="rId9"/>
    <sheet name="GLO" sheetId="11" r:id="rId10"/>
    <sheet name="HAR" sheetId="12" r:id="rId11"/>
    <sheet name="LEI" sheetId="13" r:id="rId12"/>
    <sheet name="LIR" sheetId="14" r:id="rId13"/>
    <sheet name="LWE" sheetId="20" r:id="rId14"/>
    <sheet name="NEW" sheetId="16" r:id="rId15"/>
    <sheet name="NOR" sheetId="17" r:id="rId16"/>
    <sheet name="SAL" sheetId="18" r:id="rId17"/>
    <sheet name="SAR" sheetId="19" r:id="rId18"/>
    <sheet name="WAS" sheetId="15" r:id="rId19"/>
  </sheets>
  <definedNames>
    <definedName name="_xlnm._FilterDatabase" localSheetId="5" hidden="1">Table!$A$2:$A$13</definedName>
    <definedName name="bathbonus">BTH!$I$38</definedName>
    <definedName name="bathbonusccorrect">BTH!$H$48</definedName>
    <definedName name="bathconceded">BTH!$G$38</definedName>
    <definedName name="bathdrawn">BTH!$AA$38</definedName>
    <definedName name="bathdropgoals">BTH!$L$38</definedName>
    <definedName name="bathlost">BTH!$AB$38</definedName>
    <definedName name="bathpld">BTH!$Y$38</definedName>
    <definedName name="bathpodrawn">BTH!$AA$39</definedName>
    <definedName name="bathpolost">BTH!$AB$39</definedName>
    <definedName name="bathpopld">BTH!$Y$39</definedName>
    <definedName name="bathpoptsconceded">BTH!$G$39</definedName>
    <definedName name="bathpoptsscored">BTH!$F$39</definedName>
    <definedName name="bathpored">BTH!$O$39</definedName>
    <definedName name="bathpotriesconceded">BTH!$R$39</definedName>
    <definedName name="bathpotriesscored">BTH!$J$39</definedName>
    <definedName name="bathpowon">BTH!$Z$39</definedName>
    <definedName name="bathpoyellow">BTH!$N$39</definedName>
    <definedName name="bathred">BTH!$O$38</definedName>
    <definedName name="bathscored">BTH!$F$38</definedName>
    <definedName name="bathtriesconceded">BTH!$R$38</definedName>
    <definedName name="bathtriesscored">BTH!$J$38</definedName>
    <definedName name="bathtrybonus">BTH!$H$38</definedName>
    <definedName name="bathtrybonusconceded">BTH!$P$38</definedName>
    <definedName name="bathwon">BTH!$Z$38</definedName>
    <definedName name="bathyellow">BTH!$N$38</definedName>
    <definedName name="exeterbonus">EXE!$H$43</definedName>
    <definedName name="exeterconceded">EXE!$G$39</definedName>
    <definedName name="exeterdrawn">EXE!$AA$39</definedName>
    <definedName name="exeterlosingbonus">EXE!$I$39</definedName>
    <definedName name="exeterlosingbonusconceded">EXE!$Q$39</definedName>
    <definedName name="exeterlost">EXE!$AB$39</definedName>
    <definedName name="exeterpld">EXE!$Y$39</definedName>
    <definedName name="exeterred">EXE!$O$39</definedName>
    <definedName name="exeterscored">EXE!$F$39</definedName>
    <definedName name="exetertriesconceded">EXE!$R$39</definedName>
    <definedName name="exetertriesscored">EXE!$J$39</definedName>
    <definedName name="exetertrybonusconceded">EXE!$P$39</definedName>
    <definedName name="exetertrybonusscored">EXE!$H$39</definedName>
    <definedName name="exeterwon">EXE!$Z$39</definedName>
    <definedName name="exeteryellow">EXE!$N$39</definedName>
    <definedName name="glosbonus">GLO!#REF!</definedName>
    <definedName name="glosconceded">GLO!$G$40</definedName>
    <definedName name="glosdrawn">GLO!$AA$40</definedName>
    <definedName name="gloslosingbonus">GLO!$I$40</definedName>
    <definedName name="gloslosingbonusconceded">GLO!$Q$40</definedName>
    <definedName name="gloslost">GLO!$AB$40</definedName>
    <definedName name="glosplayed">GLO!$Y$40</definedName>
    <definedName name="glosred">GLO!$O$40</definedName>
    <definedName name="glosscored">GLO!$F$40</definedName>
    <definedName name="glostries">GLO!$J$40</definedName>
    <definedName name="glostriesconceded">GLO!$R$40</definedName>
    <definedName name="glostrybonus">GLO!$H$40</definedName>
    <definedName name="glostrybonusconceded">GLO!$P$40</definedName>
    <definedName name="gloswon">GLO!$Z$40</definedName>
    <definedName name="glosyellow">GLO!$N$40</definedName>
    <definedName name="harbonus">HAR!$H$38</definedName>
    <definedName name="harconceded">HAR!$G$35</definedName>
    <definedName name="hardrawn">HAR!$AA$35</definedName>
    <definedName name="harlosingbonus">HAR!$I$35</definedName>
    <definedName name="harlosingbonusconceded">HAR!$Q$35</definedName>
    <definedName name="harlost">HAR!$AB$35</definedName>
    <definedName name="harplayed">HAR!$Y$35</definedName>
    <definedName name="harred">HAR!$O$35</definedName>
    <definedName name="harscored">HAR!$F$35</definedName>
    <definedName name="hartriesconceded">HAR!$R$35</definedName>
    <definedName name="hartriesscored">HAR!$J$35</definedName>
    <definedName name="hartrybonus">HAR!$H$35</definedName>
    <definedName name="hartrybonusconceded">HAR!$P$35</definedName>
    <definedName name="harwon">HAR!$Z$35</definedName>
    <definedName name="haryellow">HAR!$N$35</definedName>
    <definedName name="leicesterpoconceded">LEI!$G$38</definedName>
    <definedName name="leicesterpolost">LEI!$AB$38</definedName>
    <definedName name="leicesterpoplayed">LEI!$Y$38</definedName>
    <definedName name="leicesterpored">LEI!$O$38</definedName>
    <definedName name="leicesterposcored">LEI!$F$38</definedName>
    <definedName name="leicesterpotriesconceded">LEI!$R$38</definedName>
    <definedName name="leicesterpotriesscored">LEI!$J$38</definedName>
    <definedName name="leicesterpowon">LEI!$Z$38</definedName>
    <definedName name="leicesterpoyellow">LEI!$N$38</definedName>
    <definedName name="leicsbonus">LEI!$H$42</definedName>
    <definedName name="leicsconceded">LEI!$G$37</definedName>
    <definedName name="leicsdrawn">LEI!$AA$37</definedName>
    <definedName name="leicslosingbonus">LEI!$I$37</definedName>
    <definedName name="leicslosingbonusconceded">LEI!$Q$37</definedName>
    <definedName name="leicslost">LEI!$AB$37</definedName>
    <definedName name="leicsplayed">LEI!$Y$37</definedName>
    <definedName name="leicsred">LEI!$O$37</definedName>
    <definedName name="leicsscored">LEI!$F$37</definedName>
    <definedName name="leicstries">LEI!$J$37</definedName>
    <definedName name="leicstriesconceded">LEI!$R$37</definedName>
    <definedName name="leicstrybonus">LEI!$H$37</definedName>
    <definedName name="leicstrybonusconceded">LEI!$P$37</definedName>
    <definedName name="leicswon">LEI!$Z$37</definedName>
    <definedName name="leicsyellow">LEI!$N$37</definedName>
    <definedName name="libonus">LIR!#REF!</definedName>
    <definedName name="liconceded">LIR!$G$36</definedName>
    <definedName name="lidrawn">LIR!$AA$36</definedName>
    <definedName name="lilosingbonus">LIR!$I$36</definedName>
    <definedName name="lilosingbonusconceded">LIR!$Q$36</definedName>
    <definedName name="lilost">LIR!$AB$36</definedName>
    <definedName name="liplayed">LIR!$Y$36</definedName>
    <definedName name="lired">LIR!$O$36</definedName>
    <definedName name="liscored">LIR!$F$36</definedName>
    <definedName name="litries">LIR!$J$36</definedName>
    <definedName name="litriesconceded">LIR!$R$36</definedName>
    <definedName name="litrybonus">LIR!$H$36</definedName>
    <definedName name="litrybonusconceded">LIR!$P$36</definedName>
    <definedName name="liwon">LIR!$Z$36</definedName>
    <definedName name="liyellow">LIR!$N$36</definedName>
    <definedName name="lweagainst">LWE!$G$35</definedName>
    <definedName name="lwedrawn">LWE!$AA$35</definedName>
    <definedName name="lwelosingbonus">LWE!$I$35</definedName>
    <definedName name="lwelosingbonusonceded">LWE!$Q$35</definedName>
    <definedName name="lwelost">LWE!$AB$35</definedName>
    <definedName name="lweplayed">LWE!$Y$35</definedName>
    <definedName name="lwered">LWE!$O$35</definedName>
    <definedName name="lwescored">LWE!$F$35</definedName>
    <definedName name="lwetriesconceded">LWE!$R$35</definedName>
    <definedName name="lwetriesscored">LWE!$J$35</definedName>
    <definedName name="lwetrybonus">LWE!$H$35</definedName>
    <definedName name="lwetrybonusconceded">LWE!$P$35</definedName>
    <definedName name="lwewon">LWE!$Z$35</definedName>
    <definedName name="lweyellow">LWE!$N$35</definedName>
    <definedName name="newcbonus">NEW!#REF!</definedName>
    <definedName name="newcconceded">NEW!$G$36</definedName>
    <definedName name="newcdrawn">NEW!$AA$36</definedName>
    <definedName name="newclosingbonus">NEW!$I$36</definedName>
    <definedName name="newclosingbonusconceded">NEW!$Q$36</definedName>
    <definedName name="newclost">NEW!$AB$36</definedName>
    <definedName name="newcplayed">NEW!$Y$36</definedName>
    <definedName name="newcred">NEW!$O$36</definedName>
    <definedName name="newcscored">NEW!$F$36</definedName>
    <definedName name="newctriesconceded">NEW!$R$36</definedName>
    <definedName name="newctriesscored">NEW!$J$36</definedName>
    <definedName name="newctrybonus">NEW!$H$36</definedName>
    <definedName name="newctrybonusconceded">NEW!$P$36</definedName>
    <definedName name="newcwon">NEW!$Z$36</definedName>
    <definedName name="newcyellow">NEW!$N$36</definedName>
    <definedName name="quinspoconceded">HAR!#REF!</definedName>
    <definedName name="quinspolost">HAR!#REF!</definedName>
    <definedName name="quinspoplayed">HAR!#REF!</definedName>
    <definedName name="quinspored">HAR!#REF!</definedName>
    <definedName name="quinsposcored">HAR!#REF!</definedName>
    <definedName name="quinspotriesconceded">HAR!#REF!</definedName>
    <definedName name="quinspotriesscored">HAR!#REF!</definedName>
    <definedName name="quinspowon">HAR!#REF!</definedName>
    <definedName name="quinspoyellow">HAR!#REF!</definedName>
    <definedName name="sainstpotriesconcededcorrect">NOR!$R$39</definedName>
    <definedName name="sainstpowon">NOR!$Z$39</definedName>
    <definedName name="saintsbonus">NOR!$H$44</definedName>
    <definedName name="saintsconceded">NOR!$G$38</definedName>
    <definedName name="saintsdrawn">NOR!$AA$38</definedName>
    <definedName name="saintslosingbonus">NOR!$I$38</definedName>
    <definedName name="saintslosingbonusconceded">NOR!$Q$38</definedName>
    <definedName name="saintslost">NOR!$AB$38</definedName>
    <definedName name="saintsplayed">NOR!$Y$38</definedName>
    <definedName name="saintspoconceded">NOR!$G$39</definedName>
    <definedName name="saintspodrawn">NOR!$AA$39</definedName>
    <definedName name="saintspolost">NOR!$AB$39</definedName>
    <definedName name="saintspoplayed">NOR!$Y$39</definedName>
    <definedName name="saintspored">NOR!$O$39</definedName>
    <definedName name="saintsposcored">NOR!$F$39</definedName>
    <definedName name="saintspotriesconceded">NOR!$J$39</definedName>
    <definedName name="saintspotriesscored">NOR!$J$39</definedName>
    <definedName name="Saintspoyellow">NOR!$N$39</definedName>
    <definedName name="saintsred">NOR!$O$38</definedName>
    <definedName name="saintsscored">NOR!$F$38</definedName>
    <definedName name="saintstriesconceded">NOR!$R$38</definedName>
    <definedName name="saintstriesscored">NOR!$J$38</definedName>
    <definedName name="saintstrybonus">NOR!$H$38</definedName>
    <definedName name="saintstrybonusconceded">NOR!$P$38</definedName>
    <definedName name="saintswon">NOR!$Z$38</definedName>
    <definedName name="saintsyellow">NOR!$N$38</definedName>
    <definedName name="salebonus">SAL!#REF!</definedName>
    <definedName name="saleconceded">SAL!$G$35</definedName>
    <definedName name="saledrawn">SAL!$AA$35</definedName>
    <definedName name="salelosingbonus">SAL!$I$35</definedName>
    <definedName name="salelosingbonusconceded">SAL!$Q$35</definedName>
    <definedName name="salelost">SAL!$AB$35</definedName>
    <definedName name="saleplayed">SAL!$Y$35</definedName>
    <definedName name="salered">SAL!$O$35</definedName>
    <definedName name="salescored">SAL!$F$35</definedName>
    <definedName name="saletriesconceded">SAL!$R$35</definedName>
    <definedName name="saletriesscored">SAL!$J$35</definedName>
    <definedName name="saletrybonus">SAL!$H$35</definedName>
    <definedName name="saletrybonusconceded">SAL!$P$35</definedName>
    <definedName name="salewon">SAL!$Z$35</definedName>
    <definedName name="saleyellow">SAL!$N$35</definedName>
    <definedName name="saracenspoconceded">SAR!$G$44</definedName>
    <definedName name="saracenspolost">SAR!$AB$44</definedName>
    <definedName name="saracenspoplayed">SAR!$Y$44</definedName>
    <definedName name="saracenspored">SAR!$O$44</definedName>
    <definedName name="saracensposcored">SAR!$F$44</definedName>
    <definedName name="saracenspotriesconceded">SAR!$R$44</definedName>
    <definedName name="saracenspotriesscored">SAR!$J$44</definedName>
    <definedName name="saracenspowon">SAR!$Z$44</definedName>
    <definedName name="saracenspoyellow">SAR!$N$44</definedName>
    <definedName name="sarriesbonus">SAR!$H$49</definedName>
    <definedName name="sarriesconceded">SAR!$G$43</definedName>
    <definedName name="sarriesdrawn">SAR!$AA$43</definedName>
    <definedName name="sarrieslosingbonus">SAR!$I$43</definedName>
    <definedName name="sarrieslosingbonusconceded">SAR!$Q$43</definedName>
    <definedName name="sarrieslost">SAR!$AB$43</definedName>
    <definedName name="sarriesplayed">SAR!$Y$43</definedName>
    <definedName name="sarriesred">SAR!$O$43</definedName>
    <definedName name="sarriesscored">SAR!$F$43</definedName>
    <definedName name="sarriestriesconceded">SAR!$R$43</definedName>
    <definedName name="sarriestriesscored">SAR!$J$43</definedName>
    <definedName name="sarriestrybonus">SAR!$H$43</definedName>
    <definedName name="sarriestrybonusconceded">SAR!$P$43</definedName>
    <definedName name="sarrieswon">SAR!$Z$43</definedName>
    <definedName name="sarriesyellow">SAR!$N$43</definedName>
    <definedName name="waspsbonus">WAS!#REF!</definedName>
    <definedName name="waspsconceded">WAS!$G$36</definedName>
    <definedName name="waspsdrawn">WAS!$AA$36</definedName>
    <definedName name="waspsdrawncorrect">WAS!$AA$36</definedName>
    <definedName name="waspslosingbonus">WAS!$I$36</definedName>
    <definedName name="waspslosingbonusconceded">WAS!$Q$36</definedName>
    <definedName name="waspslost">WAS!$AB$36</definedName>
    <definedName name="waspsplayed">WAS!$Y$36</definedName>
    <definedName name="waspsred">WAS!$O$36</definedName>
    <definedName name="waspsscored">WAS!$F$36</definedName>
    <definedName name="waspstriesconceded">WAS!$R$36</definedName>
    <definedName name="waspstriesscored">WAS!$J$36</definedName>
    <definedName name="waspstrybonus">WAS!$H$36</definedName>
    <definedName name="waspstrybonusconceded">WAS!$P$36</definedName>
    <definedName name="waspswon">WAS!$Z$36</definedName>
    <definedName name="waspsyellow">WAS!$N$36</definedName>
    <definedName name="welshlosingbonus">LWE!$I$35</definedName>
    <definedName name="welshtrybonus">LWE!$H$35</definedName>
    <definedName name="worbonus">LWE!#REF!</definedName>
    <definedName name="worcester201314triesagainst">LWE!$R$35</definedName>
    <definedName name="worcestertriesscored">LWE!$J$35</definedName>
    <definedName name="worconceded">LWE!$G$35</definedName>
    <definedName name="wordrawn">LWE!$AA$35</definedName>
    <definedName name="worlosingbonus">LWE!$I$35</definedName>
    <definedName name="worlosingbonusconceded">LWE!$Q$35</definedName>
    <definedName name="worlost">LWE!$AB$35</definedName>
    <definedName name="worplayed">LWE!$Y$35</definedName>
    <definedName name="worred">LWE!$O$35</definedName>
    <definedName name="worscored">LWE!$F$35</definedName>
    <definedName name="wortriesconceded">LWE!$R$35</definedName>
    <definedName name="wortriesscored">LWE!$J$35</definedName>
    <definedName name="wortrybonus">LWE!$H$35</definedName>
    <definedName name="wortrybonusconceded">LWE!$P$35</definedName>
    <definedName name="worwon">LWE!$Z$35</definedName>
    <definedName name="woryellow">LWE!$N$35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3" i="11" l="1"/>
  <c r="AI43" i="11"/>
  <c r="AH43" i="11"/>
  <c r="AG43" i="11"/>
  <c r="AF43" i="11"/>
  <c r="AE43" i="11"/>
  <c r="AD43" i="11"/>
  <c r="AC43" i="11"/>
  <c r="AB43" i="11"/>
  <c r="AA43" i="11"/>
  <c r="Z43" i="11"/>
  <c r="Y43" i="11"/>
  <c r="R46" i="11"/>
  <c r="O46" i="11"/>
  <c r="N46" i="11"/>
  <c r="M46" i="11"/>
  <c r="L46" i="11"/>
  <c r="K46" i="11"/>
  <c r="J46" i="11"/>
  <c r="G46" i="11"/>
  <c r="F46" i="11"/>
  <c r="R43" i="11"/>
  <c r="O43" i="11"/>
  <c r="N43" i="11"/>
  <c r="M43" i="11"/>
  <c r="L43" i="11"/>
  <c r="K43" i="11"/>
  <c r="J43" i="11"/>
  <c r="G43" i="11"/>
  <c r="F43" i="11"/>
  <c r="AN44" i="9"/>
  <c r="AM44" i="9"/>
  <c r="AL44" i="9"/>
  <c r="AK44" i="9"/>
  <c r="R39" i="9"/>
  <c r="J39" i="9"/>
  <c r="J2" i="1" s="1"/>
  <c r="G39" i="9"/>
  <c r="F39" i="9"/>
  <c r="AA39" i="9"/>
  <c r="AB39" i="9"/>
  <c r="D2" i="1" s="1"/>
  <c r="Z39" i="9"/>
  <c r="Y39" i="9"/>
  <c r="O44" i="19"/>
  <c r="N44" i="19"/>
  <c r="B9" i="2" s="1"/>
  <c r="F9" i="2" s="1"/>
  <c r="O39" i="9"/>
  <c r="N39" i="9"/>
  <c r="R44" i="19"/>
  <c r="F3" i="4" s="1"/>
  <c r="J44" i="19"/>
  <c r="AJ38" i="13"/>
  <c r="AI38" i="13"/>
  <c r="AH38" i="13"/>
  <c r="AG38" i="13"/>
  <c r="AF38" i="13"/>
  <c r="AE38" i="13"/>
  <c r="AD38" i="13"/>
  <c r="AC38" i="13"/>
  <c r="AB38" i="13"/>
  <c r="AA38" i="13"/>
  <c r="Z38" i="13"/>
  <c r="C9" i="1" s="1"/>
  <c r="F9" i="1" s="1"/>
  <c r="Y38" i="13"/>
  <c r="R38" i="13"/>
  <c r="O38" i="13"/>
  <c r="N38" i="13"/>
  <c r="M38" i="13"/>
  <c r="L38" i="13"/>
  <c r="K38" i="13"/>
  <c r="J38" i="13"/>
  <c r="B13" i="4" s="1"/>
  <c r="G38" i="13"/>
  <c r="F38" i="13"/>
  <c r="AJ39" i="17"/>
  <c r="AI39" i="17"/>
  <c r="AH39" i="17"/>
  <c r="AG39" i="17"/>
  <c r="AF39" i="17"/>
  <c r="AE39" i="17"/>
  <c r="AD39" i="17"/>
  <c r="AC39" i="17"/>
  <c r="AB39" i="17"/>
  <c r="AA39" i="17"/>
  <c r="Z39" i="17"/>
  <c r="Y39" i="17"/>
  <c r="R39" i="17"/>
  <c r="O39" i="17"/>
  <c r="N39" i="17"/>
  <c r="M39" i="17"/>
  <c r="L39" i="17"/>
  <c r="K39" i="17"/>
  <c r="J39" i="17"/>
  <c r="G39" i="17"/>
  <c r="F39" i="17"/>
  <c r="G14" i="1" s="1"/>
  <c r="N10" i="5"/>
  <c r="N6" i="5"/>
  <c r="N12" i="5"/>
  <c r="N7" i="5"/>
  <c r="N13" i="5"/>
  <c r="N4" i="5"/>
  <c r="N14" i="5"/>
  <c r="N11" i="5"/>
  <c r="N8" i="5"/>
  <c r="N9" i="5"/>
  <c r="N5" i="5"/>
  <c r="N3" i="5"/>
  <c r="R35" i="12"/>
  <c r="K7" i="1" s="1"/>
  <c r="J35" i="12"/>
  <c r="J7" i="1"/>
  <c r="G35" i="12"/>
  <c r="H7" i="1" s="1"/>
  <c r="F35" i="12"/>
  <c r="H9" i="6" s="1"/>
  <c r="J9" i="6" s="1"/>
  <c r="AB35" i="12"/>
  <c r="D7" i="1"/>
  <c r="Z35" i="12"/>
  <c r="C7" i="1" s="1"/>
  <c r="F7" i="1" s="1"/>
  <c r="Y35" i="12"/>
  <c r="B7" i="1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R41" i="10"/>
  <c r="O41" i="10"/>
  <c r="N41" i="10"/>
  <c r="M41" i="10"/>
  <c r="L41" i="10"/>
  <c r="K41" i="10"/>
  <c r="J41" i="10"/>
  <c r="G41" i="10"/>
  <c r="F41" i="10"/>
  <c r="AN50" i="19"/>
  <c r="AM50" i="19"/>
  <c r="AL50" i="19"/>
  <c r="AK50" i="19"/>
  <c r="AJ46" i="19"/>
  <c r="AI46" i="19"/>
  <c r="AH46" i="19"/>
  <c r="AG46" i="19"/>
  <c r="AF46" i="19"/>
  <c r="AE46" i="19"/>
  <c r="AD46" i="19"/>
  <c r="AC46" i="19"/>
  <c r="AB46" i="19"/>
  <c r="AA46" i="19"/>
  <c r="Z46" i="19"/>
  <c r="Y46" i="19"/>
  <c r="R46" i="19"/>
  <c r="O46" i="19"/>
  <c r="N46" i="19"/>
  <c r="M46" i="19"/>
  <c r="L46" i="19"/>
  <c r="K46" i="19"/>
  <c r="J46" i="19"/>
  <c r="G46" i="19"/>
  <c r="F46" i="19"/>
  <c r="AJ38" i="15"/>
  <c r="AI38" i="15"/>
  <c r="AH38" i="15"/>
  <c r="AG38" i="15"/>
  <c r="AF38" i="15"/>
  <c r="AE38" i="15"/>
  <c r="AD38" i="15"/>
  <c r="AC38" i="15"/>
  <c r="AB38" i="15"/>
  <c r="AA38" i="15"/>
  <c r="Z38" i="15"/>
  <c r="Y38" i="15"/>
  <c r="R38" i="15"/>
  <c r="O38" i="15"/>
  <c r="N38" i="15"/>
  <c r="M38" i="15"/>
  <c r="L38" i="15"/>
  <c r="K38" i="15"/>
  <c r="J38" i="15"/>
  <c r="G38" i="15"/>
  <c r="F38" i="15"/>
  <c r="AJ38" i="14"/>
  <c r="AI38" i="14"/>
  <c r="AH38" i="14"/>
  <c r="AG38" i="14"/>
  <c r="AF38" i="14"/>
  <c r="AE38" i="14"/>
  <c r="AD38" i="14"/>
  <c r="AC38" i="14"/>
  <c r="AB38" i="14"/>
  <c r="AA38" i="14"/>
  <c r="Z38" i="14"/>
  <c r="Y38" i="14"/>
  <c r="R38" i="14"/>
  <c r="O38" i="14"/>
  <c r="N38" i="14"/>
  <c r="M38" i="14"/>
  <c r="L38" i="14"/>
  <c r="K38" i="14"/>
  <c r="J38" i="14"/>
  <c r="G38" i="14"/>
  <c r="F38" i="14"/>
  <c r="AJ41" i="17"/>
  <c r="AI41" i="17"/>
  <c r="AH41" i="17"/>
  <c r="AG41" i="17"/>
  <c r="AF41" i="17"/>
  <c r="AE41" i="17"/>
  <c r="AD41" i="17"/>
  <c r="AC41" i="17"/>
  <c r="AB41" i="17"/>
  <c r="AA41" i="17"/>
  <c r="Z41" i="17"/>
  <c r="Y41" i="17"/>
  <c r="R41" i="17"/>
  <c r="O41" i="17"/>
  <c r="N41" i="17"/>
  <c r="M41" i="17"/>
  <c r="L41" i="17"/>
  <c r="K41" i="17"/>
  <c r="J41" i="17"/>
  <c r="G41" i="17"/>
  <c r="F41" i="17"/>
  <c r="AJ43" i="17"/>
  <c r="AI43" i="17"/>
  <c r="AH43" i="17"/>
  <c r="AG43" i="17"/>
  <c r="AF43" i="17"/>
  <c r="AE43" i="17"/>
  <c r="AD43" i="17"/>
  <c r="AC43" i="17"/>
  <c r="AB43" i="17"/>
  <c r="AA43" i="17"/>
  <c r="Z43" i="17"/>
  <c r="Y43" i="17"/>
  <c r="AJ38" i="16"/>
  <c r="AI38" i="16"/>
  <c r="AH38" i="16"/>
  <c r="AG38" i="16"/>
  <c r="AF38" i="16"/>
  <c r="AE38" i="16"/>
  <c r="AD38" i="16"/>
  <c r="AC38" i="16"/>
  <c r="AB38" i="16"/>
  <c r="AA38" i="16"/>
  <c r="Z38" i="16"/>
  <c r="Y38" i="16"/>
  <c r="R38" i="16"/>
  <c r="O38" i="16"/>
  <c r="N38" i="16"/>
  <c r="M38" i="16"/>
  <c r="L38" i="16"/>
  <c r="K38" i="16"/>
  <c r="J38" i="16"/>
  <c r="G38" i="16"/>
  <c r="F38" i="16"/>
  <c r="AJ41" i="9"/>
  <c r="AI41" i="9"/>
  <c r="AH41" i="9"/>
  <c r="AG41" i="9"/>
  <c r="AF41" i="9"/>
  <c r="AE41" i="9"/>
  <c r="AD41" i="9"/>
  <c r="AC41" i="9"/>
  <c r="AB41" i="9"/>
  <c r="AA41" i="9"/>
  <c r="Z41" i="9"/>
  <c r="Y41" i="9"/>
  <c r="R41" i="9"/>
  <c r="O41" i="9"/>
  <c r="N41" i="9"/>
  <c r="M41" i="9"/>
  <c r="L41" i="9"/>
  <c r="K41" i="9"/>
  <c r="J41" i="9"/>
  <c r="G41" i="9"/>
  <c r="F41" i="9"/>
  <c r="N43" i="19"/>
  <c r="S14" i="2" s="1"/>
  <c r="O43" i="19"/>
  <c r="D9" i="2" s="1"/>
  <c r="N35" i="20"/>
  <c r="S10" i="2" s="1"/>
  <c r="B13" i="2"/>
  <c r="O35" i="20"/>
  <c r="D13" i="2"/>
  <c r="N38" i="17"/>
  <c r="O38" i="17"/>
  <c r="N39" i="10"/>
  <c r="S5" i="2" s="1"/>
  <c r="B7" i="2"/>
  <c r="F7" i="2" s="1"/>
  <c r="O39" i="10"/>
  <c r="D7" i="2"/>
  <c r="N35" i="12"/>
  <c r="B11" i="2" s="1"/>
  <c r="O35" i="12"/>
  <c r="D11" i="2" s="1"/>
  <c r="N40" i="11"/>
  <c r="B8" i="2"/>
  <c r="O40" i="11"/>
  <c r="T6" i="2" s="1"/>
  <c r="O35" i="18"/>
  <c r="D10" i="2"/>
  <c r="O38" i="9"/>
  <c r="D4" i="2" s="1"/>
  <c r="O36" i="15"/>
  <c r="O37" i="13"/>
  <c r="D6" i="2"/>
  <c r="O36" i="14"/>
  <c r="D14" i="2" s="1"/>
  <c r="F14" i="2" s="1"/>
  <c r="O36" i="16"/>
  <c r="D3" i="2"/>
  <c r="F3" i="2" s="1"/>
  <c r="N37" i="13"/>
  <c r="B6" i="2" s="1"/>
  <c r="N38" i="9"/>
  <c r="B4" i="2"/>
  <c r="N36" i="15"/>
  <c r="B5" i="2"/>
  <c r="N35" i="18"/>
  <c r="B10" i="2"/>
  <c r="F10" i="2" s="1"/>
  <c r="N36" i="16"/>
  <c r="B3" i="2"/>
  <c r="N36" i="14"/>
  <c r="B14" i="2"/>
  <c r="O4" i="2"/>
  <c r="Q4" i="2"/>
  <c r="O5" i="2"/>
  <c r="O6" i="2"/>
  <c r="O7" i="2"/>
  <c r="R7" i="2" s="1"/>
  <c r="O8" i="2"/>
  <c r="O9" i="2"/>
  <c r="O10" i="2"/>
  <c r="O11" i="2"/>
  <c r="R11" i="2" s="1"/>
  <c r="O12" i="2"/>
  <c r="R12" i="2" s="1"/>
  <c r="O13" i="2"/>
  <c r="O14" i="2"/>
  <c r="O15" i="2"/>
  <c r="Q15" i="2" s="1"/>
  <c r="R41" i="13"/>
  <c r="O41" i="13"/>
  <c r="N41" i="13"/>
  <c r="M41" i="13"/>
  <c r="L41" i="13"/>
  <c r="K41" i="13"/>
  <c r="J41" i="13"/>
  <c r="G41" i="13"/>
  <c r="F41" i="13"/>
  <c r="R43" i="17"/>
  <c r="O43" i="17"/>
  <c r="N43" i="17"/>
  <c r="M43" i="17"/>
  <c r="L43" i="17"/>
  <c r="K43" i="17"/>
  <c r="J43" i="17"/>
  <c r="G43" i="17"/>
  <c r="F43" i="17"/>
  <c r="F63" i="18"/>
  <c r="L63" i="18"/>
  <c r="Q63" i="18"/>
  <c r="G63" i="18"/>
  <c r="M63" i="18"/>
  <c r="Y63" i="18"/>
  <c r="Z53" i="18"/>
  <c r="Y53" i="18"/>
  <c r="X53" i="18"/>
  <c r="AA53" i="18" s="1"/>
  <c r="W53" i="18"/>
  <c r="W45" i="18"/>
  <c r="W46" i="18"/>
  <c r="W47" i="18"/>
  <c r="W48" i="18"/>
  <c r="W49" i="18"/>
  <c r="W50" i="18"/>
  <c r="W51" i="18"/>
  <c r="W52" i="18"/>
  <c r="W54" i="18"/>
  <c r="W55" i="18"/>
  <c r="W56" i="18"/>
  <c r="W57" i="18"/>
  <c r="W58" i="18"/>
  <c r="W59" i="18"/>
  <c r="W60" i="18"/>
  <c r="W61" i="18"/>
  <c r="W62" i="18"/>
  <c r="W63" i="18"/>
  <c r="Z48" i="18"/>
  <c r="Z55" i="18"/>
  <c r="Z45" i="18"/>
  <c r="Z46" i="18"/>
  <c r="Z47" i="18"/>
  <c r="Z49" i="18"/>
  <c r="Z50" i="18"/>
  <c r="Z63" i="18" s="1"/>
  <c r="Z51" i="18"/>
  <c r="Z52" i="18"/>
  <c r="Z54" i="18"/>
  <c r="Z56" i="18"/>
  <c r="Z57" i="18"/>
  <c r="Z58" i="18"/>
  <c r="Z59" i="18"/>
  <c r="Z60" i="18"/>
  <c r="Z61" i="18"/>
  <c r="Z62" i="18"/>
  <c r="X62" i="18"/>
  <c r="AA62" i="18"/>
  <c r="Y62" i="18"/>
  <c r="X61" i="18"/>
  <c r="Y61" i="18"/>
  <c r="AA61" i="18" s="1"/>
  <c r="X60" i="18"/>
  <c r="Y60" i="18"/>
  <c r="AA60" i="18"/>
  <c r="X59" i="18"/>
  <c r="Y59" i="18"/>
  <c r="X58" i="18"/>
  <c r="Y58" i="18"/>
  <c r="AA58" i="18" s="1"/>
  <c r="X57" i="18"/>
  <c r="Y57" i="18"/>
  <c r="AA57" i="18" s="1"/>
  <c r="X56" i="18"/>
  <c r="AA56" i="18" s="1"/>
  <c r="Y56" i="18"/>
  <c r="X55" i="18"/>
  <c r="Y55" i="18"/>
  <c r="AA55" i="18" s="1"/>
  <c r="X54" i="18"/>
  <c r="Y54" i="18"/>
  <c r="AA54" i="18" s="1"/>
  <c r="X52" i="18"/>
  <c r="AA52" i="18" s="1"/>
  <c r="Y52" i="18"/>
  <c r="X51" i="18"/>
  <c r="AA51" i="18"/>
  <c r="Y51" i="18"/>
  <c r="X50" i="18"/>
  <c r="Y50" i="18"/>
  <c r="AA50" i="18"/>
  <c r="X49" i="18"/>
  <c r="Y49" i="18"/>
  <c r="AA49" i="18"/>
  <c r="X48" i="18"/>
  <c r="AA48" i="18" s="1"/>
  <c r="Y48" i="18"/>
  <c r="X47" i="18"/>
  <c r="AA47" i="18" s="1"/>
  <c r="Y47" i="18"/>
  <c r="X46" i="18"/>
  <c r="Y46" i="18"/>
  <c r="AA46" i="18" s="1"/>
  <c r="X45" i="18"/>
  <c r="AA45" i="18" s="1"/>
  <c r="Y45" i="18"/>
  <c r="R63" i="18"/>
  <c r="U63" i="18"/>
  <c r="S63" i="18"/>
  <c r="T63" i="18"/>
  <c r="U53" i="18"/>
  <c r="K63" i="18"/>
  <c r="N63" i="18"/>
  <c r="H63" i="18"/>
  <c r="O62" i="18"/>
  <c r="I62" i="18"/>
  <c r="O61" i="18"/>
  <c r="I61" i="18"/>
  <c r="O60" i="18"/>
  <c r="I60" i="18"/>
  <c r="O59" i="18"/>
  <c r="I59" i="18"/>
  <c r="O58" i="18"/>
  <c r="I58" i="18"/>
  <c r="O57" i="18"/>
  <c r="I57" i="18"/>
  <c r="O56" i="18"/>
  <c r="I56" i="18"/>
  <c r="O55" i="18"/>
  <c r="I55" i="18"/>
  <c r="O54" i="18"/>
  <c r="I54" i="18"/>
  <c r="O53" i="18"/>
  <c r="I53" i="18"/>
  <c r="O52" i="18"/>
  <c r="I52" i="18"/>
  <c r="O51" i="18"/>
  <c r="I51" i="18"/>
  <c r="O50" i="18"/>
  <c r="I50" i="18"/>
  <c r="O49" i="18"/>
  <c r="I49" i="18"/>
  <c r="O48" i="18"/>
  <c r="I48" i="18"/>
  <c r="O47" i="18"/>
  <c r="I47" i="18"/>
  <c r="O46" i="18"/>
  <c r="I46" i="18"/>
  <c r="O45" i="18"/>
  <c r="I45" i="18"/>
  <c r="D21" i="22"/>
  <c r="C21" i="22"/>
  <c r="E21" i="22"/>
  <c r="I21" i="22"/>
  <c r="J21" i="22"/>
  <c r="H21" i="22"/>
  <c r="K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L8" i="22"/>
  <c r="L7" i="22"/>
  <c r="L6" i="22"/>
  <c r="L5" i="22"/>
  <c r="L4" i="22"/>
  <c r="L3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F4" i="22"/>
  <c r="F3" i="22"/>
  <c r="AJ37" i="18"/>
  <c r="AI37" i="18"/>
  <c r="AH37" i="18"/>
  <c r="AG37" i="18"/>
  <c r="AF37" i="18"/>
  <c r="AE37" i="18"/>
  <c r="AD37" i="18"/>
  <c r="AC37" i="18"/>
  <c r="AB37" i="18"/>
  <c r="AA37" i="18"/>
  <c r="Z37" i="18"/>
  <c r="Y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AT51" i="5"/>
  <c r="AT50" i="5"/>
  <c r="AT49" i="5"/>
  <c r="AT48" i="5"/>
  <c r="AT47" i="5"/>
  <c r="AT45" i="5"/>
  <c r="AT44" i="5"/>
  <c r="AT46" i="5"/>
  <c r="AT43" i="5"/>
  <c r="AT42" i="5"/>
  <c r="AT41" i="5"/>
  <c r="AT40" i="5"/>
  <c r="R4" i="2"/>
  <c r="Q7" i="2"/>
  <c r="Q5" i="2"/>
  <c r="Q9" i="2"/>
  <c r="Q12" i="2"/>
  <c r="Q13" i="2"/>
  <c r="AT68" i="5"/>
  <c r="AT67" i="5"/>
  <c r="AT66" i="5"/>
  <c r="AT64" i="5"/>
  <c r="AT63" i="5"/>
  <c r="AT62" i="5"/>
  <c r="AT61" i="5"/>
  <c r="AT60" i="5"/>
  <c r="AT59" i="5"/>
  <c r="AT58" i="5"/>
  <c r="AT57" i="5"/>
  <c r="AT65" i="5"/>
  <c r="R37" i="15"/>
  <c r="AO22" i="15"/>
  <c r="AM22" i="15"/>
  <c r="AS22" i="15" s="1"/>
  <c r="J37" i="15"/>
  <c r="AO21" i="15"/>
  <c r="AM21" i="15"/>
  <c r="AS21" i="15" s="1"/>
  <c r="G37" i="15"/>
  <c r="AO20" i="15"/>
  <c r="AM20" i="15" s="1"/>
  <c r="AS20" i="15" s="1"/>
  <c r="F37" i="15"/>
  <c r="AO19" i="15"/>
  <c r="AM19" i="15" s="1"/>
  <c r="AS19" i="15" s="1"/>
  <c r="AB37" i="15"/>
  <c r="AO18" i="15" s="1"/>
  <c r="AM18" i="15" s="1"/>
  <c r="AS18" i="15" s="1"/>
  <c r="AA37" i="15"/>
  <c r="AO17" i="15" s="1"/>
  <c r="AM17" i="15" s="1"/>
  <c r="AS17" i="15"/>
  <c r="Z37" i="15"/>
  <c r="AO16" i="15" s="1"/>
  <c r="AM16" i="15" s="1"/>
  <c r="AS16" i="15" s="1"/>
  <c r="Y37" i="15"/>
  <c r="AO15" i="15" s="1"/>
  <c r="R36" i="12"/>
  <c r="J36" i="12"/>
  <c r="G36" i="12"/>
  <c r="F36" i="12"/>
  <c r="AB36" i="12"/>
  <c r="AA36" i="12"/>
  <c r="Z36" i="12"/>
  <c r="Y36" i="12"/>
  <c r="R45" i="19"/>
  <c r="J45" i="19"/>
  <c r="F45" i="19"/>
  <c r="AA45" i="19"/>
  <c r="Z45" i="19"/>
  <c r="Y45" i="19"/>
  <c r="AB45" i="19"/>
  <c r="AM15" i="15"/>
  <c r="AS15" i="15"/>
  <c r="AQ22" i="20"/>
  <c r="AS22" i="20"/>
  <c r="AQ21" i="20"/>
  <c r="AS21" i="20"/>
  <c r="AQ20" i="20"/>
  <c r="AS20" i="20"/>
  <c r="AQ19" i="20"/>
  <c r="AS19" i="20"/>
  <c r="AQ18" i="20"/>
  <c r="AS18" i="20"/>
  <c r="AQ17" i="20"/>
  <c r="AS17" i="20"/>
  <c r="AQ16" i="20"/>
  <c r="AS16" i="20"/>
  <c r="AQ15" i="20"/>
  <c r="AS15" i="20"/>
  <c r="AT85" i="5"/>
  <c r="AT84" i="5"/>
  <c r="AT83" i="5"/>
  <c r="AT82" i="5"/>
  <c r="AT81" i="5"/>
  <c r="AT80" i="5"/>
  <c r="AT79" i="5"/>
  <c r="AT78" i="5"/>
  <c r="AT77" i="5"/>
  <c r="AT76" i="5"/>
  <c r="AT75" i="5"/>
  <c r="AT74" i="5"/>
  <c r="AT27" i="5"/>
  <c r="AT33" i="5"/>
  <c r="AJ49" i="19"/>
  <c r="AI49" i="19"/>
  <c r="AH49" i="19"/>
  <c r="AG49" i="19"/>
  <c r="AF49" i="19"/>
  <c r="AE49" i="19"/>
  <c r="AD49" i="19"/>
  <c r="AC49" i="19"/>
  <c r="AB49" i="19"/>
  <c r="AA49" i="19"/>
  <c r="Z49" i="19"/>
  <c r="Y49" i="19"/>
  <c r="R49" i="19"/>
  <c r="O49" i="19"/>
  <c r="N49" i="19"/>
  <c r="M49" i="19"/>
  <c r="L49" i="19"/>
  <c r="K49" i="19"/>
  <c r="J49" i="19"/>
  <c r="G49" i="19"/>
  <c r="F49" i="19"/>
  <c r="AB36" i="15"/>
  <c r="D19" i="1" s="1"/>
  <c r="AJ39" i="20"/>
  <c r="AI39" i="20"/>
  <c r="AH39" i="20"/>
  <c r="AG39" i="20"/>
  <c r="AF39" i="20"/>
  <c r="AE39" i="20"/>
  <c r="AD39" i="20"/>
  <c r="AC39" i="20"/>
  <c r="AB39" i="20"/>
  <c r="AA39" i="20"/>
  <c r="Z39" i="20"/>
  <c r="Y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AJ37" i="20"/>
  <c r="AI37" i="20"/>
  <c r="AH37" i="20"/>
  <c r="AG37" i="20"/>
  <c r="AF37" i="20"/>
  <c r="AE37" i="20"/>
  <c r="AD37" i="20"/>
  <c r="AC37" i="20"/>
  <c r="AB37" i="20"/>
  <c r="AA37" i="20"/>
  <c r="Z37" i="20"/>
  <c r="Y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AJ36" i="20"/>
  <c r="AI36" i="20"/>
  <c r="AH36" i="20"/>
  <c r="AG36" i="20"/>
  <c r="AF36" i="20"/>
  <c r="AE36" i="20"/>
  <c r="AD36" i="20"/>
  <c r="AC36" i="20"/>
  <c r="AB36" i="20"/>
  <c r="AA36" i="20"/>
  <c r="Z36" i="20"/>
  <c r="Y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AJ35" i="20"/>
  <c r="AI35" i="20"/>
  <c r="AH35" i="20"/>
  <c r="AG35" i="20"/>
  <c r="AF35" i="20"/>
  <c r="AE35" i="20"/>
  <c r="AD35" i="20"/>
  <c r="AC35" i="20"/>
  <c r="AB35" i="20"/>
  <c r="D12" i="1"/>
  <c r="AA35" i="20"/>
  <c r="E12" i="1"/>
  <c r="Z35" i="20"/>
  <c r="E13" i="6"/>
  <c r="Y35" i="20"/>
  <c r="B12" i="1" s="1"/>
  <c r="D13" i="6"/>
  <c r="R35" i="20"/>
  <c r="K12" i="1"/>
  <c r="Q35" i="20"/>
  <c r="P35" i="20"/>
  <c r="H14" i="4"/>
  <c r="M35" i="20"/>
  <c r="L35" i="20"/>
  <c r="K35" i="20"/>
  <c r="J35" i="20"/>
  <c r="J12" i="1"/>
  <c r="I35" i="20"/>
  <c r="H35" i="20"/>
  <c r="K13" i="6" s="1"/>
  <c r="D14" i="4"/>
  <c r="G35" i="20"/>
  <c r="H12" i="1"/>
  <c r="I13" i="6"/>
  <c r="F35" i="20"/>
  <c r="AJ50" i="19"/>
  <c r="AI50" i="19"/>
  <c r="AH50" i="19"/>
  <c r="AG50" i="19"/>
  <c r="AF50" i="19"/>
  <c r="AE50" i="19"/>
  <c r="AD50" i="19"/>
  <c r="AC50" i="19"/>
  <c r="AB50" i="19"/>
  <c r="AA50" i="19"/>
  <c r="Z50" i="19"/>
  <c r="Y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AJ48" i="19"/>
  <c r="AI48" i="19"/>
  <c r="AH48" i="19"/>
  <c r="AG48" i="19"/>
  <c r="AF48" i="19"/>
  <c r="AE48" i="19"/>
  <c r="AD48" i="19"/>
  <c r="AC48" i="19"/>
  <c r="AB48" i="19"/>
  <c r="AA48" i="19"/>
  <c r="Z48" i="19"/>
  <c r="Y48" i="19"/>
  <c r="R48" i="19"/>
  <c r="O48" i="19"/>
  <c r="N48" i="19"/>
  <c r="M48" i="19"/>
  <c r="L48" i="19"/>
  <c r="K48" i="19"/>
  <c r="J48" i="19"/>
  <c r="G48" i="19"/>
  <c r="F48" i="19"/>
  <c r="AJ47" i="19"/>
  <c r="AI47" i="19"/>
  <c r="AH47" i="19"/>
  <c r="AG47" i="19"/>
  <c r="AF47" i="19"/>
  <c r="AE47" i="19"/>
  <c r="AD47" i="19"/>
  <c r="AC47" i="19"/>
  <c r="AB47" i="19"/>
  <c r="AA47" i="19"/>
  <c r="Z47" i="19"/>
  <c r="Y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AJ45" i="19"/>
  <c r="AI45" i="19"/>
  <c r="AH45" i="19"/>
  <c r="AG45" i="19"/>
  <c r="AF45" i="19"/>
  <c r="AE45" i="19"/>
  <c r="AD45" i="19"/>
  <c r="AC45" i="19"/>
  <c r="Q45" i="19"/>
  <c r="P45" i="19"/>
  <c r="O45" i="19"/>
  <c r="N45" i="19"/>
  <c r="M45" i="19"/>
  <c r="L45" i="19"/>
  <c r="K45" i="19"/>
  <c r="I45" i="19"/>
  <c r="H45" i="19"/>
  <c r="G45" i="19"/>
  <c r="AJ44" i="19"/>
  <c r="AI44" i="19"/>
  <c r="AH44" i="19"/>
  <c r="AG44" i="19"/>
  <c r="AF44" i="19"/>
  <c r="AE44" i="19"/>
  <c r="AD44" i="19"/>
  <c r="AC44" i="19"/>
  <c r="AB44" i="19"/>
  <c r="D18" i="1" s="1"/>
  <c r="AA44" i="19"/>
  <c r="Z44" i="19"/>
  <c r="Y44" i="19"/>
  <c r="M44" i="19"/>
  <c r="L44" i="19"/>
  <c r="K44" i="19"/>
  <c r="G44" i="19"/>
  <c r="H18" i="1" s="1"/>
  <c r="I18" i="1" s="1"/>
  <c r="F44" i="19"/>
  <c r="AJ43" i="19"/>
  <c r="AI43" i="19"/>
  <c r="AH43" i="19"/>
  <c r="AG43" i="19"/>
  <c r="AF43" i="19"/>
  <c r="AE43" i="19"/>
  <c r="AD43" i="19"/>
  <c r="AC43" i="19"/>
  <c r="AB43" i="19"/>
  <c r="AA43" i="19"/>
  <c r="F5" i="6"/>
  <c r="Z43" i="19"/>
  <c r="C18" i="1"/>
  <c r="Y43" i="19"/>
  <c r="R43" i="19"/>
  <c r="Q43" i="19"/>
  <c r="P43" i="19"/>
  <c r="H4" i="4"/>
  <c r="T14" i="2"/>
  <c r="M43" i="19"/>
  <c r="L43" i="19"/>
  <c r="K43" i="19"/>
  <c r="J43" i="19"/>
  <c r="J18" i="1" s="1"/>
  <c r="I43" i="19"/>
  <c r="H43" i="19"/>
  <c r="K5" i="6"/>
  <c r="D8" i="4"/>
  <c r="G43" i="19"/>
  <c r="F43" i="19"/>
  <c r="AJ39" i="18"/>
  <c r="AI39" i="18"/>
  <c r="AH39" i="18"/>
  <c r="AG39" i="18"/>
  <c r="AF39" i="18"/>
  <c r="AE39" i="18"/>
  <c r="AD39" i="18"/>
  <c r="AC39" i="18"/>
  <c r="AB39" i="18"/>
  <c r="AA39" i="18"/>
  <c r="Z39" i="18"/>
  <c r="Y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AJ36" i="18"/>
  <c r="AI36" i="18"/>
  <c r="AH36" i="18"/>
  <c r="AG36" i="18"/>
  <c r="AF36" i="18"/>
  <c r="AE36" i="18"/>
  <c r="AD36" i="18"/>
  <c r="AC36" i="18"/>
  <c r="AB36" i="18"/>
  <c r="AA36" i="18"/>
  <c r="Z36" i="18"/>
  <c r="Y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AJ35" i="18"/>
  <c r="AI35" i="18"/>
  <c r="AH35" i="18"/>
  <c r="AG35" i="18"/>
  <c r="AF35" i="18"/>
  <c r="AE35" i="18"/>
  <c r="AD35" i="18"/>
  <c r="AC35" i="18"/>
  <c r="AB35" i="18"/>
  <c r="AA35" i="18"/>
  <c r="F8" i="6"/>
  <c r="Z35" i="18"/>
  <c r="C17" i="1"/>
  <c r="Y35" i="18"/>
  <c r="D8" i="6"/>
  <c r="R35" i="18"/>
  <c r="K17" i="1"/>
  <c r="Q35" i="18"/>
  <c r="P35" i="18"/>
  <c r="H12" i="4" s="1"/>
  <c r="M35" i="18"/>
  <c r="L35" i="18"/>
  <c r="K35" i="18"/>
  <c r="J35" i="18"/>
  <c r="B8" i="4"/>
  <c r="I35" i="18"/>
  <c r="H35" i="18"/>
  <c r="D6" i="4" s="1"/>
  <c r="G35" i="18"/>
  <c r="H17" i="1"/>
  <c r="F35" i="18"/>
  <c r="H8" i="6" s="1"/>
  <c r="J8" i="6" s="1"/>
  <c r="AJ45" i="17"/>
  <c r="AI45" i="17"/>
  <c r="AH45" i="17"/>
  <c r="AG45" i="17"/>
  <c r="AF45" i="17"/>
  <c r="AE45" i="17"/>
  <c r="AD45" i="17"/>
  <c r="AC45" i="17"/>
  <c r="AB45" i="17"/>
  <c r="AA45" i="17"/>
  <c r="Z45" i="17"/>
  <c r="Y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AJ42" i="17"/>
  <c r="AI42" i="17"/>
  <c r="AH42" i="17"/>
  <c r="AG42" i="17"/>
  <c r="AF42" i="17"/>
  <c r="AE42" i="17"/>
  <c r="AD42" i="17"/>
  <c r="AC42" i="17"/>
  <c r="AB42" i="17"/>
  <c r="AA42" i="17"/>
  <c r="Z42" i="17"/>
  <c r="Y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AJ40" i="17"/>
  <c r="AI40" i="17"/>
  <c r="AH40" i="17"/>
  <c r="AG40" i="17"/>
  <c r="AF40" i="17"/>
  <c r="AE40" i="17"/>
  <c r="AD40" i="17"/>
  <c r="AC40" i="17"/>
  <c r="AB40" i="17"/>
  <c r="AA40" i="17"/>
  <c r="Z40" i="17"/>
  <c r="Y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AJ38" i="17"/>
  <c r="AI38" i="17"/>
  <c r="AH38" i="17"/>
  <c r="AG38" i="17"/>
  <c r="AF38" i="17"/>
  <c r="AE38" i="17"/>
  <c r="AD38" i="17"/>
  <c r="AC38" i="17"/>
  <c r="AB38" i="17"/>
  <c r="AA38" i="17"/>
  <c r="E14" i="1"/>
  <c r="Z38" i="17"/>
  <c r="Y38" i="17"/>
  <c r="B14" i="1"/>
  <c r="R38" i="17"/>
  <c r="K14" i="1" s="1"/>
  <c r="Q38" i="17"/>
  <c r="P38" i="17"/>
  <c r="H3" i="4" s="1"/>
  <c r="H15" i="4" s="1"/>
  <c r="M38" i="17"/>
  <c r="L38" i="17"/>
  <c r="K38" i="17"/>
  <c r="J38" i="17"/>
  <c r="B4" i="4"/>
  <c r="I38" i="17"/>
  <c r="H38" i="17"/>
  <c r="G38" i="17"/>
  <c r="H14" i="1"/>
  <c r="I14" i="1"/>
  <c r="F38" i="17"/>
  <c r="AJ41" i="16"/>
  <c r="AI41" i="16"/>
  <c r="AH41" i="16"/>
  <c r="AG41" i="16"/>
  <c r="AF41" i="16"/>
  <c r="AE41" i="16"/>
  <c r="AD41" i="16"/>
  <c r="AC41" i="16"/>
  <c r="AB41" i="16"/>
  <c r="AA41" i="16"/>
  <c r="Z41" i="16"/>
  <c r="Y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AJ39" i="16"/>
  <c r="AI39" i="16"/>
  <c r="AH39" i="16"/>
  <c r="AG39" i="16"/>
  <c r="AF39" i="16"/>
  <c r="AE39" i="16"/>
  <c r="AD39" i="16"/>
  <c r="AC39" i="16"/>
  <c r="AB39" i="16"/>
  <c r="AA39" i="16"/>
  <c r="Z39" i="16"/>
  <c r="Y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AJ37" i="16"/>
  <c r="AI37" i="16"/>
  <c r="AH37" i="16"/>
  <c r="AG37" i="16"/>
  <c r="AF37" i="16"/>
  <c r="AE37" i="16"/>
  <c r="AD37" i="16"/>
  <c r="AC37" i="16"/>
  <c r="AB37" i="16"/>
  <c r="AA37" i="16"/>
  <c r="Z37" i="16"/>
  <c r="Y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AJ36" i="16"/>
  <c r="AI36" i="16"/>
  <c r="AH36" i="16"/>
  <c r="AG36" i="16"/>
  <c r="AF36" i="16"/>
  <c r="AE36" i="16"/>
  <c r="AD36" i="16"/>
  <c r="AC36" i="16"/>
  <c r="AB36" i="16"/>
  <c r="D13" i="1"/>
  <c r="AA36" i="16"/>
  <c r="F12" i="6" s="1"/>
  <c r="Z36" i="16"/>
  <c r="C13" i="1"/>
  <c r="Y36" i="16"/>
  <c r="R36" i="16"/>
  <c r="K13" i="1"/>
  <c r="Q36" i="16"/>
  <c r="P36" i="16"/>
  <c r="H13" i="4" s="1"/>
  <c r="S11" i="2"/>
  <c r="M36" i="16"/>
  <c r="L36" i="16"/>
  <c r="K36" i="16"/>
  <c r="J36" i="16"/>
  <c r="I36" i="16"/>
  <c r="H36" i="16"/>
  <c r="D13" i="4" s="1"/>
  <c r="G36" i="16"/>
  <c r="F36" i="16"/>
  <c r="G13" i="1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AJ39" i="15"/>
  <c r="AI39" i="15"/>
  <c r="AH39" i="15"/>
  <c r="AG39" i="15"/>
  <c r="AF39" i="15"/>
  <c r="AE39" i="15"/>
  <c r="AD39" i="15"/>
  <c r="AC39" i="15"/>
  <c r="AB39" i="15"/>
  <c r="AA39" i="15"/>
  <c r="Z39" i="15"/>
  <c r="Y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AJ37" i="15"/>
  <c r="AI37" i="15"/>
  <c r="AH37" i="15"/>
  <c r="AG37" i="15"/>
  <c r="AF37" i="15"/>
  <c r="AE37" i="15"/>
  <c r="AD37" i="15"/>
  <c r="AC37" i="15"/>
  <c r="Q37" i="15"/>
  <c r="P37" i="15"/>
  <c r="O37" i="15"/>
  <c r="N37" i="15"/>
  <c r="M37" i="15"/>
  <c r="L37" i="15"/>
  <c r="K37" i="15"/>
  <c r="I37" i="15"/>
  <c r="H37" i="15"/>
  <c r="AJ36" i="15"/>
  <c r="AI36" i="15"/>
  <c r="AH36" i="15"/>
  <c r="AG36" i="15"/>
  <c r="AF36" i="15"/>
  <c r="AE36" i="15"/>
  <c r="AD36" i="15"/>
  <c r="AC36" i="15"/>
  <c r="AA36" i="15"/>
  <c r="E19" i="1" s="1"/>
  <c r="F7" i="6"/>
  <c r="Z36" i="15"/>
  <c r="C19" i="1"/>
  <c r="Y36" i="15"/>
  <c r="B19" i="1"/>
  <c r="R36" i="15"/>
  <c r="K19" i="1"/>
  <c r="Q36" i="15"/>
  <c r="P36" i="15"/>
  <c r="H9" i="4"/>
  <c r="P38" i="9"/>
  <c r="H7" i="4"/>
  <c r="P37" i="13"/>
  <c r="H6" i="4"/>
  <c r="P40" i="11"/>
  <c r="H10" i="4"/>
  <c r="P36" i="14"/>
  <c r="H11" i="4"/>
  <c r="P39" i="10"/>
  <c r="H5" i="4"/>
  <c r="P35" i="12"/>
  <c r="H8" i="4"/>
  <c r="T15" i="2"/>
  <c r="M36" i="15"/>
  <c r="L36" i="15"/>
  <c r="K36" i="15"/>
  <c r="J36" i="15"/>
  <c r="B5" i="4" s="1"/>
  <c r="J19" i="1"/>
  <c r="I36" i="15"/>
  <c r="H36" i="15"/>
  <c r="D4" i="4"/>
  <c r="H37" i="13"/>
  <c r="D11" i="4" s="1"/>
  <c r="H40" i="11"/>
  <c r="D9" i="4"/>
  <c r="H36" i="14"/>
  <c r="D12" i="4"/>
  <c r="H39" i="10"/>
  <c r="D7" i="4"/>
  <c r="H38" i="9"/>
  <c r="D3" i="4" s="1"/>
  <c r="H35" i="12"/>
  <c r="D10" i="4"/>
  <c r="G36" i="15"/>
  <c r="G37" i="13"/>
  <c r="I4" i="6" s="1"/>
  <c r="G40" i="11"/>
  <c r="H6" i="1" s="1"/>
  <c r="I6" i="1" s="1"/>
  <c r="G36" i="14"/>
  <c r="G39" i="10"/>
  <c r="I6" i="6" s="1"/>
  <c r="H5" i="1"/>
  <c r="G38" i="9"/>
  <c r="F36" i="15"/>
  <c r="G19" i="1"/>
  <c r="AJ41" i="14"/>
  <c r="AI41" i="14"/>
  <c r="AH41" i="14"/>
  <c r="AG41" i="14"/>
  <c r="AF41" i="14"/>
  <c r="AE41" i="14"/>
  <c r="AD41" i="14"/>
  <c r="AC41" i="14"/>
  <c r="AB41" i="14"/>
  <c r="AA41" i="14"/>
  <c r="Z41" i="14"/>
  <c r="Y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AJ39" i="14"/>
  <c r="AI39" i="14"/>
  <c r="AH39" i="14"/>
  <c r="AG39" i="14"/>
  <c r="AF39" i="14"/>
  <c r="AE39" i="14"/>
  <c r="AD39" i="14"/>
  <c r="AC39" i="14"/>
  <c r="AB39" i="14"/>
  <c r="AA39" i="14"/>
  <c r="Z39" i="14"/>
  <c r="Y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AJ37" i="14"/>
  <c r="AI37" i="14"/>
  <c r="AH37" i="14"/>
  <c r="AG37" i="14"/>
  <c r="AF37" i="14"/>
  <c r="AE37" i="14"/>
  <c r="AD37" i="14"/>
  <c r="AC37" i="14"/>
  <c r="AB37" i="14"/>
  <c r="AA37" i="14"/>
  <c r="Z37" i="14"/>
  <c r="Y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AJ36" i="14"/>
  <c r="AI36" i="14"/>
  <c r="AH36" i="14"/>
  <c r="AG36" i="14"/>
  <c r="AF36" i="14"/>
  <c r="AE36" i="14"/>
  <c r="AD36" i="14"/>
  <c r="AC36" i="14"/>
  <c r="AB36" i="14"/>
  <c r="D10" i="1"/>
  <c r="AA36" i="14"/>
  <c r="F11" i="6"/>
  <c r="Z36" i="14"/>
  <c r="E11" i="6" s="1"/>
  <c r="C10" i="1"/>
  <c r="Y36" i="14"/>
  <c r="B10" i="1"/>
  <c r="R36" i="14"/>
  <c r="K10" i="1"/>
  <c r="Q36" i="14"/>
  <c r="S9" i="2"/>
  <c r="M36" i="14"/>
  <c r="L36" i="14"/>
  <c r="K36" i="14"/>
  <c r="J36" i="14"/>
  <c r="J10" i="1"/>
  <c r="I36" i="14"/>
  <c r="F36" i="14"/>
  <c r="H11" i="6"/>
  <c r="G10" i="1"/>
  <c r="AJ43" i="13"/>
  <c r="AI43" i="13"/>
  <c r="AH43" i="13"/>
  <c r="AG43" i="13"/>
  <c r="AF43" i="13"/>
  <c r="AE43" i="13"/>
  <c r="AD43" i="13"/>
  <c r="AC43" i="13"/>
  <c r="AB43" i="13"/>
  <c r="AA43" i="13"/>
  <c r="Z43" i="13"/>
  <c r="Y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AJ41" i="13"/>
  <c r="AI41" i="13"/>
  <c r="AH41" i="13"/>
  <c r="AG41" i="13"/>
  <c r="AF41" i="13"/>
  <c r="AE41" i="13"/>
  <c r="AD41" i="13"/>
  <c r="AC41" i="13"/>
  <c r="AB41" i="13"/>
  <c r="AA41" i="13"/>
  <c r="Z41" i="13"/>
  <c r="Y41" i="13"/>
  <c r="AJ40" i="13"/>
  <c r="AI40" i="13"/>
  <c r="AH40" i="13"/>
  <c r="AG40" i="13"/>
  <c r="AF40" i="13"/>
  <c r="AE40" i="13"/>
  <c r="AD40" i="13"/>
  <c r="AC40" i="13"/>
  <c r="AB40" i="13"/>
  <c r="AA40" i="13"/>
  <c r="Z40" i="13"/>
  <c r="Y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AJ39" i="13"/>
  <c r="AI39" i="13"/>
  <c r="AH39" i="13"/>
  <c r="AG39" i="13"/>
  <c r="AF39" i="13"/>
  <c r="AE39" i="13"/>
  <c r="AD39" i="13"/>
  <c r="AC39" i="13"/>
  <c r="AB39" i="13"/>
  <c r="AA39" i="13"/>
  <c r="Z39" i="13"/>
  <c r="Y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AJ37" i="13"/>
  <c r="AI37" i="13"/>
  <c r="AH37" i="13"/>
  <c r="AG37" i="13"/>
  <c r="AF37" i="13"/>
  <c r="AE37" i="13"/>
  <c r="AD37" i="13"/>
  <c r="AC37" i="13"/>
  <c r="AB37" i="13"/>
  <c r="G4" i="6" s="1"/>
  <c r="D9" i="1"/>
  <c r="AA37" i="13"/>
  <c r="E9" i="1"/>
  <c r="Z37" i="13"/>
  <c r="Y37" i="13"/>
  <c r="B9" i="1"/>
  <c r="D4" i="6"/>
  <c r="R37" i="13"/>
  <c r="Q37" i="13"/>
  <c r="M37" i="13"/>
  <c r="L37" i="13"/>
  <c r="K37" i="13"/>
  <c r="J37" i="13"/>
  <c r="I37" i="13"/>
  <c r="F37" i="13"/>
  <c r="G9" i="1" s="1"/>
  <c r="I9" i="1" s="1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AJ37" i="12"/>
  <c r="AI37" i="12"/>
  <c r="AH37" i="12"/>
  <c r="AG37" i="12"/>
  <c r="AF37" i="12"/>
  <c r="AE37" i="12"/>
  <c r="AD37" i="12"/>
  <c r="AC37" i="12"/>
  <c r="AB37" i="12"/>
  <c r="AA37" i="12"/>
  <c r="Z37" i="12"/>
  <c r="Y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AJ36" i="12"/>
  <c r="AI36" i="12"/>
  <c r="AH36" i="12"/>
  <c r="AG36" i="12"/>
  <c r="AF36" i="12"/>
  <c r="AE36" i="12"/>
  <c r="AD36" i="12"/>
  <c r="AC36" i="12"/>
  <c r="Q36" i="12"/>
  <c r="P36" i="12"/>
  <c r="O36" i="12"/>
  <c r="N36" i="12"/>
  <c r="M36" i="12"/>
  <c r="L36" i="12"/>
  <c r="K36" i="12"/>
  <c r="I36" i="12"/>
  <c r="H36" i="12"/>
  <c r="AJ35" i="12"/>
  <c r="AI35" i="12"/>
  <c r="AH35" i="12"/>
  <c r="AG35" i="12"/>
  <c r="AF35" i="12"/>
  <c r="AE35" i="12"/>
  <c r="AD35" i="12"/>
  <c r="AC35" i="12"/>
  <c r="AA35" i="12"/>
  <c r="F9" i="6" s="1"/>
  <c r="Q35" i="12"/>
  <c r="S7" i="2"/>
  <c r="M35" i="12"/>
  <c r="L35" i="12"/>
  <c r="K35" i="12"/>
  <c r="B12" i="4"/>
  <c r="I35" i="12"/>
  <c r="Y40" i="11"/>
  <c r="Z40" i="11"/>
  <c r="E10" i="6" s="1"/>
  <c r="L10" i="6" s="1"/>
  <c r="AJ46" i="11"/>
  <c r="AI46" i="11"/>
  <c r="AH46" i="11"/>
  <c r="AG46" i="11"/>
  <c r="AF46" i="11"/>
  <c r="AE46" i="11"/>
  <c r="AD46" i="11"/>
  <c r="AC46" i="11"/>
  <c r="AB46" i="11"/>
  <c r="AA46" i="11"/>
  <c r="Z46" i="11"/>
  <c r="Y46" i="11"/>
  <c r="Q46" i="11"/>
  <c r="P46" i="11"/>
  <c r="I46" i="11"/>
  <c r="H46" i="11"/>
  <c r="AJ44" i="11"/>
  <c r="AI44" i="11"/>
  <c r="AH44" i="11"/>
  <c r="AG44" i="11"/>
  <c r="AF44" i="11"/>
  <c r="AE44" i="11"/>
  <c r="AD44" i="11"/>
  <c r="AC44" i="11"/>
  <c r="AB44" i="11"/>
  <c r="AA44" i="11"/>
  <c r="Z44" i="11"/>
  <c r="Y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AJ42" i="11"/>
  <c r="AI42" i="11"/>
  <c r="AH42" i="11"/>
  <c r="AG42" i="11"/>
  <c r="AF42" i="11"/>
  <c r="AE42" i="11"/>
  <c r="AD42" i="11"/>
  <c r="AC42" i="11"/>
  <c r="AB42" i="11"/>
  <c r="AA42" i="11"/>
  <c r="Z42" i="11"/>
  <c r="Y42" i="11"/>
  <c r="R42" i="11"/>
  <c r="O42" i="11"/>
  <c r="N42" i="11"/>
  <c r="M42" i="11"/>
  <c r="L42" i="11"/>
  <c r="K42" i="11"/>
  <c r="J42" i="11"/>
  <c r="G42" i="11"/>
  <c r="F42" i="11"/>
  <c r="AJ41" i="11"/>
  <c r="AI41" i="11"/>
  <c r="AH41" i="11"/>
  <c r="AG41" i="11"/>
  <c r="AF41" i="11"/>
  <c r="AE41" i="11"/>
  <c r="AD41" i="11"/>
  <c r="AC41" i="11"/>
  <c r="AB41" i="11"/>
  <c r="AA41" i="11"/>
  <c r="Z41" i="11"/>
  <c r="Y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J40" i="11"/>
  <c r="AI40" i="11"/>
  <c r="AH40" i="11"/>
  <c r="AG40" i="11"/>
  <c r="AF40" i="11"/>
  <c r="AE40" i="11"/>
  <c r="AD40" i="11"/>
  <c r="AC40" i="11"/>
  <c r="AB40" i="11"/>
  <c r="G10" i="6" s="1"/>
  <c r="AA40" i="11"/>
  <c r="F10" i="6"/>
  <c r="R40" i="11"/>
  <c r="F12" i="4" s="1"/>
  <c r="Q40" i="11"/>
  <c r="S6" i="2"/>
  <c r="M40" i="11"/>
  <c r="L40" i="11"/>
  <c r="K40" i="11"/>
  <c r="J40" i="11"/>
  <c r="J6" i="1"/>
  <c r="I40" i="11"/>
  <c r="F40" i="11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R43" i="10"/>
  <c r="O43" i="10"/>
  <c r="N43" i="10"/>
  <c r="M43" i="10"/>
  <c r="L43" i="10"/>
  <c r="K43" i="10"/>
  <c r="J43" i="10"/>
  <c r="G43" i="10"/>
  <c r="F43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AJ39" i="10"/>
  <c r="AI39" i="10"/>
  <c r="AH39" i="10"/>
  <c r="AG39" i="10"/>
  <c r="AF39" i="10"/>
  <c r="AE39" i="10"/>
  <c r="AD39" i="10"/>
  <c r="AC39" i="10"/>
  <c r="AB39" i="10"/>
  <c r="G6" i="6" s="1"/>
  <c r="D5" i="1"/>
  <c r="AA39" i="10"/>
  <c r="Z39" i="10"/>
  <c r="C5" i="1"/>
  <c r="Y39" i="10"/>
  <c r="D6" i="6" s="1"/>
  <c r="R39" i="10"/>
  <c r="F6" i="4"/>
  <c r="Q39" i="10"/>
  <c r="M39" i="10"/>
  <c r="L39" i="10"/>
  <c r="K39" i="10"/>
  <c r="J39" i="10"/>
  <c r="I39" i="10"/>
  <c r="K6" i="6"/>
  <c r="F39" i="10"/>
  <c r="G5" i="1" s="1"/>
  <c r="I5" i="1" s="1"/>
  <c r="F38" i="9"/>
  <c r="H3" i="6" s="1"/>
  <c r="G2" i="1"/>
  <c r="I2" i="1" s="1"/>
  <c r="AJ42" i="9"/>
  <c r="AI42" i="9"/>
  <c r="AH42" i="9"/>
  <c r="AG42" i="9"/>
  <c r="AF42" i="9"/>
  <c r="AE42" i="9"/>
  <c r="AD42" i="9"/>
  <c r="AC42" i="9"/>
  <c r="AB42" i="9"/>
  <c r="AA42" i="9"/>
  <c r="Z42" i="9"/>
  <c r="Y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AJ39" i="9"/>
  <c r="AI39" i="9"/>
  <c r="AH39" i="9"/>
  <c r="AG39" i="9"/>
  <c r="AF39" i="9"/>
  <c r="AE39" i="9"/>
  <c r="AD39" i="9"/>
  <c r="AC39" i="9"/>
  <c r="M39" i="9"/>
  <c r="L39" i="9"/>
  <c r="K39" i="9"/>
  <c r="AJ38" i="9"/>
  <c r="AI38" i="9"/>
  <c r="AH38" i="9"/>
  <c r="AG38" i="9"/>
  <c r="AF38" i="9"/>
  <c r="AE38" i="9"/>
  <c r="AC38" i="9"/>
  <c r="AB38" i="9"/>
  <c r="AA38" i="9"/>
  <c r="F3" i="6" s="1"/>
  <c r="Z38" i="9"/>
  <c r="C2" i="1"/>
  <c r="Y38" i="9"/>
  <c r="D3" i="6" s="1"/>
  <c r="R38" i="9"/>
  <c r="F5" i="4" s="1"/>
  <c r="Q38" i="9"/>
  <c r="M38" i="9"/>
  <c r="L38" i="9"/>
  <c r="K38" i="9"/>
  <c r="J38" i="9"/>
  <c r="I38" i="9"/>
  <c r="N16" i="2"/>
  <c r="R10" i="2"/>
  <c r="Q14" i="2"/>
  <c r="R13" i="2"/>
  <c r="Q11" i="2"/>
  <c r="R15" i="2"/>
  <c r="R9" i="2"/>
  <c r="Q6" i="2"/>
  <c r="R5" i="2"/>
  <c r="AT32" i="5"/>
  <c r="AT31" i="5"/>
  <c r="AT30" i="5"/>
  <c r="AT29" i="5"/>
  <c r="AT26" i="5"/>
  <c r="AT28" i="5"/>
  <c r="AT25" i="5"/>
  <c r="AT24" i="5"/>
  <c r="AT23" i="5"/>
  <c r="AT22" i="5"/>
  <c r="AP102" i="5"/>
  <c r="AP98" i="5"/>
  <c r="AP96" i="5"/>
  <c r="AP97" i="5"/>
  <c r="AP93" i="5"/>
  <c r="AP100" i="5"/>
  <c r="AP92" i="5"/>
  <c r="AP94" i="5"/>
  <c r="AP91" i="5"/>
  <c r="AP95" i="5"/>
  <c r="AP99" i="5"/>
  <c r="AP101" i="5"/>
  <c r="T11" i="2"/>
  <c r="S15" i="2"/>
  <c r="D9" i="6"/>
  <c r="AJ44" i="9"/>
  <c r="AI44" i="9"/>
  <c r="AH44" i="9"/>
  <c r="AG44" i="9"/>
  <c r="AF44" i="9"/>
  <c r="AE44" i="9"/>
  <c r="AD44" i="9"/>
  <c r="AC44" i="9"/>
  <c r="AB44" i="9"/>
  <c r="AA44" i="9"/>
  <c r="Z44" i="9"/>
  <c r="Y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L16" i="2"/>
  <c r="K16" i="2"/>
  <c r="J16" i="2"/>
  <c r="I16" i="2"/>
  <c r="I20" i="1"/>
  <c r="F20" i="1"/>
  <c r="I16" i="1"/>
  <c r="F16" i="1"/>
  <c r="I15" i="1"/>
  <c r="F15" i="1"/>
  <c r="I11" i="1"/>
  <c r="F11" i="1"/>
  <c r="I8" i="1"/>
  <c r="F8" i="1"/>
  <c r="I4" i="1"/>
  <c r="F4" i="1"/>
  <c r="I3" i="1"/>
  <c r="F3" i="1"/>
  <c r="F9" i="4"/>
  <c r="G7" i="6"/>
  <c r="I2" i="6"/>
  <c r="I10" i="6"/>
  <c r="I8" i="6"/>
  <c r="I5" i="6"/>
  <c r="I9" i="6"/>
  <c r="G11" i="6"/>
  <c r="G5" i="6"/>
  <c r="M16" i="2"/>
  <c r="I21" i="1"/>
  <c r="F21" i="1"/>
  <c r="F2" i="6"/>
  <c r="E7" i="1"/>
  <c r="E18" i="1"/>
  <c r="E8" i="6"/>
  <c r="T9" i="2"/>
  <c r="E12" i="6"/>
  <c r="F13" i="4"/>
  <c r="H12" i="6"/>
  <c r="E3" i="6"/>
  <c r="E5" i="6"/>
  <c r="D11" i="6"/>
  <c r="D2" i="6"/>
  <c r="T8" i="2"/>
  <c r="K5" i="1"/>
  <c r="S13" i="2"/>
  <c r="F13" i="6"/>
  <c r="L13" i="6" s="1"/>
  <c r="C12" i="1"/>
  <c r="F14" i="4"/>
  <c r="T10" i="2"/>
  <c r="B14" i="4"/>
  <c r="F8" i="4"/>
  <c r="K9" i="6"/>
  <c r="T13" i="2"/>
  <c r="K8" i="6"/>
  <c r="B10" i="4"/>
  <c r="T12" i="2"/>
  <c r="H2" i="6"/>
  <c r="E6" i="6"/>
  <c r="L6" i="6" s="1"/>
  <c r="E10" i="1"/>
  <c r="G13" i="6"/>
  <c r="G12" i="6"/>
  <c r="K12" i="6"/>
  <c r="F4" i="6"/>
  <c r="F10" i="4"/>
  <c r="B17" i="1"/>
  <c r="R14" i="2"/>
  <c r="E6" i="1"/>
  <c r="R6" i="2"/>
  <c r="O16" i="2"/>
  <c r="R16" i="2" s="1"/>
  <c r="Q10" i="2"/>
  <c r="G9" i="6"/>
  <c r="J17" i="1"/>
  <c r="E17" i="1"/>
  <c r="F17" i="1" s="1"/>
  <c r="E7" i="6"/>
  <c r="D7" i="6"/>
  <c r="H7" i="6"/>
  <c r="S4" i="2"/>
  <c r="K3" i="6"/>
  <c r="E4" i="6"/>
  <c r="K10" i="6"/>
  <c r="T5" i="2"/>
  <c r="F11" i="4"/>
  <c r="B11" i="4"/>
  <c r="E13" i="1"/>
  <c r="J2" i="6"/>
  <c r="K7" i="6"/>
  <c r="J11" i="6"/>
  <c r="F10" i="1"/>
  <c r="B6" i="4"/>
  <c r="G8" i="6"/>
  <c r="D17" i="1"/>
  <c r="G6" i="1"/>
  <c r="H10" i="6"/>
  <c r="J10" i="6"/>
  <c r="G3" i="6"/>
  <c r="E5" i="1"/>
  <c r="F6" i="6"/>
  <c r="K4" i="6"/>
  <c r="L4" i="6"/>
  <c r="B9" i="4"/>
  <c r="J13" i="1"/>
  <c r="AA59" i="18"/>
  <c r="F6" i="2"/>
  <c r="C6" i="1"/>
  <c r="H10" i="1"/>
  <c r="I10" i="1"/>
  <c r="I11" i="6"/>
  <c r="K11" i="6"/>
  <c r="H6" i="6"/>
  <c r="J6" i="6"/>
  <c r="B2" i="1"/>
  <c r="K9" i="1"/>
  <c r="F7" i="4"/>
  <c r="H2" i="1"/>
  <c r="I3" i="6"/>
  <c r="J3" i="6" s="1"/>
  <c r="H9" i="1"/>
  <c r="H13" i="1"/>
  <c r="I13" i="1"/>
  <c r="I12" i="6"/>
  <c r="J12" i="6"/>
  <c r="D12" i="6"/>
  <c r="B13" i="1"/>
  <c r="G18" i="1"/>
  <c r="H5" i="6"/>
  <c r="J5" i="6" s="1"/>
  <c r="F12" i="1"/>
  <c r="K2" i="1"/>
  <c r="E63" i="18"/>
  <c r="I63" i="18" s="1"/>
  <c r="J14" i="1"/>
  <c r="F14" i="6"/>
  <c r="F4" i="2" l="1"/>
  <c r="S16" i="2"/>
  <c r="F13" i="1"/>
  <c r="B18" i="1"/>
  <c r="F18" i="1" s="1"/>
  <c r="D5" i="6"/>
  <c r="D14" i="6" s="1"/>
  <c r="B3" i="4"/>
  <c r="E2" i="1"/>
  <c r="B7" i="4"/>
  <c r="J5" i="1"/>
  <c r="J22" i="1" s="1"/>
  <c r="B6" i="1"/>
  <c r="F6" i="1" s="1"/>
  <c r="D10" i="6"/>
  <c r="T7" i="2"/>
  <c r="E2" i="6"/>
  <c r="C14" i="1"/>
  <c r="F14" i="1" s="1"/>
  <c r="K18" i="1"/>
  <c r="G12" i="1"/>
  <c r="I12" i="1" s="1"/>
  <c r="H13" i="6"/>
  <c r="J13" i="6" s="1"/>
  <c r="F21" i="22"/>
  <c r="B21" i="22"/>
  <c r="F11" i="2"/>
  <c r="F4" i="4"/>
  <c r="F15" i="4" s="1"/>
  <c r="E9" i="6"/>
  <c r="L9" i="6" s="1"/>
  <c r="B5" i="1"/>
  <c r="F5" i="1" s="1"/>
  <c r="H4" i="6"/>
  <c r="L5" i="6"/>
  <c r="L12" i="6"/>
  <c r="Q16" i="2"/>
  <c r="F19" i="1"/>
  <c r="L8" i="6"/>
  <c r="L21" i="22"/>
  <c r="O63" i="18"/>
  <c r="Q8" i="2"/>
  <c r="R8" i="2"/>
  <c r="D12" i="2"/>
  <c r="F13" i="2"/>
  <c r="D5" i="4"/>
  <c r="D15" i="4" s="1"/>
  <c r="K2" i="6"/>
  <c r="K14" i="6" s="1"/>
  <c r="G2" i="6"/>
  <c r="G14" i="6" s="1"/>
  <c r="D14" i="1"/>
  <c r="K22" i="1"/>
  <c r="G17" i="1"/>
  <c r="I17" i="1" s="1"/>
  <c r="L7" i="6"/>
  <c r="K6" i="1"/>
  <c r="L3" i="6"/>
  <c r="T4" i="2"/>
  <c r="T16" i="2" s="1"/>
  <c r="D6" i="1"/>
  <c r="D22" i="1" s="1"/>
  <c r="J9" i="1"/>
  <c r="S8" i="2"/>
  <c r="L11" i="6"/>
  <c r="I19" i="1"/>
  <c r="H19" i="1"/>
  <c r="H22" i="1" s="1"/>
  <c r="I7" i="6"/>
  <c r="X63" i="18"/>
  <c r="AA63" i="18" s="1"/>
  <c r="B15" i="2"/>
  <c r="D8" i="2"/>
  <c r="F8" i="2" s="1"/>
  <c r="B12" i="2"/>
  <c r="S12" i="2"/>
  <c r="G7" i="1"/>
  <c r="I7" i="1" l="1"/>
  <c r="G22" i="1"/>
  <c r="L2" i="6"/>
  <c r="L14" i="6" s="1"/>
  <c r="E14" i="6"/>
  <c r="C22" i="1"/>
  <c r="F12" i="2"/>
  <c r="J7" i="6"/>
  <c r="I14" i="6"/>
  <c r="J4" i="6"/>
  <c r="H14" i="6"/>
  <c r="B15" i="4"/>
  <c r="E22" i="1"/>
  <c r="F2" i="1"/>
  <c r="B22" i="1"/>
  <c r="D15" i="2"/>
  <c r="J14" i="6" l="1"/>
</calcChain>
</file>

<file path=xl/sharedStrings.xml><?xml version="1.0" encoding="utf-8"?>
<sst xmlns="http://schemas.openxmlformats.org/spreadsheetml/2006/main" count="8482" uniqueCount="1079">
  <si>
    <t>Mat</t>
  </si>
  <si>
    <t>Won</t>
  </si>
  <si>
    <t>Lost</t>
  </si>
  <si>
    <t>Draw</t>
  </si>
  <si>
    <t>%</t>
  </si>
  <si>
    <t>Diff</t>
  </si>
  <si>
    <t>Bedford Blues</t>
  </si>
  <si>
    <t>Bristol Rugby</t>
  </si>
  <si>
    <t>Exeter Chiefs</t>
  </si>
  <si>
    <t>Gloucester Rugby</t>
  </si>
  <si>
    <t>Harlequins</t>
  </si>
  <si>
    <t>Leeds Carnegie</t>
  </si>
  <si>
    <t>Leicester Tigers</t>
  </si>
  <si>
    <t>London Irish</t>
  </si>
  <si>
    <t>London Scottish</t>
  </si>
  <si>
    <t>London Welsh</t>
  </si>
  <si>
    <t>Newcastle Falcons</t>
  </si>
  <si>
    <t>Northampton Saints</t>
  </si>
  <si>
    <t>Richmond</t>
  </si>
  <si>
    <t>Rotherham Titans</t>
  </si>
  <si>
    <t>Sale Sharks</t>
  </si>
  <si>
    <t>Saracens</t>
  </si>
  <si>
    <t>West Hartlepool</t>
  </si>
  <si>
    <t>Worcester Warriors</t>
  </si>
  <si>
    <t>Bath</t>
  </si>
  <si>
    <t>Worcester</t>
  </si>
  <si>
    <t>Gloucester</t>
  </si>
  <si>
    <t>Northampton</t>
  </si>
  <si>
    <t>Leicester</t>
  </si>
  <si>
    <t>Sale</t>
  </si>
  <si>
    <t>Exeter</t>
  </si>
  <si>
    <t>Pos</t>
  </si>
  <si>
    <t>Chg</t>
  </si>
  <si>
    <t>PL</t>
  </si>
  <si>
    <t>W</t>
  </si>
  <si>
    <t>D</t>
  </si>
  <si>
    <t>L</t>
  </si>
  <si>
    <t>F</t>
  </si>
  <si>
    <t>A</t>
  </si>
  <si>
    <t>DIFF</t>
  </si>
  <si>
    <t>BP</t>
  </si>
  <si>
    <t>PTS</t>
  </si>
  <si>
    <t>→</t>
  </si>
  <si>
    <t>Scores</t>
  </si>
  <si>
    <t>Cards</t>
  </si>
  <si>
    <t>Att</t>
  </si>
  <si>
    <t>HT</t>
  </si>
  <si>
    <t>Referee</t>
  </si>
  <si>
    <t>TMO</t>
  </si>
  <si>
    <t>T</t>
  </si>
  <si>
    <t>C</t>
  </si>
  <si>
    <t>P</t>
  </si>
  <si>
    <t>Y</t>
  </si>
  <si>
    <t>R</t>
  </si>
  <si>
    <t>AP</t>
  </si>
  <si>
    <r>
      <t>ROUND</t>
    </r>
    <r>
      <rPr>
        <b/>
        <sz val="11"/>
        <color theme="1"/>
        <rFont val="Calibri"/>
        <family val="2"/>
      </rPr>
      <t>→</t>
    </r>
  </si>
  <si>
    <t>Pts</t>
  </si>
  <si>
    <t>Res</t>
  </si>
  <si>
    <t>wb</t>
  </si>
  <si>
    <t>w</t>
  </si>
  <si>
    <t>lb</t>
  </si>
  <si>
    <t>l</t>
  </si>
  <si>
    <t>db</t>
  </si>
  <si>
    <t>lbb</t>
  </si>
  <si>
    <t>d</t>
  </si>
  <si>
    <t>TOTALS</t>
  </si>
  <si>
    <t>Newcastle</t>
  </si>
  <si>
    <t>Opponents</t>
  </si>
  <si>
    <t>Cmp</t>
  </si>
  <si>
    <t>Date</t>
  </si>
  <si>
    <t>OVERALL TOTALS</t>
  </si>
  <si>
    <t>OVERALL</t>
  </si>
  <si>
    <t xml:space="preserve">HOME </t>
  </si>
  <si>
    <t>AWAY</t>
  </si>
  <si>
    <t>TB</t>
  </si>
  <si>
    <t>LB</t>
  </si>
  <si>
    <t>Bonus</t>
  </si>
  <si>
    <t>Result</t>
  </si>
  <si>
    <t>Gd</t>
  </si>
  <si>
    <t>Conceded</t>
  </si>
  <si>
    <t>Sp 13</t>
  </si>
  <si>
    <t>Tries Scored</t>
  </si>
  <si>
    <t>Try Bonus Points</t>
  </si>
  <si>
    <t>Tries Conceded</t>
  </si>
  <si>
    <t>Try Bonus Conceded</t>
  </si>
  <si>
    <t>na</t>
  </si>
  <si>
    <t xml:space="preserve">RD-BY RD </t>
  </si>
  <si>
    <t>Home games in green</t>
  </si>
  <si>
    <t>2013/14</t>
  </si>
  <si>
    <t>Sp 6</t>
  </si>
  <si>
    <t>H</t>
  </si>
  <si>
    <t>L Irish</t>
  </si>
  <si>
    <t>Oc 4</t>
  </si>
  <si>
    <t>Oc 25</t>
  </si>
  <si>
    <t>Nv 1</t>
  </si>
  <si>
    <t>Nv 8</t>
  </si>
  <si>
    <t>LV</t>
  </si>
  <si>
    <t>Fb 28</t>
  </si>
  <si>
    <t>Dc 27</t>
  </si>
  <si>
    <t>Ja 3</t>
  </si>
  <si>
    <t>Ja 10</t>
  </si>
  <si>
    <t>Ja 17</t>
  </si>
  <si>
    <t>Ja 24</t>
  </si>
  <si>
    <t>Ja 31</t>
  </si>
  <si>
    <t>Dc 20</t>
  </si>
  <si>
    <t>Oc 11</t>
  </si>
  <si>
    <t>Fb 14</t>
  </si>
  <si>
    <t>Oc 18</t>
  </si>
  <si>
    <t>Sp 20</t>
  </si>
  <si>
    <t>Nv 15</t>
  </si>
  <si>
    <t>Ap 11</t>
  </si>
  <si>
    <t>Fb 7</t>
  </si>
  <si>
    <t>Nv 22</t>
  </si>
  <si>
    <t>Versus</t>
  </si>
  <si>
    <t>Sp 27</t>
  </si>
  <si>
    <t>ARs</t>
  </si>
  <si>
    <t>Tries For</t>
  </si>
  <si>
    <t>Tries Ag</t>
  </si>
  <si>
    <t>Pts For</t>
  </si>
  <si>
    <t>Pts Aga</t>
  </si>
  <si>
    <t>Clubs ordered on unofficial “points” ratio of “2” for a Red, “1” for a Yellow</t>
  </si>
  <si>
    <t xml:space="preserve"> </t>
  </si>
  <si>
    <t>Dc 13</t>
  </si>
  <si>
    <t>LVF</t>
  </si>
  <si>
    <t>APF</t>
  </si>
  <si>
    <t>Totals</t>
  </si>
  <si>
    <t>APS</t>
  </si>
  <si>
    <t>LVS</t>
  </si>
  <si>
    <t>14 men</t>
  </si>
  <si>
    <t>13 men</t>
  </si>
  <si>
    <t>Minutes S/handed</t>
  </si>
  <si>
    <t>Ave per 10 mins</t>
  </si>
  <si>
    <t>Yellows</t>
  </si>
  <si>
    <t>Reds</t>
  </si>
  <si>
    <t>Points Scored</t>
  </si>
  <si>
    <t>Total</t>
  </si>
  <si>
    <t>2013 CALENDAR YEAR</t>
  </si>
  <si>
    <t>SEASON 2013-14</t>
  </si>
  <si>
    <t>Opponent</t>
  </si>
  <si>
    <t>Also S/H</t>
  </si>
  <si>
    <t>2014 CALENDAR YEAR</t>
  </si>
  <si>
    <t>SEASON 2014-15</t>
  </si>
  <si>
    <t>SEASON 2013/14</t>
  </si>
  <si>
    <t>My 23</t>
  </si>
  <si>
    <t>Ap 4</t>
  </si>
  <si>
    <t>Ap 25</t>
  </si>
  <si>
    <t>12 men</t>
  </si>
  <si>
    <t>11 men</t>
  </si>
  <si>
    <t>My 16</t>
  </si>
  <si>
    <t>PREM TOTALS (REG)</t>
  </si>
  <si>
    <t>NORTHAMPTON SAINTS 2014/15</t>
  </si>
  <si>
    <t>AR1</t>
  </si>
  <si>
    <t>AR2</t>
  </si>
  <si>
    <t>BATH RUGBY 2014/15</t>
  </si>
  <si>
    <t>Nv 29</t>
  </si>
  <si>
    <t>Dc 6</t>
  </si>
  <si>
    <t>Fb 21</t>
  </si>
  <si>
    <t>Mr 7</t>
  </si>
  <si>
    <t>Mr 14</t>
  </si>
  <si>
    <t>Mr 28</t>
  </si>
  <si>
    <t>CMQ</t>
  </si>
  <si>
    <t>CM</t>
  </si>
  <si>
    <t>Ap 18</t>
  </si>
  <si>
    <t>CMS</t>
  </si>
  <si>
    <t>My 9</t>
  </si>
  <si>
    <t>My 30</t>
  </si>
  <si>
    <t>OTHERS</t>
  </si>
  <si>
    <t>LV= CUP (K'OUT)</t>
  </si>
  <si>
    <t>LV= CUP (POOL)</t>
  </si>
  <si>
    <t>CL</t>
  </si>
  <si>
    <t>CLQ</t>
  </si>
  <si>
    <t>CLS</t>
  </si>
  <si>
    <t>CLF</t>
  </si>
  <si>
    <t>PREMIERSHIP (REG)</t>
  </si>
  <si>
    <t>PREMIERSHIP (P-OFFS)</t>
  </si>
  <si>
    <t>EUR CHALL CUP (POOL)</t>
  </si>
  <si>
    <t>EUR CHALL CUP (K'OUT)</t>
  </si>
  <si>
    <t>EXETER CHIEFS 2014/15</t>
  </si>
  <si>
    <t>E CHAMPS CUP (POOL)</t>
  </si>
  <si>
    <t>E CHAMPS CUP (K'OUT)</t>
  </si>
  <si>
    <t>GLOUCESTER RUGBY 2014/15</t>
  </si>
  <si>
    <t>HARLEQUINS IN 2014/15</t>
  </si>
  <si>
    <t>LEICESTER TIGERS 2014/15</t>
  </si>
  <si>
    <t>NEWCASTLE FALCONS 2014/15</t>
  </si>
  <si>
    <t>SALE SHARKS 2014/15</t>
  </si>
  <si>
    <t>SARACENS 2014/15</t>
  </si>
  <si>
    <t>After Round 1: Sep 7 2014 Evening - Sep 12 2014 Afternoon</t>
  </si>
  <si>
    <t>LONDON WELSH 2014/15</t>
  </si>
  <si>
    <t>WASPS 2014/15</t>
  </si>
  <si>
    <t>Wasps</t>
  </si>
  <si>
    <t>L Welsh</t>
  </si>
  <si>
    <t>Sp 7</t>
  </si>
  <si>
    <t>Sp 19</t>
  </si>
  <si>
    <t>Sp 28</t>
  </si>
  <si>
    <t>Oc 3</t>
  </si>
  <si>
    <t>Oc 12</t>
  </si>
  <si>
    <t>Fb 15</t>
  </si>
  <si>
    <t>Mr 29</t>
  </si>
  <si>
    <t>Ap 12</t>
  </si>
  <si>
    <t>Oc 5</t>
  </si>
  <si>
    <t>Ja 11</t>
  </si>
  <si>
    <t>Sp 5</t>
  </si>
  <si>
    <t>Sp 26</t>
  </si>
  <si>
    <t>Nv 21</t>
  </si>
  <si>
    <t>Mr 1</t>
  </si>
  <si>
    <t>Sp 12</t>
  </si>
  <si>
    <t>Oc 10</t>
  </si>
  <si>
    <t>Nv 23</t>
  </si>
  <si>
    <t>Mr 8</t>
  </si>
  <si>
    <t>My 10</t>
  </si>
  <si>
    <t>Sp 14</t>
  </si>
  <si>
    <t>Dc 21</t>
  </si>
  <si>
    <t>Dc 26</t>
  </si>
  <si>
    <t>LONDON IRISH 2014/15</t>
  </si>
  <si>
    <t>Nv 16</t>
  </si>
  <si>
    <t>Nv 30</t>
  </si>
  <si>
    <t>Ja 4</t>
  </si>
  <si>
    <t>Sp 21</t>
  </si>
  <si>
    <t>Fb 20</t>
  </si>
  <si>
    <t>Glasgow</t>
  </si>
  <si>
    <t>Toulouse</t>
  </si>
  <si>
    <t>Montpellier</t>
  </si>
  <si>
    <t>Castres</t>
  </si>
  <si>
    <t>Munster</t>
  </si>
  <si>
    <t>Clermont</t>
  </si>
  <si>
    <t>Ulster</t>
  </si>
  <si>
    <t>Oc 19</t>
  </si>
  <si>
    <t>Leinster</t>
  </si>
  <si>
    <t>Oc 24</t>
  </si>
  <si>
    <t>Ospreys</t>
  </si>
  <si>
    <t>Scarlets</t>
  </si>
  <si>
    <t>Oc 26</t>
  </si>
  <si>
    <t>Toulon</t>
  </si>
  <si>
    <t>Treviso</t>
  </si>
  <si>
    <t>Oc 16</t>
  </si>
  <si>
    <t>Brive</t>
  </si>
  <si>
    <t>Oc 17</t>
  </si>
  <si>
    <t>Lyon</t>
  </si>
  <si>
    <t>Bayonne</t>
  </si>
  <si>
    <t>Bordeaux B</t>
  </si>
  <si>
    <t>Oc 23</t>
  </si>
  <si>
    <t>Grenoble</t>
  </si>
  <si>
    <t>NG Dragons</t>
  </si>
  <si>
    <t>Connacht</t>
  </si>
  <si>
    <t>Oyonnax</t>
  </si>
  <si>
    <t>Cardiff Blues</t>
  </si>
  <si>
    <t>La Rochelle</t>
  </si>
  <si>
    <t>Edinburgh</t>
  </si>
  <si>
    <t>Zebre</t>
  </si>
  <si>
    <t>Fb 1</t>
  </si>
  <si>
    <t>Blue Bulls</t>
  </si>
  <si>
    <t>Nv 9</t>
  </si>
  <si>
    <t>W Province</t>
  </si>
  <si>
    <t>© Hillsport Media Ltd</t>
  </si>
  <si>
    <t>2014/15</t>
  </si>
  <si>
    <t>BT Sport</t>
  </si>
  <si>
    <t>Bath Rugby</t>
  </si>
  <si>
    <t>Welford Road</t>
  </si>
  <si>
    <t>Round 1</t>
  </si>
  <si>
    <t>Round 2</t>
  </si>
  <si>
    <t>Kingsholm</t>
  </si>
  <si>
    <t>Sandy Park</t>
  </si>
  <si>
    <t>Adams Park</t>
  </si>
  <si>
    <t>Kingston Park</t>
  </si>
  <si>
    <t>Round 3</t>
  </si>
  <si>
    <t>Round 4</t>
  </si>
  <si>
    <t>Allianz Park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</si>
  <si>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</si>
  <si>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</si>
  <si>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</si>
  <si>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</si>
  <si>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</si>
  <si>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</si>
  <si>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</si>
  <si>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</si>
  <si>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</si>
  <si>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</si>
  <si>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</si>
  <si>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</si>
  <si>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</si>
  <si>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</si>
  <si>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</si>
  <si>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</si>
  <si>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stadiummk</t>
  </si>
  <si>
    <t>Round 21</t>
  </si>
  <si>
    <t>Round 22</t>
  </si>
  <si>
    <t xml:space="preserve"> 5th Sep 14</t>
  </si>
  <si>
    <t xml:space="preserve"> 12th Sep 14</t>
  </si>
  <si>
    <t xml:space="preserve"> 19th Sep 14</t>
  </si>
  <si>
    <t xml:space="preserve"> 26th Sep 14</t>
  </si>
  <si>
    <t xml:space="preserve"> 3rd Oct 14</t>
  </si>
  <si>
    <t xml:space="preserve"> 10th Oct 14</t>
  </si>
  <si>
    <t xml:space="preserve"> 21st Nov 14</t>
  </si>
  <si>
    <t xml:space="preserve"> 26th Dec 14</t>
  </si>
  <si>
    <t xml:space="preserve"> 20th Feb 15</t>
  </si>
  <si>
    <t xml:space="preserve"> 6th Sep 14</t>
  </si>
  <si>
    <t xml:space="preserve"> 13th Sep 14</t>
  </si>
  <si>
    <t xml:space="preserve"> 20th Sep 14</t>
  </si>
  <si>
    <t xml:space="preserve"> 27th Sep 14</t>
  </si>
  <si>
    <t xml:space="preserve"> 4th Oct 14</t>
  </si>
  <si>
    <t xml:space="preserve"> 11th Oct 14</t>
  </si>
  <si>
    <t xml:space="preserve"> 15th Nov 14</t>
  </si>
  <si>
    <t xml:space="preserve"> 22nd Nov 14</t>
  </si>
  <si>
    <t xml:space="preserve"> 29th Nov 14</t>
  </si>
  <si>
    <t xml:space="preserve"> 20th Dec 14</t>
  </si>
  <si>
    <t xml:space="preserve"> 27th Dec 14</t>
  </si>
  <si>
    <t xml:space="preserve"> 3rd Jan 15</t>
  </si>
  <si>
    <t xml:space="preserve"> 10th Jan 15</t>
  </si>
  <si>
    <t xml:space="preserve"> 14th Feb 15</t>
  </si>
  <si>
    <t xml:space="preserve"> 21st Feb 15</t>
  </si>
  <si>
    <t xml:space="preserve"> 28th Feb 15</t>
  </si>
  <si>
    <t xml:space="preserve"> 7th Mar 15</t>
  </si>
  <si>
    <t xml:space="preserve"> 28th Mar 15</t>
  </si>
  <si>
    <t xml:space="preserve"> 11th Apr 15</t>
  </si>
  <si>
    <t xml:space="preserve"> 25th Apr 15</t>
  </si>
  <si>
    <t xml:space="preserve"> 9th May 15</t>
  </si>
  <si>
    <t xml:space="preserve"> 7th Sep 14</t>
  </si>
  <si>
    <t xml:space="preserve"> 14th Sep 14</t>
  </si>
  <si>
    <t xml:space="preserve"> 21st Sep 14</t>
  </si>
  <si>
    <t xml:space="preserve"> 28th Sep 14</t>
  </si>
  <si>
    <t xml:space="preserve"> 5th Oct 14</t>
  </si>
  <si>
    <t xml:space="preserve"> 12th Oct 14</t>
  </si>
  <si>
    <t xml:space="preserve"> 16th Nov 14</t>
  </si>
  <si>
    <t xml:space="preserve"> 23rd Nov 14</t>
  </si>
  <si>
    <t xml:space="preserve"> 30th Nov 14</t>
  </si>
  <si>
    <t xml:space="preserve"> 21st Dec 14</t>
  </si>
  <si>
    <t xml:space="preserve"> 4th Jan 15</t>
  </si>
  <si>
    <t xml:space="preserve"> 11th Jan 15</t>
  </si>
  <si>
    <t xml:space="preserve"> 15th Feb 15</t>
  </si>
  <si>
    <t xml:space="preserve"> 1st Mar 15</t>
  </si>
  <si>
    <t xml:space="preserve"> 8th Mar 15</t>
  </si>
  <si>
    <t xml:space="preserve"> 29th Mar 15</t>
  </si>
  <si>
    <t xml:space="preserve"> 12th Apr 15</t>
  </si>
  <si>
    <t xml:space="preserve"> 10th May 15</t>
  </si>
  <si>
    <t>Semi Finals</t>
  </si>
  <si>
    <t>Final</t>
  </si>
  <si>
    <t>Dgs</t>
  </si>
  <si>
    <t>24-6</t>
  </si>
  <si>
    <t>Wayne Barnes</t>
  </si>
  <si>
    <t>Sean Davey</t>
  </si>
  <si>
    <t>Paul Dix</t>
  </si>
  <si>
    <t>Stuart Terheege</t>
  </si>
  <si>
    <t>6-24</t>
  </si>
  <si>
    <t>53-6</t>
  </si>
  <si>
    <t>13-16</t>
  </si>
  <si>
    <t>JP Doyle</t>
  </si>
  <si>
    <t>Trevor Fisher</t>
  </si>
  <si>
    <t>Paul Burton</t>
  </si>
  <si>
    <t>Robin Goodliffe</t>
  </si>
  <si>
    <t>20-29</t>
  </si>
  <si>
    <t>H*</t>
  </si>
  <si>
    <t>H~</t>
  </si>
  <si>
    <t>20-9</t>
  </si>
  <si>
    <t>Andrew Small</t>
  </si>
  <si>
    <t>David Sainsbury</t>
  </si>
  <si>
    <t>Gareth Copsey</t>
  </si>
  <si>
    <t>Peter Huckle</t>
  </si>
  <si>
    <t>9-20</t>
  </si>
  <si>
    <t>34-28</t>
  </si>
  <si>
    <t>12-3</t>
  </si>
  <si>
    <t>Luke Pearce</t>
  </si>
  <si>
    <t>David Grashoff</t>
  </si>
  <si>
    <t>Andy Watson</t>
  </si>
  <si>
    <t>Nigel Carrick</t>
  </si>
  <si>
    <t>3-12</t>
  </si>
  <si>
    <t>36-17</t>
  </si>
  <si>
    <t>6-20</t>
  </si>
  <si>
    <t>Greg Garner</t>
  </si>
  <si>
    <t>Keith Lewis</t>
  </si>
  <si>
    <t>Ashley Rowden</t>
  </si>
  <si>
    <t>Andrew Pearce</t>
  </si>
  <si>
    <t>20-6</t>
  </si>
  <si>
    <t>15-20</t>
  </si>
  <si>
    <t>0-17</t>
  </si>
  <si>
    <t>Dean Richards</t>
  </si>
  <si>
    <t>Graham Hughes</t>
  </si>
  <si>
    <t>Roger Baileff</t>
  </si>
  <si>
    <t>Roy Maybank</t>
  </si>
  <si>
    <t>17-0</t>
  </si>
  <si>
    <t>0-52</t>
  </si>
  <si>
    <t>A*</t>
  </si>
  <si>
    <t>L  Irish</t>
  </si>
  <si>
    <t>0-16</t>
  </si>
  <si>
    <t>16-0</t>
  </si>
  <si>
    <t>0-39</t>
  </si>
  <si>
    <t>27-14</t>
  </si>
  <si>
    <t>Matt Carley</t>
  </si>
  <si>
    <t>Ross Campbell</t>
  </si>
  <si>
    <t>53-26</t>
  </si>
  <si>
    <t>6-17</t>
  </si>
  <si>
    <t>Kelvin Stewart</t>
  </si>
  <si>
    <t>17-6</t>
  </si>
  <si>
    <t>17-13</t>
  </si>
  <si>
    <t>Rowan Kitt</t>
  </si>
  <si>
    <t>13-17</t>
  </si>
  <si>
    <t>34-27</t>
  </si>
  <si>
    <t>20-24</t>
  </si>
  <si>
    <t>lbtb</t>
  </si>
  <si>
    <t>3-3</t>
  </si>
  <si>
    <t>Geoff Warren</t>
  </si>
  <si>
    <t>20-16</t>
  </si>
  <si>
    <t>5-6</t>
  </si>
  <si>
    <t>6-5</t>
  </si>
  <si>
    <t>18-20</t>
  </si>
  <si>
    <t>↑3</t>
  </si>
  <si>
    <t>↓3</t>
  </si>
  <si>
    <t>↑2</t>
  </si>
  <si>
    <t>↓2</t>
  </si>
  <si>
    <t>↓1</t>
  </si>
  <si>
    <t>After Round 2: Sep 14 2014 Evening - Sep 19 2014 Afternoon</t>
  </si>
  <si>
    <t>tb (l)</t>
  </si>
  <si>
    <t>Twickenham</t>
  </si>
  <si>
    <t>The Rec</t>
  </si>
  <si>
    <t>Stoop</t>
  </si>
  <si>
    <t>AJ Bell</t>
  </si>
  <si>
    <t>Madejski</t>
  </si>
  <si>
    <t>Kassam</t>
  </si>
  <si>
    <t>Franklin's Gdns</t>
  </si>
  <si>
    <t>12-22</t>
  </si>
  <si>
    <t>Matthew Carley</t>
  </si>
  <si>
    <t>22-12</t>
  </si>
  <si>
    <t>22-25</t>
  </si>
  <si>
    <t>15-3</t>
  </si>
  <si>
    <t>3-15</t>
  </si>
  <si>
    <t>14-27</t>
  </si>
  <si>
    <t>46-8</t>
  </si>
  <si>
    <t>9-13</t>
  </si>
  <si>
    <t>13-9</t>
  </si>
  <si>
    <t>26-23</t>
  </si>
  <si>
    <t>19-23</t>
  </si>
  <si>
    <t>23-19</t>
  </si>
  <si>
    <t>32-36</t>
  </si>
  <si>
    <t>0-23</t>
  </si>
  <si>
    <t>23-0</t>
  </si>
  <si>
    <t>45-0</t>
  </si>
  <si>
    <t>3-28</t>
  </si>
  <si>
    <t>28-3</t>
  </si>
  <si>
    <t>01/10/1935  10-35</t>
  </si>
  <si>
    <t>↑1</t>
  </si>
  <si>
    <t>After Round 3: Sep 21 2014 Evening - Sep 26 2014 Afternoon</t>
  </si>
  <si>
    <t>Rovigo</t>
  </si>
  <si>
    <t>Bucharest W</t>
  </si>
  <si>
    <t>10-12</t>
  </si>
  <si>
    <t>12-10</t>
  </si>
  <si>
    <t>6-13</t>
  </si>
  <si>
    <t>Simon McConnell</t>
  </si>
  <si>
    <t>13-6</t>
  </si>
  <si>
    <t>30-7</t>
  </si>
  <si>
    <t>19-22</t>
  </si>
  <si>
    <t>40-19</t>
  </si>
  <si>
    <t>10-46</t>
  </si>
  <si>
    <t>17-10</t>
  </si>
  <si>
    <t>Tim Wigglesworth</t>
  </si>
  <si>
    <t>10-17</t>
  </si>
  <si>
    <t>31-24</t>
  </si>
  <si>
    <t>19-6</t>
  </si>
  <si>
    <t>6-19</t>
  </si>
  <si>
    <t>36-13</t>
  </si>
  <si>
    <t>17-11</t>
  </si>
  <si>
    <t>11-17</t>
  </si>
  <si>
    <t>35-18</t>
  </si>
  <si>
    <t>↑4</t>
  </si>
  <si>
    <t>After Round 4: Sep 28 2014 Evening - Oct 3 2014 Afternoon</t>
  </si>
  <si>
    <t>Geoff  Warren</t>
  </si>
  <si>
    <t>21-11</t>
  </si>
  <si>
    <t>52-0</t>
  </si>
  <si>
    <t>0-10</t>
  </si>
  <si>
    <t>12-19</t>
  </si>
  <si>
    <t>30-9</t>
  </si>
  <si>
    <t>9-30</t>
  </si>
  <si>
    <t>33-16</t>
  </si>
  <si>
    <t>14-15</t>
  </si>
  <si>
    <t>15-14</t>
  </si>
  <si>
    <t>29-24</t>
  </si>
  <si>
    <t>12-7</t>
  </si>
  <si>
    <t>7-12</t>
  </si>
  <si>
    <t>25-14</t>
  </si>
  <si>
    <t>↓4</t>
  </si>
  <si>
    <t>After Round 5: Oct 5 2014 Evening - Oct 10 2014 Afternoon</t>
  </si>
  <si>
    <t>16-6</t>
  </si>
  <si>
    <t>22-16</t>
  </si>
  <si>
    <t>3-16</t>
  </si>
  <si>
    <t>16-3</t>
  </si>
  <si>
    <t>3-23</t>
  </si>
  <si>
    <t>30-3</t>
  </si>
  <si>
    <t>Ian Tempest</t>
  </si>
  <si>
    <t>3-30</t>
  </si>
  <si>
    <t>44-24</t>
  </si>
  <si>
    <t>15-13</t>
  </si>
  <si>
    <t>28-21</t>
  </si>
  <si>
    <t>22-3</t>
  </si>
  <si>
    <t>3-22</t>
  </si>
  <si>
    <t>43-10</t>
  </si>
  <si>
    <t>12-0</t>
  </si>
  <si>
    <t>0-12</t>
  </si>
  <si>
    <t>29-22</t>
  </si>
  <si>
    <t>After Round 6: Oct 12 2014 Evening - Nov 14 2014 Afternoon</t>
  </si>
  <si>
    <t>Played</t>
  </si>
  <si>
    <t>Drawn</t>
  </si>
  <si>
    <t>Pts Scored</t>
  </si>
  <si>
    <t>Pts Conceded</t>
  </si>
  <si>
    <t>EUROPE</t>
  </si>
  <si>
    <t>CHAMPIONS CUP</t>
  </si>
  <si>
    <t>CHALLENGE CUP</t>
  </si>
  <si>
    <t>TOTAL</t>
  </si>
  <si>
    <t>TIER 1 (H &amp; C CUPS)</t>
  </si>
  <si>
    <t>15-21</t>
  </si>
  <si>
    <t>Claudio Blessano (Ita)</t>
  </si>
  <si>
    <t>Giuseppe Vivarini (Ita)</t>
  </si>
  <si>
    <t>Andrea Spadoni (Ita)</t>
  </si>
  <si>
    <t>n/a</t>
  </si>
  <si>
    <t>10-23</t>
  </si>
  <si>
    <t>Jerome Garces (Fra)</t>
  </si>
  <si>
    <t>Jean-Marie Piraveau (Fra)</t>
  </si>
  <si>
    <t>Maxime Chalon (Fra)</t>
  </si>
  <si>
    <t>Thomas Charabas (Fra)</t>
  </si>
  <si>
    <t>10-10</t>
  </si>
  <si>
    <t>Johnny Lacey (Ire)</t>
  </si>
  <si>
    <t>Leo Colgan (Ire)</t>
  </si>
  <si>
    <t>Eddie Hogan-O'Connell (Ire)</t>
  </si>
  <si>
    <t>Marshall Kilgore (Ire)</t>
  </si>
  <si>
    <t>19-3</t>
  </si>
  <si>
    <t>Romain Poite (Fra)</t>
  </si>
  <si>
    <t>Bernard Dal Maso (Fra)</t>
  </si>
  <si>
    <t>Christophe Berdos (Fra)</t>
  </si>
  <si>
    <t>Stephane Boyer (Fra)</t>
  </si>
  <si>
    <t>11-20</t>
  </si>
  <si>
    <t>Leighton Hodges (Wal)</t>
  </si>
  <si>
    <t>Derek Bevan (Wal)</t>
  </si>
  <si>
    <t>Sean Brickell (Wal)</t>
  </si>
  <si>
    <t>Simon Rees (Wal)</t>
  </si>
  <si>
    <t>Nigel Owens (Wal)</t>
  </si>
  <si>
    <t>Wayne Davies (wal)</t>
  </si>
  <si>
    <t>Gareth Simmonds (Wal)</t>
  </si>
  <si>
    <t>Eric Gauzins (Fra)</t>
  </si>
  <si>
    <t>Salem Attalah (Fra)</t>
  </si>
  <si>
    <t>George Clancy (Ire)</t>
  </si>
  <si>
    <t>Jude Quinn (Ire)</t>
  </si>
  <si>
    <t>Stuart Gaffikin (Ire)</t>
  </si>
  <si>
    <t>~Matthieu Raynal (Fra)</t>
  </si>
  <si>
    <t>Bruno Bessot (Fra)</t>
  </si>
  <si>
    <t>Laurent Cardona (Fra)</t>
  </si>
  <si>
    <t>Thomas Dejean (Fra)</t>
  </si>
  <si>
    <t>23-7</t>
  </si>
  <si>
    <t>3-13</t>
  </si>
  <si>
    <t>~ Injured &amp; replaced by Laurent Cardona (Fra) after 16 mins</t>
  </si>
  <si>
    <t>*Twickenham, ~ Adams Park</t>
  </si>
  <si>
    <t>10-13</t>
  </si>
  <si>
    <t>Marius Mitrea (Ita)</t>
  </si>
  <si>
    <t>Carlo Damasco (Ita)</t>
  </si>
  <si>
    <t>Matteo Liperini (Ita)</t>
  </si>
  <si>
    <t>Stefano Penne (Ita)</t>
  </si>
  <si>
    <t>13-10</t>
  </si>
  <si>
    <t>6-7</t>
  </si>
  <si>
    <t>Wayne Davies (Wal)</t>
  </si>
  <si>
    <t>Nv 2</t>
  </si>
  <si>
    <t>20-3</t>
  </si>
  <si>
    <t>Cyril Lafon (Fra)</t>
  </si>
  <si>
    <t>Tual Trainini (Fra)</t>
  </si>
  <si>
    <t>Jean-Pierre Pellaprat (Fra)</t>
  </si>
  <si>
    <t>Kevin Beggs (Ire)</t>
  </si>
  <si>
    <t>Gary Conway (Ire)</t>
  </si>
  <si>
    <t>Mark Patton (Ire)</t>
  </si>
  <si>
    <t>3-10</t>
  </si>
  <si>
    <t>Racing M</t>
  </si>
  <si>
    <t>8-3</t>
  </si>
  <si>
    <t>Simon McDowell (Ire)</t>
  </si>
  <si>
    <t>10-0</t>
  </si>
  <si>
    <t>Ian Davies (Wal)</t>
  </si>
  <si>
    <t>Rhys Thomas (Wal)</t>
  </si>
  <si>
    <t>Tim Hayes (Wal)</t>
  </si>
  <si>
    <t xml:space="preserve">Gareth Copsey </t>
  </si>
  <si>
    <t>36-7</t>
  </si>
  <si>
    <t>Andy Brace (Eng)</t>
  </si>
  <si>
    <t>Shae Kierans (Ire)</t>
  </si>
  <si>
    <t>David Wilkinson (Ire)</t>
  </si>
  <si>
    <t>Peter Fitzgibbon (Ire)</t>
  </si>
  <si>
    <t>Nigel Correll (Ire)</t>
  </si>
  <si>
    <t>Jonathan Peak (Ire)</t>
  </si>
  <si>
    <t>16-17</t>
  </si>
  <si>
    <t>28-0</t>
  </si>
  <si>
    <t>Vlad Iordescu (Rom)</t>
  </si>
  <si>
    <t>Radu Petrescu (Rom)</t>
  </si>
  <si>
    <t>Cristian Raduta (Rom)</t>
  </si>
  <si>
    <t>6-31</t>
  </si>
  <si>
    <t>Andrew McMenemy (Sco)</t>
  </si>
  <si>
    <t>Peter Allan (Sco)</t>
  </si>
  <si>
    <t>Bob Nevins (Sco)</t>
  </si>
  <si>
    <t>Jim Yuille (Sco)</t>
  </si>
  <si>
    <t>Alexandre Ruiz (Fra)</t>
  </si>
  <si>
    <t>Patrick Pechambert (Fra)</t>
  </si>
  <si>
    <t>Arnaud Blondel (Fra)</t>
  </si>
  <si>
    <t>Barrie O'Connell (Ire)</t>
  </si>
  <si>
    <t>17-9</t>
  </si>
  <si>
    <t>9-9</t>
  </si>
  <si>
    <t>Mauro Dordolo (Ita)</t>
  </si>
  <si>
    <t>Elio Rizzo (Ita)</t>
  </si>
  <si>
    <t>Pascal Gauzere (Fra)</t>
  </si>
  <si>
    <t>Sebastien Minery (Fra)</t>
  </si>
  <si>
    <t>Stephane Boyer</t>
  </si>
  <si>
    <t>Andrew Jackson</t>
  </si>
  <si>
    <t>Steve Lee</t>
  </si>
  <si>
    <t xml:space="preserve">Kelvin Stewart </t>
  </si>
  <si>
    <t>10-3</t>
  </si>
  <si>
    <t>Simon Harding</t>
  </si>
  <si>
    <t>30-0</t>
  </si>
  <si>
    <t xml:space="preserve">David Procter </t>
  </si>
  <si>
    <t>0-30</t>
  </si>
  <si>
    <t>17-19</t>
  </si>
  <si>
    <t>Greg MacDonald</t>
  </si>
  <si>
    <t>19-17</t>
  </si>
  <si>
    <t>13-20</t>
  </si>
  <si>
    <t>21-7</t>
  </si>
  <si>
    <t>John Meredith</t>
  </si>
  <si>
    <t>Craig Maxwell-Keys</t>
  </si>
  <si>
    <t>Nv 7</t>
  </si>
  <si>
    <t>8-21</t>
  </si>
  <si>
    <t>6-12</t>
  </si>
  <si>
    <t>Rob Price (Wal)</t>
  </si>
  <si>
    <t>Jon Mason (Wal)</t>
  </si>
  <si>
    <t>7-7</t>
  </si>
  <si>
    <t>Thomas Foley (Eng)</t>
  </si>
  <si>
    <t>Justin Williams (Wal)</t>
  </si>
  <si>
    <t>Craig Evans (Wal)</t>
  </si>
  <si>
    <t>Darren Gamage</t>
  </si>
  <si>
    <t>13-3</t>
  </si>
  <si>
    <t>16-19</t>
  </si>
  <si>
    <t>Ben Whitehouse (Wal)</t>
  </si>
  <si>
    <t>19-16</t>
  </si>
  <si>
    <t>A~</t>
  </si>
  <si>
    <t>* Twickenham, ~ Adams Park</t>
  </si>
  <si>
    <t>26-8</t>
  </si>
  <si>
    <t xml:space="preserve"> David Sainsbury</t>
  </si>
  <si>
    <t>Nv 14</t>
  </si>
  <si>
    <t>Nv 28</t>
  </si>
  <si>
    <t>6-21</t>
  </si>
  <si>
    <t xml:space="preserve">Dean Richards </t>
  </si>
  <si>
    <t>21-6</t>
  </si>
  <si>
    <t xml:space="preserve"> 14th Nov 14</t>
  </si>
  <si>
    <t>15-22</t>
  </si>
  <si>
    <t>18-24</t>
  </si>
  <si>
    <t>36-8</t>
  </si>
  <si>
    <t>10-7</t>
  </si>
  <si>
    <t>7-10</t>
  </si>
  <si>
    <t>23-14</t>
  </si>
  <si>
    <t>12-6</t>
  </si>
  <si>
    <t>26-0</t>
  </si>
  <si>
    <t>0-26</t>
  </si>
  <si>
    <t>21-21</t>
  </si>
  <si>
    <t>71-7</t>
  </si>
  <si>
    <t>After Round 7: Nov 16 2014 Evening - Nov 21 2014 Afternoon</t>
  </si>
  <si>
    <t>6-6</t>
  </si>
  <si>
    <t>Tom Foley</t>
  </si>
  <si>
    <t>12-16</t>
  </si>
  <si>
    <t>20-10</t>
  </si>
  <si>
    <t>9-7</t>
  </si>
  <si>
    <t>7-9</t>
  </si>
  <si>
    <t>23-33</t>
  </si>
  <si>
    <t>6-16</t>
  </si>
  <si>
    <t>25-8</t>
  </si>
  <si>
    <t>31-15</t>
  </si>
  <si>
    <t>24-31</t>
  </si>
  <si>
    <t>8-25</t>
  </si>
  <si>
    <t>5-26</t>
  </si>
  <si>
    <t>5-12</t>
  </si>
  <si>
    <t>12-5</t>
  </si>
  <si>
    <t xml:space="preserve"> 28th Nov 14</t>
  </si>
  <si>
    <t xml:space="preserve"> 19th Dec 14</t>
  </si>
  <si>
    <t>Ricoh Arena</t>
  </si>
  <si>
    <t xml:space="preserve"> 28th Dec 14</t>
  </si>
  <si>
    <t xml:space="preserve"> 2nd Jan 15</t>
  </si>
  <si>
    <t xml:space="preserve"> 9th Jan 15</t>
  </si>
  <si>
    <t>After Round 8: Nov 23 2014 Evening - Nov 28 2014 Afternoon</t>
  </si>
  <si>
    <t>9-3</t>
  </si>
  <si>
    <t>3-9</t>
  </si>
  <si>
    <t>18-6</t>
  </si>
  <si>
    <t>6-18</t>
  </si>
  <si>
    <t>0-3</t>
  </si>
  <si>
    <t>3-0</t>
  </si>
  <si>
    <t>25-6</t>
  </si>
  <si>
    <t>27-19</t>
  </si>
  <si>
    <t>18-16</t>
  </si>
  <si>
    <t>9-21</t>
  </si>
  <si>
    <t>0-19</t>
  </si>
  <si>
    <t>19-0</t>
  </si>
  <si>
    <t>10-8</t>
  </si>
  <si>
    <t>Jonathan Healy</t>
  </si>
  <si>
    <t>8-10</t>
  </si>
  <si>
    <t>After Round 9: Nov 30 2014 Evening - Dec 19 2014 Afternoon</t>
  </si>
  <si>
    <t>Dc 5</t>
  </si>
  <si>
    <t>Chris Williams (Wal)</t>
  </si>
  <si>
    <t>John Carvill (Ire)</t>
  </si>
  <si>
    <t>10-11</t>
  </si>
  <si>
    <t>Paul Adams (Wal)</t>
  </si>
  <si>
    <t>Gwyn Morris (Wal)</t>
  </si>
  <si>
    <t>Martyn Lewis (Wal)</t>
  </si>
  <si>
    <t>11-10</t>
  </si>
  <si>
    <t>Dc 7</t>
  </si>
  <si>
    <t>Philippe Bonhoure (Fra)</t>
  </si>
  <si>
    <t>13-13</t>
  </si>
  <si>
    <t>Jonathan Mason (Wal)</t>
  </si>
  <si>
    <t>Dc 4</t>
  </si>
  <si>
    <t>17-7</t>
  </si>
  <si>
    <t>27-3</t>
  </si>
  <si>
    <t>Dc 19</t>
  </si>
  <si>
    <t>11-8</t>
  </si>
  <si>
    <t>8-11</t>
  </si>
  <si>
    <t>24-0</t>
  </si>
  <si>
    <t>Jean-Luc Rebollal (Fra)</t>
  </si>
  <si>
    <t>5-16</t>
  </si>
  <si>
    <t>Mark Connolly (Ire)</t>
  </si>
  <si>
    <t>Dc 12</t>
  </si>
  <si>
    <t>14-43</t>
  </si>
  <si>
    <t>13-18</t>
  </si>
  <si>
    <t>25-5</t>
  </si>
  <si>
    <t>Alan Rogan (ire)</t>
  </si>
  <si>
    <t>Mark Patton (ire)</t>
  </si>
  <si>
    <t>16-13</t>
  </si>
  <si>
    <t>Herve Dubes (Fra)</t>
  </si>
  <si>
    <t>Alain Blondel (Fra)</t>
  </si>
  <si>
    <t>16-18</t>
  </si>
  <si>
    <t>48-16</t>
  </si>
  <si>
    <t>9-15</t>
  </si>
  <si>
    <t>15-9</t>
  </si>
  <si>
    <t>7-6</t>
  </si>
  <si>
    <t>Hartley</t>
  </si>
  <si>
    <t>16-39</t>
  </si>
  <si>
    <t>78-7</t>
  </si>
  <si>
    <t>38-7</t>
  </si>
  <si>
    <t>7-38</t>
  </si>
  <si>
    <t>15-7</t>
  </si>
  <si>
    <t>3-7</t>
  </si>
  <si>
    <t>7-3</t>
  </si>
  <si>
    <t>6-3</t>
  </si>
  <si>
    <t>3-6</t>
  </si>
  <si>
    <t>18-11</t>
  </si>
  <si>
    <t>21-5</t>
  </si>
  <si>
    <t>Neil Hennessy (Wal)</t>
  </si>
  <si>
    <t>Greg Morgan (Wal)</t>
  </si>
  <si>
    <t>Jon Hardy (Wal)</t>
  </si>
  <si>
    <t>10-6</t>
  </si>
  <si>
    <t>Neil Paterson (Sco)</t>
  </si>
  <si>
    <t>Cammy Rudkin (Sco)</t>
  </si>
  <si>
    <t>Stephen Ward (Sco)</t>
  </si>
  <si>
    <t>0-11</t>
  </si>
  <si>
    <t>Eric Gonthier (Fra)</t>
  </si>
  <si>
    <t>Cedric Marchat (Fra)</t>
  </si>
  <si>
    <t>Cedric Clave (Fra)</t>
  </si>
  <si>
    <t>Dc 14</t>
  </si>
  <si>
    <t>14-9</t>
  </si>
  <si>
    <t>Dc 11</t>
  </si>
  <si>
    <t>14-24</t>
  </si>
  <si>
    <t>Dudley Phillips (Ire)</t>
  </si>
  <si>
    <t>Olly Hodges (Ire)</t>
  </si>
  <si>
    <t>Brian MacNeice (Ire)</t>
  </si>
  <si>
    <t>After Round 10: Dec 21 2014 Evening - Dec 26 2014 Afternoon</t>
  </si>
  <si>
    <t>H'</t>
  </si>
  <si>
    <t>Leo</t>
  </si>
  <si>
    <t>6-10</t>
  </si>
  <si>
    <t>14-7</t>
  </si>
  <si>
    <t>7-14</t>
  </si>
  <si>
    <t>25-15</t>
  </si>
  <si>
    <t>Peterr Huckle</t>
  </si>
  <si>
    <t>15-25</t>
  </si>
  <si>
    <t>8-13</t>
  </si>
  <si>
    <t>13-8</t>
  </si>
  <si>
    <t>Dc 28</t>
  </si>
  <si>
    <t>24-14</t>
  </si>
  <si>
    <t>24-9</t>
  </si>
  <si>
    <t>30-32</t>
  </si>
  <si>
    <t>31-14</t>
  </si>
  <si>
    <t>25-30</t>
  </si>
  <si>
    <t>23-25</t>
  </si>
  <si>
    <t>23-30</t>
  </si>
  <si>
    <t>After Round 11: Dec 28 2014 Evening - Jan 2 2015 Afternoon</t>
  </si>
  <si>
    <t>S Francais</t>
  </si>
  <si>
    <t>Ja 18</t>
  </si>
  <si>
    <t>Fb 8</t>
  </si>
  <si>
    <t>Ja 9</t>
  </si>
  <si>
    <t>Fb 13</t>
  </si>
  <si>
    <t>Ja 22</t>
  </si>
  <si>
    <t>Fb 22</t>
  </si>
  <si>
    <t>Fb 27</t>
  </si>
  <si>
    <t>Ja 16</t>
  </si>
  <si>
    <t>Mr 6</t>
  </si>
  <si>
    <t>Ja 25</t>
  </si>
  <si>
    <t>Ja 2</t>
  </si>
  <si>
    <t>11-0</t>
  </si>
  <si>
    <t>0-6</t>
  </si>
  <si>
    <t>6-0</t>
  </si>
  <si>
    <t>11-3</t>
  </si>
  <si>
    <t>3-11</t>
  </si>
  <si>
    <t>27-9</t>
  </si>
  <si>
    <t>9-27</t>
  </si>
  <si>
    <t>39-31</t>
  </si>
  <si>
    <t>25-26</t>
  </si>
  <si>
    <t>22-6</t>
  </si>
  <si>
    <t>17-8</t>
  </si>
  <si>
    <t>41-16</t>
  </si>
  <si>
    <t>13-24</t>
  </si>
  <si>
    <t>After Round 12: Jan 4 2015 Evening - Jan 9 2015 Afternoon</t>
  </si>
  <si>
    <t>ltb</t>
  </si>
  <si>
    <t>2015 CALENDAR YEAR</t>
  </si>
  <si>
    <t>SEASON 2014/15</t>
  </si>
  <si>
    <t>2015 CALENDAR YEAR TABLE</t>
  </si>
  <si>
    <t>2014 CALENDAR YEAR TABLE</t>
  </si>
  <si>
    <t>24-23</t>
  </si>
  <si>
    <t>11-13</t>
  </si>
  <si>
    <t>13-0</t>
  </si>
  <si>
    <t>0-13</t>
  </si>
  <si>
    <t>20-7</t>
  </si>
  <si>
    <t>20-5</t>
  </si>
  <si>
    <t>5-20</t>
  </si>
  <si>
    <t>39-26</t>
  </si>
  <si>
    <t>32-12</t>
  </si>
  <si>
    <t>24-7</t>
  </si>
  <si>
    <t>7-24</t>
  </si>
  <si>
    <t>5-13</t>
  </si>
  <si>
    <t>13-5</t>
  </si>
  <si>
    <t>28-26</t>
  </si>
  <si>
    <t>My16</t>
  </si>
  <si>
    <t>My23</t>
  </si>
  <si>
    <t>My30</t>
  </si>
  <si>
    <t>14-11</t>
  </si>
  <si>
    <t>Jean Luc Rebollal (Fra)</t>
  </si>
  <si>
    <t>23-3</t>
  </si>
  <si>
    <t>*Romain Poite (Fra)</t>
  </si>
  <si>
    <t>Sean Gallagher (Ire)</t>
  </si>
  <si>
    <t>Jonathan Gasnier (Fra)</t>
  </si>
  <si>
    <t>Racing Metro</t>
  </si>
  <si>
    <t>H#</t>
  </si>
  <si>
    <t>21-14</t>
  </si>
  <si>
    <t>Kelvin Shorte (Wal)</t>
  </si>
  <si>
    <t>Ken Imbusch (Ire)</t>
  </si>
  <si>
    <t>Mathieu Raynal (Fra)</t>
  </si>
  <si>
    <t>Graeme Wells (Sco)</t>
  </si>
  <si>
    <t>David Changleng (Sco)</t>
  </si>
  <si>
    <t>26-3</t>
  </si>
  <si>
    <t>Sean Gaffikin (Ire)</t>
  </si>
  <si>
    <t>Shane Kierans (Ire)</t>
  </si>
  <si>
    <t>20-27</t>
  </si>
  <si>
    <t>Gary Conway (ire)</t>
  </si>
  <si>
    <t>Stuart Douglas (Ire)</t>
  </si>
  <si>
    <t>Graeme Marshall (Sco)</t>
  </si>
  <si>
    <t>Seamus Flannery (Ire)</t>
  </si>
  <si>
    <t>Kieran Barry (Ire)</t>
  </si>
  <si>
    <t>*Adams Park</t>
  </si>
  <si>
    <t>3-35</t>
  </si>
  <si>
    <t>Andy Brace (Ire)</t>
  </si>
  <si>
    <t>* Adams Park, ~Cluj Arena</t>
  </si>
  <si>
    <t>28-10</t>
  </si>
  <si>
    <t>Craig Maxwell-Keys (Eng)</t>
  </si>
  <si>
    <t>Morgan Whitehead (Wal)</t>
  </si>
  <si>
    <t>14-3</t>
  </si>
  <si>
    <t xml:space="preserve">Paul Dix </t>
  </si>
  <si>
    <t>3-14</t>
  </si>
  <si>
    <t>22-13</t>
  </si>
  <si>
    <t>13-15</t>
  </si>
  <si>
    <t>26-12</t>
  </si>
  <si>
    <t>12-26</t>
  </si>
  <si>
    <t>Greg MacDonald (Eng)</t>
  </si>
  <si>
    <t>35-17</t>
  </si>
  <si>
    <t>Philip James Watters</t>
  </si>
  <si>
    <t>21-3</t>
  </si>
  <si>
    <t>LeIghton Hodges (Wal)</t>
  </si>
  <si>
    <t>Mr 15</t>
  </si>
  <si>
    <t>13-7</t>
  </si>
  <si>
    <t>7-13</t>
  </si>
  <si>
    <t>6-14</t>
  </si>
  <si>
    <t>Philip Watters</t>
  </si>
  <si>
    <t>14-6</t>
  </si>
  <si>
    <t>Darren Gamage (Eng)</t>
  </si>
  <si>
    <t>Jason Langdon (Wal)</t>
  </si>
  <si>
    <t>14-10</t>
  </si>
  <si>
    <t>10-14</t>
  </si>
  <si>
    <t>The Stoop</t>
  </si>
  <si>
    <t xml:space="preserve"> 22nd Feb 15</t>
  </si>
  <si>
    <t xml:space="preserve"> 13th Feb 15</t>
  </si>
  <si>
    <t>SC</t>
  </si>
  <si>
    <t>32-3</t>
  </si>
  <si>
    <t xml:space="preserve">Tom Foley </t>
  </si>
  <si>
    <t>3-32</t>
  </si>
  <si>
    <t>7-35</t>
  </si>
  <si>
    <t>35-7</t>
  </si>
  <si>
    <t>23-6</t>
  </si>
  <si>
    <t>6-23</t>
  </si>
  <si>
    <t>18-15</t>
  </si>
  <si>
    <t>46-17</t>
  </si>
  <si>
    <t>12-52</t>
  </si>
  <si>
    <t>34-24</t>
  </si>
  <si>
    <t>37-6</t>
  </si>
  <si>
    <t>After Round 14: Feb 15 2015 Evening - Feb 20 2015 Afternoon</t>
  </si>
  <si>
    <t>After Round 13: Jan 11 2015 Evening - Feb 13 2015 Afternoon</t>
  </si>
  <si>
    <t>13-11</t>
  </si>
  <si>
    <t>3-27</t>
  </si>
  <si>
    <t>11-16</t>
  </si>
  <si>
    <t>16-11</t>
  </si>
  <si>
    <t>Mr 27</t>
  </si>
  <si>
    <t>My 8</t>
  </si>
  <si>
    <t>Ap 26</t>
  </si>
  <si>
    <t>Ap 10</t>
  </si>
  <si>
    <t>Ap 24</t>
  </si>
  <si>
    <t>23-23</t>
  </si>
  <si>
    <t>48-10</t>
  </si>
  <si>
    <t>21-32</t>
  </si>
  <si>
    <t>13-21</t>
  </si>
  <si>
    <t>* Adams Park, ~ Twickenham, # Stadium MK</t>
  </si>
  <si>
    <t>Ian Tempset</t>
  </si>
  <si>
    <t>3-20</t>
  </si>
  <si>
    <t xml:space="preserve"> 27th Feb 15</t>
  </si>
  <si>
    <t>12-50</t>
  </si>
  <si>
    <t>28-8</t>
  </si>
  <si>
    <t>22-17</t>
  </si>
  <si>
    <t>32-21</t>
  </si>
  <si>
    <t>After Round 15: Feb 22 2015 Evening - Feb 27 2015 Afternoon</t>
  </si>
  <si>
    <t>After Round 16: Mar 1 2015 Evening - Mar 6 2015 Afternoon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</si>
  <si>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</si>
  <si>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</si>
  <si>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</si>
  <si>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</si>
  <si>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</si>
  <si>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</si>
  <si>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</si>
  <si>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</si>
  <si>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</si>
  <si>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</si>
  <si>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</si>
  <si>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</si>
  <si>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</si>
  <si>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</si>
  <si>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</si>
  <si>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HOME</t>
  </si>
  <si>
    <t>1997/98</t>
  </si>
  <si>
    <t>WIN%</t>
  </si>
  <si>
    <t>HOME TEAMS</t>
  </si>
  <si>
    <t>AWAY TEAMS</t>
  </si>
  <si>
    <t>NEUTRAL</t>
  </si>
  <si>
    <t>PREMIERSHIP: SEASON-BY-SEASON</t>
  </si>
  <si>
    <t>A+</t>
  </si>
  <si>
    <t>74-19</t>
  </si>
  <si>
    <t>34-12</t>
  </si>
  <si>
    <t>12-34</t>
  </si>
  <si>
    <t>33-33</t>
  </si>
  <si>
    <t>23-9</t>
  </si>
  <si>
    <t>9-23</t>
  </si>
  <si>
    <t>26-20</t>
  </si>
  <si>
    <t>19-13</t>
  </si>
  <si>
    <t>13-19</t>
  </si>
  <si>
    <t>17-26</t>
  </si>
  <si>
    <t>17-20</t>
  </si>
  <si>
    <t>Excludes Finals</t>
  </si>
  <si>
    <t>After Round 17: Mar 8 2015 Evening - Mar 27 2015 Afternoon</t>
  </si>
  <si>
    <t>N'</t>
  </si>
  <si>
    <t>*Poite went off injured in 72nd minute, replaced as referee by assistant Berdos</t>
  </si>
  <si>
    <t>16-20</t>
  </si>
  <si>
    <t>N*</t>
  </si>
  <si>
    <t>*Franklin's Gardens</t>
  </si>
  <si>
    <t>Mr 22</t>
  </si>
  <si>
    <t>N'ampton</t>
  </si>
  <si>
    <t>27-20</t>
  </si>
  <si>
    <t>25-18</t>
  </si>
  <si>
    <t>22-21</t>
  </si>
  <si>
    <t>52-30</t>
  </si>
  <si>
    <t xml:space="preserve"> 27th Mar 15</t>
  </si>
  <si>
    <t>21-8</t>
  </si>
  <si>
    <t>42-14</t>
  </si>
  <si>
    <t xml:space="preserve"> 6th Mar 15</t>
  </si>
  <si>
    <t>Wembley</t>
  </si>
  <si>
    <t>Furno (2), Hogg, Saull, Socino, Wilson M</t>
  </si>
  <si>
    <t>14-29</t>
  </si>
  <si>
    <t>After Round 18: Mar 29 2015 Evening - Apr 10 2015 Afternoon</t>
  </si>
  <si>
    <t>Ap 3</t>
  </si>
  <si>
    <t>14-0</t>
  </si>
  <si>
    <t>5-15</t>
  </si>
  <si>
    <t>Ap 5</t>
  </si>
  <si>
    <t>~ Twickenham, #Wembley, +stadium:mk, 'Franklin's Gardens, *Stade Geoffrey Guichard (St Etienne), SC Sanlam Challenge Shield</t>
  </si>
  <si>
    <t>0-27</t>
  </si>
  <si>
    <t>19-29</t>
  </si>
  <si>
    <t xml:space="preserve"> 10th Apr 15</t>
  </si>
  <si>
    <t>Goneva (3), Bai, Crane, Croft, Gibson, Youngs T</t>
  </si>
  <si>
    <t>29-26</t>
  </si>
  <si>
    <t>Daly, Downey, Festuccia, Gaskell, Helu, Johnson, Myall, Thompson, Wade</t>
  </si>
  <si>
    <t>25-23</t>
  </si>
  <si>
    <t>13-40</t>
  </si>
  <si>
    <t>8-5</t>
  </si>
  <si>
    <t>5-8</t>
  </si>
  <si>
    <t>21-10</t>
  </si>
  <si>
    <t>After Round 19: Apr 19 2015 Evening - Apr 24 2015 Afternoon</t>
  </si>
  <si>
    <t>10-16</t>
  </si>
  <si>
    <t>6-22</t>
  </si>
  <si>
    <t>13-27</t>
  </si>
  <si>
    <t>Wayne Falla</t>
  </si>
  <si>
    <t>My 1</t>
  </si>
  <si>
    <t>After Round 20: Apr 26 2015 Evening - May 8 2015 Afternoon</t>
  </si>
  <si>
    <t>Hala'ufia, May</t>
  </si>
  <si>
    <t>43-18</t>
  </si>
  <si>
    <t xml:space="preserve"> 24th Apr 15</t>
  </si>
  <si>
    <t>42-40</t>
  </si>
  <si>
    <t>38-17</t>
  </si>
  <si>
    <t>25-20</t>
  </si>
  <si>
    <t xml:space="preserve"> 26th Apr 15</t>
  </si>
  <si>
    <t>36-29</t>
  </si>
  <si>
    <t>12-13</t>
  </si>
  <si>
    <t>26-16</t>
  </si>
  <si>
    <t>13-12</t>
  </si>
  <si>
    <t>27-13</t>
  </si>
  <si>
    <t>16-26</t>
  </si>
  <si>
    <t>Q</t>
  </si>
  <si>
    <t xml:space="preserve"> Sinckler (3), Clifford (3), Collier (2), Marler (2), Robson (2), Buchanan, Matthews, Monye, Ward</t>
  </si>
  <si>
    <t>15-10</t>
  </si>
  <si>
    <t>10-15</t>
  </si>
  <si>
    <t xml:space="preserve"> L Irish on Dec 21 was Wasps' first home game at Ricoh Arena, Leicester crowd on May 9 was biggest at a regular home ground in Prem history (+ outside London)</t>
  </si>
  <si>
    <t>12-18</t>
  </si>
  <si>
    <t>18-12</t>
  </si>
  <si>
    <t>Mele, Bai</t>
  </si>
  <si>
    <t>Kvesic</t>
  </si>
  <si>
    <t>Paice (4), Court (3), Cowan (2), Geraghty (2), Sheridan (2), Sinclair (2), Aulika, Cross, Fenby, Guest, Leo, Narraway, Ojo</t>
  </si>
  <si>
    <t>24-11</t>
  </si>
  <si>
    <t>11-24</t>
  </si>
  <si>
    <t>17-17</t>
  </si>
  <si>
    <t>0*</t>
  </si>
  <si>
    <t>*N Hughes sending off for Wasps v Northampton on Mar 27 - rescinded</t>
  </si>
  <si>
    <t xml:space="preserve"> 8th May 15</t>
  </si>
  <si>
    <t>26-27</t>
  </si>
  <si>
    <t>35-13</t>
  </si>
  <si>
    <t>46-0</t>
  </si>
  <si>
    <t>21-26</t>
  </si>
  <si>
    <t>16th May 15</t>
  </si>
  <si>
    <t>23rd May 15</t>
  </si>
  <si>
    <t>After Round 21: May 8 2015 Evening - May 16 2015 Morning</t>
  </si>
  <si>
    <t>21-13</t>
  </si>
  <si>
    <t>My 24</t>
  </si>
  <si>
    <t>EPO</t>
  </si>
  <si>
    <t>Savage (2), Sharples (2), Wood (2), Hudson, Kvesic, May, Moriarty, Puafisi, Trinder</t>
  </si>
  <si>
    <t xml:space="preserve">Waldrom (2), White (2), Whitten (2), Brown, Dollman, Ewers, Francis, Lees, Mumm, Nowell, Welch, </t>
  </si>
  <si>
    <t>15-11</t>
  </si>
  <si>
    <t>11-15</t>
  </si>
  <si>
    <t>Cueto (2), Addison, Arscott, Cipriani, Cusiter, Hines, Leota, Lund, Ostrikov, Paterson, Seymour, Taylor</t>
  </si>
  <si>
    <t>Harrison</t>
  </si>
  <si>
    <t>8-9</t>
  </si>
  <si>
    <t>9-8</t>
  </si>
  <si>
    <t>Ma'afu (3), Clark (2), Dickinson (2), Waller A (2), Corbisiero, Denman, Myler, Pisi G, Wilson</t>
  </si>
  <si>
    <t>22-18</t>
  </si>
  <si>
    <t>18-22</t>
  </si>
  <si>
    <t xml:space="preserve"> Schofield (3), Henn (2), Awcock, Britton, Browne P, Corker, Gilding, McCaffrey, Reeves, Stegmann, Trevett, Vea</t>
  </si>
  <si>
    <t>26-17</t>
  </si>
  <si>
    <t>50-30</t>
  </si>
  <si>
    <t>44-16</t>
  </si>
  <si>
    <t>22-14</t>
  </si>
  <si>
    <t>37-21</t>
  </si>
  <si>
    <t>40-40</t>
  </si>
  <si>
    <t>17-68</t>
  </si>
  <si>
    <t>30th May 15</t>
  </si>
  <si>
    <t>CH</t>
  </si>
  <si>
    <t>1tb</t>
  </si>
  <si>
    <t>Ashton (3), Kruis (2), Bosch, Brown, Burger, Goode, Hargreaves, Hodgson, Itoje, Johnston, Strettle, Vunipola M, Wigglesworth</t>
  </si>
  <si>
    <t>N~</t>
  </si>
  <si>
    <t>N#</t>
  </si>
  <si>
    <t>*Adams Park, ~Aviva Stadium, #Twickenham</t>
  </si>
  <si>
    <t>Day (2), Houston (2), Young (2), Arscott, Auterac, Fearns, Watson, Wilson</t>
  </si>
  <si>
    <t>10-21</t>
  </si>
  <si>
    <t>24-29</t>
  </si>
  <si>
    <t>47-10</t>
  </si>
  <si>
    <t>as at end of 2014/15</t>
  </si>
  <si>
    <t>3-25</t>
  </si>
  <si>
    <t>25-3</t>
  </si>
  <si>
    <t>16-28</t>
  </si>
  <si>
    <t>as at end of 2014/2015</t>
  </si>
  <si>
    <t>EURO CHAMPS CUP (PO)</t>
  </si>
  <si>
    <t>EUR CHAMPS CUP (PO)</t>
  </si>
  <si>
    <t>My 31</t>
  </si>
  <si>
    <t>Bordeaux-B</t>
  </si>
  <si>
    <t>W'</t>
  </si>
  <si>
    <t>*The Twickenham Stoop, ~Sixways (game could not played at Kingsholm due to a previously arranged concert the night before), 'After Extra time</t>
  </si>
  <si>
    <t>15-17</t>
  </si>
  <si>
    <t>(Fra)</t>
  </si>
  <si>
    <t>(Wal)</t>
  </si>
  <si>
    <t>A^</t>
  </si>
  <si>
    <t>^The Gnoll, Neath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</si>
</sst>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rgb="FFFFCC00"/>
      <name val="Calibri"/>
      <family val="2"/>
      <scheme val="minor"/>
    </font>
    <font>
      <sz val="11"/>
      <color rgb="FFFFCC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color theme="1"/>
      <name val="Calibri"/>
      <family val="2"/>
    </font>
    <font>
      <b/>
      <sz val="12"/>
      <color rgb="FFFFFF00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color rgb="FFFFCC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FFCC00"/>
      <name val="Calibri"/>
      <family val="2"/>
      <scheme val="minor"/>
    </font>
    <font>
      <b/>
      <sz val="12"/>
      <color theme="8" tint="0.3999755851924192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4B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5" borderId="14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2" fillId="0" borderId="0" xfId="0" applyFont="1"/>
    <xf numFmtId="10" fontId="0" fillId="0" borderId="0" xfId="0" applyNumberFormat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4" fillId="8" borderId="3" xfId="0" applyFont="1" applyFill="1" applyBorder="1"/>
    <xf numFmtId="0" fontId="14" fillId="8" borderId="4" xfId="0" applyFont="1" applyFill="1" applyBorder="1"/>
    <xf numFmtId="0" fontId="13" fillId="8" borderId="0" xfId="0" applyFont="1" applyFill="1"/>
    <xf numFmtId="0" fontId="14" fillId="8" borderId="0" xfId="0" applyFont="1" applyFill="1"/>
    <xf numFmtId="0" fontId="13" fillId="8" borderId="2" xfId="0" applyFont="1" applyFill="1" applyBorder="1"/>
    <xf numFmtId="0" fontId="14" fillId="8" borderId="8" xfId="0" applyFont="1" applyFill="1" applyBorder="1"/>
    <xf numFmtId="49" fontId="14" fillId="8" borderId="8" xfId="0" applyNumberFormat="1" applyFont="1" applyFill="1" applyBorder="1"/>
    <xf numFmtId="0" fontId="14" fillId="8" borderId="9" xfId="0" applyFont="1" applyFill="1" applyBorder="1"/>
    <xf numFmtId="0" fontId="14" fillId="8" borderId="10" xfId="0" applyFont="1" applyFill="1" applyBorder="1"/>
    <xf numFmtId="0" fontId="13" fillId="8" borderId="1" xfId="0" applyFont="1" applyFill="1" applyBorder="1"/>
    <xf numFmtId="0" fontId="14" fillId="13" borderId="3" xfId="0" applyFont="1" applyFill="1" applyBorder="1"/>
    <xf numFmtId="0" fontId="14" fillId="13" borderId="4" xfId="0" applyFont="1" applyFill="1" applyBorder="1"/>
    <xf numFmtId="0" fontId="13" fillId="13" borderId="0" xfId="0" applyFont="1" applyFill="1"/>
    <xf numFmtId="0" fontId="14" fillId="13" borderId="0" xfId="0" applyFont="1" applyFill="1"/>
    <xf numFmtId="0" fontId="13" fillId="13" borderId="2" xfId="0" applyFont="1" applyFill="1" applyBorder="1"/>
    <xf numFmtId="0" fontId="14" fillId="13" borderId="8" xfId="0" applyFont="1" applyFill="1" applyBorder="1"/>
    <xf numFmtId="49" fontId="14" fillId="13" borderId="8" xfId="0" applyNumberFormat="1" applyFont="1" applyFill="1" applyBorder="1"/>
    <xf numFmtId="0" fontId="14" fillId="13" borderId="9" xfId="0" applyFont="1" applyFill="1" applyBorder="1"/>
    <xf numFmtId="0" fontId="14" fillId="13" borderId="10" xfId="0" applyFont="1" applyFill="1" applyBorder="1"/>
    <xf numFmtId="0" fontId="13" fillId="13" borderId="1" xfId="0" applyFont="1" applyFill="1" applyBorder="1"/>
    <xf numFmtId="0" fontId="14" fillId="10" borderId="3" xfId="0" applyFont="1" applyFill="1" applyBorder="1"/>
    <xf numFmtId="0" fontId="14" fillId="10" borderId="4" xfId="0" applyFont="1" applyFill="1" applyBorder="1"/>
    <xf numFmtId="0" fontId="13" fillId="10" borderId="0" xfId="0" applyFont="1" applyFill="1"/>
    <xf numFmtId="0" fontId="14" fillId="10" borderId="0" xfId="0" applyFont="1" applyFill="1"/>
    <xf numFmtId="0" fontId="13" fillId="10" borderId="2" xfId="0" applyFont="1" applyFill="1" applyBorder="1"/>
    <xf numFmtId="0" fontId="14" fillId="10" borderId="8" xfId="0" applyFont="1" applyFill="1" applyBorder="1"/>
    <xf numFmtId="49" fontId="14" fillId="10" borderId="8" xfId="0" applyNumberFormat="1" applyFont="1" applyFill="1" applyBorder="1"/>
    <xf numFmtId="0" fontId="14" fillId="10" borderId="9" xfId="0" applyFont="1" applyFill="1" applyBorder="1"/>
    <xf numFmtId="0" fontId="14" fillId="10" borderId="10" xfId="0" applyFont="1" applyFill="1" applyBorder="1"/>
    <xf numFmtId="0" fontId="13" fillId="10" borderId="1" xfId="0" applyFont="1" applyFill="1" applyBorder="1"/>
    <xf numFmtId="0" fontId="1" fillId="13" borderId="3" xfId="0" applyFont="1" applyFill="1" applyBorder="1"/>
    <xf numFmtId="0" fontId="1" fillId="13" borderId="4" xfId="0" applyFont="1" applyFill="1" applyBorder="1"/>
    <xf numFmtId="0" fontId="4" fillId="13" borderId="0" xfId="0" applyFont="1" applyFill="1"/>
    <xf numFmtId="0" fontId="1" fillId="13" borderId="0" xfId="0" applyFont="1" applyFill="1"/>
    <xf numFmtId="0" fontId="4" fillId="13" borderId="2" xfId="0" applyFont="1" applyFill="1" applyBorder="1"/>
    <xf numFmtId="0" fontId="1" fillId="13" borderId="8" xfId="0" applyFont="1" applyFill="1" applyBorder="1"/>
    <xf numFmtId="49" fontId="1" fillId="13" borderId="8" xfId="0" applyNumberFormat="1" applyFont="1" applyFill="1" applyBorder="1"/>
    <xf numFmtId="0" fontId="1" fillId="13" borderId="9" xfId="0" applyFont="1" applyFill="1" applyBorder="1"/>
    <xf numFmtId="0" fontId="4" fillId="13" borderId="1" xfId="0" applyFont="1" applyFill="1" applyBorder="1"/>
    <xf numFmtId="0" fontId="1" fillId="0" borderId="0" xfId="0" applyFont="1"/>
    <xf numFmtId="0" fontId="10" fillId="4" borderId="7" xfId="0" applyFont="1" applyFill="1" applyBorder="1"/>
    <xf numFmtId="17" fontId="1" fillId="3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0" fillId="0" borderId="0" xfId="0" applyFont="1"/>
    <xf numFmtId="1" fontId="0" fillId="0" borderId="1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 wrapText="1"/>
    </xf>
    <xf numFmtId="0" fontId="8" fillId="12" borderId="6" xfId="0" applyFont="1" applyFill="1" applyBorder="1" applyAlignment="1">
      <alignment vertical="center" wrapText="1"/>
    </xf>
    <xf numFmtId="0" fontId="8" fillId="12" borderId="6" xfId="0" applyFont="1" applyFill="1" applyBorder="1" applyAlignment="1">
      <alignment horizontal="right" vertical="center" wrapText="1"/>
    </xf>
    <xf numFmtId="0" fontId="13" fillId="8" borderId="12" xfId="0" applyFont="1" applyFill="1" applyBorder="1" applyAlignment="1">
      <alignment vertical="center" wrapText="1"/>
    </xf>
    <xf numFmtId="0" fontId="13" fillId="8" borderId="5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right" vertical="center" wrapText="1"/>
    </xf>
    <xf numFmtId="0" fontId="20" fillId="0" borderId="1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8" fillId="7" borderId="5" xfId="0" applyFont="1" applyFill="1" applyBorder="1" applyAlignment="1">
      <alignment vertical="center" wrapText="1"/>
    </xf>
    <xf numFmtId="0" fontId="8" fillId="16" borderId="6" xfId="0" applyFont="1" applyFill="1" applyBorder="1" applyAlignment="1">
      <alignment vertical="center" wrapText="1"/>
    </xf>
    <xf numFmtId="0" fontId="8" fillId="16" borderId="6" xfId="0" applyFont="1" applyFill="1" applyBorder="1" applyAlignment="1">
      <alignment horizontal="right" vertical="center" wrapText="1"/>
    </xf>
    <xf numFmtId="0" fontId="8" fillId="17" borderId="6" xfId="0" applyFont="1" applyFill="1" applyBorder="1" applyAlignment="1">
      <alignment vertical="center" wrapText="1"/>
    </xf>
    <xf numFmtId="0" fontId="8" fillId="17" borderId="6" xfId="0" applyFont="1" applyFill="1" applyBorder="1" applyAlignment="1">
      <alignment horizontal="right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18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2" fillId="9" borderId="5" xfId="0" applyFont="1" applyFill="1" applyBorder="1" applyAlignment="1">
      <alignment vertical="center" wrapText="1"/>
    </xf>
    <xf numFmtId="0" fontId="2" fillId="18" borderId="5" xfId="0" applyFont="1" applyFill="1" applyBorder="1" applyAlignment="1">
      <alignment horizontal="right" vertical="center" wrapText="1"/>
    </xf>
    <xf numFmtId="0" fontId="6" fillId="19" borderId="6" xfId="0" applyFont="1" applyFill="1" applyBorder="1" applyAlignment="1">
      <alignment vertical="center" wrapText="1"/>
    </xf>
    <xf numFmtId="0" fontId="6" fillId="19" borderId="1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0" fontId="6" fillId="18" borderId="5" xfId="0" applyFont="1" applyFill="1" applyBorder="1" applyAlignment="1">
      <alignment horizontal="right" vertical="center" wrapText="1"/>
    </xf>
    <xf numFmtId="0" fontId="6" fillId="19" borderId="5" xfId="0" applyFont="1" applyFill="1" applyBorder="1" applyAlignment="1">
      <alignment vertical="center" wrapText="1"/>
    </xf>
    <xf numFmtId="0" fontId="2" fillId="18" borderId="5" xfId="0" applyFont="1" applyFill="1" applyBorder="1" applyAlignment="1">
      <alignment horizontal="left" vertical="center" wrapText="1"/>
    </xf>
    <xf numFmtId="0" fontId="6" fillId="19" borderId="6" xfId="0" applyFont="1" applyFill="1" applyBorder="1" applyAlignment="1">
      <alignment horizontal="right" vertical="center" wrapText="1"/>
    </xf>
    <xf numFmtId="0" fontId="6" fillId="19" borderId="1" xfId="0" applyFont="1" applyFill="1" applyBorder="1" applyAlignment="1">
      <alignment horizontal="right" vertical="center" wrapText="1"/>
    </xf>
    <xf numFmtId="0" fontId="2" fillId="18" borderId="5" xfId="0" applyFont="1" applyFill="1" applyBorder="1"/>
    <xf numFmtId="0" fontId="6" fillId="18" borderId="5" xfId="0" applyFont="1" applyFill="1" applyBorder="1" applyAlignment="1">
      <alignment horizontal="left" vertical="center" wrapText="1"/>
    </xf>
    <xf numFmtId="0" fontId="0" fillId="0" borderId="21" xfId="0" applyBorder="1"/>
    <xf numFmtId="0" fontId="13" fillId="10" borderId="12" xfId="0" applyFont="1" applyFill="1" applyBorder="1" applyAlignment="1">
      <alignment vertical="center" wrapText="1"/>
    </xf>
    <xf numFmtId="0" fontId="13" fillId="10" borderId="5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9" fillId="13" borderId="1" xfId="0" applyFont="1" applyFill="1" applyBorder="1"/>
    <xf numFmtId="0" fontId="19" fillId="13" borderId="0" xfId="0" applyFont="1" applyFill="1"/>
    <xf numFmtId="0" fontId="22" fillId="13" borderId="0" xfId="0" applyFont="1" applyFill="1"/>
    <xf numFmtId="0" fontId="19" fillId="13" borderId="1" xfId="0" applyFont="1" applyFill="1" applyBorder="1" applyAlignment="1">
      <alignment horizontal="center" vertical="center" wrapText="1"/>
    </xf>
    <xf numFmtId="0" fontId="19" fillId="13" borderId="6" xfId="0" applyFont="1" applyFill="1" applyBorder="1" applyAlignment="1">
      <alignment vertical="center" wrapText="1"/>
    </xf>
    <xf numFmtId="0" fontId="19" fillId="13" borderId="6" xfId="0" applyFont="1" applyFill="1" applyBorder="1" applyAlignment="1">
      <alignment horizontal="center" vertical="center" wrapText="1"/>
    </xf>
    <xf numFmtId="0" fontId="23" fillId="14" borderId="3" xfId="0" applyFont="1" applyFill="1" applyBorder="1"/>
    <xf numFmtId="0" fontId="23" fillId="14" borderId="0" xfId="0" applyFont="1" applyFill="1"/>
    <xf numFmtId="0" fontId="23" fillId="14" borderId="2" xfId="0" applyFont="1" applyFill="1" applyBorder="1"/>
    <xf numFmtId="0" fontId="23" fillId="14" borderId="4" xfId="0" applyFont="1" applyFill="1" applyBorder="1"/>
    <xf numFmtId="0" fontId="23" fillId="14" borderId="8" xfId="0" applyFont="1" applyFill="1" applyBorder="1"/>
    <xf numFmtId="49" fontId="23" fillId="14" borderId="8" xfId="0" applyNumberFormat="1" applyFont="1" applyFill="1" applyBorder="1"/>
    <xf numFmtId="0" fontId="23" fillId="14" borderId="9" xfId="0" applyFont="1" applyFill="1" applyBorder="1"/>
    <xf numFmtId="0" fontId="23" fillId="14" borderId="10" xfId="0" applyFont="1" applyFill="1" applyBorder="1"/>
    <xf numFmtId="0" fontId="23" fillId="14" borderId="1" xfId="0" applyFont="1" applyFill="1" applyBorder="1"/>
    <xf numFmtId="0" fontId="6" fillId="15" borderId="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vertical="center" wrapText="1"/>
    </xf>
    <xf numFmtId="0" fontId="4" fillId="12" borderId="4" xfId="0" applyFont="1" applyFill="1" applyBorder="1" applyAlignment="1">
      <alignment vertical="center" wrapText="1"/>
    </xf>
    <xf numFmtId="0" fontId="4" fillId="16" borderId="4" xfId="0" applyFont="1" applyFill="1" applyBorder="1" applyAlignment="1">
      <alignment vertical="center" wrapText="1"/>
    </xf>
    <xf numFmtId="0" fontId="4" fillId="17" borderId="4" xfId="0" applyFont="1" applyFill="1" applyBorder="1" applyAlignment="1">
      <alignment vertical="center" wrapText="1"/>
    </xf>
    <xf numFmtId="0" fontId="2" fillId="21" borderId="5" xfId="0" applyFont="1" applyFill="1" applyBorder="1" applyAlignment="1">
      <alignment horizontal="center"/>
    </xf>
    <xf numFmtId="0" fontId="2" fillId="21" borderId="6" xfId="0" applyFont="1" applyFill="1" applyBorder="1" applyAlignment="1">
      <alignment horizontal="center"/>
    </xf>
    <xf numFmtId="1" fontId="0" fillId="0" borderId="21" xfId="0" applyNumberFormat="1" applyBorder="1"/>
    <xf numFmtId="2" fontId="0" fillId="0" borderId="21" xfId="0" applyNumberForma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1" fontId="0" fillId="0" borderId="27" xfId="0" applyNumberFormat="1" applyBorder="1"/>
    <xf numFmtId="1" fontId="0" fillId="0" borderId="28" xfId="0" applyNumberFormat="1" applyBorder="1"/>
    <xf numFmtId="1" fontId="0" fillId="0" borderId="29" xfId="0" applyNumberFormat="1" applyBorder="1"/>
    <xf numFmtId="0" fontId="2" fillId="0" borderId="7" xfId="0" applyFont="1" applyBorder="1"/>
    <xf numFmtId="0" fontId="2" fillId="0" borderId="5" xfId="0" applyFont="1" applyBorder="1"/>
    <xf numFmtId="2" fontId="0" fillId="0" borderId="23" xfId="0" applyNumberFormat="1" applyBorder="1"/>
    <xf numFmtId="2" fontId="0" fillId="0" borderId="24" xfId="0" applyNumberFormat="1" applyBorder="1"/>
    <xf numFmtId="2" fontId="0" fillId="0" borderId="25" xfId="0" applyNumberFormat="1" applyBorder="1"/>
    <xf numFmtId="0" fontId="2" fillId="0" borderId="1" xfId="0" applyFont="1" applyFill="1" applyBorder="1"/>
    <xf numFmtId="0" fontId="2" fillId="21" borderId="22" xfId="0" applyFont="1" applyFill="1" applyBorder="1" applyAlignment="1">
      <alignment horizontal="center"/>
    </xf>
    <xf numFmtId="0" fontId="2" fillId="21" borderId="26" xfId="0" applyFont="1" applyFill="1" applyBorder="1" applyAlignment="1">
      <alignment horizontal="center"/>
    </xf>
    <xf numFmtId="1" fontId="2" fillId="2" borderId="23" xfId="0" applyNumberFormat="1" applyFont="1" applyFill="1" applyBorder="1"/>
    <xf numFmtId="1" fontId="2" fillId="8" borderId="21" xfId="0" applyNumberFormat="1" applyFont="1" applyFill="1" applyBorder="1"/>
    <xf numFmtId="1" fontId="2" fillId="2" borderId="24" xfId="0" applyNumberFormat="1" applyFont="1" applyFill="1" applyBorder="1"/>
    <xf numFmtId="1" fontId="2" fillId="2" borderId="25" xfId="0" applyNumberFormat="1" applyFont="1" applyFill="1" applyBorder="1"/>
    <xf numFmtId="1" fontId="2" fillId="8" borderId="6" xfId="0" applyNumberFormat="1" applyFont="1" applyFill="1" applyBorder="1"/>
    <xf numFmtId="0" fontId="2" fillId="0" borderId="22" xfId="0" applyFont="1" applyBorder="1"/>
    <xf numFmtId="0" fontId="2" fillId="0" borderId="4" xfId="0" applyFont="1" applyBorder="1"/>
    <xf numFmtId="0" fontId="2" fillId="0" borderId="26" xfId="0" applyFont="1" applyBorder="1"/>
    <xf numFmtId="0" fontId="2" fillId="2" borderId="22" xfId="0" applyFont="1" applyFill="1" applyBorder="1"/>
    <xf numFmtId="0" fontId="2" fillId="8" borderId="4" xfId="0" applyFont="1" applyFill="1" applyBorder="1"/>
    <xf numFmtId="0" fontId="22" fillId="13" borderId="4" xfId="0" applyFont="1" applyFill="1" applyBorder="1"/>
    <xf numFmtId="0" fontId="22" fillId="15" borderId="4" xfId="0" applyFont="1" applyFill="1" applyBorder="1"/>
    <xf numFmtId="0" fontId="22" fillId="13" borderId="3" xfId="0" applyFont="1" applyFill="1" applyBorder="1"/>
    <xf numFmtId="0" fontId="19" fillId="13" borderId="2" xfId="0" applyFont="1" applyFill="1" applyBorder="1"/>
    <xf numFmtId="0" fontId="22" fillId="13" borderId="8" xfId="0" applyFont="1" applyFill="1" applyBorder="1"/>
    <xf numFmtId="49" fontId="22" fillId="13" borderId="8" xfId="0" applyNumberFormat="1" applyFont="1" applyFill="1" applyBorder="1"/>
    <xf numFmtId="0" fontId="22" fillId="13" borderId="9" xfId="0" applyFont="1" applyFill="1" applyBorder="1"/>
    <xf numFmtId="0" fontId="22" fillId="13" borderId="10" xfId="0" applyFont="1" applyFill="1" applyBorder="1"/>
    <xf numFmtId="0" fontId="1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9" fillId="13" borderId="12" xfId="0" applyFont="1" applyFill="1" applyBorder="1" applyAlignment="1">
      <alignment vertical="center" wrapText="1"/>
    </xf>
    <xf numFmtId="0" fontId="19" fillId="13" borderId="5" xfId="0" applyFont="1" applyFill="1" applyBorder="1" applyAlignment="1">
      <alignment vertical="center" wrapText="1"/>
    </xf>
    <xf numFmtId="0" fontId="19" fillId="13" borderId="1" xfId="0" applyFont="1" applyFill="1" applyBorder="1" applyAlignment="1">
      <alignment vertical="center" wrapText="1"/>
    </xf>
    <xf numFmtId="1" fontId="6" fillId="21" borderId="5" xfId="0" applyNumberFormat="1" applyFont="1" applyFill="1" applyBorder="1" applyAlignment="1">
      <alignment horizontal="left" vertical="center" wrapText="1"/>
    </xf>
    <xf numFmtId="0" fontId="2" fillId="21" borderId="6" xfId="0" applyFont="1" applyFill="1" applyBorder="1" applyAlignment="1">
      <alignment vertical="center" wrapText="1"/>
    </xf>
    <xf numFmtId="0" fontId="2" fillId="21" borderId="6" xfId="0" applyFont="1" applyFill="1" applyBorder="1" applyAlignment="1">
      <alignment horizontal="right" vertical="center" wrapText="1"/>
    </xf>
    <xf numFmtId="0" fontId="6" fillId="21" borderId="6" xfId="0" applyFont="1" applyFill="1" applyBorder="1" applyAlignment="1">
      <alignment horizontal="right" vertical="center" wrapText="1"/>
    </xf>
    <xf numFmtId="0" fontId="6" fillId="21" borderId="6" xfId="0" applyFont="1" applyFill="1" applyBorder="1" applyAlignment="1">
      <alignment vertical="center" wrapText="1"/>
    </xf>
    <xf numFmtId="0" fontId="8" fillId="21" borderId="6" xfId="0" applyFont="1" applyFill="1" applyBorder="1" applyAlignment="1">
      <alignment horizontal="right" vertical="center" wrapText="1"/>
    </xf>
    <xf numFmtId="0" fontId="2" fillId="21" borderId="5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right" vertical="center" wrapText="1"/>
    </xf>
    <xf numFmtId="0" fontId="13" fillId="13" borderId="3" xfId="0" applyFont="1" applyFill="1" applyBorder="1"/>
    <xf numFmtId="0" fontId="13" fillId="13" borderId="12" xfId="0" applyFont="1" applyFill="1" applyBorder="1" applyAlignment="1">
      <alignment vertical="center" wrapText="1"/>
    </xf>
    <xf numFmtId="0" fontId="13" fillId="13" borderId="5" xfId="0" applyFont="1" applyFill="1" applyBorder="1" applyAlignment="1">
      <alignment vertical="center" wrapText="1"/>
    </xf>
    <xf numFmtId="0" fontId="13" fillId="13" borderId="1" xfId="0" applyFont="1" applyFill="1" applyBorder="1" applyAlignment="1">
      <alignment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vertical="center" wrapText="1"/>
    </xf>
    <xf numFmtId="0" fontId="23" fillId="14" borderId="5" xfId="0" applyFont="1" applyFill="1" applyBorder="1" applyAlignment="1">
      <alignment vertical="center" wrapText="1"/>
    </xf>
    <xf numFmtId="0" fontId="23" fillId="14" borderId="1" xfId="0" applyFont="1" applyFill="1" applyBorder="1" applyAlignment="1">
      <alignment vertical="center" wrapText="1"/>
    </xf>
    <xf numFmtId="0" fontId="23" fillId="14" borderId="1" xfId="0" applyFont="1" applyFill="1" applyBorder="1" applyAlignment="1">
      <alignment horizontal="center" vertical="center" wrapText="1"/>
    </xf>
    <xf numFmtId="0" fontId="23" fillId="14" borderId="6" xfId="0" applyFont="1" applyFill="1" applyBorder="1" applyAlignment="1">
      <alignment vertical="center" wrapText="1"/>
    </xf>
    <xf numFmtId="0" fontId="23" fillId="14" borderId="6" xfId="0" applyFont="1" applyFill="1" applyBorder="1" applyAlignment="1">
      <alignment horizontal="center" vertical="center" wrapText="1"/>
    </xf>
    <xf numFmtId="0" fontId="4" fillId="13" borderId="12" xfId="0" applyFont="1" applyFill="1" applyBorder="1" applyAlignment="1">
      <alignment vertical="center" wrapText="1"/>
    </xf>
    <xf numFmtId="0" fontId="4" fillId="13" borderId="5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2" fillId="21" borderId="8" xfId="0" applyFont="1" applyFill="1" applyBorder="1" applyAlignment="1">
      <alignment horizontal="center"/>
    </xf>
    <xf numFmtId="0" fontId="2" fillId="21" borderId="13" xfId="0" applyFont="1" applyFill="1" applyBorder="1" applyAlignment="1">
      <alignment horizontal="center"/>
    </xf>
    <xf numFmtId="1" fontId="0" fillId="0" borderId="0" xfId="0" applyNumberFormat="1" applyBorder="1"/>
    <xf numFmtId="1" fontId="0" fillId="0" borderId="13" xfId="0" applyNumberFormat="1" applyBorder="1"/>
    <xf numFmtId="0" fontId="2" fillId="0" borderId="3" xfId="0" applyFont="1" applyBorder="1"/>
    <xf numFmtId="0" fontId="2" fillId="5" borderId="9" xfId="0" applyFont="1" applyFill="1" applyBorder="1" applyAlignment="1">
      <alignment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vertical="center" wrapText="1"/>
    </xf>
    <xf numFmtId="0" fontId="2" fillId="6" borderId="21" xfId="0" applyFont="1" applyFill="1" applyBorder="1" applyAlignment="1">
      <alignment horizontal="right" vertical="center" wrapText="1"/>
    </xf>
    <xf numFmtId="0" fontId="2" fillId="4" borderId="12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right" vertical="center" wrapText="1"/>
    </xf>
    <xf numFmtId="0" fontId="24" fillId="7" borderId="17" xfId="0" applyFont="1" applyFill="1" applyBorder="1" applyAlignment="1">
      <alignment horizontal="center" vertical="center" wrapText="1"/>
    </xf>
    <xf numFmtId="0" fontId="11" fillId="0" borderId="0" xfId="0" applyFont="1"/>
    <xf numFmtId="0" fontId="24" fillId="4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5" fillId="7" borderId="17" xfId="0" applyFont="1" applyFill="1" applyBorder="1" applyAlignment="1">
      <alignment horizontal="center" vertical="center" wrapText="1"/>
    </xf>
    <xf numFmtId="0" fontId="25" fillId="7" borderId="19" xfId="0" applyFont="1" applyFill="1" applyBorder="1" applyAlignment="1">
      <alignment horizontal="center" vertical="center" wrapText="1"/>
    </xf>
    <xf numFmtId="0" fontId="2" fillId="21" borderId="34" xfId="0" applyFont="1" applyFill="1" applyBorder="1" applyAlignment="1">
      <alignment horizontal="center"/>
    </xf>
    <xf numFmtId="2" fontId="0" fillId="0" borderId="22" xfId="0" applyNumberFormat="1" applyBorder="1"/>
    <xf numFmtId="2" fontId="0" fillId="0" borderId="4" xfId="0" applyNumberFormat="1" applyBorder="1"/>
    <xf numFmtId="0" fontId="24" fillId="7" borderId="19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10" fontId="8" fillId="0" borderId="0" xfId="0" applyNumberFormat="1" applyFont="1" applyAlignment="1">
      <alignment vertical="center"/>
    </xf>
    <xf numFmtId="0" fontId="19" fillId="13" borderId="5" xfId="0" applyNumberFormat="1" applyFont="1" applyFill="1" applyBorder="1" applyAlignment="1">
      <alignment horizontal="left" vertical="center" wrapText="1"/>
    </xf>
    <xf numFmtId="0" fontId="19" fillId="13" borderId="6" xfId="0" applyFont="1" applyFill="1" applyBorder="1" applyAlignment="1">
      <alignment horizontal="left" vertical="center" wrapText="1"/>
    </xf>
    <xf numFmtId="1" fontId="19" fillId="13" borderId="6" xfId="0" applyNumberFormat="1" applyFont="1" applyFill="1" applyBorder="1" applyAlignment="1">
      <alignment horizontal="center" vertical="center" wrapText="1"/>
    </xf>
    <xf numFmtId="0" fontId="22" fillId="13" borderId="6" xfId="0" applyFont="1" applyFill="1" applyBorder="1" applyAlignment="1">
      <alignment horizontal="center" vertical="center" wrapText="1"/>
    </xf>
    <xf numFmtId="0" fontId="22" fillId="13" borderId="1" xfId="0" applyFont="1" applyFill="1" applyBorder="1"/>
    <xf numFmtId="1" fontId="22" fillId="13" borderId="6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/>
    <xf numFmtId="49" fontId="22" fillId="13" borderId="1" xfId="0" applyNumberFormat="1" applyFont="1" applyFill="1" applyBorder="1" applyAlignment="1">
      <alignment horizontal="right"/>
    </xf>
    <xf numFmtId="0" fontId="19" fillId="15" borderId="6" xfId="0" applyFont="1" applyFill="1" applyBorder="1" applyAlignment="1">
      <alignment vertical="center" wrapText="1"/>
    </xf>
    <xf numFmtId="0" fontId="27" fillId="13" borderId="5" xfId="0" applyNumberFormat="1" applyFont="1" applyFill="1" applyBorder="1" applyAlignment="1">
      <alignment horizontal="left" vertical="center" wrapText="1"/>
    </xf>
    <xf numFmtId="0" fontId="27" fillId="13" borderId="6" xfId="0" applyFont="1" applyFill="1" applyBorder="1" applyAlignment="1">
      <alignment horizontal="left" vertical="center" wrapText="1"/>
    </xf>
    <xf numFmtId="0" fontId="27" fillId="13" borderId="6" xfId="0" applyFont="1" applyFill="1" applyBorder="1" applyAlignment="1">
      <alignment vertical="center" wrapText="1"/>
    </xf>
    <xf numFmtId="0" fontId="27" fillId="15" borderId="5" xfId="0" applyNumberFormat="1" applyFont="1" applyFill="1" applyBorder="1" applyAlignment="1">
      <alignment horizontal="left" vertical="center" wrapText="1"/>
    </xf>
    <xf numFmtId="0" fontId="27" fillId="15" borderId="6" xfId="0" applyFont="1" applyFill="1" applyBorder="1" applyAlignment="1">
      <alignment horizontal="left" vertical="center" wrapText="1"/>
    </xf>
    <xf numFmtId="0" fontId="27" fillId="15" borderId="6" xfId="0" applyFont="1" applyFill="1" applyBorder="1" applyAlignment="1">
      <alignment vertical="center" wrapText="1"/>
    </xf>
    <xf numFmtId="17" fontId="19" fillId="15" borderId="5" xfId="0" applyNumberFormat="1" applyFont="1" applyFill="1" applyBorder="1" applyAlignment="1">
      <alignment horizontal="left" vertical="center" wrapText="1"/>
    </xf>
    <xf numFmtId="0" fontId="19" fillId="15" borderId="6" xfId="0" applyFont="1" applyFill="1" applyBorder="1" applyAlignment="1">
      <alignment horizontal="left" vertical="center" wrapText="1"/>
    </xf>
    <xf numFmtId="0" fontId="19" fillId="15" borderId="5" xfId="0" applyNumberFormat="1" applyFont="1" applyFill="1" applyBorder="1" applyAlignment="1">
      <alignment horizontal="left" vertical="center" wrapText="1"/>
    </xf>
    <xf numFmtId="0" fontId="19" fillId="15" borderId="6" xfId="0" applyFont="1" applyFill="1" applyBorder="1" applyAlignment="1">
      <alignment horizontal="center" vertical="center" wrapText="1"/>
    </xf>
    <xf numFmtId="1" fontId="19" fillId="15" borderId="6" xfId="0" applyNumberFormat="1" applyFont="1" applyFill="1" applyBorder="1" applyAlignment="1">
      <alignment horizontal="center" vertical="center" wrapText="1"/>
    </xf>
    <xf numFmtId="1" fontId="22" fillId="15" borderId="6" xfId="0" applyNumberFormat="1" applyFont="1" applyFill="1" applyBorder="1" applyAlignment="1">
      <alignment horizontal="center" vertical="center" wrapText="1"/>
    </xf>
    <xf numFmtId="0" fontId="22" fillId="15" borderId="6" xfId="0" applyFont="1" applyFill="1" applyBorder="1" applyAlignment="1">
      <alignment horizontal="center" vertical="center" wrapText="1"/>
    </xf>
    <xf numFmtId="0" fontId="22" fillId="15" borderId="1" xfId="0" applyFont="1" applyFill="1" applyBorder="1"/>
    <xf numFmtId="49" fontId="22" fillId="15" borderId="1" xfId="0" applyNumberFormat="1" applyFont="1" applyFill="1" applyBorder="1" applyAlignment="1">
      <alignment horizontal="right"/>
    </xf>
    <xf numFmtId="0" fontId="22" fillId="15" borderId="2" xfId="0" applyFont="1" applyFill="1" applyBorder="1"/>
    <xf numFmtId="0" fontId="22" fillId="15" borderId="3" xfId="0" applyFont="1" applyFill="1" applyBorder="1"/>
    <xf numFmtId="0" fontId="22" fillId="15" borderId="1" xfId="0" applyFont="1" applyFill="1" applyBorder="1" applyAlignment="1">
      <alignment horizontal="center"/>
    </xf>
    <xf numFmtId="49" fontId="19" fillId="15" borderId="1" xfId="0" applyNumberFormat="1" applyFont="1" applyFill="1" applyBorder="1" applyAlignment="1">
      <alignment horizontal="right"/>
    </xf>
    <xf numFmtId="0" fontId="26" fillId="15" borderId="6" xfId="0" applyFont="1" applyFill="1" applyBorder="1" applyAlignment="1">
      <alignment horizontal="center" vertical="center" wrapText="1"/>
    </xf>
    <xf numFmtId="1" fontId="26" fillId="15" borderId="6" xfId="0" applyNumberFormat="1" applyFont="1" applyFill="1" applyBorder="1" applyAlignment="1">
      <alignment horizontal="center" vertical="center" wrapText="1"/>
    </xf>
    <xf numFmtId="0" fontId="27" fillId="15" borderId="6" xfId="0" applyFont="1" applyFill="1" applyBorder="1" applyAlignment="1">
      <alignment horizontal="center" vertical="center" wrapText="1"/>
    </xf>
    <xf numFmtId="0" fontId="26" fillId="15" borderId="7" xfId="0" applyFont="1" applyFill="1" applyBorder="1"/>
    <xf numFmtId="0" fontId="26" fillId="15" borderId="2" xfId="0" applyFont="1" applyFill="1" applyBorder="1"/>
    <xf numFmtId="0" fontId="26" fillId="15" borderId="1" xfId="0" applyFont="1" applyFill="1" applyBorder="1"/>
    <xf numFmtId="0" fontId="26" fillId="15" borderId="3" xfId="0" applyFont="1" applyFill="1" applyBorder="1"/>
    <xf numFmtId="0" fontId="26" fillId="15" borderId="4" xfId="0" applyFont="1" applyFill="1" applyBorder="1"/>
    <xf numFmtId="1" fontId="27" fillId="15" borderId="6" xfId="0" applyNumberFormat="1" applyFont="1" applyFill="1" applyBorder="1" applyAlignment="1">
      <alignment horizontal="center" vertical="center" wrapText="1"/>
    </xf>
    <xf numFmtId="0" fontId="26" fillId="13" borderId="6" xfId="0" applyFont="1" applyFill="1" applyBorder="1" applyAlignment="1">
      <alignment horizontal="center" vertical="center" wrapText="1"/>
    </xf>
    <xf numFmtId="1" fontId="26" fillId="13" borderId="6" xfId="0" applyNumberFormat="1" applyFont="1" applyFill="1" applyBorder="1" applyAlignment="1">
      <alignment horizontal="center" vertical="center" wrapText="1"/>
    </xf>
    <xf numFmtId="0" fontId="26" fillId="13" borderId="1" xfId="0" applyFont="1" applyFill="1" applyBorder="1"/>
    <xf numFmtId="0" fontId="26" fillId="13" borderId="2" xfId="0" applyFont="1" applyFill="1" applyBorder="1"/>
    <xf numFmtId="0" fontId="26" fillId="13" borderId="3" xfId="0" applyFont="1" applyFill="1" applyBorder="1"/>
    <xf numFmtId="0" fontId="26" fillId="13" borderId="4" xfId="0" applyFont="1" applyFill="1" applyBorder="1"/>
    <xf numFmtId="0" fontId="22" fillId="13" borderId="7" xfId="0" applyFont="1" applyFill="1" applyBorder="1"/>
    <xf numFmtId="0" fontId="27" fillId="13" borderId="6" xfId="0" applyFont="1" applyFill="1" applyBorder="1" applyAlignment="1">
      <alignment horizontal="center" vertical="center" wrapText="1"/>
    </xf>
    <xf numFmtId="1" fontId="27" fillId="13" borderId="6" xfId="0" applyNumberFormat="1" applyFont="1" applyFill="1" applyBorder="1" applyAlignment="1">
      <alignment horizontal="center" vertical="center" wrapText="1"/>
    </xf>
    <xf numFmtId="0" fontId="22" fillId="13" borderId="5" xfId="0" applyFont="1" applyFill="1" applyBorder="1" applyAlignment="1">
      <alignment horizontal="center"/>
    </xf>
    <xf numFmtId="0" fontId="22" fillId="13" borderId="12" xfId="0" applyFont="1" applyFill="1" applyBorder="1"/>
    <xf numFmtId="0" fontId="22" fillId="13" borderId="5" xfId="0" applyFont="1" applyFill="1" applyBorder="1"/>
    <xf numFmtId="0" fontId="22" fillId="13" borderId="13" xfId="0" applyFont="1" applyFill="1" applyBorder="1"/>
    <xf numFmtId="0" fontId="19" fillId="15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19" fillId="25" borderId="1" xfId="0" applyFont="1" applyFill="1" applyBorder="1" applyAlignment="1">
      <alignment horizontal="center" vertical="center" wrapText="1"/>
    </xf>
    <xf numFmtId="0" fontId="6" fillId="25" borderId="1" xfId="0" applyFont="1" applyFill="1" applyBorder="1" applyAlignment="1">
      <alignment horizontal="center" vertical="center" wrapText="1"/>
    </xf>
    <xf numFmtId="0" fontId="6" fillId="25" borderId="4" xfId="0" applyFont="1" applyFill="1" applyBorder="1" applyAlignment="1">
      <alignment horizontal="center" vertical="center" wrapText="1"/>
    </xf>
    <xf numFmtId="0" fontId="27" fillId="15" borderId="1" xfId="0" applyFont="1" applyFill="1" applyBorder="1"/>
    <xf numFmtId="49" fontId="27" fillId="15" borderId="5" xfId="0" applyNumberFormat="1" applyFont="1" applyFill="1" applyBorder="1" applyAlignment="1">
      <alignment horizontal="right"/>
    </xf>
    <xf numFmtId="0" fontId="26" fillId="15" borderId="12" xfId="0" applyFont="1" applyFill="1" applyBorder="1"/>
    <xf numFmtId="0" fontId="26" fillId="15" borderId="5" xfId="0" applyFont="1" applyFill="1" applyBorder="1"/>
    <xf numFmtId="0" fontId="19" fillId="25" borderId="4" xfId="0" applyFont="1" applyFill="1" applyBorder="1" applyAlignment="1">
      <alignment horizontal="center" vertical="center" wrapText="1"/>
    </xf>
    <xf numFmtId="0" fontId="19" fillId="15" borderId="4" xfId="0" applyFont="1" applyFill="1" applyBorder="1" applyAlignment="1">
      <alignment horizontal="center" vertical="center" wrapText="1"/>
    </xf>
    <xf numFmtId="0" fontId="28" fillId="13" borderId="4" xfId="0" applyFont="1" applyFill="1" applyBorder="1" applyAlignment="1">
      <alignment horizontal="center" vertical="center" wrapText="1"/>
    </xf>
    <xf numFmtId="0" fontId="28" fillId="13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4" fillId="4" borderId="0" xfId="0" applyFont="1" applyFill="1" applyBorder="1"/>
    <xf numFmtId="0" fontId="13" fillId="4" borderId="0" xfId="0" applyFont="1" applyFill="1" applyBorder="1"/>
    <xf numFmtId="0" fontId="28" fillId="25" borderId="1" xfId="0" applyFont="1" applyFill="1" applyBorder="1" applyAlignment="1">
      <alignment horizontal="center" vertical="center" wrapText="1"/>
    </xf>
    <xf numFmtId="0" fontId="28" fillId="25" borderId="4" xfId="0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horizontal="center" vertical="center" wrapText="1"/>
    </xf>
    <xf numFmtId="0" fontId="28" fillId="15" borderId="4" xfId="0" applyFont="1" applyFill="1" applyBorder="1" applyAlignment="1">
      <alignment horizontal="center" vertical="center" wrapText="1"/>
    </xf>
    <xf numFmtId="0" fontId="6" fillId="25" borderId="0" xfId="0" applyFont="1" applyFill="1"/>
    <xf numFmtId="0" fontId="19" fillId="25" borderId="0" xfId="0" applyFont="1" applyFill="1"/>
    <xf numFmtId="0" fontId="28" fillId="25" borderId="0" xfId="0" applyFont="1" applyFill="1"/>
    <xf numFmtId="0" fontId="28" fillId="25" borderId="2" xfId="0" applyFont="1" applyFill="1" applyBorder="1" applyAlignment="1">
      <alignment horizontal="left" vertical="center" wrapText="1"/>
    </xf>
    <xf numFmtId="0" fontId="13" fillId="4" borderId="10" xfId="0" applyFont="1" applyFill="1" applyBorder="1"/>
    <xf numFmtId="0" fontId="0" fillId="0" borderId="10" xfId="0" applyFont="1" applyBorder="1"/>
    <xf numFmtId="0" fontId="13" fillId="4" borderId="1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vertical="center" wrapText="1"/>
    </xf>
    <xf numFmtId="0" fontId="0" fillId="4" borderId="0" xfId="0" applyFont="1" applyFill="1" applyBorder="1"/>
    <xf numFmtId="0" fontId="2" fillId="4" borderId="0" xfId="0" applyFont="1" applyFill="1" applyBorder="1"/>
    <xf numFmtId="0" fontId="27" fillId="25" borderId="4" xfId="0" applyFont="1" applyFill="1" applyBorder="1" applyAlignment="1">
      <alignment horizontal="center" vertical="center" wrapText="1"/>
    </xf>
    <xf numFmtId="0" fontId="27" fillId="25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7" fillId="25" borderId="0" xfId="0" applyFont="1" applyFill="1"/>
    <xf numFmtId="0" fontId="27" fillId="15" borderId="4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0" fontId="19" fillId="25" borderId="3" xfId="0" applyFont="1" applyFill="1" applyBorder="1" applyAlignment="1">
      <alignment horizontal="left" vertical="center" wrapText="1"/>
    </xf>
    <xf numFmtId="0" fontId="19" fillId="25" borderId="4" xfId="0" applyFont="1" applyFill="1" applyBorder="1" applyAlignment="1">
      <alignment horizontal="left" vertical="center" wrapText="1"/>
    </xf>
    <xf numFmtId="0" fontId="19" fillId="13" borderId="3" xfId="0" applyFont="1" applyFill="1" applyBorder="1"/>
    <xf numFmtId="0" fontId="19" fillId="4" borderId="0" xfId="0" applyFont="1" applyFill="1"/>
    <xf numFmtId="0" fontId="27" fillId="4" borderId="0" xfId="0" applyFont="1" applyFill="1"/>
    <xf numFmtId="0" fontId="28" fillId="4" borderId="0" xfId="0" applyFont="1" applyFill="1"/>
    <xf numFmtId="0" fontId="6" fillId="4" borderId="0" xfId="0" applyFont="1" applyFill="1"/>
    <xf numFmtId="0" fontId="14" fillId="8" borderId="1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17" fillId="13" borderId="3" xfId="0" applyFont="1" applyFill="1" applyBorder="1"/>
    <xf numFmtId="0" fontId="18" fillId="13" borderId="0" xfId="0" applyFont="1" applyFill="1"/>
    <xf numFmtId="0" fontId="17" fillId="13" borderId="0" xfId="0" applyFont="1" applyFill="1"/>
    <xf numFmtId="0" fontId="17" fillId="13" borderId="4" xfId="0" applyFont="1" applyFill="1" applyBorder="1"/>
    <xf numFmtId="0" fontId="18" fillId="13" borderId="12" xfId="0" applyFont="1" applyFill="1" applyBorder="1" applyAlignment="1">
      <alignment vertical="center" wrapText="1"/>
    </xf>
    <xf numFmtId="0" fontId="18" fillId="13" borderId="5" xfId="0" applyFont="1" applyFill="1" applyBorder="1" applyAlignment="1">
      <alignment vertical="center" wrapText="1"/>
    </xf>
    <xf numFmtId="0" fontId="18" fillId="13" borderId="1" xfId="0" applyFont="1" applyFill="1" applyBorder="1" applyAlignment="1">
      <alignment vertical="center" wrapText="1"/>
    </xf>
    <xf numFmtId="0" fontId="18" fillId="13" borderId="1" xfId="0" applyFont="1" applyFill="1" applyBorder="1" applyAlignment="1">
      <alignment horizontal="center" vertical="center" wrapText="1"/>
    </xf>
    <xf numFmtId="0" fontId="18" fillId="13" borderId="6" xfId="0" applyFont="1" applyFill="1" applyBorder="1" applyAlignment="1">
      <alignment horizontal="center" vertical="center" wrapText="1"/>
    </xf>
    <xf numFmtId="0" fontId="17" fillId="13" borderId="8" xfId="0" applyFont="1" applyFill="1" applyBorder="1"/>
    <xf numFmtId="49" fontId="17" fillId="13" borderId="8" xfId="0" applyNumberFormat="1" applyFont="1" applyFill="1" applyBorder="1"/>
    <xf numFmtId="0" fontId="17" fillId="13" borderId="9" xfId="0" applyFont="1" applyFill="1" applyBorder="1"/>
    <xf numFmtId="0" fontId="17" fillId="13" borderId="10" xfId="0" applyFont="1" applyFill="1" applyBorder="1"/>
    <xf numFmtId="0" fontId="16" fillId="13" borderId="1" xfId="0" applyFont="1" applyFill="1" applyBorder="1"/>
    <xf numFmtId="0" fontId="16" fillId="13" borderId="2" xfId="0" applyFont="1" applyFill="1" applyBorder="1"/>
    <xf numFmtId="0" fontId="16" fillId="13" borderId="3" xfId="0" applyFont="1" applyFill="1" applyBorder="1"/>
    <xf numFmtId="0" fontId="15" fillId="13" borderId="3" xfId="0" applyFont="1" applyFill="1" applyBorder="1"/>
    <xf numFmtId="0" fontId="16" fillId="13" borderId="0" xfId="0" applyFont="1" applyFill="1"/>
    <xf numFmtId="0" fontId="15" fillId="13" borderId="0" xfId="0" applyFont="1" applyFill="1"/>
    <xf numFmtId="0" fontId="15" fillId="13" borderId="4" xfId="0" applyFont="1" applyFill="1" applyBorder="1"/>
    <xf numFmtId="0" fontId="16" fillId="13" borderId="12" xfId="0" applyFont="1" applyFill="1" applyBorder="1" applyAlignment="1">
      <alignment vertical="center" wrapText="1"/>
    </xf>
    <xf numFmtId="0" fontId="16" fillId="13" borderId="5" xfId="0" applyFont="1" applyFill="1" applyBorder="1" applyAlignment="1">
      <alignment vertical="center" wrapText="1"/>
    </xf>
    <xf numFmtId="0" fontId="16" fillId="13" borderId="1" xfId="0" applyFont="1" applyFill="1" applyBorder="1" applyAlignment="1">
      <alignment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5" fillId="13" borderId="8" xfId="0" applyFont="1" applyFill="1" applyBorder="1"/>
    <xf numFmtId="49" fontId="15" fillId="13" borderId="8" xfId="0" applyNumberFormat="1" applyFont="1" applyFill="1" applyBorder="1"/>
    <xf numFmtId="0" fontId="15" fillId="13" borderId="9" xfId="0" applyFont="1" applyFill="1" applyBorder="1"/>
    <xf numFmtId="0" fontId="15" fillId="13" borderId="10" xfId="0" applyFont="1" applyFill="1" applyBorder="1"/>
    <xf numFmtId="0" fontId="13" fillId="10" borderId="3" xfId="0" applyFont="1" applyFill="1" applyBorder="1"/>
    <xf numFmtId="0" fontId="0" fillId="4" borderId="0" xfId="0" applyFill="1"/>
    <xf numFmtId="0" fontId="22" fillId="13" borderId="1" xfId="0" applyFont="1" applyFill="1" applyBorder="1" applyAlignment="1">
      <alignment horizontal="center"/>
    </xf>
    <xf numFmtId="17" fontId="19" fillId="13" borderId="5" xfId="0" applyNumberFormat="1" applyFont="1" applyFill="1" applyBorder="1" applyAlignment="1">
      <alignment horizontal="left" vertical="center" wrapText="1"/>
    </xf>
    <xf numFmtId="0" fontId="19" fillId="15" borderId="1" xfId="0" applyFont="1" applyFill="1" applyBorder="1"/>
    <xf numFmtId="0" fontId="5" fillId="13" borderId="4" xfId="0" applyFont="1" applyFill="1" applyBorder="1"/>
    <xf numFmtId="0" fontId="19" fillId="11" borderId="6" xfId="0" applyFont="1" applyFill="1" applyBorder="1" applyAlignment="1">
      <alignment vertical="center" wrapText="1"/>
    </xf>
    <xf numFmtId="0" fontId="22" fillId="15" borderId="7" xfId="0" applyFont="1" applyFill="1" applyBorder="1"/>
    <xf numFmtId="0" fontId="22" fillId="15" borderId="5" xfId="0" applyFont="1" applyFill="1" applyBorder="1" applyAlignment="1">
      <alignment horizontal="center"/>
    </xf>
    <xf numFmtId="0" fontId="22" fillId="15" borderId="12" xfId="0" applyFont="1" applyFill="1" applyBorder="1"/>
    <xf numFmtId="0" fontId="22" fillId="15" borderId="5" xfId="0" applyFont="1" applyFill="1" applyBorder="1"/>
    <xf numFmtId="0" fontId="22" fillId="15" borderId="13" xfId="0" applyFont="1" applyFill="1" applyBorder="1"/>
    <xf numFmtId="0" fontId="19" fillId="11" borderId="5" xfId="0" applyNumberFormat="1" applyFont="1" applyFill="1" applyBorder="1" applyAlignment="1">
      <alignment horizontal="left" vertical="center" wrapText="1"/>
    </xf>
    <xf numFmtId="0" fontId="19" fillId="11" borderId="6" xfId="0" applyFont="1" applyFill="1" applyBorder="1" applyAlignment="1">
      <alignment horizontal="left" vertical="center" wrapText="1"/>
    </xf>
    <xf numFmtId="0" fontId="19" fillId="11" borderId="6" xfId="0" applyFont="1" applyFill="1" applyBorder="1" applyAlignment="1">
      <alignment horizontal="center" vertical="center" wrapText="1"/>
    </xf>
    <xf numFmtId="1" fontId="19" fillId="11" borderId="6" xfId="0" applyNumberFormat="1" applyFont="1" applyFill="1" applyBorder="1" applyAlignment="1">
      <alignment horizontal="center" vertical="center" wrapText="1"/>
    </xf>
    <xf numFmtId="1" fontId="22" fillId="11" borderId="6" xfId="0" applyNumberFormat="1" applyFont="1" applyFill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 wrapText="1"/>
    </xf>
    <xf numFmtId="0" fontId="22" fillId="11" borderId="1" xfId="0" applyFont="1" applyFill="1" applyBorder="1"/>
    <xf numFmtId="0" fontId="22" fillId="11" borderId="2" xfId="0" applyFont="1" applyFill="1" applyBorder="1"/>
    <xf numFmtId="0" fontId="22" fillId="11" borderId="3" xfId="0" applyFont="1" applyFill="1" applyBorder="1"/>
    <xf numFmtId="0" fontId="22" fillId="11" borderId="4" xfId="0" applyFont="1" applyFill="1" applyBorder="1"/>
    <xf numFmtId="17" fontId="27" fillId="15" borderId="5" xfId="0" applyNumberFormat="1" applyFont="1" applyFill="1" applyBorder="1" applyAlignment="1">
      <alignment horizontal="left" vertical="center" wrapText="1"/>
    </xf>
    <xf numFmtId="0" fontId="19" fillId="13" borderId="4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29" fillId="15" borderId="5" xfId="0" applyNumberFormat="1" applyFont="1" applyFill="1" applyBorder="1" applyAlignment="1">
      <alignment horizontal="left" vertical="center" wrapText="1"/>
    </xf>
    <xf numFmtId="0" fontId="29" fillId="15" borderId="6" xfId="0" applyFont="1" applyFill="1" applyBorder="1" applyAlignment="1">
      <alignment horizontal="left" vertical="center" wrapText="1"/>
    </xf>
    <xf numFmtId="0" fontId="29" fillId="11" borderId="6" xfId="0" applyFont="1" applyFill="1" applyBorder="1" applyAlignment="1">
      <alignment vertical="center" wrapText="1"/>
    </xf>
    <xf numFmtId="0" fontId="29" fillId="15" borderId="6" xfId="0" applyFont="1" applyFill="1" applyBorder="1" applyAlignment="1">
      <alignment horizontal="center" vertical="center" wrapText="1"/>
    </xf>
    <xf numFmtId="1" fontId="29" fillId="15" borderId="6" xfId="0" applyNumberFormat="1" applyFont="1" applyFill="1" applyBorder="1" applyAlignment="1">
      <alignment horizontal="center" vertical="center" wrapText="1"/>
    </xf>
    <xf numFmtId="1" fontId="30" fillId="15" borderId="6" xfId="0" applyNumberFormat="1" applyFont="1" applyFill="1" applyBorder="1" applyAlignment="1">
      <alignment horizontal="center" vertical="center" wrapText="1"/>
    </xf>
    <xf numFmtId="0" fontId="30" fillId="15" borderId="6" xfId="0" applyFont="1" applyFill="1" applyBorder="1" applyAlignment="1">
      <alignment horizontal="center" vertical="center" wrapText="1"/>
    </xf>
    <xf numFmtId="0" fontId="30" fillId="15" borderId="1" xfId="0" applyFont="1" applyFill="1" applyBorder="1"/>
    <xf numFmtId="0" fontId="30" fillId="15" borderId="2" xfId="0" applyFont="1" applyFill="1" applyBorder="1"/>
    <xf numFmtId="0" fontId="30" fillId="15" borderId="3" xfId="0" applyFont="1" applyFill="1" applyBorder="1"/>
    <xf numFmtId="0" fontId="30" fillId="15" borderId="4" xfId="0" applyFont="1" applyFill="1" applyBorder="1"/>
    <xf numFmtId="0" fontId="29" fillId="13" borderId="5" xfId="0" applyNumberFormat="1" applyFont="1" applyFill="1" applyBorder="1" applyAlignment="1">
      <alignment horizontal="left" vertical="center" wrapText="1"/>
    </xf>
    <xf numFmtId="0" fontId="29" fillId="13" borderId="6" xfId="0" applyFont="1" applyFill="1" applyBorder="1" applyAlignment="1">
      <alignment horizontal="left" vertical="center" wrapText="1"/>
    </xf>
    <xf numFmtId="0" fontId="29" fillId="13" borderId="6" xfId="0" applyFont="1" applyFill="1" applyBorder="1" applyAlignment="1">
      <alignment vertical="center" wrapText="1"/>
    </xf>
    <xf numFmtId="0" fontId="29" fillId="13" borderId="6" xfId="0" applyFont="1" applyFill="1" applyBorder="1" applyAlignment="1">
      <alignment horizontal="center" vertical="center" wrapText="1"/>
    </xf>
    <xf numFmtId="1" fontId="29" fillId="13" borderId="6" xfId="0" applyNumberFormat="1" applyFont="1" applyFill="1" applyBorder="1" applyAlignment="1">
      <alignment horizontal="center" vertical="center" wrapText="1"/>
    </xf>
    <xf numFmtId="1" fontId="30" fillId="13" borderId="6" xfId="0" applyNumberFormat="1" applyFont="1" applyFill="1" applyBorder="1" applyAlignment="1">
      <alignment horizontal="center" vertical="center" wrapText="1"/>
    </xf>
    <xf numFmtId="0" fontId="30" fillId="13" borderId="6" xfId="0" applyFont="1" applyFill="1" applyBorder="1" applyAlignment="1">
      <alignment horizontal="center" vertical="center" wrapText="1"/>
    </xf>
    <xf numFmtId="0" fontId="30" fillId="13" borderId="1" xfId="0" applyFont="1" applyFill="1" applyBorder="1"/>
    <xf numFmtId="49" fontId="30" fillId="13" borderId="1" xfId="0" applyNumberFormat="1" applyFont="1" applyFill="1" applyBorder="1" applyAlignment="1">
      <alignment horizontal="right"/>
    </xf>
    <xf numFmtId="0" fontId="30" fillId="13" borderId="2" xfId="0" applyFont="1" applyFill="1" applyBorder="1"/>
    <xf numFmtId="0" fontId="30" fillId="13" borderId="3" xfId="0" applyFont="1" applyFill="1" applyBorder="1"/>
    <xf numFmtId="0" fontId="30" fillId="13" borderId="4" xfId="0" applyFont="1" applyFill="1" applyBorder="1"/>
    <xf numFmtId="0" fontId="29" fillId="15" borderId="6" xfId="0" applyFont="1" applyFill="1" applyBorder="1" applyAlignment="1">
      <alignment vertical="center" wrapText="1"/>
    </xf>
    <xf numFmtId="0" fontId="29" fillId="15" borderId="1" xfId="0" applyFont="1" applyFill="1" applyBorder="1"/>
    <xf numFmtId="49" fontId="29" fillId="13" borderId="1" xfId="0" applyNumberFormat="1" applyFont="1" applyFill="1" applyBorder="1" applyAlignment="1">
      <alignment horizontal="right"/>
    </xf>
    <xf numFmtId="0" fontId="29" fillId="25" borderId="4" xfId="0" applyFont="1" applyFill="1" applyBorder="1" applyAlignment="1">
      <alignment horizontal="center" vertical="center" wrapText="1"/>
    </xf>
    <xf numFmtId="0" fontId="30" fillId="0" borderId="0" xfId="0" applyFont="1"/>
    <xf numFmtId="0" fontId="29" fillId="4" borderId="0" xfId="0" applyFont="1" applyFill="1"/>
    <xf numFmtId="0" fontId="29" fillId="25" borderId="0" xfId="0" applyFont="1" applyFill="1"/>
    <xf numFmtId="0" fontId="29" fillId="25" borderId="1" xfId="0" applyFont="1" applyFill="1" applyBorder="1" applyAlignment="1">
      <alignment horizontal="center" vertical="center" wrapText="1"/>
    </xf>
    <xf numFmtId="0" fontId="29" fillId="15" borderId="4" xfId="0" applyFont="1" applyFill="1" applyBorder="1" applyAlignment="1">
      <alignment horizontal="center" vertical="center" wrapText="1"/>
    </xf>
    <xf numFmtId="0" fontId="29" fillId="13" borderId="4" xfId="0" applyFont="1" applyFill="1" applyBorder="1" applyAlignment="1">
      <alignment horizontal="center" vertical="center" wrapText="1"/>
    </xf>
    <xf numFmtId="17" fontId="29" fillId="13" borderId="5" xfId="0" applyNumberFormat="1" applyFont="1" applyFill="1" applyBorder="1" applyAlignment="1">
      <alignment horizontal="left" vertical="center" wrapText="1"/>
    </xf>
    <xf numFmtId="0" fontId="31" fillId="13" borderId="1" xfId="0" applyFont="1" applyFill="1" applyBorder="1"/>
    <xf numFmtId="0" fontId="31" fillId="13" borderId="2" xfId="0" applyFont="1" applyFill="1" applyBorder="1"/>
    <xf numFmtId="0" fontId="31" fillId="13" borderId="3" xfId="0" applyFont="1" applyFill="1" applyBorder="1"/>
    <xf numFmtId="0" fontId="31" fillId="13" borderId="0" xfId="0" applyFont="1" applyFill="1"/>
    <xf numFmtId="0" fontId="11" fillId="13" borderId="0" xfId="0" applyFont="1" applyFill="1"/>
    <xf numFmtId="0" fontId="11" fillId="13" borderId="3" xfId="0" applyFont="1" applyFill="1" applyBorder="1"/>
    <xf numFmtId="0" fontId="11" fillId="13" borderId="4" xfId="0" applyFont="1" applyFill="1" applyBorder="1"/>
    <xf numFmtId="0" fontId="31" fillId="13" borderId="12" xfId="0" applyFont="1" applyFill="1" applyBorder="1" applyAlignment="1">
      <alignment vertical="center" wrapText="1"/>
    </xf>
    <xf numFmtId="0" fontId="31" fillId="13" borderId="5" xfId="0" applyFont="1" applyFill="1" applyBorder="1" applyAlignment="1">
      <alignment vertical="center" wrapText="1"/>
    </xf>
    <xf numFmtId="0" fontId="31" fillId="13" borderId="1" xfId="0" applyFont="1" applyFill="1" applyBorder="1" applyAlignment="1">
      <alignment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11" fillId="13" borderId="8" xfId="0" applyFont="1" applyFill="1" applyBorder="1"/>
    <xf numFmtId="49" fontId="11" fillId="13" borderId="8" xfId="0" applyNumberFormat="1" applyFont="1" applyFill="1" applyBorder="1"/>
    <xf numFmtId="0" fontId="11" fillId="13" borderId="9" xfId="0" applyFont="1" applyFill="1" applyBorder="1"/>
    <xf numFmtId="0" fontId="11" fillId="13" borderId="10" xfId="0" applyFont="1" applyFill="1" applyBorder="1"/>
    <xf numFmtId="0" fontId="29" fillId="13" borderId="1" xfId="0" applyFont="1" applyFill="1" applyBorder="1"/>
    <xf numFmtId="0" fontId="26" fillId="13" borderId="7" xfId="0" applyFont="1" applyFill="1" applyBorder="1"/>
    <xf numFmtId="0" fontId="27" fillId="13" borderId="1" xfId="0" applyFont="1" applyFill="1" applyBorder="1"/>
    <xf numFmtId="0" fontId="26" fillId="13" borderId="12" xfId="0" applyFont="1" applyFill="1" applyBorder="1"/>
    <xf numFmtId="0" fontId="26" fillId="13" borderId="5" xfId="0" applyFont="1" applyFill="1" applyBorder="1"/>
    <xf numFmtId="0" fontId="32" fillId="13" borderId="6" xfId="0" applyFont="1" applyFill="1" applyBorder="1" applyAlignment="1">
      <alignment vertical="center" wrapText="1"/>
    </xf>
    <xf numFmtId="0" fontId="32" fillId="13" borderId="5" xfId="0" applyNumberFormat="1" applyFont="1" applyFill="1" applyBorder="1" applyAlignment="1">
      <alignment horizontal="left" vertical="center" wrapText="1"/>
    </xf>
    <xf numFmtId="0" fontId="32" fillId="13" borderId="6" xfId="0" applyFont="1" applyFill="1" applyBorder="1" applyAlignment="1">
      <alignment horizontal="left" vertical="center" wrapText="1"/>
    </xf>
    <xf numFmtId="0" fontId="32" fillId="13" borderId="6" xfId="0" applyFont="1" applyFill="1" applyBorder="1" applyAlignment="1">
      <alignment horizontal="center" vertical="center" wrapText="1"/>
    </xf>
    <xf numFmtId="1" fontId="32" fillId="13" borderId="6" xfId="0" applyNumberFormat="1" applyFont="1" applyFill="1" applyBorder="1" applyAlignment="1">
      <alignment horizontal="center" vertical="center" wrapText="1"/>
    </xf>
    <xf numFmtId="1" fontId="33" fillId="13" borderId="6" xfId="0" applyNumberFormat="1" applyFont="1" applyFill="1" applyBorder="1" applyAlignment="1">
      <alignment horizontal="center" vertical="center" wrapText="1"/>
    </xf>
    <xf numFmtId="0" fontId="33" fillId="13" borderId="6" xfId="0" applyFont="1" applyFill="1" applyBorder="1" applyAlignment="1">
      <alignment horizontal="center" vertical="center" wrapText="1"/>
    </xf>
    <xf numFmtId="0" fontId="33" fillId="13" borderId="1" xfId="0" applyFont="1" applyFill="1" applyBorder="1"/>
    <xf numFmtId="0" fontId="33" fillId="13" borderId="2" xfId="0" applyFont="1" applyFill="1" applyBorder="1"/>
    <xf numFmtId="0" fontId="33" fillId="13" borderId="3" xfId="0" applyFont="1" applyFill="1" applyBorder="1"/>
    <xf numFmtId="0" fontId="33" fillId="13" borderId="4" xfId="0" applyFont="1" applyFill="1" applyBorder="1"/>
    <xf numFmtId="0" fontId="33" fillId="13" borderId="7" xfId="0" applyFont="1" applyFill="1" applyBorder="1"/>
    <xf numFmtId="0" fontId="32" fillId="25" borderId="2" xfId="0" applyFont="1" applyFill="1" applyBorder="1" applyAlignment="1">
      <alignment horizontal="left" vertical="center" wrapText="1"/>
    </xf>
    <xf numFmtId="0" fontId="32" fillId="25" borderId="3" xfId="0" applyFont="1" applyFill="1" applyBorder="1" applyAlignment="1">
      <alignment horizontal="left" vertical="center" wrapText="1"/>
    </xf>
    <xf numFmtId="0" fontId="32" fillId="25" borderId="4" xfId="0" applyFont="1" applyFill="1" applyBorder="1" applyAlignment="1">
      <alignment horizontal="left" vertical="center" wrapText="1"/>
    </xf>
    <xf numFmtId="0" fontId="32" fillId="25" borderId="4" xfId="0" applyFont="1" applyFill="1" applyBorder="1" applyAlignment="1">
      <alignment horizontal="center" vertical="center" wrapText="1"/>
    </xf>
    <xf numFmtId="0" fontId="33" fillId="0" borderId="0" xfId="0" applyFont="1"/>
    <xf numFmtId="0" fontId="32" fillId="4" borderId="0" xfId="0" applyFont="1" applyFill="1"/>
    <xf numFmtId="0" fontId="32" fillId="25" borderId="0" xfId="0" applyFont="1" applyFill="1"/>
    <xf numFmtId="0" fontId="32" fillId="25" borderId="1" xfId="0" applyFont="1" applyFill="1" applyBorder="1" applyAlignment="1">
      <alignment horizontal="center" vertical="center" wrapText="1"/>
    </xf>
    <xf numFmtId="0" fontId="32" fillId="15" borderId="1" xfId="0" applyFont="1" applyFill="1" applyBorder="1" applyAlignment="1">
      <alignment horizontal="center" vertical="center" wrapText="1"/>
    </xf>
    <xf numFmtId="0" fontId="32" fillId="15" borderId="4" xfId="0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32" fillId="13" borderId="4" xfId="0" applyFont="1" applyFill="1" applyBorder="1" applyAlignment="1">
      <alignment horizontal="center" vertical="center" wrapText="1"/>
    </xf>
    <xf numFmtId="0" fontId="34" fillId="0" borderId="0" xfId="0" applyFont="1"/>
    <xf numFmtId="0" fontId="2" fillId="6" borderId="35" xfId="0" applyFont="1" applyFill="1" applyBorder="1" applyAlignment="1">
      <alignment horizontal="right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0" fillId="5" borderId="0" xfId="0" applyFill="1"/>
    <xf numFmtId="0" fontId="27" fillId="25" borderId="6" xfId="0" applyFont="1" applyFill="1" applyBorder="1" applyAlignment="1">
      <alignment horizontal="left" vertical="center" wrapText="1"/>
    </xf>
    <xf numFmtId="0" fontId="29" fillId="25" borderId="6" xfId="0" applyFont="1" applyFill="1" applyBorder="1" applyAlignment="1">
      <alignment horizontal="left" vertical="center" wrapText="1"/>
    </xf>
    <xf numFmtId="0" fontId="27" fillId="25" borderId="5" xfId="0" applyNumberFormat="1" applyFont="1" applyFill="1" applyBorder="1" applyAlignment="1">
      <alignment horizontal="left" vertical="center" wrapText="1"/>
    </xf>
    <xf numFmtId="0" fontId="27" fillId="25" borderId="6" xfId="0" applyFont="1" applyFill="1" applyBorder="1" applyAlignment="1">
      <alignment vertical="center" wrapText="1"/>
    </xf>
    <xf numFmtId="0" fontId="27" fillId="25" borderId="6" xfId="0" applyFont="1" applyFill="1" applyBorder="1" applyAlignment="1">
      <alignment horizontal="center" vertical="center" wrapText="1"/>
    </xf>
    <xf numFmtId="1" fontId="27" fillId="25" borderId="6" xfId="0" applyNumberFormat="1" applyFont="1" applyFill="1" applyBorder="1" applyAlignment="1">
      <alignment horizontal="center" vertical="center" wrapText="1"/>
    </xf>
    <xf numFmtId="1" fontId="26" fillId="25" borderId="6" xfId="0" applyNumberFormat="1" applyFont="1" applyFill="1" applyBorder="1" applyAlignment="1">
      <alignment horizontal="center" vertical="center" wrapText="1"/>
    </xf>
    <xf numFmtId="0" fontId="26" fillId="25" borderId="6" xfId="0" applyFont="1" applyFill="1" applyBorder="1" applyAlignment="1">
      <alignment horizontal="center" vertical="center" wrapText="1"/>
    </xf>
    <xf numFmtId="0" fontId="26" fillId="25" borderId="1" xfId="0" applyFont="1" applyFill="1" applyBorder="1"/>
    <xf numFmtId="0" fontId="26" fillId="25" borderId="2" xfId="0" applyFont="1" applyFill="1" applyBorder="1"/>
    <xf numFmtId="0" fontId="26" fillId="25" borderId="3" xfId="0" applyFont="1" applyFill="1" applyBorder="1"/>
    <xf numFmtId="0" fontId="26" fillId="25" borderId="4" xfId="0" applyFont="1" applyFill="1" applyBorder="1"/>
    <xf numFmtId="0" fontId="19" fillId="25" borderId="6" xfId="0" applyFont="1" applyFill="1" applyBorder="1" applyAlignment="1">
      <alignment horizontal="left" vertical="center" wrapText="1"/>
    </xf>
    <xf numFmtId="0" fontId="19" fillId="25" borderId="6" xfId="0" applyFont="1" applyFill="1" applyBorder="1" applyAlignment="1">
      <alignment vertical="center" wrapText="1"/>
    </xf>
    <xf numFmtId="0" fontId="19" fillId="25" borderId="6" xfId="0" applyFont="1" applyFill="1" applyBorder="1" applyAlignment="1">
      <alignment horizontal="center" vertical="center" wrapText="1"/>
    </xf>
    <xf numFmtId="1" fontId="19" fillId="25" borderId="6" xfId="0" applyNumberFormat="1" applyFont="1" applyFill="1" applyBorder="1" applyAlignment="1">
      <alignment horizontal="center" vertical="center" wrapText="1"/>
    </xf>
    <xf numFmtId="1" fontId="22" fillId="25" borderId="6" xfId="0" applyNumberFormat="1" applyFont="1" applyFill="1" applyBorder="1" applyAlignment="1">
      <alignment horizontal="center" vertical="center" wrapText="1"/>
    </xf>
    <xf numFmtId="0" fontId="22" fillId="25" borderId="6" xfId="0" applyFont="1" applyFill="1" applyBorder="1" applyAlignment="1">
      <alignment horizontal="center" vertical="center" wrapText="1"/>
    </xf>
    <xf numFmtId="49" fontId="22" fillId="25" borderId="5" xfId="0" applyNumberFormat="1" applyFont="1" applyFill="1" applyBorder="1" applyAlignment="1">
      <alignment horizontal="right"/>
    </xf>
    <xf numFmtId="0" fontId="22" fillId="25" borderId="12" xfId="0" applyFont="1" applyFill="1" applyBorder="1"/>
    <xf numFmtId="0" fontId="22" fillId="25" borderId="5" xfId="0" applyFont="1" applyFill="1" applyBorder="1"/>
    <xf numFmtId="0" fontId="22" fillId="25" borderId="13" xfId="0" applyFont="1" applyFill="1" applyBorder="1"/>
    <xf numFmtId="0" fontId="22" fillId="25" borderId="1" xfId="0" applyFont="1" applyFill="1" applyBorder="1"/>
    <xf numFmtId="0" fontId="22" fillId="25" borderId="4" xfId="0" applyFont="1" applyFill="1" applyBorder="1"/>
    <xf numFmtId="17" fontId="19" fillId="25" borderId="5" xfId="0" applyNumberFormat="1" applyFont="1" applyFill="1" applyBorder="1" applyAlignment="1">
      <alignment horizontal="left" vertical="center" wrapText="1"/>
    </xf>
    <xf numFmtId="0" fontId="29" fillId="25" borderId="5" xfId="0" applyNumberFormat="1" applyFont="1" applyFill="1" applyBorder="1" applyAlignment="1">
      <alignment horizontal="left" vertical="center" wrapText="1"/>
    </xf>
    <xf numFmtId="0" fontId="29" fillId="25" borderId="6" xfId="0" applyFont="1" applyFill="1" applyBorder="1" applyAlignment="1">
      <alignment vertical="center" wrapText="1"/>
    </xf>
    <xf numFmtId="0" fontId="29" fillId="25" borderId="6" xfId="0" applyFont="1" applyFill="1" applyBorder="1" applyAlignment="1">
      <alignment horizontal="center" vertical="center" wrapText="1"/>
    </xf>
    <xf numFmtId="1" fontId="29" fillId="25" borderId="6" xfId="0" applyNumberFormat="1" applyFont="1" applyFill="1" applyBorder="1" applyAlignment="1">
      <alignment horizontal="center" vertical="center" wrapText="1"/>
    </xf>
    <xf numFmtId="1" fontId="30" fillId="25" borderId="6" xfId="0" applyNumberFormat="1" applyFont="1" applyFill="1" applyBorder="1" applyAlignment="1">
      <alignment horizontal="center" vertical="center" wrapText="1"/>
    </xf>
    <xf numFmtId="0" fontId="30" fillId="25" borderId="6" xfId="0" applyFont="1" applyFill="1" applyBorder="1" applyAlignment="1">
      <alignment horizontal="center" vertical="center" wrapText="1"/>
    </xf>
    <xf numFmtId="0" fontId="30" fillId="25" borderId="1" xfId="0" applyFont="1" applyFill="1" applyBorder="1"/>
    <xf numFmtId="0" fontId="30" fillId="25" borderId="2" xfId="0" applyFont="1" applyFill="1" applyBorder="1"/>
    <xf numFmtId="0" fontId="30" fillId="25" borderId="3" xfId="0" applyFont="1" applyFill="1" applyBorder="1"/>
    <xf numFmtId="0" fontId="30" fillId="25" borderId="4" xfId="0" applyFont="1" applyFill="1" applyBorder="1"/>
    <xf numFmtId="0" fontId="2" fillId="2" borderId="0" xfId="0" applyFont="1" applyFill="1"/>
    <xf numFmtId="20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49" fontId="22" fillId="13" borderId="1" xfId="0" applyNumberFormat="1" applyFont="1" applyFill="1" applyBorder="1" applyAlignment="1">
      <alignment horizontal="center"/>
    </xf>
    <xf numFmtId="49" fontId="19" fillId="15" borderId="1" xfId="0" applyNumberFormat="1" applyFont="1" applyFill="1" applyBorder="1" applyAlignment="1">
      <alignment horizontal="center"/>
    </xf>
    <xf numFmtId="49" fontId="22" fillId="15" borderId="1" xfId="0" applyNumberFormat="1" applyFont="1" applyFill="1" applyBorder="1" applyAlignment="1">
      <alignment horizontal="center"/>
    </xf>
    <xf numFmtId="49" fontId="19" fillId="13" borderId="1" xfId="0" applyNumberFormat="1" applyFont="1" applyFill="1" applyBorder="1" applyAlignment="1">
      <alignment horizontal="center"/>
    </xf>
    <xf numFmtId="49" fontId="29" fillId="15" borderId="1" xfId="0" applyNumberFormat="1" applyFont="1" applyFill="1" applyBorder="1" applyAlignment="1">
      <alignment horizontal="center"/>
    </xf>
    <xf numFmtId="49" fontId="30" fillId="13" borderId="1" xfId="0" applyNumberFormat="1" applyFont="1" applyFill="1" applyBorder="1" applyAlignment="1">
      <alignment horizontal="center"/>
    </xf>
    <xf numFmtId="49" fontId="29" fillId="13" borderId="1" xfId="0" applyNumberFormat="1" applyFont="1" applyFill="1" applyBorder="1" applyAlignment="1">
      <alignment horizontal="center"/>
    </xf>
    <xf numFmtId="49" fontId="27" fillId="25" borderId="1" xfId="0" applyNumberFormat="1" applyFont="1" applyFill="1" applyBorder="1" applyAlignment="1">
      <alignment horizontal="center"/>
    </xf>
    <xf numFmtId="49" fontId="22" fillId="15" borderId="5" xfId="0" applyNumberFormat="1" applyFont="1" applyFill="1" applyBorder="1" applyAlignment="1">
      <alignment horizontal="center"/>
    </xf>
    <xf numFmtId="49" fontId="30" fillId="15" borderId="1" xfId="0" applyNumberFormat="1" applyFont="1" applyFill="1" applyBorder="1" applyAlignment="1">
      <alignment horizontal="center"/>
    </xf>
    <xf numFmtId="49" fontId="22" fillId="13" borderId="5" xfId="0" applyNumberFormat="1" applyFont="1" applyFill="1" applyBorder="1" applyAlignment="1">
      <alignment horizontal="center"/>
    </xf>
    <xf numFmtId="49" fontId="19" fillId="11" borderId="1" xfId="0" applyNumberFormat="1" applyFont="1" applyFill="1" applyBorder="1" applyAlignment="1">
      <alignment horizontal="center"/>
    </xf>
    <xf numFmtId="49" fontId="22" fillId="11" borderId="1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1" fontId="6" fillId="26" borderId="5" xfId="0" applyNumberFormat="1" applyFont="1" applyFill="1" applyBorder="1" applyAlignment="1">
      <alignment horizontal="left" vertical="center" wrapText="1"/>
    </xf>
    <xf numFmtId="0" fontId="6" fillId="26" borderId="6" xfId="0" applyFont="1" applyFill="1" applyBorder="1" applyAlignment="1">
      <alignment vertical="center" wrapText="1"/>
    </xf>
    <xf numFmtId="0" fontId="8" fillId="26" borderId="6" xfId="0" applyFont="1" applyFill="1" applyBorder="1" applyAlignment="1">
      <alignment horizontal="right" vertical="center" wrapText="1"/>
    </xf>
    <xf numFmtId="0" fontId="6" fillId="26" borderId="6" xfId="0" applyFont="1" applyFill="1" applyBorder="1" applyAlignment="1">
      <alignment horizontal="right" vertical="center" wrapText="1"/>
    </xf>
    <xf numFmtId="0" fontId="0" fillId="21" borderId="6" xfId="0" applyFill="1" applyBorder="1" applyAlignment="1">
      <alignment vertical="center" wrapText="1"/>
    </xf>
    <xf numFmtId="0" fontId="0" fillId="21" borderId="6" xfId="0" applyFill="1" applyBorder="1" applyAlignment="1">
      <alignment horizontal="right" vertical="center" wrapText="1"/>
    </xf>
    <xf numFmtId="0" fontId="2" fillId="2" borderId="5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right" vertical="center" wrapText="1"/>
    </xf>
    <xf numFmtId="0" fontId="21" fillId="2" borderId="6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horizontal="right" vertical="center" wrapText="1"/>
    </xf>
    <xf numFmtId="0" fontId="21" fillId="2" borderId="6" xfId="0" applyFont="1" applyFill="1" applyBorder="1" applyAlignment="1">
      <alignment horizontal="right" vertical="center" wrapText="1"/>
    </xf>
    <xf numFmtId="0" fontId="21" fillId="27" borderId="5" xfId="0" applyFont="1" applyFill="1" applyBorder="1" applyAlignment="1">
      <alignment vertical="center" wrapText="1"/>
    </xf>
    <xf numFmtId="0" fontId="0" fillId="27" borderId="6" xfId="0" applyFill="1" applyBorder="1" applyAlignment="1">
      <alignment vertical="center" wrapText="1"/>
    </xf>
    <xf numFmtId="0" fontId="2" fillId="27" borderId="6" xfId="0" applyFont="1" applyFill="1" applyBorder="1" applyAlignment="1">
      <alignment vertical="center" wrapText="1"/>
    </xf>
    <xf numFmtId="0" fontId="0" fillId="27" borderId="6" xfId="0" applyFill="1" applyBorder="1" applyAlignment="1">
      <alignment horizontal="right" vertical="center" wrapText="1"/>
    </xf>
    <xf numFmtId="0" fontId="2" fillId="27" borderId="6" xfId="0" applyFont="1" applyFill="1" applyBorder="1" applyAlignment="1">
      <alignment horizontal="right" vertical="center" wrapText="1"/>
    </xf>
    <xf numFmtId="0" fontId="2" fillId="27" borderId="5" xfId="0" applyFont="1" applyFill="1" applyBorder="1" applyAlignment="1">
      <alignment vertical="center" wrapText="1"/>
    </xf>
    <xf numFmtId="0" fontId="2" fillId="26" borderId="5" xfId="0" applyFont="1" applyFill="1" applyBorder="1" applyAlignment="1">
      <alignment vertical="center" wrapText="1"/>
    </xf>
    <xf numFmtId="0" fontId="0" fillId="26" borderId="6" xfId="0" applyFill="1" applyBorder="1" applyAlignment="1">
      <alignment vertical="center" wrapText="1"/>
    </xf>
    <xf numFmtId="0" fontId="2" fillId="26" borderId="6" xfId="0" applyFont="1" applyFill="1" applyBorder="1" applyAlignment="1">
      <alignment vertical="center" wrapText="1"/>
    </xf>
    <xf numFmtId="0" fontId="0" fillId="26" borderId="6" xfId="0" applyFill="1" applyBorder="1" applyAlignment="1">
      <alignment horizontal="right" vertical="center" wrapText="1"/>
    </xf>
    <xf numFmtId="0" fontId="2" fillId="26" borderId="6" xfId="0" applyFont="1" applyFill="1" applyBorder="1" applyAlignment="1">
      <alignment horizontal="right" vertical="center" wrapText="1"/>
    </xf>
    <xf numFmtId="0" fontId="0" fillId="3" borderId="6" xfId="0" applyFill="1" applyBorder="1" applyAlignment="1">
      <alignment vertical="center" wrapText="1"/>
    </xf>
    <xf numFmtId="0" fontId="0" fillId="3" borderId="6" xfId="0" applyFill="1" applyBorder="1" applyAlignment="1">
      <alignment horizontal="right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1" fillId="21" borderId="6" xfId="0" applyFont="1" applyFill="1" applyBorder="1" applyAlignment="1">
      <alignment vertical="center" wrapText="1"/>
    </xf>
    <xf numFmtId="0" fontId="20" fillId="21" borderId="6" xfId="0" applyFont="1" applyFill="1" applyBorder="1" applyAlignment="1">
      <alignment horizontal="right" vertical="center" wrapText="1"/>
    </xf>
    <xf numFmtId="0" fontId="21" fillId="21" borderId="6" xfId="0" applyFont="1" applyFill="1" applyBorder="1" applyAlignment="1">
      <alignment horizontal="right" vertical="center" wrapText="1"/>
    </xf>
    <xf numFmtId="0" fontId="21" fillId="21" borderId="5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47" fontId="2" fillId="2" borderId="0" xfId="0" applyNumberFormat="1" applyFont="1" applyFill="1" applyAlignment="1">
      <alignment horizontal="right"/>
    </xf>
    <xf numFmtId="0" fontId="4" fillId="28" borderId="1" xfId="0" applyFont="1" applyFill="1" applyBorder="1"/>
    <xf numFmtId="0" fontId="4" fillId="28" borderId="2" xfId="0" applyFont="1" applyFill="1" applyBorder="1"/>
    <xf numFmtId="0" fontId="4" fillId="28" borderId="3" xfId="0" applyFont="1" applyFill="1" applyBorder="1"/>
    <xf numFmtId="0" fontId="1" fillId="28" borderId="3" xfId="0" applyFont="1" applyFill="1" applyBorder="1"/>
    <xf numFmtId="0" fontId="4" fillId="28" borderId="0" xfId="0" applyFont="1" applyFill="1"/>
    <xf numFmtId="0" fontId="1" fillId="28" borderId="0" xfId="0" applyFont="1" applyFill="1"/>
    <xf numFmtId="0" fontId="1" fillId="28" borderId="4" xfId="0" applyFont="1" applyFill="1" applyBorder="1"/>
    <xf numFmtId="0" fontId="4" fillId="28" borderId="12" xfId="0" applyFont="1" applyFill="1" applyBorder="1" applyAlignment="1">
      <alignment vertical="center" wrapText="1"/>
    </xf>
    <xf numFmtId="0" fontId="4" fillId="28" borderId="5" xfId="0" applyFont="1" applyFill="1" applyBorder="1" applyAlignment="1">
      <alignment vertical="center" wrapText="1"/>
    </xf>
    <xf numFmtId="0" fontId="4" fillId="28" borderId="1" xfId="0" applyFont="1" applyFill="1" applyBorder="1" applyAlignment="1">
      <alignment vertical="center" wrapText="1"/>
    </xf>
    <xf numFmtId="0" fontId="4" fillId="28" borderId="1" xfId="0" applyFont="1" applyFill="1" applyBorder="1" applyAlignment="1">
      <alignment horizontal="center" vertical="center" wrapText="1"/>
    </xf>
    <xf numFmtId="0" fontId="4" fillId="28" borderId="6" xfId="0" applyFont="1" applyFill="1" applyBorder="1" applyAlignment="1">
      <alignment vertical="center" wrapText="1"/>
    </xf>
    <xf numFmtId="0" fontId="4" fillId="28" borderId="6" xfId="0" applyFont="1" applyFill="1" applyBorder="1" applyAlignment="1">
      <alignment horizontal="center" vertical="center" wrapText="1"/>
    </xf>
    <xf numFmtId="0" fontId="1" fillId="28" borderId="8" xfId="0" applyFont="1" applyFill="1" applyBorder="1"/>
    <xf numFmtId="49" fontId="1" fillId="28" borderId="8" xfId="0" applyNumberFormat="1" applyFont="1" applyFill="1" applyBorder="1"/>
    <xf numFmtId="0" fontId="1" fillId="28" borderId="9" xfId="0" applyFont="1" applyFill="1" applyBorder="1"/>
    <xf numFmtId="0" fontId="1" fillId="28" borderId="10" xfId="0" applyFont="1" applyFill="1" applyBorder="1"/>
    <xf numFmtId="1" fontId="6" fillId="8" borderId="5" xfId="0" applyNumberFormat="1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vertical="center" wrapText="1"/>
    </xf>
    <xf numFmtId="0" fontId="6" fillId="8" borderId="6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horizontal="right" vertical="center" wrapText="1"/>
    </xf>
    <xf numFmtId="0" fontId="2" fillId="8" borderId="5" xfId="0" applyFont="1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2" fillId="8" borderId="6" xfId="0" applyFont="1" applyFill="1" applyBorder="1" applyAlignment="1">
      <alignment vertical="center" wrapText="1"/>
    </xf>
    <xf numFmtId="0" fontId="0" fillId="8" borderId="6" xfId="0" applyFill="1" applyBorder="1" applyAlignment="1">
      <alignment horizontal="right" vertical="center" wrapText="1"/>
    </xf>
    <xf numFmtId="0" fontId="2" fillId="8" borderId="6" xfId="0" applyFont="1" applyFill="1" applyBorder="1" applyAlignment="1">
      <alignment horizontal="right" vertical="center" wrapText="1"/>
    </xf>
    <xf numFmtId="49" fontId="35" fillId="15" borderId="1" xfId="0" applyNumberFormat="1" applyFont="1" applyFill="1" applyBorder="1" applyAlignment="1">
      <alignment horizontal="center"/>
    </xf>
    <xf numFmtId="49" fontId="35" fillId="13" borderId="1" xfId="0" applyNumberFormat="1" applyFont="1" applyFill="1" applyBorder="1" applyAlignment="1">
      <alignment horizontal="right"/>
    </xf>
    <xf numFmtId="49" fontId="35" fillId="13" borderId="1" xfId="0" applyNumberFormat="1" applyFont="1" applyFill="1" applyBorder="1" applyAlignment="1">
      <alignment horizontal="center"/>
    </xf>
    <xf numFmtId="0" fontId="36" fillId="13" borderId="6" xfId="0" applyFont="1" applyFill="1" applyBorder="1" applyAlignment="1">
      <alignment horizontal="center" vertical="center" wrapText="1"/>
    </xf>
    <xf numFmtId="0" fontId="37" fillId="15" borderId="6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right"/>
    </xf>
    <xf numFmtId="0" fontId="8" fillId="7" borderId="3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0" fontId="38" fillId="13" borderId="1" xfId="0" applyFont="1" applyFill="1" applyBorder="1"/>
    <xf numFmtId="0" fontId="38" fillId="13" borderId="2" xfId="0" applyFont="1" applyFill="1" applyBorder="1"/>
    <xf numFmtId="0" fontId="38" fillId="13" borderId="22" xfId="0" applyFont="1" applyFill="1" applyBorder="1"/>
    <xf numFmtId="0" fontId="5" fillId="13" borderId="3" xfId="0" applyFont="1" applyFill="1" applyBorder="1"/>
    <xf numFmtId="0" fontId="38" fillId="13" borderId="0" xfId="0" applyFont="1" applyFill="1"/>
    <xf numFmtId="0" fontId="5" fillId="13" borderId="0" xfId="0" applyFont="1" applyFill="1"/>
    <xf numFmtId="0" fontId="38" fillId="13" borderId="12" xfId="0" applyFont="1" applyFill="1" applyBorder="1" applyAlignment="1">
      <alignment vertical="center" wrapText="1"/>
    </xf>
    <xf numFmtId="0" fontId="38" fillId="13" borderId="5" xfId="0" applyFont="1" applyFill="1" applyBorder="1" applyAlignment="1">
      <alignment vertical="center" wrapText="1"/>
    </xf>
    <xf numFmtId="0" fontId="38" fillId="13" borderId="1" xfId="0" applyFont="1" applyFill="1" applyBorder="1" applyAlignment="1">
      <alignment vertical="center" wrapText="1"/>
    </xf>
    <xf numFmtId="0" fontId="38" fillId="13" borderId="1" xfId="0" applyFont="1" applyFill="1" applyBorder="1" applyAlignment="1">
      <alignment horizontal="center" vertical="center" wrapText="1"/>
    </xf>
    <xf numFmtId="0" fontId="38" fillId="13" borderId="6" xfId="0" applyFont="1" applyFill="1" applyBorder="1" applyAlignment="1">
      <alignment horizontal="center" vertical="center" wrapText="1"/>
    </xf>
    <xf numFmtId="0" fontId="5" fillId="13" borderId="8" xfId="0" applyFont="1" applyFill="1" applyBorder="1"/>
    <xf numFmtId="49" fontId="5" fillId="13" borderId="8" xfId="0" applyNumberFormat="1" applyFont="1" applyFill="1" applyBorder="1"/>
    <xf numFmtId="0" fontId="5" fillId="13" borderId="9" xfId="0" applyFont="1" applyFill="1" applyBorder="1"/>
    <xf numFmtId="0" fontId="5" fillId="13" borderId="23" xfId="0" applyFont="1" applyFill="1" applyBorder="1"/>
    <xf numFmtId="0" fontId="5" fillId="13" borderId="10" xfId="0" applyFont="1" applyFill="1" applyBorder="1"/>
    <xf numFmtId="0" fontId="8" fillId="21" borderId="6" xfId="0" applyFont="1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0" fontId="0" fillId="29" borderId="4" xfId="0" applyFill="1" applyBorder="1" applyAlignment="1">
      <alignment horizontal="right" vertical="center" wrapText="1"/>
    </xf>
    <xf numFmtId="0" fontId="0" fillId="29" borderId="6" xfId="0" applyFill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0" fontId="20" fillId="0" borderId="6" xfId="0" applyFont="1" applyBorder="1" applyAlignment="1">
      <alignment horizontal="right" vertical="center" wrapText="1"/>
    </xf>
    <xf numFmtId="0" fontId="21" fillId="29" borderId="6" xfId="0" applyFont="1" applyFill="1" applyBorder="1" applyAlignment="1">
      <alignment vertical="center" wrapText="1"/>
    </xf>
    <xf numFmtId="0" fontId="20" fillId="29" borderId="6" xfId="0" applyFont="1" applyFill="1" applyBorder="1" applyAlignment="1">
      <alignment horizontal="right" vertical="center" wrapText="1"/>
    </xf>
    <xf numFmtId="0" fontId="21" fillId="30" borderId="6" xfId="0" applyFont="1" applyFill="1" applyBorder="1" applyAlignment="1">
      <alignment vertical="center" wrapText="1"/>
    </xf>
    <xf numFmtId="0" fontId="20" fillId="30" borderId="6" xfId="0" applyFont="1" applyFill="1" applyBorder="1" applyAlignment="1">
      <alignment horizontal="right" vertical="center" wrapText="1"/>
    </xf>
    <xf numFmtId="0" fontId="21" fillId="31" borderId="6" xfId="0" applyFont="1" applyFill="1" applyBorder="1" applyAlignment="1">
      <alignment vertical="center" wrapText="1"/>
    </xf>
    <xf numFmtId="0" fontId="20" fillId="31" borderId="6" xfId="0" applyFont="1" applyFill="1" applyBorder="1" applyAlignment="1">
      <alignment horizontal="right" vertical="center" wrapText="1"/>
    </xf>
    <xf numFmtId="0" fontId="40" fillId="25" borderId="4" xfId="0" applyFont="1" applyFill="1" applyBorder="1" applyAlignment="1">
      <alignment horizontal="center" vertical="center" wrapText="1"/>
    </xf>
    <xf numFmtId="0" fontId="39" fillId="0" borderId="0" xfId="0" applyFont="1"/>
    <xf numFmtId="0" fontId="40" fillId="4" borderId="0" xfId="0" applyFont="1" applyFill="1"/>
    <xf numFmtId="0" fontId="40" fillId="25" borderId="0" xfId="0" applyFont="1" applyFill="1"/>
    <xf numFmtId="0" fontId="40" fillId="25" borderId="1" xfId="0" applyFont="1" applyFill="1" applyBorder="1" applyAlignment="1">
      <alignment horizontal="center" vertical="center" wrapText="1"/>
    </xf>
    <xf numFmtId="0" fontId="40" fillId="13" borderId="4" xfId="0" applyFont="1" applyFill="1" applyBorder="1" applyAlignment="1">
      <alignment horizontal="center" vertical="center" wrapText="1"/>
    </xf>
    <xf numFmtId="0" fontId="40" fillId="15" borderId="4" xfId="0" applyFont="1" applyFill="1" applyBorder="1" applyAlignment="1">
      <alignment horizontal="center" vertical="center" wrapText="1"/>
    </xf>
    <xf numFmtId="1" fontId="20" fillId="30" borderId="6" xfId="0" applyNumberFormat="1" applyFont="1" applyFill="1" applyBorder="1" applyAlignment="1">
      <alignment horizontal="right" vertical="center" wrapText="1"/>
    </xf>
    <xf numFmtId="49" fontId="30" fillId="15" borderId="1" xfId="0" applyNumberFormat="1" applyFont="1" applyFill="1" applyBorder="1" applyAlignment="1">
      <alignment horizontal="right"/>
    </xf>
    <xf numFmtId="49" fontId="41" fillId="13" borderId="1" xfId="0" applyNumberFormat="1" applyFont="1" applyFill="1" applyBorder="1" applyAlignment="1">
      <alignment horizontal="center"/>
    </xf>
    <xf numFmtId="49" fontId="41" fillId="15" borderId="1" xfId="0" applyNumberFormat="1" applyFont="1" applyFill="1" applyBorder="1" applyAlignment="1">
      <alignment horizontal="center"/>
    </xf>
    <xf numFmtId="49" fontId="42" fillId="13" borderId="5" xfId="0" applyNumberFormat="1" applyFont="1" applyFill="1" applyBorder="1" applyAlignment="1">
      <alignment horizontal="center"/>
    </xf>
    <xf numFmtId="49" fontId="26" fillId="15" borderId="5" xfId="0" applyNumberFormat="1" applyFont="1" applyFill="1" applyBorder="1" applyAlignment="1">
      <alignment horizontal="center"/>
    </xf>
    <xf numFmtId="49" fontId="42" fillId="15" borderId="5" xfId="0" applyNumberFormat="1" applyFont="1" applyFill="1" applyBorder="1" applyAlignment="1">
      <alignment horizontal="center"/>
    </xf>
    <xf numFmtId="49" fontId="42" fillId="13" borderId="5" xfId="0" applyNumberFormat="1" applyFont="1" applyFill="1" applyBorder="1" applyAlignment="1">
      <alignment horizontal="right"/>
    </xf>
    <xf numFmtId="49" fontId="26" fillId="13" borderId="5" xfId="0" applyNumberFormat="1" applyFont="1" applyFill="1" applyBorder="1" applyAlignment="1">
      <alignment horizontal="center"/>
    </xf>
    <xf numFmtId="49" fontId="42" fillId="13" borderId="1" xfId="0" applyNumberFormat="1" applyFont="1" applyFill="1" applyBorder="1" applyAlignment="1">
      <alignment horizontal="center"/>
    </xf>
    <xf numFmtId="49" fontId="26" fillId="13" borderId="1" xfId="0" applyNumberFormat="1" applyFont="1" applyFill="1" applyBorder="1" applyAlignment="1">
      <alignment horizontal="center"/>
    </xf>
    <xf numFmtId="49" fontId="26" fillId="15" borderId="1" xfId="0" applyNumberFormat="1" applyFont="1" applyFill="1" applyBorder="1" applyAlignment="1">
      <alignment horizontal="center"/>
    </xf>
    <xf numFmtId="49" fontId="26" fillId="13" borderId="1" xfId="0" applyNumberFormat="1" applyFont="1" applyFill="1" applyBorder="1" applyAlignment="1">
      <alignment horizontal="right"/>
    </xf>
    <xf numFmtId="49" fontId="26" fillId="15" borderId="1" xfId="0" applyNumberFormat="1" applyFont="1" applyFill="1" applyBorder="1" applyAlignment="1">
      <alignment horizontal="right"/>
    </xf>
    <xf numFmtId="49" fontId="26" fillId="15" borderId="5" xfId="0" applyNumberFormat="1" applyFont="1" applyFill="1" applyBorder="1" applyAlignment="1">
      <alignment horizontal="right"/>
    </xf>
    <xf numFmtId="49" fontId="42" fillId="15" borderId="1" xfId="0" applyNumberFormat="1" applyFont="1" applyFill="1" applyBorder="1" applyAlignment="1">
      <alignment horizontal="center"/>
    </xf>
    <xf numFmtId="49" fontId="43" fillId="13" borderId="1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right" vertical="center" wrapText="1"/>
    </xf>
    <xf numFmtId="0" fontId="2" fillId="6" borderId="5" xfId="0" applyFont="1" applyFill="1" applyBorder="1" applyAlignment="1">
      <alignment horizontal="right" vertical="center" wrapText="1"/>
    </xf>
    <xf numFmtId="0" fontId="35" fillId="13" borderId="1" xfId="0" applyFont="1" applyFill="1" applyBorder="1"/>
    <xf numFmtId="49" fontId="35" fillId="15" borderId="1" xfId="0" applyNumberFormat="1" applyFont="1" applyFill="1" applyBorder="1" applyAlignment="1">
      <alignment horizontal="right"/>
    </xf>
    <xf numFmtId="0" fontId="41" fillId="13" borderId="1" xfId="0" applyFont="1" applyFill="1" applyBorder="1"/>
    <xf numFmtId="49" fontId="41" fillId="15" borderId="1" xfId="0" applyNumberFormat="1" applyFont="1" applyFill="1" applyBorder="1" applyAlignment="1">
      <alignment horizontal="right"/>
    </xf>
    <xf numFmtId="49" fontId="41" fillId="13" borderId="1" xfId="0" applyNumberFormat="1" applyFont="1" applyFill="1" applyBorder="1" applyAlignment="1">
      <alignment horizontal="right"/>
    </xf>
    <xf numFmtId="0" fontId="13" fillId="4" borderId="14" xfId="0" applyFont="1" applyFill="1" applyBorder="1" applyAlignment="1">
      <alignment vertical="center" wrapText="1"/>
    </xf>
    <xf numFmtId="0" fontId="0" fillId="0" borderId="0" xfId="0" quotePrefix="1"/>
    <xf numFmtId="0" fontId="36" fillId="15" borderId="1" xfId="0" applyFont="1" applyFill="1" applyBorder="1"/>
    <xf numFmtId="49" fontId="36" fillId="15" borderId="1" xfId="0" applyNumberFormat="1" applyFont="1" applyFill="1" applyBorder="1" applyAlignment="1">
      <alignment horizontal="center"/>
    </xf>
    <xf numFmtId="14" fontId="44" fillId="0" borderId="0" xfId="0" applyNumberFormat="1" applyFont="1" applyAlignment="1">
      <alignment horizontal="left"/>
    </xf>
    <xf numFmtId="0" fontId="2" fillId="5" borderId="30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32" xfId="0" applyBorder="1"/>
    <xf numFmtId="0" fontId="24" fillId="7" borderId="33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4" borderId="0" xfId="0" applyFont="1" applyFill="1" applyBorder="1" applyAlignment="1">
      <alignment horizontal="center" vertical="center" wrapText="1"/>
    </xf>
    <xf numFmtId="0" fontId="40" fillId="13" borderId="5" xfId="0" applyNumberFormat="1" applyFont="1" applyFill="1" applyBorder="1" applyAlignment="1">
      <alignment horizontal="left" vertical="center" wrapText="1"/>
    </xf>
    <xf numFmtId="0" fontId="40" fillId="13" borderId="6" xfId="0" applyFont="1" applyFill="1" applyBorder="1" applyAlignment="1">
      <alignment horizontal="left" vertical="center" wrapText="1"/>
    </xf>
    <xf numFmtId="0" fontId="40" fillId="13" borderId="6" xfId="0" applyFont="1" applyFill="1" applyBorder="1" applyAlignment="1">
      <alignment vertical="center" wrapText="1"/>
    </xf>
    <xf numFmtId="0" fontId="40" fillId="13" borderId="6" xfId="0" applyFont="1" applyFill="1" applyBorder="1" applyAlignment="1">
      <alignment horizontal="center" vertical="center" wrapText="1"/>
    </xf>
    <xf numFmtId="1" fontId="40" fillId="13" borderId="6" xfId="0" applyNumberFormat="1" applyFont="1" applyFill="1" applyBorder="1" applyAlignment="1">
      <alignment horizontal="center" vertical="center" wrapText="1"/>
    </xf>
    <xf numFmtId="1" fontId="39" fillId="13" borderId="6" xfId="0" applyNumberFormat="1" applyFont="1" applyFill="1" applyBorder="1" applyAlignment="1">
      <alignment horizontal="center" vertical="center" wrapText="1"/>
    </xf>
    <xf numFmtId="0" fontId="39" fillId="13" borderId="6" xfId="0" applyFont="1" applyFill="1" applyBorder="1" applyAlignment="1">
      <alignment horizontal="center" vertical="center" wrapText="1"/>
    </xf>
    <xf numFmtId="0" fontId="39" fillId="13" borderId="1" xfId="0" applyFont="1" applyFill="1" applyBorder="1"/>
    <xf numFmtId="49" fontId="45" fillId="13" borderId="1" xfId="0" applyNumberFormat="1" applyFont="1" applyFill="1" applyBorder="1" applyAlignment="1">
      <alignment horizontal="center"/>
    </xf>
    <xf numFmtId="0" fontId="39" fillId="13" borderId="2" xfId="0" applyFont="1" applyFill="1" applyBorder="1"/>
    <xf numFmtId="0" fontId="39" fillId="13" borderId="3" xfId="0" applyFont="1" applyFill="1" applyBorder="1"/>
    <xf numFmtId="0" fontId="39" fillId="13" borderId="4" xfId="0" applyFont="1" applyFill="1" applyBorder="1"/>
    <xf numFmtId="0" fontId="40" fillId="15" borderId="5" xfId="0" applyNumberFormat="1" applyFont="1" applyFill="1" applyBorder="1" applyAlignment="1">
      <alignment horizontal="left" vertical="center" wrapText="1"/>
    </xf>
    <xf numFmtId="0" fontId="40" fillId="15" borderId="6" xfId="0" applyFont="1" applyFill="1" applyBorder="1" applyAlignment="1">
      <alignment horizontal="left" vertical="center" wrapText="1"/>
    </xf>
    <xf numFmtId="0" fontId="40" fillId="15" borderId="6" xfId="0" applyFont="1" applyFill="1" applyBorder="1" applyAlignment="1">
      <alignment vertical="center" wrapText="1"/>
    </xf>
    <xf numFmtId="0" fontId="40" fillId="15" borderId="6" xfId="0" applyFont="1" applyFill="1" applyBorder="1" applyAlignment="1">
      <alignment horizontal="center" vertical="center" wrapText="1"/>
    </xf>
    <xf numFmtId="1" fontId="40" fillId="15" borderId="6" xfId="0" applyNumberFormat="1" applyFont="1" applyFill="1" applyBorder="1" applyAlignment="1">
      <alignment horizontal="center" vertical="center" wrapText="1"/>
    </xf>
    <xf numFmtId="1" fontId="39" fillId="15" borderId="6" xfId="0" applyNumberFormat="1" applyFont="1" applyFill="1" applyBorder="1" applyAlignment="1">
      <alignment horizontal="center" vertical="center" wrapText="1"/>
    </xf>
    <xf numFmtId="0" fontId="39" fillId="15" borderId="6" xfId="0" applyFont="1" applyFill="1" applyBorder="1" applyAlignment="1">
      <alignment horizontal="center" vertical="center" wrapText="1"/>
    </xf>
    <xf numFmtId="0" fontId="39" fillId="15" borderId="1" xfId="0" applyFont="1" applyFill="1" applyBorder="1"/>
    <xf numFmtId="49" fontId="45" fillId="15" borderId="1" xfId="0" applyNumberFormat="1" applyFont="1" applyFill="1" applyBorder="1" applyAlignment="1">
      <alignment horizontal="center"/>
    </xf>
    <xf numFmtId="0" fontId="39" fillId="15" borderId="2" xfId="0" applyFont="1" applyFill="1" applyBorder="1"/>
    <xf numFmtId="0" fontId="39" fillId="15" borderId="3" xfId="0" applyFont="1" applyFill="1" applyBorder="1"/>
    <xf numFmtId="0" fontId="39" fillId="15" borderId="4" xfId="0" applyFont="1" applyFill="1" applyBorder="1"/>
    <xf numFmtId="0" fontId="40" fillId="15" borderId="1" xfId="0" applyFont="1" applyFill="1" applyBorder="1"/>
    <xf numFmtId="49" fontId="40" fillId="15" borderId="1" xfId="0" applyNumberFormat="1" applyFont="1" applyFill="1" applyBorder="1" applyAlignment="1">
      <alignment horizontal="center"/>
    </xf>
    <xf numFmtId="49" fontId="39" fillId="13" borderId="1" xfId="0" applyNumberFormat="1" applyFont="1" applyFill="1" applyBorder="1" applyAlignment="1">
      <alignment horizontal="center"/>
    </xf>
    <xf numFmtId="0" fontId="40" fillId="11" borderId="6" xfId="0" applyFont="1" applyFill="1" applyBorder="1" applyAlignment="1">
      <alignment vertical="center" wrapText="1"/>
    </xf>
    <xf numFmtId="49" fontId="39" fillId="15" borderId="1" xfId="0" applyNumberFormat="1" applyFont="1" applyFill="1" applyBorder="1" applyAlignment="1">
      <alignment horizontal="center"/>
    </xf>
    <xf numFmtId="49" fontId="40" fillId="15" borderId="1" xfId="0" applyNumberFormat="1" applyFont="1" applyFill="1" applyBorder="1" applyAlignment="1">
      <alignment horizontal="right"/>
    </xf>
    <xf numFmtId="49" fontId="45" fillId="13" borderId="1" xfId="0" applyNumberFormat="1" applyFont="1" applyFill="1" applyBorder="1" applyAlignment="1">
      <alignment horizontal="right"/>
    </xf>
    <xf numFmtId="49" fontId="45" fillId="15" borderId="1" xfId="0" applyNumberFormat="1" applyFont="1" applyFill="1" applyBorder="1" applyAlignment="1">
      <alignment horizontal="right"/>
    </xf>
    <xf numFmtId="49" fontId="39" fillId="15" borderId="1" xfId="0" applyNumberFormat="1" applyFont="1" applyFill="1" applyBorder="1" applyAlignment="1">
      <alignment horizontal="right"/>
    </xf>
    <xf numFmtId="0" fontId="40" fillId="13" borderId="1" xfId="0" applyFont="1" applyFill="1" applyBorder="1"/>
    <xf numFmtId="0" fontId="40" fillId="25" borderId="5" xfId="0" applyNumberFormat="1" applyFont="1" applyFill="1" applyBorder="1" applyAlignment="1">
      <alignment horizontal="left" vertical="center" wrapText="1"/>
    </xf>
    <xf numFmtId="0" fontId="40" fillId="25" borderId="6" xfId="0" applyFont="1" applyFill="1" applyBorder="1" applyAlignment="1">
      <alignment horizontal="left" vertical="center" wrapText="1"/>
    </xf>
    <xf numFmtId="0" fontId="40" fillId="25" borderId="6" xfId="0" applyFont="1" applyFill="1" applyBorder="1" applyAlignment="1">
      <alignment vertical="center" wrapText="1"/>
    </xf>
    <xf numFmtId="0" fontId="40" fillId="25" borderId="6" xfId="0" applyFont="1" applyFill="1" applyBorder="1" applyAlignment="1">
      <alignment horizontal="center" vertical="center" wrapText="1"/>
    </xf>
    <xf numFmtId="1" fontId="40" fillId="25" borderId="6" xfId="0" applyNumberFormat="1" applyFont="1" applyFill="1" applyBorder="1" applyAlignment="1">
      <alignment horizontal="center" vertical="center" wrapText="1"/>
    </xf>
    <xf numFmtId="1" fontId="39" fillId="25" borderId="6" xfId="0" applyNumberFormat="1" applyFont="1" applyFill="1" applyBorder="1" applyAlignment="1">
      <alignment horizontal="center" vertical="center" wrapText="1"/>
    </xf>
    <xf numFmtId="0" fontId="39" fillId="25" borderId="6" xfId="0" applyFont="1" applyFill="1" applyBorder="1" applyAlignment="1">
      <alignment horizontal="center" vertical="center" wrapText="1"/>
    </xf>
    <xf numFmtId="0" fontId="39" fillId="25" borderId="1" xfId="0" applyFont="1" applyFill="1" applyBorder="1"/>
    <xf numFmtId="0" fontId="39" fillId="25" borderId="3" xfId="0" applyFont="1" applyFill="1" applyBorder="1"/>
    <xf numFmtId="0" fontId="39" fillId="25" borderId="5" xfId="0" applyFont="1" applyFill="1" applyBorder="1"/>
    <xf numFmtId="0" fontId="39" fillId="25" borderId="12" xfId="0" applyFont="1" applyFill="1" applyBorder="1"/>
    <xf numFmtId="0" fontId="42" fillId="13" borderId="7" xfId="0" applyFont="1" applyFill="1" applyBorder="1"/>
    <xf numFmtId="49" fontId="33" fillId="13" borderId="1" xfId="0" applyNumberFormat="1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49" fontId="42" fillId="13" borderId="1" xfId="0" applyNumberFormat="1" applyFont="1" applyFill="1" applyBorder="1" applyAlignment="1">
      <alignment horizontal="right"/>
    </xf>
    <xf numFmtId="0" fontId="21" fillId="2" borderId="0" xfId="0" applyFont="1" applyFill="1" applyAlignment="1">
      <alignment vertical="center"/>
    </xf>
    <xf numFmtId="20" fontId="21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right" vertical="center"/>
    </xf>
    <xf numFmtId="0" fontId="20" fillId="27" borderId="6" xfId="0" applyFont="1" applyFill="1" applyBorder="1" applyAlignment="1">
      <alignment vertical="center" wrapText="1"/>
    </xf>
    <xf numFmtId="0" fontId="20" fillId="26" borderId="6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vertical="center" wrapText="1"/>
    </xf>
    <xf numFmtId="0" fontId="46" fillId="21" borderId="6" xfId="0" applyFont="1" applyFill="1" applyBorder="1" applyAlignment="1">
      <alignment vertical="center" wrapText="1"/>
    </xf>
    <xf numFmtId="0" fontId="46" fillId="21" borderId="6" xfId="0" applyFont="1" applyFill="1" applyBorder="1" applyAlignment="1">
      <alignment horizontal="right" vertical="center" wrapText="1"/>
    </xf>
    <xf numFmtId="0" fontId="46" fillId="3" borderId="6" xfId="0" applyFont="1" applyFill="1" applyBorder="1" applyAlignment="1">
      <alignment vertical="center" wrapText="1"/>
    </xf>
    <xf numFmtId="0" fontId="46" fillId="3" borderId="6" xfId="0" applyFont="1" applyFill="1" applyBorder="1" applyAlignment="1">
      <alignment horizontal="right" vertical="center" wrapText="1"/>
    </xf>
    <xf numFmtId="0" fontId="46" fillId="27" borderId="6" xfId="0" applyFont="1" applyFill="1" applyBorder="1" applyAlignment="1">
      <alignment horizontal="right" vertical="center" wrapText="1"/>
    </xf>
    <xf numFmtId="0" fontId="46" fillId="26" borderId="6" xfId="0" applyFont="1" applyFill="1" applyBorder="1" applyAlignment="1">
      <alignment horizontal="right" vertical="center" wrapText="1"/>
    </xf>
    <xf numFmtId="0" fontId="46" fillId="8" borderId="6" xfId="0" applyFont="1" applyFill="1" applyBorder="1" applyAlignment="1">
      <alignment vertical="center" wrapText="1"/>
    </xf>
    <xf numFmtId="0" fontId="46" fillId="8" borderId="6" xfId="0" applyFont="1" applyFill="1" applyBorder="1" applyAlignment="1">
      <alignment horizontal="right" vertical="center" wrapText="1"/>
    </xf>
    <xf numFmtId="0" fontId="6" fillId="18" borderId="1" xfId="0" applyFont="1" applyFill="1" applyBorder="1" applyAlignment="1">
      <alignment horizontal="left" vertical="center" wrapText="1"/>
    </xf>
    <xf numFmtId="0" fontId="35" fillId="13" borderId="7" xfId="0" applyFont="1" applyFill="1" applyBorder="1"/>
    <xf numFmtId="0" fontId="8" fillId="4" borderId="6" xfId="0" applyFont="1" applyFill="1" applyBorder="1" applyAlignment="1">
      <alignment vertical="center" wrapText="1"/>
    </xf>
    <xf numFmtId="0" fontId="20" fillId="21" borderId="6" xfId="0" applyFont="1" applyFill="1" applyBorder="1" applyAlignment="1">
      <alignment vertical="center" wrapText="1"/>
    </xf>
    <xf numFmtId="0" fontId="0" fillId="13" borderId="0" xfId="0" applyFill="1"/>
    <xf numFmtId="1" fontId="0" fillId="0" borderId="0" xfId="0" applyNumberFormat="1"/>
    <xf numFmtId="0" fontId="2" fillId="0" borderId="0" xfId="0" applyFont="1" applyAlignment="1">
      <alignment horizontal="center"/>
    </xf>
    <xf numFmtId="0" fontId="2" fillId="13" borderId="0" xfId="0" applyFont="1" applyFill="1" applyAlignment="1">
      <alignment horizontal="center"/>
    </xf>
    <xf numFmtId="0" fontId="0" fillId="13" borderId="0" xfId="0" applyFont="1" applyFill="1"/>
    <xf numFmtId="0" fontId="6" fillId="18" borderId="1" xfId="0" applyFont="1" applyFill="1" applyBorder="1" applyAlignment="1">
      <alignment horizontal="right" vertical="center" wrapText="1"/>
    </xf>
    <xf numFmtId="1" fontId="2" fillId="21" borderId="5" xfId="0" applyNumberFormat="1" applyFont="1" applyFill="1" applyBorder="1" applyAlignment="1">
      <alignment horizontal="left" vertical="center" wrapText="1"/>
    </xf>
    <xf numFmtId="0" fontId="8" fillId="26" borderId="6" xfId="0" applyFont="1" applyFill="1" applyBorder="1" applyAlignment="1">
      <alignment vertical="center" wrapText="1"/>
    </xf>
    <xf numFmtId="0" fontId="0" fillId="0" borderId="4" xfId="0" applyBorder="1" applyAlignment="1"/>
    <xf numFmtId="0" fontId="0" fillId="0" borderId="4" xfId="0" applyBorder="1" applyAlignment="1">
      <alignment horizontal="right"/>
    </xf>
    <xf numFmtId="0" fontId="26" fillId="25" borderId="21" xfId="0" applyFont="1" applyFill="1" applyBorder="1"/>
    <xf numFmtId="0" fontId="2" fillId="20" borderId="1" xfId="0" applyFont="1" applyFill="1" applyBorder="1" applyAlignment="1"/>
    <xf numFmtId="0" fontId="2" fillId="20" borderId="1" xfId="0" applyFont="1" applyFill="1" applyBorder="1" applyAlignment="1">
      <alignment horizontal="right"/>
    </xf>
    <xf numFmtId="0" fontId="6" fillId="9" borderId="1" xfId="0" applyFont="1" applyFill="1" applyBorder="1" applyAlignment="1">
      <alignment vertical="center" wrapText="1"/>
    </xf>
    <xf numFmtId="0" fontId="29" fillId="13" borderId="1" xfId="0" applyFont="1" applyFill="1" applyBorder="1" applyAlignment="1">
      <alignment horizontal="center" vertical="center" wrapText="1"/>
    </xf>
    <xf numFmtId="0" fontId="29" fillId="15" borderId="1" xfId="0" applyFont="1" applyFill="1" applyBorder="1" applyAlignment="1">
      <alignment horizontal="center" vertical="center" wrapText="1"/>
    </xf>
    <xf numFmtId="0" fontId="40" fillId="13" borderId="1" xfId="0" applyFont="1" applyFill="1" applyBorder="1" applyAlignment="1">
      <alignment horizontal="center" vertical="center" wrapText="1"/>
    </xf>
    <xf numFmtId="0" fontId="40" fillId="15" borderId="1" xfId="0" applyFont="1" applyFill="1" applyBorder="1" applyAlignment="1">
      <alignment horizontal="center" vertical="center" wrapText="1"/>
    </xf>
    <xf numFmtId="49" fontId="40" fillId="13" borderId="1" xfId="0" applyNumberFormat="1" applyFont="1" applyFill="1" applyBorder="1" applyAlignment="1">
      <alignment horizontal="center"/>
    </xf>
    <xf numFmtId="49" fontId="41" fillId="25" borderId="1" xfId="0" applyNumberFormat="1" applyFont="1" applyFill="1" applyBorder="1" applyAlignment="1">
      <alignment horizontal="center"/>
    </xf>
    <xf numFmtId="0" fontId="21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0" fontId="2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right" vertical="center" wrapText="1"/>
    </xf>
    <xf numFmtId="0" fontId="0" fillId="4" borderId="0" xfId="0" applyFill="1" applyBorder="1"/>
    <xf numFmtId="49" fontId="45" fillId="25" borderId="5" xfId="0" applyNumberFormat="1" applyFont="1" applyFill="1" applyBorder="1" applyAlignment="1">
      <alignment horizontal="center"/>
    </xf>
    <xf numFmtId="0" fontId="22" fillId="25" borderId="21" xfId="0" applyFont="1" applyFill="1" applyBorder="1"/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22" fillId="13" borderId="1" xfId="0" applyFont="1" applyFill="1" applyBorder="1" applyAlignment="1">
      <alignment horizontal="right"/>
    </xf>
    <xf numFmtId="0" fontId="22" fillId="15" borderId="1" xfId="0" applyFont="1" applyFill="1" applyBorder="1" applyAlignment="1">
      <alignment horizontal="right"/>
    </xf>
    <xf numFmtId="1" fontId="6" fillId="32" borderId="5" xfId="0" applyNumberFormat="1" applyFont="1" applyFill="1" applyBorder="1" applyAlignment="1">
      <alignment horizontal="left" vertical="center" wrapText="1"/>
    </xf>
    <xf numFmtId="0" fontId="6" fillId="32" borderId="6" xfId="0" applyFont="1" applyFill="1" applyBorder="1" applyAlignment="1">
      <alignment horizontal="right" vertical="center" wrapText="1"/>
    </xf>
    <xf numFmtId="0" fontId="8" fillId="32" borderId="6" xfId="0" applyFont="1" applyFill="1" applyBorder="1" applyAlignment="1">
      <alignment vertical="center" wrapText="1"/>
    </xf>
    <xf numFmtId="0" fontId="6" fillId="32" borderId="6" xfId="0" applyFont="1" applyFill="1" applyBorder="1" applyAlignment="1">
      <alignment vertical="center" wrapText="1"/>
    </xf>
    <xf numFmtId="0" fontId="8" fillId="32" borderId="6" xfId="0" applyFont="1" applyFill="1" applyBorder="1" applyAlignment="1">
      <alignment horizontal="righ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0" fillId="0" borderId="10" xfId="0" applyBorder="1"/>
    <xf numFmtId="0" fontId="2" fillId="4" borderId="10" xfId="0" applyFont="1" applyFill="1" applyBorder="1" applyAlignment="1">
      <alignment horizontal="left" vertical="center" wrapText="1"/>
    </xf>
    <xf numFmtId="0" fontId="2" fillId="33" borderId="5" xfId="0" applyFont="1" applyFill="1" applyBorder="1" applyAlignment="1">
      <alignment vertical="center" wrapText="1"/>
    </xf>
    <xf numFmtId="0" fontId="0" fillId="33" borderId="6" xfId="0" applyFill="1" applyBorder="1" applyAlignment="1">
      <alignment vertical="center" wrapText="1"/>
    </xf>
    <xf numFmtId="0" fontId="20" fillId="33" borderId="6" xfId="0" applyFont="1" applyFill="1" applyBorder="1" applyAlignment="1">
      <alignment vertical="center" wrapText="1"/>
    </xf>
    <xf numFmtId="0" fontId="21" fillId="33" borderId="6" xfId="0" applyFont="1" applyFill="1" applyBorder="1" applyAlignment="1">
      <alignment vertical="center" wrapText="1"/>
    </xf>
    <xf numFmtId="0" fontId="0" fillId="33" borderId="6" xfId="0" applyFill="1" applyBorder="1" applyAlignment="1">
      <alignment horizontal="right" vertical="center" wrapText="1"/>
    </xf>
    <xf numFmtId="0" fontId="20" fillId="33" borderId="6" xfId="0" applyFont="1" applyFill="1" applyBorder="1" applyAlignment="1">
      <alignment horizontal="right" vertical="center" wrapText="1"/>
    </xf>
    <xf numFmtId="0" fontId="21" fillId="33" borderId="6" xfId="0" applyFont="1" applyFill="1" applyBorder="1" applyAlignment="1">
      <alignment horizontal="right" vertical="center" wrapText="1"/>
    </xf>
    <xf numFmtId="0" fontId="2" fillId="33" borderId="6" xfId="0" applyFont="1" applyFill="1" applyBorder="1" applyAlignment="1">
      <alignment horizontal="right" vertical="center" wrapText="1"/>
    </xf>
    <xf numFmtId="0" fontId="2" fillId="33" borderId="6" xfId="0" applyFont="1" applyFill="1" applyBorder="1" applyAlignment="1">
      <alignment vertical="center" wrapText="1"/>
    </xf>
    <xf numFmtId="49" fontId="35" fillId="13" borderId="5" xfId="0" applyNumberFormat="1" applyFont="1" applyFill="1" applyBorder="1" applyAlignment="1">
      <alignment horizontal="right"/>
    </xf>
    <xf numFmtId="49" fontId="22" fillId="15" borderId="5" xfId="0" applyNumberFormat="1" applyFont="1" applyFill="1" applyBorder="1" applyAlignment="1">
      <alignment horizontal="right"/>
    </xf>
    <xf numFmtId="0" fontId="16" fillId="13" borderId="1" xfId="0" applyNumberFormat="1" applyFont="1" applyFill="1" applyBorder="1" applyAlignment="1">
      <alignment horizontal="left" vertical="center" wrapText="1"/>
    </xf>
    <xf numFmtId="0" fontId="16" fillId="13" borderId="1" xfId="0" applyFont="1" applyFill="1" applyBorder="1" applyAlignment="1">
      <alignment horizontal="left" vertical="center" wrapText="1"/>
    </xf>
    <xf numFmtId="1" fontId="16" fillId="13" borderId="6" xfId="0" applyNumberFormat="1" applyFont="1" applyFill="1" applyBorder="1" applyAlignment="1">
      <alignment horizontal="center" vertical="center" wrapText="1"/>
    </xf>
    <xf numFmtId="1" fontId="15" fillId="13" borderId="6" xfId="0" applyNumberFormat="1" applyFont="1" applyFill="1" applyBorder="1" applyAlignment="1">
      <alignment horizontal="center" vertical="center" wrapText="1"/>
    </xf>
    <xf numFmtId="0" fontId="15" fillId="13" borderId="6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/>
    </xf>
    <xf numFmtId="49" fontId="15" fillId="13" borderId="1" xfId="0" applyNumberFormat="1" applyFont="1" applyFill="1" applyBorder="1" applyAlignment="1">
      <alignment horizontal="right"/>
    </xf>
    <xf numFmtId="0" fontId="15" fillId="13" borderId="1" xfId="0" applyFont="1" applyFill="1" applyBorder="1"/>
    <xf numFmtId="0" fontId="35" fillId="13" borderId="5" xfId="0" applyFont="1" applyFill="1" applyBorder="1" applyAlignment="1">
      <alignment horizontal="center"/>
    </xf>
    <xf numFmtId="49" fontId="35" fillId="15" borderId="5" xfId="0" applyNumberFormat="1" applyFont="1" applyFill="1" applyBorder="1" applyAlignment="1">
      <alignment horizontal="center"/>
    </xf>
    <xf numFmtId="0" fontId="19" fillId="13" borderId="4" xfId="0" applyFont="1" applyFill="1" applyBorder="1" applyAlignment="1">
      <alignment horizontal="center" vertical="center" wrapText="1"/>
    </xf>
    <xf numFmtId="49" fontId="35" fillId="13" borderId="5" xfId="0" applyNumberFormat="1" applyFont="1" applyFill="1" applyBorder="1" applyAlignment="1">
      <alignment horizontal="center"/>
    </xf>
    <xf numFmtId="0" fontId="35" fillId="13" borderId="1" xfId="0" applyFont="1" applyFill="1" applyBorder="1" applyAlignment="1">
      <alignment horizontal="center"/>
    </xf>
    <xf numFmtId="0" fontId="0" fillId="21" borderId="6" xfId="0" applyFont="1" applyFill="1" applyBorder="1" applyAlignment="1">
      <alignment horizontal="right" vertical="center" wrapText="1"/>
    </xf>
    <xf numFmtId="0" fontId="21" fillId="4" borderId="0" xfId="0" applyFont="1" applyFill="1" applyBorder="1" applyAlignment="1">
      <alignment vertical="center" wrapText="1"/>
    </xf>
    <xf numFmtId="0" fontId="16" fillId="13" borderId="3" xfId="0" applyFont="1" applyFill="1" applyBorder="1" applyAlignment="1">
      <alignment horizontal="center" vertical="center" wrapText="1"/>
    </xf>
    <xf numFmtId="0" fontId="20" fillId="4" borderId="0" xfId="0" applyNumberFormat="1" applyFont="1" applyFill="1" applyBorder="1" applyAlignment="1">
      <alignment horizontal="right" vertical="center" wrapText="1"/>
    </xf>
    <xf numFmtId="1" fontId="20" fillId="4" borderId="0" xfId="0" applyNumberFormat="1" applyFont="1" applyFill="1" applyBorder="1" applyAlignment="1">
      <alignment horizontal="right" vertical="center" wrapText="1"/>
    </xf>
    <xf numFmtId="0" fontId="38" fillId="13" borderId="7" xfId="0" applyFont="1" applyFill="1" applyBorder="1"/>
    <xf numFmtId="0" fontId="0" fillId="15" borderId="0" xfId="0" applyFill="1"/>
    <xf numFmtId="0" fontId="22" fillId="32" borderId="1" xfId="0" applyFont="1" applyFill="1" applyBorder="1"/>
    <xf numFmtId="0" fontId="15" fillId="32" borderId="1" xfId="0" applyFont="1" applyFill="1" applyBorder="1"/>
    <xf numFmtId="0" fontId="32" fillId="32" borderId="1" xfId="0" applyFont="1" applyFill="1" applyBorder="1" applyAlignment="1">
      <alignment horizontal="right" vertical="center" wrapText="1"/>
    </xf>
    <xf numFmtId="0" fontId="33" fillId="32" borderId="1" xfId="0" applyFont="1" applyFill="1" applyBorder="1"/>
    <xf numFmtId="0" fontId="26" fillId="32" borderId="1" xfId="0" applyFont="1" applyFill="1" applyBorder="1"/>
    <xf numFmtId="0" fontId="6" fillId="15" borderId="1" xfId="0" applyFont="1" applyFill="1" applyBorder="1" applyAlignment="1">
      <alignment horizontal="right" vertical="center" wrapText="1"/>
    </xf>
    <xf numFmtId="0" fontId="6" fillId="15" borderId="4" xfId="0" applyFont="1" applyFill="1" applyBorder="1" applyAlignment="1">
      <alignment horizontal="right" vertical="center" wrapText="1"/>
    </xf>
    <xf numFmtId="49" fontId="35" fillId="25" borderId="5" xfId="0" applyNumberFormat="1" applyFont="1" applyFill="1" applyBorder="1" applyAlignment="1">
      <alignment horizontal="right"/>
    </xf>
    <xf numFmtId="0" fontId="33" fillId="32" borderId="0" xfId="0" applyFont="1" applyFill="1"/>
    <xf numFmtId="0" fontId="6" fillId="32" borderId="1" xfId="0" applyFont="1" applyFill="1" applyBorder="1" applyAlignment="1">
      <alignment horizontal="right" vertical="center" wrapText="1"/>
    </xf>
    <xf numFmtId="0" fontId="30" fillId="32" borderId="1" xfId="0" applyFont="1" applyFill="1" applyBorder="1"/>
    <xf numFmtId="0" fontId="4" fillId="13" borderId="7" xfId="0" applyFont="1" applyFill="1" applyBorder="1"/>
    <xf numFmtId="0" fontId="21" fillId="15" borderId="0" xfId="0" applyFont="1" applyFill="1" applyBorder="1" applyAlignment="1">
      <alignment vertical="center" wrapText="1"/>
    </xf>
    <xf numFmtId="0" fontId="20" fillId="15" borderId="0" xfId="0" applyFont="1" applyFill="1" applyBorder="1" applyAlignment="1">
      <alignment horizontal="right" vertical="center" wrapText="1"/>
    </xf>
    <xf numFmtId="0" fontId="2" fillId="15" borderId="0" xfId="0" applyFont="1" applyFill="1" applyBorder="1" applyAlignment="1">
      <alignment vertical="center" wrapText="1"/>
    </xf>
    <xf numFmtId="0" fontId="21" fillId="13" borderId="0" xfId="0" applyFont="1" applyFill="1" applyBorder="1" applyAlignment="1">
      <alignment vertical="center" wrapText="1"/>
    </xf>
    <xf numFmtId="0" fontId="20" fillId="13" borderId="0" xfId="0" applyFont="1" applyFill="1" applyBorder="1" applyAlignment="1">
      <alignment horizontal="right" vertical="center" wrapText="1"/>
    </xf>
    <xf numFmtId="0" fontId="0" fillId="13" borderId="1" xfId="0" applyFill="1" applyBorder="1"/>
    <xf numFmtId="0" fontId="0" fillId="15" borderId="1" xfId="0" applyFill="1" applyBorder="1"/>
    <xf numFmtId="0" fontId="16" fillId="13" borderId="0" xfId="0" applyNumberFormat="1" applyFont="1" applyFill="1" applyBorder="1" applyAlignment="1">
      <alignment horizontal="left" vertical="center" wrapText="1"/>
    </xf>
    <xf numFmtId="0" fontId="16" fillId="13" borderId="0" xfId="0" applyFont="1" applyFill="1" applyBorder="1" applyAlignment="1">
      <alignment horizontal="left" vertical="center" wrapText="1"/>
    </xf>
    <xf numFmtId="0" fontId="16" fillId="13" borderId="2" xfId="0" applyFont="1" applyFill="1" applyBorder="1" applyAlignment="1">
      <alignment vertical="center" wrapText="1"/>
    </xf>
    <xf numFmtId="0" fontId="15" fillId="13" borderId="0" xfId="0" applyFont="1" applyFill="1" applyBorder="1" applyAlignment="1">
      <alignment horizontal="center"/>
    </xf>
    <xf numFmtId="0" fontId="15" fillId="13" borderId="0" xfId="0" applyFont="1" applyFill="1" applyBorder="1"/>
    <xf numFmtId="49" fontId="47" fillId="13" borderId="0" xfId="0" applyNumberFormat="1" applyFont="1" applyFill="1" applyBorder="1" applyAlignment="1">
      <alignment horizontal="right"/>
    </xf>
    <xf numFmtId="0" fontId="6" fillId="26" borderId="1" xfId="0" applyFont="1" applyFill="1" applyBorder="1"/>
    <xf numFmtId="0" fontId="6" fillId="26" borderId="2" xfId="0" applyFont="1" applyFill="1" applyBorder="1"/>
    <xf numFmtId="0" fontId="6" fillId="26" borderId="3" xfId="0" applyFont="1" applyFill="1" applyBorder="1"/>
    <xf numFmtId="0" fontId="6" fillId="26" borderId="0" xfId="0" applyFont="1" applyFill="1"/>
    <xf numFmtId="0" fontId="8" fillId="26" borderId="0" xfId="0" applyFont="1" applyFill="1"/>
    <xf numFmtId="0" fontId="8" fillId="26" borderId="3" xfId="0" applyFont="1" applyFill="1" applyBorder="1"/>
    <xf numFmtId="0" fontId="8" fillId="26" borderId="4" xfId="0" applyFont="1" applyFill="1" applyBorder="1"/>
    <xf numFmtId="0" fontId="6" fillId="26" borderId="12" xfId="0" applyFont="1" applyFill="1" applyBorder="1" applyAlignment="1">
      <alignment vertical="center" wrapText="1"/>
    </xf>
    <xf numFmtId="0" fontId="6" fillId="26" borderId="5" xfId="0" applyFont="1" applyFill="1" applyBorder="1" applyAlignment="1">
      <alignment vertical="center" wrapText="1"/>
    </xf>
    <xf numFmtId="0" fontId="6" fillId="26" borderId="1" xfId="0" applyFont="1" applyFill="1" applyBorder="1" applyAlignment="1">
      <alignment vertical="center" wrapText="1"/>
    </xf>
    <xf numFmtId="0" fontId="6" fillId="26" borderId="1" xfId="0" applyFont="1" applyFill="1" applyBorder="1" applyAlignment="1">
      <alignment horizontal="center" vertical="center" wrapText="1"/>
    </xf>
    <xf numFmtId="0" fontId="6" fillId="26" borderId="6" xfId="0" applyFont="1" applyFill="1" applyBorder="1" applyAlignment="1">
      <alignment horizontal="center" vertical="center" wrapText="1"/>
    </xf>
    <xf numFmtId="0" fontId="8" fillId="26" borderId="8" xfId="0" applyFont="1" applyFill="1" applyBorder="1"/>
    <xf numFmtId="49" fontId="8" fillId="26" borderId="8" xfId="0" applyNumberFormat="1" applyFont="1" applyFill="1" applyBorder="1"/>
    <xf numFmtId="0" fontId="8" fillId="26" borderId="9" xfId="0" applyFont="1" applyFill="1" applyBorder="1"/>
    <xf numFmtId="0" fontId="8" fillId="26" borderId="10" xfId="0" applyFont="1" applyFill="1" applyBorder="1"/>
    <xf numFmtId="0" fontId="48" fillId="0" borderId="0" xfId="0" applyFont="1"/>
    <xf numFmtId="14" fontId="2" fillId="0" borderId="0" xfId="0" applyNumberFormat="1" applyFont="1" applyAlignment="1">
      <alignment horizontal="left"/>
    </xf>
    <xf numFmtId="0" fontId="0" fillId="0" borderId="0" xfId="0" applyAlignment="1"/>
    <xf numFmtId="0" fontId="2" fillId="21" borderId="2" xfId="0" applyFont="1" applyFill="1" applyBorder="1" applyAlignment="1">
      <alignment horizontal="center"/>
    </xf>
    <xf numFmtId="0" fontId="2" fillId="21" borderId="4" xfId="0" applyFont="1" applyFill="1" applyBorder="1" applyAlignment="1">
      <alignment horizontal="center"/>
    </xf>
    <xf numFmtId="0" fontId="3" fillId="19" borderId="2" xfId="0" applyFont="1" applyFill="1" applyBorder="1" applyAlignment="1">
      <alignment horizontal="center" vertical="center" wrapText="1"/>
    </xf>
    <xf numFmtId="0" fontId="3" fillId="19" borderId="4" xfId="0" applyFont="1" applyFill="1" applyBorder="1" applyAlignment="1">
      <alignment horizontal="center" vertical="center" wrapText="1"/>
    </xf>
    <xf numFmtId="0" fontId="2" fillId="21" borderId="8" xfId="0" applyFont="1" applyFill="1" applyBorder="1" applyAlignment="1">
      <alignment horizontal="center"/>
    </xf>
    <xf numFmtId="0" fontId="2" fillId="21" borderId="5" xfId="0" applyFont="1" applyFill="1" applyBorder="1" applyAlignment="1">
      <alignment horizontal="center"/>
    </xf>
    <xf numFmtId="0" fontId="2" fillId="21" borderId="3" xfId="0" applyFont="1" applyFill="1" applyBorder="1" applyAlignment="1">
      <alignment horizontal="center"/>
    </xf>
    <xf numFmtId="0" fontId="2" fillId="22" borderId="14" xfId="0" applyFont="1" applyFill="1" applyBorder="1" applyAlignment="1">
      <alignment horizontal="center" vertical="center" wrapText="1"/>
    </xf>
    <xf numFmtId="0" fontId="2" fillId="22" borderId="16" xfId="0" applyFont="1" applyFill="1" applyBorder="1" applyAlignment="1">
      <alignment horizontal="center" vertical="center" wrapText="1"/>
    </xf>
    <xf numFmtId="0" fontId="2" fillId="23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22" borderId="1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24" borderId="3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0" fontId="2" fillId="24" borderId="31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 wrapText="1"/>
    </xf>
    <xf numFmtId="0" fontId="2" fillId="25" borderId="2" xfId="0" applyFont="1" applyFill="1" applyBorder="1" applyAlignment="1">
      <alignment horizontal="left"/>
    </xf>
    <xf numFmtId="0" fontId="2" fillId="25" borderId="3" xfId="0" applyFont="1" applyFill="1" applyBorder="1" applyAlignment="1">
      <alignment horizontal="left"/>
    </xf>
    <xf numFmtId="0" fontId="2" fillId="25" borderId="4" xfId="0" applyFont="1" applyFill="1" applyBorder="1" applyAlignment="1">
      <alignment horizontal="left"/>
    </xf>
    <xf numFmtId="0" fontId="19" fillId="25" borderId="2" xfId="0" applyFont="1" applyFill="1" applyBorder="1" applyAlignment="1">
      <alignment horizontal="left" vertical="center" wrapText="1"/>
    </xf>
    <xf numFmtId="0" fontId="19" fillId="25" borderId="3" xfId="0" applyFont="1" applyFill="1" applyBorder="1" applyAlignment="1">
      <alignment horizontal="left" vertical="center" wrapText="1"/>
    </xf>
    <xf numFmtId="0" fontId="19" fillId="25" borderId="4" xfId="0" applyFont="1" applyFill="1" applyBorder="1" applyAlignment="1">
      <alignment horizontal="left" vertical="center" wrapText="1"/>
    </xf>
    <xf numFmtId="0" fontId="29" fillId="25" borderId="2" xfId="0" applyFont="1" applyFill="1" applyBorder="1" applyAlignment="1">
      <alignment horizontal="left" vertical="center" wrapText="1"/>
    </xf>
    <xf numFmtId="0" fontId="29" fillId="25" borderId="3" xfId="0" applyFont="1" applyFill="1" applyBorder="1" applyAlignment="1">
      <alignment horizontal="left" vertical="center" wrapText="1"/>
    </xf>
    <xf numFmtId="0" fontId="29" fillId="25" borderId="4" xfId="0" applyFont="1" applyFill="1" applyBorder="1" applyAlignment="1">
      <alignment horizontal="left" vertical="center" wrapText="1"/>
    </xf>
    <xf numFmtId="0" fontId="27" fillId="25" borderId="2" xfId="0" applyFont="1" applyFill="1" applyBorder="1" applyAlignment="1">
      <alignment horizontal="left" vertical="center" wrapText="1"/>
    </xf>
    <xf numFmtId="0" fontId="27" fillId="25" borderId="3" xfId="0" applyFont="1" applyFill="1" applyBorder="1" applyAlignment="1">
      <alignment horizontal="left" vertical="center" wrapText="1"/>
    </xf>
    <xf numFmtId="0" fontId="27" fillId="25" borderId="4" xfId="0" applyFont="1" applyFill="1" applyBorder="1" applyAlignment="1">
      <alignment horizontal="left" vertical="center" wrapText="1"/>
    </xf>
    <xf numFmtId="0" fontId="38" fillId="13" borderId="2" xfId="0" applyFont="1" applyFill="1" applyBorder="1" applyAlignment="1">
      <alignment horizontal="center" wrapText="1"/>
    </xf>
    <xf numFmtId="0" fontId="38" fillId="13" borderId="3" xfId="0" applyFont="1" applyFill="1" applyBorder="1" applyAlignment="1">
      <alignment horizontal="center" wrapText="1"/>
    </xf>
    <xf numFmtId="0" fontId="38" fillId="13" borderId="4" xfId="0" applyFont="1" applyFill="1" applyBorder="1" applyAlignment="1">
      <alignment horizontal="center" wrapText="1"/>
    </xf>
    <xf numFmtId="0" fontId="38" fillId="13" borderId="2" xfId="0" applyFont="1" applyFill="1" applyBorder="1" applyAlignment="1">
      <alignment horizontal="left" wrapText="1"/>
    </xf>
    <xf numFmtId="0" fontId="38" fillId="13" borderId="3" xfId="0" applyFont="1" applyFill="1" applyBorder="1" applyAlignment="1">
      <alignment horizontal="left" wrapText="1"/>
    </xf>
    <xf numFmtId="0" fontId="38" fillId="13" borderId="4" xfId="0" applyFont="1" applyFill="1" applyBorder="1" applyAlignment="1">
      <alignment horizontal="left" wrapText="1"/>
    </xf>
    <xf numFmtId="0" fontId="38" fillId="13" borderId="2" xfId="0" applyFont="1" applyFill="1" applyBorder="1" applyAlignment="1">
      <alignment horizontal="center" vertical="center" wrapText="1"/>
    </xf>
    <xf numFmtId="0" fontId="38" fillId="13" borderId="3" xfId="0" applyFont="1" applyFill="1" applyBorder="1" applyAlignment="1">
      <alignment horizontal="center" vertical="center" wrapText="1"/>
    </xf>
    <xf numFmtId="0" fontId="38" fillId="13" borderId="4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wrapText="1"/>
    </xf>
    <xf numFmtId="0" fontId="19" fillId="13" borderId="2" xfId="0" applyFont="1" applyFill="1" applyBorder="1" applyAlignment="1">
      <alignment horizontal="left" wrapText="1"/>
    </xf>
    <xf numFmtId="0" fontId="19" fillId="13" borderId="3" xfId="0" applyFont="1" applyFill="1" applyBorder="1" applyAlignment="1">
      <alignment horizontal="left" wrapText="1"/>
    </xf>
    <xf numFmtId="0" fontId="19" fillId="13" borderId="4" xfId="0" applyFont="1" applyFill="1" applyBorder="1" applyAlignment="1">
      <alignment horizontal="left" wrapText="1"/>
    </xf>
    <xf numFmtId="0" fontId="19" fillId="13" borderId="2" xfId="0" applyFont="1" applyFill="1" applyBorder="1" applyAlignment="1">
      <alignment horizontal="center" wrapText="1"/>
    </xf>
    <xf numFmtId="0" fontId="19" fillId="13" borderId="3" xfId="0" applyFont="1" applyFill="1" applyBorder="1" applyAlignment="1">
      <alignment horizontal="center" wrapText="1"/>
    </xf>
    <xf numFmtId="0" fontId="19" fillId="13" borderId="4" xfId="0" applyFont="1" applyFill="1" applyBorder="1" applyAlignment="1">
      <alignment horizontal="center" wrapText="1"/>
    </xf>
    <xf numFmtId="0" fontId="40" fillId="25" borderId="2" xfId="0" applyFont="1" applyFill="1" applyBorder="1" applyAlignment="1">
      <alignment horizontal="left" vertical="center" wrapText="1"/>
    </xf>
    <xf numFmtId="0" fontId="40" fillId="25" borderId="3" xfId="0" applyFont="1" applyFill="1" applyBorder="1" applyAlignment="1">
      <alignment horizontal="left" vertical="center" wrapText="1"/>
    </xf>
    <xf numFmtId="0" fontId="40" fillId="25" borderId="4" xfId="0" applyFont="1" applyFill="1" applyBorder="1" applyAlignment="1">
      <alignment horizontal="left" vertical="center" wrapText="1"/>
    </xf>
    <xf numFmtId="0" fontId="19" fillId="13" borderId="2" xfId="0" applyFont="1" applyFill="1" applyBorder="1" applyAlignment="1">
      <alignment horizontal="center" vertical="center" wrapText="1"/>
    </xf>
    <xf numFmtId="0" fontId="19" fillId="13" borderId="3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left" wrapText="1"/>
    </xf>
    <xf numFmtId="0" fontId="13" fillId="8" borderId="3" xfId="0" applyFont="1" applyFill="1" applyBorder="1" applyAlignment="1">
      <alignment horizontal="left" wrapText="1"/>
    </xf>
    <xf numFmtId="0" fontId="13" fillId="8" borderId="4" xfId="0" applyFont="1" applyFill="1" applyBorder="1" applyAlignment="1">
      <alignment horizontal="left" wrapText="1"/>
    </xf>
    <xf numFmtId="0" fontId="13" fillId="8" borderId="2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wrapText="1"/>
    </xf>
    <xf numFmtId="0" fontId="13" fillId="8" borderId="4" xfId="0" applyFont="1" applyFill="1" applyBorder="1" applyAlignment="1">
      <alignment horizont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18" fillId="13" borderId="2" xfId="0" applyFont="1" applyFill="1" applyBorder="1" applyAlignment="1">
      <alignment horizontal="center" vertical="center" wrapText="1"/>
    </xf>
    <xf numFmtId="0" fontId="18" fillId="13" borderId="3" xfId="0" applyFont="1" applyFill="1" applyBorder="1" applyAlignment="1">
      <alignment horizontal="center" vertical="center" wrapText="1"/>
    </xf>
    <xf numFmtId="0" fontId="18" fillId="13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8" fillId="13" borderId="2" xfId="0" applyFont="1" applyFill="1" applyBorder="1" applyAlignment="1">
      <alignment horizontal="left" wrapText="1"/>
    </xf>
    <xf numFmtId="0" fontId="18" fillId="13" borderId="3" xfId="0" applyFont="1" applyFill="1" applyBorder="1" applyAlignment="1">
      <alignment horizontal="left" wrapText="1"/>
    </xf>
    <xf numFmtId="0" fontId="18" fillId="13" borderId="4" xfId="0" applyFont="1" applyFill="1" applyBorder="1" applyAlignment="1">
      <alignment horizontal="left" wrapText="1"/>
    </xf>
    <xf numFmtId="0" fontId="18" fillId="13" borderId="2" xfId="0" applyFont="1" applyFill="1" applyBorder="1" applyAlignment="1">
      <alignment horizontal="center" wrapText="1"/>
    </xf>
    <xf numFmtId="0" fontId="18" fillId="13" borderId="3" xfId="0" applyFont="1" applyFill="1" applyBorder="1" applyAlignment="1">
      <alignment horizontal="center" wrapText="1"/>
    </xf>
    <xf numFmtId="0" fontId="18" fillId="13" borderId="4" xfId="0" applyFont="1" applyFill="1" applyBorder="1" applyAlignment="1">
      <alignment horizontal="center" wrapText="1"/>
    </xf>
    <xf numFmtId="0" fontId="23" fillId="14" borderId="2" xfId="0" applyFont="1" applyFill="1" applyBorder="1" applyAlignment="1">
      <alignment horizontal="center" vertical="center" wrapText="1"/>
    </xf>
    <xf numFmtId="0" fontId="23" fillId="14" borderId="3" xfId="0" applyFont="1" applyFill="1" applyBorder="1" applyAlignment="1">
      <alignment horizontal="center" vertical="center" wrapText="1"/>
    </xf>
    <xf numFmtId="0" fontId="23" fillId="14" borderId="4" xfId="0" applyFont="1" applyFill="1" applyBorder="1" applyAlignment="1">
      <alignment horizontal="center" vertical="center" wrapText="1"/>
    </xf>
    <xf numFmtId="0" fontId="23" fillId="14" borderId="2" xfId="0" applyFont="1" applyFill="1" applyBorder="1" applyAlignment="1">
      <alignment horizontal="left" wrapText="1"/>
    </xf>
    <xf numFmtId="0" fontId="23" fillId="14" borderId="3" xfId="0" applyFont="1" applyFill="1" applyBorder="1" applyAlignment="1">
      <alignment horizontal="left" wrapText="1"/>
    </xf>
    <xf numFmtId="0" fontId="23" fillId="14" borderId="4" xfId="0" applyFont="1" applyFill="1" applyBorder="1" applyAlignment="1">
      <alignment horizontal="left" wrapText="1"/>
    </xf>
    <xf numFmtId="0" fontId="23" fillId="14" borderId="2" xfId="0" applyFont="1" applyFill="1" applyBorder="1" applyAlignment="1">
      <alignment horizontal="center" wrapText="1"/>
    </xf>
    <xf numFmtId="0" fontId="23" fillId="14" borderId="3" xfId="0" applyFont="1" applyFill="1" applyBorder="1" applyAlignment="1">
      <alignment horizontal="center" wrapText="1"/>
    </xf>
    <xf numFmtId="0" fontId="23" fillId="14" borderId="4" xfId="0" applyFont="1" applyFill="1" applyBorder="1" applyAlignment="1">
      <alignment horizontal="center" wrapText="1"/>
    </xf>
    <xf numFmtId="0" fontId="6" fillId="26" borderId="2" xfId="0" applyFont="1" applyFill="1" applyBorder="1" applyAlignment="1">
      <alignment horizontal="center" wrapText="1"/>
    </xf>
    <xf numFmtId="0" fontId="6" fillId="26" borderId="4" xfId="0" applyFont="1" applyFill="1" applyBorder="1" applyAlignment="1">
      <alignment horizontal="center" wrapText="1"/>
    </xf>
    <xf numFmtId="0" fontId="6" fillId="26" borderId="2" xfId="0" applyFont="1" applyFill="1" applyBorder="1" applyAlignment="1">
      <alignment horizontal="center" vertical="center" wrapText="1"/>
    </xf>
    <xf numFmtId="0" fontId="6" fillId="26" borderId="3" xfId="0" applyFont="1" applyFill="1" applyBorder="1" applyAlignment="1">
      <alignment horizontal="center" vertical="center" wrapText="1"/>
    </xf>
    <xf numFmtId="0" fontId="6" fillId="26" borderId="4" xfId="0" applyFont="1" applyFill="1" applyBorder="1" applyAlignment="1">
      <alignment horizontal="center" vertical="center" wrapText="1"/>
    </xf>
    <xf numFmtId="0" fontId="6" fillId="26" borderId="2" xfId="0" applyFont="1" applyFill="1" applyBorder="1" applyAlignment="1">
      <alignment wrapText="1"/>
    </xf>
    <xf numFmtId="0" fontId="6" fillId="26" borderId="3" xfId="0" applyFont="1" applyFill="1" applyBorder="1" applyAlignment="1">
      <alignment wrapText="1"/>
    </xf>
    <xf numFmtId="0" fontId="6" fillId="26" borderId="4" xfId="0" applyFont="1" applyFill="1" applyBorder="1" applyAlignment="1">
      <alignment wrapText="1"/>
    </xf>
    <xf numFmtId="0" fontId="6" fillId="26" borderId="3" xfId="0" applyFont="1" applyFill="1" applyBorder="1" applyAlignment="1">
      <alignment horizontal="center" wrapText="1"/>
    </xf>
    <xf numFmtId="0" fontId="4" fillId="28" borderId="2" xfId="0" applyFont="1" applyFill="1" applyBorder="1" applyAlignment="1">
      <alignment horizontal="center" vertical="center" wrapText="1"/>
    </xf>
    <xf numFmtId="0" fontId="4" fillId="28" borderId="3" xfId="0" applyFont="1" applyFill="1" applyBorder="1" applyAlignment="1">
      <alignment horizontal="center" vertical="center" wrapText="1"/>
    </xf>
    <xf numFmtId="0" fontId="4" fillId="28" borderId="4" xfId="0" applyFont="1" applyFill="1" applyBorder="1" applyAlignment="1">
      <alignment horizontal="center" vertical="center" wrapText="1"/>
    </xf>
    <xf numFmtId="0" fontId="4" fillId="28" borderId="2" xfId="0" applyFont="1" applyFill="1" applyBorder="1" applyAlignment="1">
      <alignment horizontal="left" wrapText="1"/>
    </xf>
    <xf numFmtId="0" fontId="4" fillId="28" borderId="3" xfId="0" applyFont="1" applyFill="1" applyBorder="1" applyAlignment="1">
      <alignment horizontal="left" wrapText="1"/>
    </xf>
    <xf numFmtId="0" fontId="4" fillId="28" borderId="4" xfId="0" applyFont="1" applyFill="1" applyBorder="1" applyAlignment="1">
      <alignment horizontal="left" wrapText="1"/>
    </xf>
    <xf numFmtId="0" fontId="4" fillId="28" borderId="2" xfId="0" applyFont="1" applyFill="1" applyBorder="1" applyAlignment="1">
      <alignment horizontal="center" wrapText="1"/>
    </xf>
    <xf numFmtId="0" fontId="4" fillId="28" borderId="3" xfId="0" applyFont="1" applyFill="1" applyBorder="1" applyAlignment="1">
      <alignment horizontal="center" wrapText="1"/>
    </xf>
    <xf numFmtId="0" fontId="4" fillId="28" borderId="4" xfId="0" applyFont="1" applyFill="1" applyBorder="1" applyAlignment="1">
      <alignment horizontal="center" wrapText="1"/>
    </xf>
    <xf numFmtId="0" fontId="21" fillId="0" borderId="2" xfId="0" applyFont="1" applyBorder="1" applyAlignment="1">
      <alignment vertical="center" wrapText="1"/>
    </xf>
    <xf numFmtId="0" fontId="21" fillId="0" borderId="36" xfId="0" applyFont="1" applyBorder="1" applyAlignment="1">
      <alignment vertical="center" wrapText="1"/>
    </xf>
    <xf numFmtId="0" fontId="21" fillId="29" borderId="37" xfId="0" applyFont="1" applyFill="1" applyBorder="1" applyAlignment="1">
      <alignment vertical="center" wrapText="1"/>
    </xf>
    <xf numFmtId="0" fontId="21" fillId="29" borderId="36" xfId="0" applyFont="1" applyFill="1" applyBorder="1" applyAlignment="1">
      <alignment vertical="center" wrapText="1"/>
    </xf>
    <xf numFmtId="0" fontId="21" fillId="30" borderId="37" xfId="0" applyFont="1" applyFill="1" applyBorder="1" applyAlignment="1">
      <alignment vertical="center" wrapText="1"/>
    </xf>
    <xf numFmtId="0" fontId="21" fillId="30" borderId="36" xfId="0" applyFont="1" applyFill="1" applyBorder="1" applyAlignment="1">
      <alignment vertical="center" wrapText="1"/>
    </xf>
    <xf numFmtId="0" fontId="21" fillId="31" borderId="37" xfId="0" applyFont="1" applyFill="1" applyBorder="1" applyAlignment="1">
      <alignment vertical="center" wrapText="1"/>
    </xf>
    <xf numFmtId="0" fontId="21" fillId="31" borderId="36" xfId="0" applyFont="1" applyFill="1" applyBorder="1" applyAlignment="1">
      <alignment vertical="center" wrapText="1"/>
    </xf>
    <xf numFmtId="0" fontId="13" fillId="13" borderId="2" xfId="0" applyFont="1" applyFill="1" applyBorder="1" applyAlignment="1">
      <alignment horizontal="center" wrapText="1"/>
    </xf>
    <xf numFmtId="0" fontId="13" fillId="13" borderId="4" xfId="0" applyFont="1" applyFill="1" applyBorder="1" applyAlignment="1">
      <alignment horizontal="center" wrapText="1"/>
    </xf>
    <xf numFmtId="0" fontId="13" fillId="13" borderId="2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left" wrapText="1"/>
    </xf>
    <xf numFmtId="0" fontId="13" fillId="13" borderId="3" xfId="0" applyFont="1" applyFill="1" applyBorder="1" applyAlignment="1">
      <alignment horizontal="left" wrapText="1"/>
    </xf>
    <xf numFmtId="0" fontId="13" fillId="13" borderId="4" xfId="0" applyFont="1" applyFill="1" applyBorder="1" applyAlignment="1">
      <alignment horizontal="left" wrapText="1"/>
    </xf>
    <xf numFmtId="0" fontId="13" fillId="13" borderId="3" xfId="0" applyFont="1" applyFill="1" applyBorder="1" applyAlignment="1">
      <alignment horizontal="center" wrapText="1"/>
    </xf>
    <xf numFmtId="0" fontId="31" fillId="13" borderId="2" xfId="0" applyFont="1" applyFill="1" applyBorder="1" applyAlignment="1">
      <alignment horizontal="center" wrapText="1"/>
    </xf>
    <xf numFmtId="0" fontId="31" fillId="13" borderId="4" xfId="0" applyFont="1" applyFill="1" applyBorder="1" applyAlignment="1">
      <alignment horizontal="center" wrapText="1"/>
    </xf>
    <xf numFmtId="0" fontId="31" fillId="13" borderId="2" xfId="0" applyFont="1" applyFill="1" applyBorder="1" applyAlignment="1">
      <alignment horizontal="center" vertical="center" wrapText="1"/>
    </xf>
    <xf numFmtId="0" fontId="31" fillId="13" borderId="3" xfId="0" applyFont="1" applyFill="1" applyBorder="1" applyAlignment="1">
      <alignment horizontal="center" vertical="center" wrapText="1"/>
    </xf>
    <xf numFmtId="0" fontId="31" fillId="13" borderId="4" xfId="0" applyFont="1" applyFill="1" applyBorder="1" applyAlignment="1">
      <alignment horizontal="center" vertical="center" wrapText="1"/>
    </xf>
    <xf numFmtId="0" fontId="31" fillId="13" borderId="2" xfId="0" applyFont="1" applyFill="1" applyBorder="1" applyAlignment="1">
      <alignment horizontal="left" wrapText="1"/>
    </xf>
    <xf numFmtId="0" fontId="31" fillId="13" borderId="3" xfId="0" applyFont="1" applyFill="1" applyBorder="1" applyAlignment="1">
      <alignment horizontal="left" wrapText="1"/>
    </xf>
    <xf numFmtId="0" fontId="31" fillId="13" borderId="4" xfId="0" applyFont="1" applyFill="1" applyBorder="1" applyAlignment="1">
      <alignment horizontal="left" wrapText="1"/>
    </xf>
    <xf numFmtId="0" fontId="31" fillId="13" borderId="3" xfId="0" applyFont="1" applyFill="1" applyBorder="1" applyAlignment="1">
      <alignment horizont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left" wrapText="1"/>
    </xf>
    <xf numFmtId="0" fontId="13" fillId="10" borderId="3" xfId="0" applyFont="1" applyFill="1" applyBorder="1" applyAlignment="1">
      <alignment horizontal="left" wrapText="1"/>
    </xf>
    <xf numFmtId="0" fontId="13" fillId="10" borderId="4" xfId="0" applyFont="1" applyFill="1" applyBorder="1" applyAlignment="1">
      <alignment horizontal="left" wrapText="1"/>
    </xf>
    <xf numFmtId="0" fontId="13" fillId="10" borderId="2" xfId="0" applyFont="1" applyFill="1" applyBorder="1" applyAlignment="1">
      <alignment horizontal="center" wrapText="1"/>
    </xf>
    <xf numFmtId="0" fontId="13" fillId="10" borderId="3" xfId="0" applyFont="1" applyFill="1" applyBorder="1" applyAlignment="1">
      <alignment horizontal="center" wrapText="1"/>
    </xf>
    <xf numFmtId="0" fontId="13" fillId="10" borderId="4" xfId="0" applyFont="1" applyFill="1" applyBorder="1" applyAlignment="1">
      <alignment horizontal="center" wrapText="1"/>
    </xf>
    <xf numFmtId="0" fontId="21" fillId="0" borderId="0" xfId="0" applyFont="1" applyBorder="1" applyAlignment="1">
      <alignment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left" wrapText="1"/>
    </xf>
    <xf numFmtId="0" fontId="4" fillId="13" borderId="3" xfId="0" applyFont="1" applyFill="1" applyBorder="1" applyAlignment="1">
      <alignment horizontal="left" wrapText="1"/>
    </xf>
    <xf numFmtId="0" fontId="4" fillId="13" borderId="4" xfId="0" applyFont="1" applyFill="1" applyBorder="1" applyAlignment="1">
      <alignment horizontal="left" wrapText="1"/>
    </xf>
    <xf numFmtId="0" fontId="4" fillId="13" borderId="2" xfId="0" applyFont="1" applyFill="1" applyBorder="1" applyAlignment="1">
      <alignment horizontal="center" wrapText="1"/>
    </xf>
    <xf numFmtId="0" fontId="4" fillId="13" borderId="3" xfId="0" applyFont="1" applyFill="1" applyBorder="1" applyAlignment="1">
      <alignment horizontal="center" wrapText="1"/>
    </xf>
    <xf numFmtId="0" fontId="4" fillId="13" borderId="4" xfId="0" applyFont="1" applyFill="1" applyBorder="1" applyAlignment="1">
      <alignment horizontal="center" wrapText="1"/>
    </xf>
    <xf numFmtId="0" fontId="21" fillId="15" borderId="0" xfId="0" applyFont="1" applyFill="1" applyBorder="1" applyAlignment="1">
      <alignment vertical="center" wrapText="1"/>
    </xf>
    <xf numFmtId="0" fontId="16" fillId="13" borderId="2" xfId="0" applyFont="1" applyFill="1" applyBorder="1" applyAlignment="1">
      <alignment horizontal="center" wrapText="1"/>
    </xf>
    <xf numFmtId="0" fontId="16" fillId="13" borderId="4" xfId="0" applyFont="1" applyFill="1" applyBorder="1" applyAlignment="1">
      <alignment horizontal="center" wrapText="1"/>
    </xf>
    <xf numFmtId="0" fontId="16" fillId="13" borderId="2" xfId="0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left" wrapText="1"/>
    </xf>
    <xf numFmtId="0" fontId="16" fillId="13" borderId="3" xfId="0" applyFont="1" applyFill="1" applyBorder="1" applyAlignment="1">
      <alignment horizontal="left" wrapText="1"/>
    </xf>
    <xf numFmtId="0" fontId="16" fillId="13" borderId="4" xfId="0" applyFont="1" applyFill="1" applyBorder="1" applyAlignment="1">
      <alignment horizontal="left" wrapText="1"/>
    </xf>
    <xf numFmtId="0" fontId="16" fillId="13" borderId="3" xfId="0" applyFont="1" applyFill="1" applyBorder="1" applyAlignment="1">
      <alignment horizontal="center" wrapText="1"/>
    </xf>
  </cellXfs>
  <cellStyles count="1">
    <cellStyle name="Normal" xfId="0" builtinId="0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CC00"/>
      <color rgb="FFCC3399"/>
      <color rgb="FF990099"/>
      <color rgb="FFFF3300"/>
      <color rgb="FFB43634"/>
      <color rgb="FFFF4B2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workbookViewId="0">
      <pane ySplit="1" topLeftCell="A2" activePane="bottomLeft" state="frozen"/>
      <selection pane="bottomLeft" activeCell="B6" sqref="B6"/>
    </sheetView>
  </sheetViews>
  <sheetFormatPr defaultRowHeight="15" x14ac:dyDescent="0.25"/>
  <cols>
    <col min="1" max="1" width="19" bestFit="1" customWidth="1"/>
  </cols>
  <sheetData>
    <row r="1" spans="1:12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118</v>
      </c>
      <c r="H1" s="1" t="s">
        <v>119</v>
      </c>
      <c r="I1" s="1" t="s">
        <v>5</v>
      </c>
      <c r="J1" s="1" t="s">
        <v>116</v>
      </c>
      <c r="K1" s="1" t="s">
        <v>117</v>
      </c>
      <c r="L1" s="1" t="s">
        <v>336</v>
      </c>
    </row>
    <row r="2" spans="1:12" x14ac:dyDescent="0.25">
      <c r="A2" s="64" t="s">
        <v>24</v>
      </c>
      <c r="B2" s="175">
        <f>SUM(382+bathpld+bathpopld)</f>
        <v>406</v>
      </c>
      <c r="C2" s="175">
        <f>SUM(204+bathwon+bathpowon)</f>
        <v>221</v>
      </c>
      <c r="D2" s="175">
        <f>SUM(161+bathlost+bathpolost)</f>
        <v>168</v>
      </c>
      <c r="E2" s="175">
        <f>SUM(17+bathdrawn+bathpodrawn)</f>
        <v>17</v>
      </c>
      <c r="F2" s="176">
        <f t="shared" ref="F2:F21" si="0">SUM(C2+E2*0.5)/B2</f>
        <v>0.56527093596059108</v>
      </c>
      <c r="G2" s="175">
        <f>SUM(8409+bathscored+bathpoptsscored)</f>
        <v>9097</v>
      </c>
      <c r="H2" s="175">
        <f>SUM(7426+bathconceded+bathpoptsconceded)</f>
        <v>7878</v>
      </c>
      <c r="I2" s="175">
        <f t="shared" ref="I2:I21" si="1">SUM(G2-H2)</f>
        <v>1219</v>
      </c>
      <c r="J2" s="64">
        <f>SUM(827+bathtriesscored+bathpotriesscored)</f>
        <v>907</v>
      </c>
      <c r="K2" s="64">
        <f>SUM(702+bathtriesconceded+bathpotriesconceded)</f>
        <v>749</v>
      </c>
    </row>
    <row r="3" spans="1:12" x14ac:dyDescent="0.25">
      <c r="A3" t="s">
        <v>6</v>
      </c>
      <c r="B3" s="2">
        <v>48</v>
      </c>
      <c r="C3" s="2">
        <v>7</v>
      </c>
      <c r="D3" s="2">
        <v>41</v>
      </c>
      <c r="E3" s="2">
        <v>0</v>
      </c>
      <c r="F3" s="19">
        <f t="shared" si="0"/>
        <v>0.14583333333333334</v>
      </c>
      <c r="G3" s="2">
        <v>937</v>
      </c>
      <c r="H3" s="2">
        <v>1642</v>
      </c>
      <c r="I3" s="2">
        <f t="shared" si="1"/>
        <v>-705</v>
      </c>
      <c r="J3" s="2">
        <v>114</v>
      </c>
      <c r="K3" s="2">
        <v>203</v>
      </c>
    </row>
    <row r="4" spans="1:12" x14ac:dyDescent="0.25">
      <c r="A4" t="s">
        <v>7</v>
      </c>
      <c r="B4" s="2">
        <v>199</v>
      </c>
      <c r="C4" s="2">
        <v>70</v>
      </c>
      <c r="D4" s="2">
        <v>121</v>
      </c>
      <c r="E4" s="2">
        <v>8</v>
      </c>
      <c r="F4" s="19">
        <f t="shared" si="0"/>
        <v>0.37185929648241206</v>
      </c>
      <c r="G4" s="2">
        <v>4018</v>
      </c>
      <c r="H4" s="2">
        <v>5067</v>
      </c>
      <c r="I4" s="2">
        <f t="shared" si="1"/>
        <v>-1049</v>
      </c>
      <c r="J4" s="2">
        <v>393</v>
      </c>
      <c r="K4" s="2">
        <v>540</v>
      </c>
    </row>
    <row r="5" spans="1:12" x14ac:dyDescent="0.25">
      <c r="A5" s="64" t="s">
        <v>8</v>
      </c>
      <c r="B5" s="175">
        <f>SUM(88+exeterpld)</f>
        <v>110</v>
      </c>
      <c r="C5" s="175">
        <f>SUM(43+exeterwon)</f>
        <v>57</v>
      </c>
      <c r="D5" s="175">
        <f>SUM(44+exeterlost)</f>
        <v>52</v>
      </c>
      <c r="E5" s="175">
        <f>SUM(1+exeterdrawn)</f>
        <v>1</v>
      </c>
      <c r="F5" s="176">
        <f t="shared" si="0"/>
        <v>0.52272727272727271</v>
      </c>
      <c r="G5" s="175">
        <f>SUM(1832+exeterscored)</f>
        <v>2495</v>
      </c>
      <c r="H5" s="175">
        <f>SUM(1807+exeterconceded)</f>
        <v>2244</v>
      </c>
      <c r="I5" s="175">
        <f t="shared" si="1"/>
        <v>251</v>
      </c>
      <c r="J5" s="64">
        <f>SUM(162+exetertriesscored)</f>
        <v>232</v>
      </c>
      <c r="K5" s="64">
        <f>SUM(174+exetertriesconceded)</f>
        <v>220</v>
      </c>
    </row>
    <row r="6" spans="1:12" x14ac:dyDescent="0.25">
      <c r="A6" s="64" t="s">
        <v>9</v>
      </c>
      <c r="B6" s="175">
        <f>SUM(383+glosplayed)</f>
        <v>405</v>
      </c>
      <c r="C6" s="175">
        <f>SUM(206+gloswon)</f>
        <v>215</v>
      </c>
      <c r="D6" s="175">
        <f>SUM(165+gloslost)</f>
        <v>177</v>
      </c>
      <c r="E6" s="175">
        <f>SUM(12+glosdrawn)</f>
        <v>13</v>
      </c>
      <c r="F6" s="176">
        <f t="shared" si="0"/>
        <v>0.54691358024691361</v>
      </c>
      <c r="G6" s="175">
        <f>SUM(8887+glosscored)</f>
        <v>9440</v>
      </c>
      <c r="H6" s="175">
        <f>SUM(8147+glosconceded)</f>
        <v>8722</v>
      </c>
      <c r="I6" s="175">
        <f t="shared" si="1"/>
        <v>718</v>
      </c>
      <c r="J6" s="64">
        <f>SUM(896+glostries)</f>
        <v>949</v>
      </c>
      <c r="K6" s="64">
        <f>SUM(790+glostriesconceded)</f>
        <v>851</v>
      </c>
    </row>
    <row r="7" spans="1:12" x14ac:dyDescent="0.25">
      <c r="A7" s="64" t="s">
        <v>10</v>
      </c>
      <c r="B7" s="175">
        <f>SUM(361+harplayed)</f>
        <v>383</v>
      </c>
      <c r="C7" s="175">
        <f>SUM(171+harwon)</f>
        <v>181</v>
      </c>
      <c r="D7" s="175">
        <f>SUM(177+harlost)</f>
        <v>189</v>
      </c>
      <c r="E7" s="175">
        <f>SUM(13+hardrawn)</f>
        <v>13</v>
      </c>
      <c r="F7" s="176">
        <f t="shared" si="0"/>
        <v>0.48955613577023499</v>
      </c>
      <c r="G7" s="175">
        <f>SUM(7915+harscored)</f>
        <v>8359</v>
      </c>
      <c r="H7" s="175">
        <f>SUM(7965+harconceded)</f>
        <v>8479</v>
      </c>
      <c r="I7" s="175">
        <f t="shared" si="1"/>
        <v>-120</v>
      </c>
      <c r="J7" s="64">
        <f>SUM(792+hartriesscored)</f>
        <v>837</v>
      </c>
      <c r="K7" s="64">
        <f>SUM(795+hartriesconceded)</f>
        <v>845</v>
      </c>
    </row>
    <row r="8" spans="1:12" x14ac:dyDescent="0.25">
      <c r="A8" t="s">
        <v>11</v>
      </c>
      <c r="B8" s="2">
        <v>176</v>
      </c>
      <c r="C8" s="2">
        <v>52</v>
      </c>
      <c r="D8" s="2">
        <v>119</v>
      </c>
      <c r="E8" s="2">
        <v>5</v>
      </c>
      <c r="F8" s="19">
        <f t="shared" si="0"/>
        <v>0.30965909090909088</v>
      </c>
      <c r="G8" s="2">
        <v>3010</v>
      </c>
      <c r="H8" s="2">
        <v>4496</v>
      </c>
      <c r="I8" s="2">
        <f t="shared" si="1"/>
        <v>-1486</v>
      </c>
      <c r="J8" s="2">
        <v>273</v>
      </c>
      <c r="K8" s="2">
        <v>474</v>
      </c>
    </row>
    <row r="9" spans="1:12" x14ac:dyDescent="0.25">
      <c r="A9" s="64" t="s">
        <v>12</v>
      </c>
      <c r="B9" s="175">
        <f>SUM(396+leicsplayed+leicesterpoplayed+leicesterpoplayed)</f>
        <v>420</v>
      </c>
      <c r="C9" s="175">
        <f>SUM(270+leicswon+leicesterpowon+leicesterpowon)</f>
        <v>285</v>
      </c>
      <c r="D9" s="175">
        <f>SUM(105+leicslost+leicesterpolost+leicesterpolost)</f>
        <v>113</v>
      </c>
      <c r="E9" s="175">
        <f>SUM(21+leicsdrawn)</f>
        <v>22</v>
      </c>
      <c r="F9" s="176">
        <f t="shared" si="0"/>
        <v>0.70476190476190481</v>
      </c>
      <c r="G9" s="175">
        <f>SUM(10410+leicsscored+leicesterposcored)</f>
        <v>10873</v>
      </c>
      <c r="H9" s="175">
        <f>SUM(7168+leicsconceded+leicesterpoconceded)</f>
        <v>7636</v>
      </c>
      <c r="I9" s="175">
        <f t="shared" si="1"/>
        <v>3237</v>
      </c>
      <c r="J9" s="64">
        <f>SUM(1098+leicstries+leicesterpotriesscored)</f>
        <v>1136</v>
      </c>
      <c r="K9" s="64">
        <f>SUM(593+leicstriesconceded+leicesterpotriesconceded)</f>
        <v>639</v>
      </c>
    </row>
    <row r="10" spans="1:12" x14ac:dyDescent="0.25">
      <c r="A10" s="64" t="s">
        <v>13</v>
      </c>
      <c r="B10" s="175">
        <f>SUM(381+liplayed)</f>
        <v>403</v>
      </c>
      <c r="C10" s="175">
        <f>SUM(172+liwon)</f>
        <v>179</v>
      </c>
      <c r="D10" s="175">
        <f>SUM(196+lilost)</f>
        <v>210</v>
      </c>
      <c r="E10" s="175">
        <f>SUM(13+lidrawn)</f>
        <v>14</v>
      </c>
      <c r="F10" s="176">
        <f t="shared" si="0"/>
        <v>0.46153846153846156</v>
      </c>
      <c r="G10" s="175">
        <f>SUM(8330+liscored)</f>
        <v>8772</v>
      </c>
      <c r="H10" s="175">
        <f>SUM(8432+liconceded)</f>
        <v>9010</v>
      </c>
      <c r="I10" s="175">
        <f t="shared" si="1"/>
        <v>-238</v>
      </c>
      <c r="J10" s="64">
        <f>SUM(771+litries)</f>
        <v>817</v>
      </c>
      <c r="K10" s="64">
        <f>SUM(827+litriesconceded)</f>
        <v>884</v>
      </c>
    </row>
    <row r="11" spans="1:12" x14ac:dyDescent="0.25">
      <c r="A11" t="s">
        <v>14</v>
      </c>
      <c r="B11" s="2">
        <v>26</v>
      </c>
      <c r="C11" s="2">
        <v>8</v>
      </c>
      <c r="D11" s="2">
        <v>18</v>
      </c>
      <c r="E11" s="2">
        <v>0</v>
      </c>
      <c r="F11" s="19">
        <f t="shared" si="0"/>
        <v>0.30769230769230771</v>
      </c>
      <c r="G11" s="2">
        <v>491</v>
      </c>
      <c r="H11" s="2">
        <v>734</v>
      </c>
      <c r="I11" s="2">
        <f t="shared" si="1"/>
        <v>-243</v>
      </c>
      <c r="J11" s="2">
        <v>40</v>
      </c>
      <c r="K11" s="2">
        <v>85</v>
      </c>
    </row>
    <row r="12" spans="1:12" x14ac:dyDescent="0.25">
      <c r="A12" s="64" t="s">
        <v>15</v>
      </c>
      <c r="B12" s="175">
        <f>SUM(22+lweplayed)</f>
        <v>44</v>
      </c>
      <c r="C12" s="175">
        <f>SUM(5+lwewon)</f>
        <v>5</v>
      </c>
      <c r="D12" s="175">
        <f>SUM(17+lwelost)</f>
        <v>39</v>
      </c>
      <c r="E12" s="175">
        <f>SUM(0+lwedrawn)</f>
        <v>0</v>
      </c>
      <c r="F12" s="176">
        <f t="shared" si="0"/>
        <v>0.11363636363636363</v>
      </c>
      <c r="G12" s="175">
        <f>SUM(412+lwescored)</f>
        <v>635</v>
      </c>
      <c r="H12" s="175">
        <f>SUM(619+lweagainst)</f>
        <v>1640</v>
      </c>
      <c r="I12" s="175">
        <f t="shared" si="1"/>
        <v>-1005</v>
      </c>
      <c r="J12" s="175">
        <f>SUM(30+lwetriesscored)</f>
        <v>59</v>
      </c>
      <c r="K12" s="175">
        <f>SUM(67+lwetriesconceded)</f>
        <v>214</v>
      </c>
    </row>
    <row r="13" spans="1:12" x14ac:dyDescent="0.25">
      <c r="A13" s="64" t="s">
        <v>16</v>
      </c>
      <c r="B13" s="175">
        <f>SUM(356+newcplayed)</f>
        <v>378</v>
      </c>
      <c r="C13" s="175">
        <f>SUM(139+newcwon)</f>
        <v>144</v>
      </c>
      <c r="D13" s="175">
        <f>SUM(201+newclost)</f>
        <v>217</v>
      </c>
      <c r="E13" s="175">
        <f>SUM(16+newcdrawn)</f>
        <v>17</v>
      </c>
      <c r="F13" s="176">
        <f t="shared" si="0"/>
        <v>0.40343915343915343</v>
      </c>
      <c r="G13" s="175">
        <f>SUM(7002+newcscored)</f>
        <v>7477</v>
      </c>
      <c r="H13" s="175">
        <f>SUM(8364+newcconceded)</f>
        <v>8909</v>
      </c>
      <c r="I13" s="175">
        <f t="shared" si="1"/>
        <v>-1432</v>
      </c>
      <c r="J13" s="64">
        <f>SUM(688+newctriesscored)</f>
        <v>745</v>
      </c>
      <c r="K13" s="64">
        <f>SUM(874+newctriesconceded)</f>
        <v>935</v>
      </c>
    </row>
    <row r="14" spans="1:12" x14ac:dyDescent="0.25">
      <c r="A14" s="64" t="s">
        <v>17</v>
      </c>
      <c r="B14" s="175">
        <f>SUM(365+saintsplayed+saintspoplayed)</f>
        <v>388</v>
      </c>
      <c r="C14" s="175">
        <f>SUM(205+saintswon+sainstpowon)</f>
        <v>221</v>
      </c>
      <c r="D14" s="175">
        <f>SUM(152+saintslost+saintspolost)</f>
        <v>158</v>
      </c>
      <c r="E14" s="175">
        <f>SUM(8+saintsdrawn)</f>
        <v>9</v>
      </c>
      <c r="F14" s="176">
        <f t="shared" si="0"/>
        <v>0.58118556701030932</v>
      </c>
      <c r="G14" s="175">
        <f>SUM(8380+saintsscored+saintsposcored)</f>
        <v>9025</v>
      </c>
      <c r="H14" s="175">
        <f>SUM(7215+saintsconceded+saintspoconceded)</f>
        <v>7644</v>
      </c>
      <c r="I14" s="175">
        <f t="shared" si="1"/>
        <v>1381</v>
      </c>
      <c r="J14" s="64">
        <f>SUM(859+saintstriesscored+saintspotriesscored)</f>
        <v>936</v>
      </c>
      <c r="K14" s="64">
        <f>SUM(691+saintstriesconceded+sainstpotriesconcededcorrect)</f>
        <v>734</v>
      </c>
    </row>
    <row r="15" spans="1:12" x14ac:dyDescent="0.25">
      <c r="A15" t="s">
        <v>18</v>
      </c>
      <c r="B15" s="2">
        <v>48</v>
      </c>
      <c r="C15" s="2">
        <v>23</v>
      </c>
      <c r="D15" s="2">
        <v>23</v>
      </c>
      <c r="E15" s="2">
        <v>2</v>
      </c>
      <c r="F15" s="19">
        <f t="shared" si="0"/>
        <v>0.5</v>
      </c>
      <c r="G15" s="2">
        <v>1327</v>
      </c>
      <c r="H15" s="2">
        <v>1214</v>
      </c>
      <c r="I15" s="2">
        <f t="shared" si="1"/>
        <v>113</v>
      </c>
      <c r="J15" s="2">
        <v>177</v>
      </c>
      <c r="K15" s="2">
        <v>125</v>
      </c>
    </row>
    <row r="16" spans="1:12" x14ac:dyDescent="0.25">
      <c r="A16" t="s">
        <v>19</v>
      </c>
      <c r="B16" s="2">
        <v>44</v>
      </c>
      <c r="C16" s="2">
        <v>2</v>
      </c>
      <c r="D16" s="2">
        <v>42</v>
      </c>
      <c r="E16" s="2">
        <v>0</v>
      </c>
      <c r="F16" s="19">
        <f t="shared" si="0"/>
        <v>4.5454545454545456E-2</v>
      </c>
      <c r="G16" s="2">
        <v>644</v>
      </c>
      <c r="H16" s="2">
        <v>1583</v>
      </c>
      <c r="I16" s="2">
        <f t="shared" si="1"/>
        <v>-939</v>
      </c>
      <c r="J16" s="2">
        <v>61</v>
      </c>
      <c r="K16" s="2">
        <v>193</v>
      </c>
    </row>
    <row r="17" spans="1:12" x14ac:dyDescent="0.25">
      <c r="A17" s="64" t="s">
        <v>20</v>
      </c>
      <c r="B17" s="175">
        <f>SUM(381+saleplayed)</f>
        <v>403</v>
      </c>
      <c r="C17" s="175">
        <f>SUM(176+salewon)</f>
        <v>187</v>
      </c>
      <c r="D17" s="175">
        <f>SUM(190+salelost)</f>
        <v>201</v>
      </c>
      <c r="E17" s="175">
        <f>SUM(15+saledrawn)</f>
        <v>15</v>
      </c>
      <c r="F17" s="176">
        <f t="shared" si="0"/>
        <v>0.4826302729528536</v>
      </c>
      <c r="G17" s="175">
        <f>SUM(8350+salescored)</f>
        <v>8847</v>
      </c>
      <c r="H17" s="175">
        <f>SUM(8894+saleconceded)</f>
        <v>9376</v>
      </c>
      <c r="I17" s="175">
        <f t="shared" si="1"/>
        <v>-529</v>
      </c>
      <c r="J17" s="64">
        <f>SUM(842+saletriesscored)</f>
        <v>904</v>
      </c>
      <c r="K17" s="64">
        <f>SUM(887+saletriesconceded)</f>
        <v>941</v>
      </c>
    </row>
    <row r="18" spans="1:12" x14ac:dyDescent="0.25">
      <c r="A18" s="64" t="s">
        <v>21</v>
      </c>
      <c r="B18" s="175">
        <f>SUM(387+sarriesplayed+saracenspoplayed)</f>
        <v>411</v>
      </c>
      <c r="C18" s="175">
        <f>SUM(224+sarrieswon+saracenspowon)</f>
        <v>240</v>
      </c>
      <c r="D18" s="175">
        <f>SUM(152+sarrieslost+saracenspolost)</f>
        <v>159</v>
      </c>
      <c r="E18" s="175">
        <f>SUM(11+sarriesdrawn)</f>
        <v>12</v>
      </c>
      <c r="F18" s="176">
        <f t="shared" si="0"/>
        <v>0.59854014598540151</v>
      </c>
      <c r="G18" s="175">
        <f>SUM(9082+sarriesscored+saracensposcored)</f>
        <v>9803</v>
      </c>
      <c r="H18" s="175">
        <f>SUM(8026+sarriesconceded+saracenspoconceded)</f>
        <v>8484</v>
      </c>
      <c r="I18" s="175">
        <f t="shared" si="1"/>
        <v>1319</v>
      </c>
      <c r="J18" s="64">
        <f>SUM(871+sarriestriesscored+saracenspotriesscored)</f>
        <v>946</v>
      </c>
      <c r="K18" s="64">
        <f>SUM(777+sarriestriesconceded+saracenspotriesconceded)</f>
        <v>820</v>
      </c>
    </row>
    <row r="19" spans="1:12" x14ac:dyDescent="0.25">
      <c r="A19" s="64" t="s">
        <v>189</v>
      </c>
      <c r="B19" s="175">
        <f>SUM(387+waspsplayed)</f>
        <v>409</v>
      </c>
      <c r="C19" s="175">
        <f>SUM(209+waspswon)</f>
        <v>220</v>
      </c>
      <c r="D19" s="175">
        <f>SUM(165+waspslost)</f>
        <v>174</v>
      </c>
      <c r="E19" s="175">
        <f>SUM(13+waspsdrawn)</f>
        <v>15</v>
      </c>
      <c r="F19" s="176">
        <f t="shared" si="0"/>
        <v>0.55623471882640585</v>
      </c>
      <c r="G19" s="175">
        <f>SUM(9189+waspsscored)</f>
        <v>9861</v>
      </c>
      <c r="H19" s="175">
        <f>SUM(8154+waspsconceded)</f>
        <v>8681</v>
      </c>
      <c r="I19" s="175">
        <f t="shared" si="1"/>
        <v>1180</v>
      </c>
      <c r="J19" s="64">
        <f>SUM(920+waspstriesscored)</f>
        <v>997</v>
      </c>
      <c r="K19" s="64">
        <f>SUM(756+waspstriesconceded)</f>
        <v>810</v>
      </c>
    </row>
    <row r="20" spans="1:12" x14ac:dyDescent="0.25">
      <c r="A20" t="s">
        <v>22</v>
      </c>
      <c r="B20" s="2">
        <v>26</v>
      </c>
      <c r="C20" s="2">
        <v>3</v>
      </c>
      <c r="D20" s="2">
        <v>22</v>
      </c>
      <c r="E20" s="2">
        <v>1</v>
      </c>
      <c r="F20" s="19">
        <f t="shared" si="0"/>
        <v>0.13461538461538461</v>
      </c>
      <c r="G20" s="2">
        <v>501</v>
      </c>
      <c r="H20" s="2">
        <v>1007</v>
      </c>
      <c r="I20" s="2">
        <f t="shared" si="1"/>
        <v>-506</v>
      </c>
      <c r="J20" s="2">
        <v>50</v>
      </c>
      <c r="K20" s="2">
        <v>134</v>
      </c>
    </row>
    <row r="21" spans="1:12" x14ac:dyDescent="0.25">
      <c r="A21" s="236" t="s">
        <v>23</v>
      </c>
      <c r="B21" s="237">
        <v>198</v>
      </c>
      <c r="C21" s="237">
        <v>54</v>
      </c>
      <c r="D21" s="237">
        <v>132</v>
      </c>
      <c r="E21" s="237">
        <v>12</v>
      </c>
      <c r="F21" s="238">
        <f t="shared" si="0"/>
        <v>0.30303030303030304</v>
      </c>
      <c r="G21" s="237">
        <v>3278</v>
      </c>
      <c r="H21" s="237">
        <v>4444</v>
      </c>
      <c r="I21" s="237">
        <f t="shared" si="1"/>
        <v>-1166</v>
      </c>
      <c r="J21" s="236">
        <v>298</v>
      </c>
      <c r="K21" s="236">
        <v>475</v>
      </c>
    </row>
    <row r="22" spans="1:12" x14ac:dyDescent="0.25">
      <c r="A22" s="177" t="s">
        <v>65</v>
      </c>
      <c r="B22" s="18">
        <f>SUM(B2:B21)/2</f>
        <v>2462.5</v>
      </c>
      <c r="C22" s="18">
        <f>SUM(C2:C21)/2</f>
        <v>1187</v>
      </c>
      <c r="D22" s="18">
        <f>SUM(D2:D21)/2</f>
        <v>1187.5</v>
      </c>
      <c r="E22" s="18">
        <f>SUM(E2:E21)/2</f>
        <v>88</v>
      </c>
      <c r="F22" s="178" t="s">
        <v>85</v>
      </c>
      <c r="G22" s="18">
        <f>SUM(G2:G21)</f>
        <v>108890</v>
      </c>
      <c r="H22" s="18">
        <f>SUM(H2:H21)</f>
        <v>108890</v>
      </c>
      <c r="I22" s="178" t="s">
        <v>85</v>
      </c>
      <c r="J22" s="18">
        <f>SUM(J2:J21)</f>
        <v>10871</v>
      </c>
      <c r="K22" s="18">
        <f>SUM(K2:K21)</f>
        <v>10871</v>
      </c>
      <c r="L22" s="18">
        <v>632</v>
      </c>
    </row>
    <row r="23" spans="1:12" x14ac:dyDescent="0.25">
      <c r="A23" s="18" t="s">
        <v>1063</v>
      </c>
    </row>
    <row r="24" spans="1:12" x14ac:dyDescent="0.25">
      <c r="A24" s="470" t="s">
        <v>253</v>
      </c>
    </row>
  </sheetData>
  <sortState xmlns:xlrd2="http://schemas.microsoft.com/office/spreadsheetml/2017/richdata2" ref="A1:L22">
    <sortCondition ref="A2:A22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57"/>
  <sheetViews>
    <sheetView workbookViewId="0">
      <pane ySplit="2" topLeftCell="A27" activePane="bottomLeft" state="frozen"/>
      <selection pane="bottomLeft" activeCell="J36" sqref="J36"/>
    </sheetView>
  </sheetViews>
  <sheetFormatPr defaultRowHeight="15" x14ac:dyDescent="0.25"/>
  <cols>
    <col min="1" max="1" width="7.7109375" customWidth="1"/>
    <col min="2" max="2" width="5.7109375" customWidth="1"/>
    <col min="3" max="3" width="14.140625" customWidth="1"/>
    <col min="4" max="18" width="3.7109375" customWidth="1"/>
    <col min="19" max="19" width="6.28515625" customWidth="1"/>
    <col min="20" max="20" width="5.7109375" customWidth="1"/>
    <col min="21" max="21" width="22.140625" bestFit="1" customWidth="1"/>
    <col min="22" max="22" width="20.42578125" bestFit="1" customWidth="1"/>
    <col min="23" max="24" width="20.42578125" customWidth="1"/>
    <col min="25" max="36" width="3.7109375" customWidth="1"/>
  </cols>
  <sheetData>
    <row r="1" spans="1:37" ht="15" customHeight="1" thickBot="1" x14ac:dyDescent="0.3">
      <c r="A1" s="917" t="s">
        <v>180</v>
      </c>
      <c r="B1" s="918"/>
      <c r="C1" s="918"/>
      <c r="D1" s="919"/>
      <c r="E1" s="920" t="s">
        <v>77</v>
      </c>
      <c r="F1" s="921"/>
      <c r="G1" s="922"/>
      <c r="H1" s="920" t="s">
        <v>76</v>
      </c>
      <c r="I1" s="922"/>
      <c r="J1" s="925" t="s">
        <v>43</v>
      </c>
      <c r="K1" s="926"/>
      <c r="L1" s="926"/>
      <c r="M1" s="927"/>
      <c r="N1" s="925" t="s">
        <v>44</v>
      </c>
      <c r="O1" s="927"/>
      <c r="P1" s="925" t="s">
        <v>79</v>
      </c>
      <c r="Q1" s="926"/>
      <c r="R1" s="927"/>
      <c r="S1" s="34" t="s">
        <v>45</v>
      </c>
      <c r="T1" s="34" t="s">
        <v>46</v>
      </c>
      <c r="U1" s="29" t="s">
        <v>47</v>
      </c>
      <c r="V1" s="34" t="s">
        <v>48</v>
      </c>
      <c r="W1" s="34" t="s">
        <v>151</v>
      </c>
      <c r="X1" s="332" t="s">
        <v>152</v>
      </c>
      <c r="Y1" s="27" t="s">
        <v>71</v>
      </c>
      <c r="Z1" s="28"/>
      <c r="AA1" s="28"/>
      <c r="AB1" s="28"/>
      <c r="AC1" s="29" t="s">
        <v>72</v>
      </c>
      <c r="AD1" s="25"/>
      <c r="AE1" s="25"/>
      <c r="AF1" s="26"/>
      <c r="AG1" s="29" t="s">
        <v>73</v>
      </c>
      <c r="AH1" s="25"/>
      <c r="AI1" s="25"/>
      <c r="AJ1" s="26"/>
      <c r="AK1" t="s">
        <v>936</v>
      </c>
    </row>
    <row r="2" spans="1:37" ht="15" customHeight="1" thickBot="1" x14ac:dyDescent="0.3">
      <c r="A2" s="78" t="s">
        <v>69</v>
      </c>
      <c r="B2" s="79" t="s">
        <v>68</v>
      </c>
      <c r="C2" s="80" t="s">
        <v>67</v>
      </c>
      <c r="D2" s="80" t="s">
        <v>78</v>
      </c>
      <c r="E2" s="81" t="s">
        <v>53</v>
      </c>
      <c r="F2" s="81" t="s">
        <v>37</v>
      </c>
      <c r="G2" s="81" t="s">
        <v>38</v>
      </c>
      <c r="H2" s="82" t="s">
        <v>74</v>
      </c>
      <c r="I2" s="83" t="s">
        <v>75</v>
      </c>
      <c r="J2" s="83" t="s">
        <v>49</v>
      </c>
      <c r="K2" s="83" t="s">
        <v>50</v>
      </c>
      <c r="L2" s="83" t="s">
        <v>35</v>
      </c>
      <c r="M2" s="83" t="s">
        <v>51</v>
      </c>
      <c r="N2" s="83" t="s">
        <v>52</v>
      </c>
      <c r="O2" s="83" t="s">
        <v>53</v>
      </c>
      <c r="P2" s="83" t="s">
        <v>74</v>
      </c>
      <c r="Q2" s="83" t="s">
        <v>75</v>
      </c>
      <c r="R2" s="83" t="s">
        <v>49</v>
      </c>
      <c r="S2" s="30"/>
      <c r="T2" s="31"/>
      <c r="U2" s="32"/>
      <c r="V2" s="30"/>
      <c r="W2" s="332"/>
      <c r="X2" s="33"/>
      <c r="Y2" s="34" t="s">
        <v>33</v>
      </c>
      <c r="Z2" s="34" t="s">
        <v>34</v>
      </c>
      <c r="AA2" s="34" t="s">
        <v>35</v>
      </c>
      <c r="AB2" s="34" t="s">
        <v>36</v>
      </c>
      <c r="AC2" s="34" t="s">
        <v>33</v>
      </c>
      <c r="AD2" s="34" t="s">
        <v>34</v>
      </c>
      <c r="AE2" s="34" t="s">
        <v>35</v>
      </c>
      <c r="AF2" s="34" t="s">
        <v>36</v>
      </c>
      <c r="AG2" s="34" t="s">
        <v>33</v>
      </c>
      <c r="AH2" s="34" t="s">
        <v>34</v>
      </c>
      <c r="AI2" s="34" t="s">
        <v>35</v>
      </c>
      <c r="AJ2" s="34" t="s">
        <v>36</v>
      </c>
    </row>
    <row r="3" spans="1:37" ht="15" customHeight="1" thickBot="1" x14ac:dyDescent="0.3">
      <c r="A3" s="254" t="s">
        <v>201</v>
      </c>
      <c r="B3" s="255" t="s">
        <v>54</v>
      </c>
      <c r="C3" s="247" t="s">
        <v>27</v>
      </c>
      <c r="D3" s="257" t="s">
        <v>38</v>
      </c>
      <c r="E3" s="257" t="s">
        <v>36</v>
      </c>
      <c r="F3" s="257">
        <v>6</v>
      </c>
      <c r="G3" s="258">
        <v>53</v>
      </c>
      <c r="H3" s="259">
        <v>0</v>
      </c>
      <c r="I3" s="260">
        <v>0</v>
      </c>
      <c r="J3" s="260">
        <v>0</v>
      </c>
      <c r="K3" s="260">
        <v>0</v>
      </c>
      <c r="L3" s="260">
        <v>0</v>
      </c>
      <c r="M3" s="260">
        <v>2</v>
      </c>
      <c r="N3" s="260">
        <v>1</v>
      </c>
      <c r="O3" s="260">
        <v>0</v>
      </c>
      <c r="P3" s="260">
        <v>1</v>
      </c>
      <c r="Q3" s="260">
        <v>0</v>
      </c>
      <c r="R3" s="260">
        <v>8</v>
      </c>
      <c r="S3" s="261">
        <v>13474</v>
      </c>
      <c r="T3" s="515" t="s">
        <v>342</v>
      </c>
      <c r="U3" s="263" t="s">
        <v>338</v>
      </c>
      <c r="V3" s="261" t="s">
        <v>339</v>
      </c>
      <c r="W3" s="261" t="s">
        <v>340</v>
      </c>
      <c r="X3" s="264" t="s">
        <v>341</v>
      </c>
      <c r="Y3" s="261">
        <v>1</v>
      </c>
      <c r="Z3" s="261">
        <v>0</v>
      </c>
      <c r="AA3" s="261">
        <v>0</v>
      </c>
      <c r="AB3" s="168">
        <v>1</v>
      </c>
      <c r="AC3" s="261">
        <v>0</v>
      </c>
      <c r="AD3" s="261">
        <v>0</v>
      </c>
      <c r="AE3" s="261">
        <v>0</v>
      </c>
      <c r="AF3" s="168">
        <v>0</v>
      </c>
      <c r="AG3" s="261">
        <v>1</v>
      </c>
      <c r="AH3" s="261">
        <v>0</v>
      </c>
      <c r="AI3" s="261">
        <v>0</v>
      </c>
      <c r="AJ3" s="168">
        <v>1</v>
      </c>
    </row>
    <row r="4" spans="1:37" ht="15" customHeight="1" thickBot="1" x14ac:dyDescent="0.3">
      <c r="A4" s="239" t="s">
        <v>80</v>
      </c>
      <c r="B4" s="240" t="s">
        <v>54</v>
      </c>
      <c r="C4" s="122" t="s">
        <v>29</v>
      </c>
      <c r="D4" s="123" t="s">
        <v>90</v>
      </c>
      <c r="E4" s="123" t="s">
        <v>34</v>
      </c>
      <c r="F4" s="123">
        <v>34</v>
      </c>
      <c r="G4" s="241">
        <v>27</v>
      </c>
      <c r="H4" s="244">
        <v>0</v>
      </c>
      <c r="I4" s="242">
        <v>0</v>
      </c>
      <c r="J4" s="242">
        <v>3</v>
      </c>
      <c r="K4" s="123">
        <v>2</v>
      </c>
      <c r="L4" s="242">
        <v>0</v>
      </c>
      <c r="M4" s="123">
        <v>5</v>
      </c>
      <c r="N4" s="242">
        <v>0</v>
      </c>
      <c r="O4" s="242">
        <v>0</v>
      </c>
      <c r="P4" s="242">
        <v>1</v>
      </c>
      <c r="Q4" s="123">
        <v>1</v>
      </c>
      <c r="R4" s="242">
        <v>4</v>
      </c>
      <c r="S4" s="243">
        <v>12353</v>
      </c>
      <c r="T4" s="517" t="s">
        <v>389</v>
      </c>
      <c r="U4" s="245" t="s">
        <v>367</v>
      </c>
      <c r="V4" s="243" t="s">
        <v>354</v>
      </c>
      <c r="W4" s="243" t="s">
        <v>341</v>
      </c>
      <c r="X4" s="243" t="s">
        <v>390</v>
      </c>
      <c r="Y4" s="243">
        <v>1</v>
      </c>
      <c r="Z4" s="243">
        <v>1</v>
      </c>
      <c r="AA4" s="243">
        <v>0</v>
      </c>
      <c r="AB4" s="167">
        <v>0</v>
      </c>
      <c r="AC4" s="243">
        <v>1</v>
      </c>
      <c r="AD4" s="243">
        <v>1</v>
      </c>
      <c r="AE4" s="243">
        <v>0</v>
      </c>
      <c r="AF4" s="167">
        <v>0</v>
      </c>
      <c r="AG4" s="243">
        <v>0</v>
      </c>
      <c r="AH4" s="243">
        <v>0</v>
      </c>
      <c r="AI4" s="243">
        <v>0</v>
      </c>
      <c r="AJ4" s="167">
        <v>0</v>
      </c>
    </row>
    <row r="5" spans="1:37" ht="15" customHeight="1" thickBot="1" x14ac:dyDescent="0.3">
      <c r="A5" s="239" t="s">
        <v>192</v>
      </c>
      <c r="B5" s="240" t="s">
        <v>54</v>
      </c>
      <c r="C5" s="122" t="s">
        <v>30</v>
      </c>
      <c r="D5" s="123" t="s">
        <v>90</v>
      </c>
      <c r="E5" s="123" t="s">
        <v>36</v>
      </c>
      <c r="F5" s="123">
        <v>22</v>
      </c>
      <c r="G5" s="241">
        <v>25</v>
      </c>
      <c r="H5" s="368">
        <v>0</v>
      </c>
      <c r="I5" s="241">
        <v>1</v>
      </c>
      <c r="J5" s="242">
        <v>3</v>
      </c>
      <c r="K5" s="242">
        <v>2</v>
      </c>
      <c r="L5" s="242">
        <v>0</v>
      </c>
      <c r="M5" s="242">
        <v>1</v>
      </c>
      <c r="N5" s="242">
        <v>1</v>
      </c>
      <c r="O5" s="242">
        <v>0</v>
      </c>
      <c r="P5" s="123">
        <v>0</v>
      </c>
      <c r="Q5" s="242">
        <v>0</v>
      </c>
      <c r="R5" s="123">
        <v>1</v>
      </c>
      <c r="S5" s="243">
        <v>13463</v>
      </c>
      <c r="T5" s="514" t="s">
        <v>418</v>
      </c>
      <c r="U5" s="245" t="s">
        <v>419</v>
      </c>
      <c r="V5" s="243" t="s">
        <v>399</v>
      </c>
      <c r="W5" s="243" t="s">
        <v>376</v>
      </c>
      <c r="X5" s="169" t="s">
        <v>370</v>
      </c>
      <c r="Y5" s="243">
        <v>1</v>
      </c>
      <c r="Z5" s="243">
        <v>0</v>
      </c>
      <c r="AA5" s="243">
        <v>0</v>
      </c>
      <c r="AB5" s="167">
        <v>1</v>
      </c>
      <c r="AC5" s="243">
        <v>1</v>
      </c>
      <c r="AD5" s="243">
        <v>0</v>
      </c>
      <c r="AE5" s="243">
        <v>0</v>
      </c>
      <c r="AF5" s="167">
        <v>1</v>
      </c>
      <c r="AG5" s="243">
        <v>0</v>
      </c>
      <c r="AH5" s="243">
        <v>0</v>
      </c>
      <c r="AI5" s="243">
        <v>0</v>
      </c>
      <c r="AJ5" s="167">
        <v>0</v>
      </c>
    </row>
    <row r="6" spans="1:37" ht="15" customHeight="1" thickBot="1" x14ac:dyDescent="0.3">
      <c r="A6" s="256" t="s">
        <v>202</v>
      </c>
      <c r="B6" s="255" t="s">
        <v>54</v>
      </c>
      <c r="C6" s="247" t="s">
        <v>190</v>
      </c>
      <c r="D6" s="257" t="s">
        <v>38</v>
      </c>
      <c r="E6" s="257" t="s">
        <v>34</v>
      </c>
      <c r="F6" s="257">
        <v>46</v>
      </c>
      <c r="G6" s="258">
        <v>10</v>
      </c>
      <c r="H6" s="258">
        <v>1</v>
      </c>
      <c r="I6" s="260">
        <v>0</v>
      </c>
      <c r="J6" s="257">
        <v>6</v>
      </c>
      <c r="K6" s="257">
        <v>5</v>
      </c>
      <c r="L6" s="260">
        <v>0</v>
      </c>
      <c r="M6" s="260">
        <v>2</v>
      </c>
      <c r="N6" s="260">
        <v>0</v>
      </c>
      <c r="O6" s="260">
        <v>0</v>
      </c>
      <c r="P6" s="260">
        <v>0</v>
      </c>
      <c r="Q6" s="257">
        <v>0</v>
      </c>
      <c r="R6" s="260">
        <v>1</v>
      </c>
      <c r="S6" s="261">
        <v>3531</v>
      </c>
      <c r="T6" s="590" t="s">
        <v>443</v>
      </c>
      <c r="U6" s="263" t="s">
        <v>360</v>
      </c>
      <c r="V6" s="261" t="s">
        <v>339</v>
      </c>
      <c r="W6" s="261" t="s">
        <v>340</v>
      </c>
      <c r="X6" s="264" t="s">
        <v>387</v>
      </c>
      <c r="Y6" s="261">
        <v>1</v>
      </c>
      <c r="Z6" s="261">
        <v>1</v>
      </c>
      <c r="AA6" s="261">
        <v>0</v>
      </c>
      <c r="AB6" s="168">
        <v>0</v>
      </c>
      <c r="AC6" s="261">
        <v>0</v>
      </c>
      <c r="AD6" s="261">
        <v>0</v>
      </c>
      <c r="AE6" s="261">
        <v>0</v>
      </c>
      <c r="AF6" s="168">
        <v>0</v>
      </c>
      <c r="AG6" s="261">
        <v>1</v>
      </c>
      <c r="AH6" s="261">
        <v>1</v>
      </c>
      <c r="AI6" s="261">
        <v>0</v>
      </c>
      <c r="AJ6" s="168">
        <v>0</v>
      </c>
    </row>
    <row r="7" spans="1:37" ht="15" customHeight="1" thickBot="1" x14ac:dyDescent="0.3">
      <c r="A7" s="239" t="s">
        <v>92</v>
      </c>
      <c r="B7" s="240" t="s">
        <v>54</v>
      </c>
      <c r="C7" s="122" t="s">
        <v>28</v>
      </c>
      <c r="D7" s="123" t="s">
        <v>90</v>
      </c>
      <c r="E7" s="123" t="s">
        <v>34</v>
      </c>
      <c r="F7" s="123">
        <v>33</v>
      </c>
      <c r="G7" s="241">
        <v>16</v>
      </c>
      <c r="H7" s="244">
        <v>0</v>
      </c>
      <c r="I7" s="123">
        <v>0</v>
      </c>
      <c r="J7" s="242">
        <v>3</v>
      </c>
      <c r="K7" s="242">
        <v>3</v>
      </c>
      <c r="L7" s="242">
        <v>0</v>
      </c>
      <c r="M7" s="242">
        <v>4</v>
      </c>
      <c r="N7" s="242">
        <v>0</v>
      </c>
      <c r="O7" s="242">
        <v>0</v>
      </c>
      <c r="P7" s="242">
        <v>0</v>
      </c>
      <c r="Q7" s="242">
        <v>0</v>
      </c>
      <c r="R7" s="242">
        <v>1</v>
      </c>
      <c r="S7" s="243">
        <v>15127</v>
      </c>
      <c r="T7" s="592" t="s">
        <v>468</v>
      </c>
      <c r="U7" s="245" t="s">
        <v>353</v>
      </c>
      <c r="V7" s="243" t="s">
        <v>339</v>
      </c>
      <c r="W7" s="243" t="s">
        <v>369</v>
      </c>
      <c r="X7" s="169" t="s">
        <v>376</v>
      </c>
      <c r="Y7" s="243">
        <v>1</v>
      </c>
      <c r="Z7" s="243">
        <v>1</v>
      </c>
      <c r="AA7" s="243">
        <v>0</v>
      </c>
      <c r="AB7" s="167">
        <v>0</v>
      </c>
      <c r="AC7" s="243">
        <v>1</v>
      </c>
      <c r="AD7" s="243">
        <v>1</v>
      </c>
      <c r="AE7" s="243">
        <v>0</v>
      </c>
      <c r="AF7" s="167">
        <v>0</v>
      </c>
      <c r="AG7" s="243">
        <v>0</v>
      </c>
      <c r="AH7" s="243">
        <v>0</v>
      </c>
      <c r="AI7" s="243">
        <v>0</v>
      </c>
      <c r="AJ7" s="167">
        <v>0</v>
      </c>
    </row>
    <row r="8" spans="1:37" ht="15" customHeight="1" thickBot="1" x14ac:dyDescent="0.3">
      <c r="A8" s="256" t="s">
        <v>105</v>
      </c>
      <c r="B8" s="255" t="s">
        <v>54</v>
      </c>
      <c r="C8" s="247" t="s">
        <v>21</v>
      </c>
      <c r="D8" s="257" t="s">
        <v>38</v>
      </c>
      <c r="E8" s="257" t="s">
        <v>36</v>
      </c>
      <c r="F8" s="257">
        <v>21</v>
      </c>
      <c r="G8" s="258">
        <v>28</v>
      </c>
      <c r="H8" s="259">
        <v>0</v>
      </c>
      <c r="I8" s="257">
        <v>1</v>
      </c>
      <c r="J8" s="260">
        <v>2</v>
      </c>
      <c r="K8" s="260">
        <v>1</v>
      </c>
      <c r="L8" s="260">
        <v>0</v>
      </c>
      <c r="M8" s="260">
        <v>3</v>
      </c>
      <c r="N8" s="260">
        <v>1</v>
      </c>
      <c r="O8" s="260">
        <v>0</v>
      </c>
      <c r="P8" s="260">
        <v>0</v>
      </c>
      <c r="Q8" s="260">
        <v>0</v>
      </c>
      <c r="R8" s="260">
        <v>3</v>
      </c>
      <c r="S8" s="261">
        <v>9084</v>
      </c>
      <c r="T8" s="590" t="s">
        <v>488</v>
      </c>
      <c r="U8" s="263" t="s">
        <v>374</v>
      </c>
      <c r="V8" s="261" t="s">
        <v>346</v>
      </c>
      <c r="W8" s="261" t="s">
        <v>387</v>
      </c>
      <c r="X8" s="264" t="s">
        <v>390</v>
      </c>
      <c r="Y8" s="261">
        <v>1</v>
      </c>
      <c r="Z8" s="261">
        <v>0</v>
      </c>
      <c r="AA8" s="261">
        <v>0</v>
      </c>
      <c r="AB8" s="168">
        <v>1</v>
      </c>
      <c r="AC8" s="261">
        <v>0</v>
      </c>
      <c r="AD8" s="261">
        <v>0</v>
      </c>
      <c r="AE8" s="261">
        <v>0</v>
      </c>
      <c r="AF8" s="168">
        <v>0</v>
      </c>
      <c r="AG8" s="261">
        <v>1</v>
      </c>
      <c r="AH8" s="261">
        <v>0</v>
      </c>
      <c r="AI8" s="261">
        <v>0</v>
      </c>
      <c r="AJ8" s="168">
        <v>1</v>
      </c>
    </row>
    <row r="9" spans="1:37" ht="15" customHeight="1" thickBot="1" x14ac:dyDescent="0.3">
      <c r="A9" s="677" t="s">
        <v>234</v>
      </c>
      <c r="B9" s="678" t="s">
        <v>169</v>
      </c>
      <c r="C9" s="679" t="s">
        <v>235</v>
      </c>
      <c r="D9" s="680" t="s">
        <v>90</v>
      </c>
      <c r="E9" s="680" t="s">
        <v>34</v>
      </c>
      <c r="F9" s="680">
        <v>55</v>
      </c>
      <c r="G9" s="681">
        <v>0</v>
      </c>
      <c r="H9" s="682">
        <v>1</v>
      </c>
      <c r="I9" s="683">
        <v>0</v>
      </c>
      <c r="J9" s="683">
        <v>7</v>
      </c>
      <c r="K9" s="683">
        <v>7</v>
      </c>
      <c r="L9" s="683">
        <v>0</v>
      </c>
      <c r="M9" s="683">
        <v>2</v>
      </c>
      <c r="N9" s="683">
        <v>1</v>
      </c>
      <c r="O9" s="683">
        <v>0</v>
      </c>
      <c r="P9" s="683">
        <v>0</v>
      </c>
      <c r="Q9" s="680">
        <v>0</v>
      </c>
      <c r="R9" s="683">
        <v>0</v>
      </c>
      <c r="S9" s="684">
        <v>9793</v>
      </c>
      <c r="T9" s="685" t="s">
        <v>567</v>
      </c>
      <c r="U9" s="686" t="s">
        <v>568</v>
      </c>
      <c r="V9" s="684" t="s">
        <v>570</v>
      </c>
      <c r="W9" s="684" t="s">
        <v>569</v>
      </c>
      <c r="X9" s="687" t="s">
        <v>571</v>
      </c>
      <c r="Y9" s="684">
        <v>1</v>
      </c>
      <c r="Z9" s="684">
        <v>1</v>
      </c>
      <c r="AA9" s="684">
        <v>0</v>
      </c>
      <c r="AB9" s="688">
        <v>0</v>
      </c>
      <c r="AC9" s="684">
        <v>1</v>
      </c>
      <c r="AD9" s="684">
        <v>1</v>
      </c>
      <c r="AE9" s="684">
        <v>0</v>
      </c>
      <c r="AF9" s="688">
        <v>0</v>
      </c>
      <c r="AG9" s="684">
        <v>0</v>
      </c>
      <c r="AH9" s="684">
        <v>0</v>
      </c>
      <c r="AI9" s="684">
        <v>0</v>
      </c>
      <c r="AJ9" s="688">
        <v>0</v>
      </c>
    </row>
    <row r="10" spans="1:37" ht="15" customHeight="1" thickBot="1" x14ac:dyDescent="0.3">
      <c r="A10" s="689" t="s">
        <v>93</v>
      </c>
      <c r="B10" s="690" t="s">
        <v>169</v>
      </c>
      <c r="C10" s="691" t="s">
        <v>244</v>
      </c>
      <c r="D10" s="692" t="s">
        <v>38</v>
      </c>
      <c r="E10" s="692" t="s">
        <v>34</v>
      </c>
      <c r="F10" s="692">
        <v>25</v>
      </c>
      <c r="G10" s="693">
        <v>15</v>
      </c>
      <c r="H10" s="694">
        <v>0</v>
      </c>
      <c r="I10" s="695">
        <v>0</v>
      </c>
      <c r="J10" s="695">
        <v>1</v>
      </c>
      <c r="K10" s="695">
        <v>1</v>
      </c>
      <c r="L10" s="695">
        <v>0</v>
      </c>
      <c r="M10" s="695">
        <v>6</v>
      </c>
      <c r="N10" s="695">
        <v>0</v>
      </c>
      <c r="O10" s="695">
        <v>0</v>
      </c>
      <c r="P10" s="695">
        <v>0</v>
      </c>
      <c r="Q10" s="692">
        <v>0</v>
      </c>
      <c r="R10" s="695">
        <v>0</v>
      </c>
      <c r="S10" s="696">
        <v>6500</v>
      </c>
      <c r="T10" s="705" t="s">
        <v>594</v>
      </c>
      <c r="U10" s="698" t="s">
        <v>508</v>
      </c>
      <c r="V10" s="696" t="s">
        <v>595</v>
      </c>
      <c r="W10" s="696" t="s">
        <v>596</v>
      </c>
      <c r="X10" s="699" t="s">
        <v>509</v>
      </c>
      <c r="Y10" s="696">
        <v>1</v>
      </c>
      <c r="Z10" s="696">
        <v>1</v>
      </c>
      <c r="AA10" s="696">
        <v>0</v>
      </c>
      <c r="AB10" s="700">
        <v>0</v>
      </c>
      <c r="AC10" s="696">
        <v>0</v>
      </c>
      <c r="AD10" s="696">
        <v>0</v>
      </c>
      <c r="AE10" s="696">
        <v>0</v>
      </c>
      <c r="AF10" s="700">
        <v>0</v>
      </c>
      <c r="AG10" s="696">
        <v>1</v>
      </c>
      <c r="AH10" s="696">
        <v>1</v>
      </c>
      <c r="AI10" s="696">
        <v>0</v>
      </c>
      <c r="AJ10" s="700">
        <v>0</v>
      </c>
    </row>
    <row r="11" spans="1:37" ht="15" customHeight="1" thickBot="1" x14ac:dyDescent="0.3">
      <c r="A11" s="251" t="s">
        <v>94</v>
      </c>
      <c r="B11" s="252" t="s">
        <v>96</v>
      </c>
      <c r="C11" s="253" t="s">
        <v>30</v>
      </c>
      <c r="D11" s="269" t="s">
        <v>38</v>
      </c>
      <c r="E11" s="269" t="s">
        <v>36</v>
      </c>
      <c r="F11" s="269">
        <v>27</v>
      </c>
      <c r="G11" s="275">
        <v>28</v>
      </c>
      <c r="H11" s="268">
        <v>0</v>
      </c>
      <c r="I11" s="267">
        <v>1</v>
      </c>
      <c r="J11" s="267">
        <v>3</v>
      </c>
      <c r="K11" s="267">
        <v>3</v>
      </c>
      <c r="L11" s="267">
        <v>0</v>
      </c>
      <c r="M11" s="267">
        <v>2</v>
      </c>
      <c r="N11" s="267">
        <v>0</v>
      </c>
      <c r="O11" s="267">
        <v>0</v>
      </c>
      <c r="P11" s="267">
        <v>0</v>
      </c>
      <c r="Q11" s="269">
        <v>0</v>
      </c>
      <c r="R11" s="267">
        <v>3</v>
      </c>
      <c r="S11" s="294">
        <v>8471</v>
      </c>
      <c r="T11" s="295" t="s">
        <v>516</v>
      </c>
      <c r="U11" s="296" t="s">
        <v>604</v>
      </c>
      <c r="V11" s="297" t="s">
        <v>510</v>
      </c>
      <c r="W11" s="272" t="s">
        <v>370</v>
      </c>
      <c r="X11" s="273" t="s">
        <v>387</v>
      </c>
      <c r="Y11" s="272">
        <v>1</v>
      </c>
      <c r="Z11" s="272">
        <v>0</v>
      </c>
      <c r="AA11" s="272">
        <v>0</v>
      </c>
      <c r="AB11" s="274">
        <v>1</v>
      </c>
      <c r="AC11" s="272">
        <v>0</v>
      </c>
      <c r="AD11" s="272">
        <v>0</v>
      </c>
      <c r="AE11" s="272">
        <v>0</v>
      </c>
      <c r="AF11" s="274">
        <v>0</v>
      </c>
      <c r="AG11" s="272">
        <v>1</v>
      </c>
      <c r="AH11" s="272">
        <v>0</v>
      </c>
      <c r="AI11" s="272">
        <v>0</v>
      </c>
      <c r="AJ11" s="274">
        <v>1</v>
      </c>
    </row>
    <row r="12" spans="1:37" ht="15" customHeight="1" thickBot="1" x14ac:dyDescent="0.3">
      <c r="A12" s="251" t="s">
        <v>251</v>
      </c>
      <c r="B12" s="252" t="s">
        <v>96</v>
      </c>
      <c r="C12" s="253" t="s">
        <v>190</v>
      </c>
      <c r="D12" s="269" t="s">
        <v>38</v>
      </c>
      <c r="E12" s="269" t="s">
        <v>34</v>
      </c>
      <c r="F12" s="269">
        <v>18</v>
      </c>
      <c r="G12" s="275">
        <v>9</v>
      </c>
      <c r="H12" s="268">
        <v>0</v>
      </c>
      <c r="I12" s="267">
        <v>0</v>
      </c>
      <c r="J12" s="267">
        <v>0</v>
      </c>
      <c r="K12" s="267">
        <v>0</v>
      </c>
      <c r="L12" s="267">
        <v>0</v>
      </c>
      <c r="M12" s="267">
        <v>6</v>
      </c>
      <c r="N12" s="267">
        <v>1</v>
      </c>
      <c r="O12" s="267">
        <v>0</v>
      </c>
      <c r="P12" s="267">
        <v>0</v>
      </c>
      <c r="Q12" s="269">
        <v>0</v>
      </c>
      <c r="R12" s="267">
        <v>0</v>
      </c>
      <c r="S12" s="272">
        <v>2906</v>
      </c>
      <c r="T12" s="651" t="s">
        <v>594</v>
      </c>
      <c r="U12" s="271" t="s">
        <v>569</v>
      </c>
      <c r="V12" s="272" t="s">
        <v>510</v>
      </c>
      <c r="W12" s="272" t="s">
        <v>363</v>
      </c>
      <c r="X12" s="273" t="s">
        <v>355</v>
      </c>
      <c r="Y12" s="272">
        <v>1</v>
      </c>
      <c r="Z12" s="272">
        <v>1</v>
      </c>
      <c r="AA12" s="272">
        <v>0</v>
      </c>
      <c r="AB12" s="274">
        <v>0</v>
      </c>
      <c r="AC12" s="272">
        <v>0</v>
      </c>
      <c r="AD12" s="272">
        <v>0</v>
      </c>
      <c r="AE12" s="272">
        <v>0</v>
      </c>
      <c r="AF12" s="274">
        <v>0</v>
      </c>
      <c r="AG12" s="272">
        <v>1</v>
      </c>
      <c r="AH12" s="272">
        <v>1</v>
      </c>
      <c r="AI12" s="272">
        <v>0</v>
      </c>
      <c r="AJ12" s="274">
        <v>0</v>
      </c>
    </row>
    <row r="13" spans="1:37" ht="15" customHeight="1" thickBot="1" x14ac:dyDescent="0.3">
      <c r="A13" s="239" t="s">
        <v>633</v>
      </c>
      <c r="B13" s="240" t="s">
        <v>54</v>
      </c>
      <c r="C13" s="122" t="s">
        <v>10</v>
      </c>
      <c r="D13" s="123" t="s">
        <v>90</v>
      </c>
      <c r="E13" s="123" t="s">
        <v>36</v>
      </c>
      <c r="F13" s="123">
        <v>15</v>
      </c>
      <c r="G13" s="241">
        <v>22</v>
      </c>
      <c r="H13" s="244">
        <v>0</v>
      </c>
      <c r="I13" s="242">
        <v>1</v>
      </c>
      <c r="J13" s="242">
        <v>0</v>
      </c>
      <c r="K13" s="242">
        <v>0</v>
      </c>
      <c r="L13" s="242">
        <v>0</v>
      </c>
      <c r="M13" s="242">
        <v>5</v>
      </c>
      <c r="N13" s="242">
        <v>0</v>
      </c>
      <c r="O13" s="242">
        <v>0</v>
      </c>
      <c r="P13" s="242">
        <v>0</v>
      </c>
      <c r="Q13" s="123">
        <v>0</v>
      </c>
      <c r="R13" s="242">
        <v>3</v>
      </c>
      <c r="S13" s="243">
        <v>14303</v>
      </c>
      <c r="T13" s="592" t="s">
        <v>443</v>
      </c>
      <c r="U13" s="245" t="s">
        <v>353</v>
      </c>
      <c r="V13" s="243" t="s">
        <v>368</v>
      </c>
      <c r="W13" s="243" t="s">
        <v>347</v>
      </c>
      <c r="X13" s="169" t="s">
        <v>340</v>
      </c>
      <c r="Y13" s="243">
        <v>1</v>
      </c>
      <c r="Z13" s="243">
        <v>0</v>
      </c>
      <c r="AA13" s="243">
        <v>0</v>
      </c>
      <c r="AB13" s="167">
        <v>1</v>
      </c>
      <c r="AC13" s="243">
        <v>1</v>
      </c>
      <c r="AD13" s="243">
        <v>0</v>
      </c>
      <c r="AE13" s="243">
        <v>0</v>
      </c>
      <c r="AF13" s="167">
        <v>1</v>
      </c>
      <c r="AG13" s="243">
        <v>0</v>
      </c>
      <c r="AH13" s="243">
        <v>0</v>
      </c>
      <c r="AI13" s="243">
        <v>0</v>
      </c>
      <c r="AJ13" s="167">
        <v>0</v>
      </c>
    </row>
    <row r="14" spans="1:37" ht="15" customHeight="1" thickBot="1" x14ac:dyDescent="0.3">
      <c r="A14" s="256" t="s">
        <v>203</v>
      </c>
      <c r="B14" s="255" t="s">
        <v>54</v>
      </c>
      <c r="C14" s="247" t="s">
        <v>66</v>
      </c>
      <c r="D14" s="257" t="s">
        <v>38</v>
      </c>
      <c r="E14" s="257" t="s">
        <v>36</v>
      </c>
      <c r="F14" s="257">
        <v>10</v>
      </c>
      <c r="G14" s="258">
        <v>20</v>
      </c>
      <c r="H14" s="258">
        <v>0</v>
      </c>
      <c r="I14" s="260">
        <v>0</v>
      </c>
      <c r="J14" s="260">
        <v>1</v>
      </c>
      <c r="K14" s="260">
        <v>1</v>
      </c>
      <c r="L14" s="260">
        <v>0</v>
      </c>
      <c r="M14" s="260">
        <v>1</v>
      </c>
      <c r="N14" s="260">
        <v>1</v>
      </c>
      <c r="O14" s="260">
        <v>0</v>
      </c>
      <c r="P14" s="260">
        <v>0</v>
      </c>
      <c r="Q14" s="257">
        <v>0</v>
      </c>
      <c r="R14" s="260">
        <v>1</v>
      </c>
      <c r="S14" s="261">
        <v>6512</v>
      </c>
      <c r="T14" s="516" t="s">
        <v>656</v>
      </c>
      <c r="U14" s="263" t="s">
        <v>452</v>
      </c>
      <c r="V14" s="261" t="s">
        <v>346</v>
      </c>
      <c r="W14" s="261" t="s">
        <v>369</v>
      </c>
      <c r="X14" s="264" t="s">
        <v>362</v>
      </c>
      <c r="Y14" s="261">
        <v>1</v>
      </c>
      <c r="Z14" s="261">
        <v>0</v>
      </c>
      <c r="AA14" s="261">
        <v>0</v>
      </c>
      <c r="AB14" s="168">
        <v>1</v>
      </c>
      <c r="AC14" s="261">
        <v>0</v>
      </c>
      <c r="AD14" s="261">
        <v>0</v>
      </c>
      <c r="AE14" s="261">
        <v>0</v>
      </c>
      <c r="AF14" s="168">
        <v>0</v>
      </c>
      <c r="AG14" s="261">
        <v>1</v>
      </c>
      <c r="AH14" s="261">
        <v>0</v>
      </c>
      <c r="AI14" s="261">
        <v>0</v>
      </c>
      <c r="AJ14" s="168">
        <v>1</v>
      </c>
    </row>
    <row r="15" spans="1:37" ht="15" customHeight="1" thickBot="1" x14ac:dyDescent="0.3">
      <c r="A15" s="256" t="s">
        <v>154</v>
      </c>
      <c r="B15" s="255" t="s">
        <v>54</v>
      </c>
      <c r="C15" s="247" t="s">
        <v>91</v>
      </c>
      <c r="D15" s="257" t="s">
        <v>38</v>
      </c>
      <c r="E15" s="257" t="s">
        <v>34</v>
      </c>
      <c r="F15" s="257">
        <v>21</v>
      </c>
      <c r="G15" s="258">
        <v>9</v>
      </c>
      <c r="H15" s="259">
        <v>0</v>
      </c>
      <c r="I15" s="260">
        <v>0</v>
      </c>
      <c r="J15" s="260">
        <v>2</v>
      </c>
      <c r="K15" s="260">
        <v>1</v>
      </c>
      <c r="L15" s="260">
        <v>0</v>
      </c>
      <c r="M15" s="260">
        <v>3</v>
      </c>
      <c r="N15" s="257">
        <v>1</v>
      </c>
      <c r="O15" s="260">
        <v>0</v>
      </c>
      <c r="P15" s="260">
        <v>0</v>
      </c>
      <c r="Q15" s="257">
        <v>0</v>
      </c>
      <c r="R15" s="260">
        <v>0</v>
      </c>
      <c r="S15" s="261">
        <v>5907</v>
      </c>
      <c r="T15" s="590" t="s">
        <v>678</v>
      </c>
      <c r="U15" s="263" t="s">
        <v>419</v>
      </c>
      <c r="V15" s="261" t="s">
        <v>354</v>
      </c>
      <c r="W15" s="261" t="s">
        <v>377</v>
      </c>
      <c r="X15" s="264" t="s">
        <v>369</v>
      </c>
      <c r="Y15" s="261">
        <v>1</v>
      </c>
      <c r="Z15" s="261">
        <v>1</v>
      </c>
      <c r="AA15" s="261">
        <v>0</v>
      </c>
      <c r="AB15" s="168">
        <v>0</v>
      </c>
      <c r="AC15" s="261">
        <v>0</v>
      </c>
      <c r="AD15" s="261">
        <v>0</v>
      </c>
      <c r="AE15" s="261">
        <v>0</v>
      </c>
      <c r="AF15" s="168">
        <v>0</v>
      </c>
      <c r="AG15" s="261">
        <v>1</v>
      </c>
      <c r="AH15" s="261">
        <v>1</v>
      </c>
      <c r="AI15" s="261">
        <v>0</v>
      </c>
      <c r="AJ15" s="168">
        <v>0</v>
      </c>
    </row>
    <row r="16" spans="1:37" ht="15" customHeight="1" thickBot="1" x14ac:dyDescent="0.3">
      <c r="A16" s="677" t="s">
        <v>155</v>
      </c>
      <c r="B16" s="678" t="s">
        <v>169</v>
      </c>
      <c r="C16" s="679" t="s">
        <v>248</v>
      </c>
      <c r="D16" s="680" t="s">
        <v>90</v>
      </c>
      <c r="E16" s="680" t="s">
        <v>34</v>
      </c>
      <c r="F16" s="680">
        <v>35</v>
      </c>
      <c r="G16" s="681">
        <v>10</v>
      </c>
      <c r="H16" s="682">
        <v>1</v>
      </c>
      <c r="I16" s="683">
        <v>0</v>
      </c>
      <c r="J16" s="683">
        <v>4</v>
      </c>
      <c r="K16" s="683">
        <v>3</v>
      </c>
      <c r="L16" s="683">
        <v>0</v>
      </c>
      <c r="M16" s="683">
        <v>3</v>
      </c>
      <c r="N16" s="683">
        <v>0</v>
      </c>
      <c r="O16" s="683">
        <v>0</v>
      </c>
      <c r="P16" s="683">
        <v>1</v>
      </c>
      <c r="Q16" s="680">
        <v>0</v>
      </c>
      <c r="R16" s="683">
        <v>2</v>
      </c>
      <c r="S16" s="710">
        <v>10005</v>
      </c>
      <c r="T16" s="685" t="s">
        <v>736</v>
      </c>
      <c r="U16" s="686" t="s">
        <v>737</v>
      </c>
      <c r="V16" s="684" t="s">
        <v>570</v>
      </c>
      <c r="W16" s="684" t="s">
        <v>738</v>
      </c>
      <c r="X16" s="687" t="s">
        <v>739</v>
      </c>
      <c r="Y16" s="684">
        <v>1</v>
      </c>
      <c r="Z16" s="684">
        <v>1</v>
      </c>
      <c r="AA16" s="684">
        <v>0</v>
      </c>
      <c r="AB16" s="688">
        <v>0</v>
      </c>
      <c r="AC16" s="684">
        <v>1</v>
      </c>
      <c r="AD16" s="684">
        <v>1</v>
      </c>
      <c r="AE16" s="684">
        <v>0</v>
      </c>
      <c r="AF16" s="688">
        <v>0</v>
      </c>
      <c r="AG16" s="684">
        <v>0</v>
      </c>
      <c r="AH16" s="684">
        <v>0</v>
      </c>
      <c r="AI16" s="684">
        <v>0</v>
      </c>
      <c r="AJ16" s="688">
        <v>0</v>
      </c>
    </row>
    <row r="17" spans="1:36" ht="15" customHeight="1" thickBot="1" x14ac:dyDescent="0.3">
      <c r="A17" s="689" t="s">
        <v>122</v>
      </c>
      <c r="B17" s="690" t="s">
        <v>169</v>
      </c>
      <c r="C17" s="691" t="s">
        <v>248</v>
      </c>
      <c r="D17" s="692" t="s">
        <v>38</v>
      </c>
      <c r="E17" s="692" t="s">
        <v>34</v>
      </c>
      <c r="F17" s="692">
        <v>32</v>
      </c>
      <c r="G17" s="693">
        <v>16</v>
      </c>
      <c r="H17" s="694">
        <v>1</v>
      </c>
      <c r="I17" s="695">
        <v>0</v>
      </c>
      <c r="J17" s="695">
        <v>4</v>
      </c>
      <c r="K17" s="695">
        <v>3</v>
      </c>
      <c r="L17" s="695">
        <v>0</v>
      </c>
      <c r="M17" s="695">
        <v>2</v>
      </c>
      <c r="N17" s="695">
        <v>2</v>
      </c>
      <c r="O17" s="695">
        <v>0</v>
      </c>
      <c r="P17" s="695">
        <v>0</v>
      </c>
      <c r="Q17" s="695">
        <v>0</v>
      </c>
      <c r="R17" s="695">
        <v>2</v>
      </c>
      <c r="S17" s="696">
        <v>3050</v>
      </c>
      <c r="T17" s="697" t="s">
        <v>740</v>
      </c>
      <c r="U17" s="698" t="s">
        <v>741</v>
      </c>
      <c r="V17" s="696" t="s">
        <v>510</v>
      </c>
      <c r="W17" s="696" t="s">
        <v>742</v>
      </c>
      <c r="X17" s="699" t="s">
        <v>743</v>
      </c>
      <c r="Y17" s="696">
        <v>1</v>
      </c>
      <c r="Z17" s="696">
        <v>1</v>
      </c>
      <c r="AA17" s="696">
        <v>0</v>
      </c>
      <c r="AB17" s="700">
        <v>0</v>
      </c>
      <c r="AC17" s="696">
        <v>0</v>
      </c>
      <c r="AD17" s="696">
        <v>0</v>
      </c>
      <c r="AE17" s="696">
        <v>0</v>
      </c>
      <c r="AF17" s="700">
        <v>0</v>
      </c>
      <c r="AG17" s="696">
        <v>1</v>
      </c>
      <c r="AH17" s="696">
        <v>1</v>
      </c>
      <c r="AI17" s="696">
        <v>0</v>
      </c>
      <c r="AJ17" s="700">
        <v>0</v>
      </c>
    </row>
    <row r="18" spans="1:36" ht="15" customHeight="1" thickBot="1" x14ac:dyDescent="0.3">
      <c r="A18" s="239" t="s">
        <v>104</v>
      </c>
      <c r="B18" s="240" t="s">
        <v>54</v>
      </c>
      <c r="C18" s="122" t="s">
        <v>24</v>
      </c>
      <c r="D18" s="123" t="s">
        <v>90</v>
      </c>
      <c r="E18" s="123" t="s">
        <v>36</v>
      </c>
      <c r="F18" s="123">
        <v>16</v>
      </c>
      <c r="G18" s="241">
        <v>39</v>
      </c>
      <c r="H18" s="244">
        <v>0</v>
      </c>
      <c r="I18" s="242">
        <v>0</v>
      </c>
      <c r="J18" s="242">
        <v>1</v>
      </c>
      <c r="K18" s="242">
        <v>1</v>
      </c>
      <c r="L18" s="242">
        <v>0</v>
      </c>
      <c r="M18" s="242">
        <v>3</v>
      </c>
      <c r="N18" s="242">
        <v>1</v>
      </c>
      <c r="O18" s="242">
        <v>0</v>
      </c>
      <c r="P18" s="242">
        <v>0</v>
      </c>
      <c r="Q18" s="242">
        <v>0</v>
      </c>
      <c r="R18" s="242">
        <v>3</v>
      </c>
      <c r="S18" s="661">
        <v>16000</v>
      </c>
      <c r="T18" s="514" t="s">
        <v>722</v>
      </c>
      <c r="U18" s="245" t="s">
        <v>367</v>
      </c>
      <c r="V18" s="243" t="s">
        <v>399</v>
      </c>
      <c r="W18" s="243" t="s">
        <v>340</v>
      </c>
      <c r="X18" s="169" t="s">
        <v>377</v>
      </c>
      <c r="Y18" s="243">
        <v>1</v>
      </c>
      <c r="Z18" s="243">
        <v>0</v>
      </c>
      <c r="AA18" s="243">
        <v>0</v>
      </c>
      <c r="AB18" s="167">
        <v>1</v>
      </c>
      <c r="AC18" s="243">
        <v>1</v>
      </c>
      <c r="AD18" s="243">
        <v>0</v>
      </c>
      <c r="AE18" s="243">
        <v>0</v>
      </c>
      <c r="AF18" s="167">
        <v>1</v>
      </c>
      <c r="AG18" s="243">
        <v>0</v>
      </c>
      <c r="AH18" s="243">
        <v>0</v>
      </c>
      <c r="AI18" s="243">
        <v>0</v>
      </c>
      <c r="AJ18" s="167">
        <v>0</v>
      </c>
    </row>
    <row r="19" spans="1:36" ht="15" customHeight="1" thickBot="1" x14ac:dyDescent="0.3">
      <c r="A19" s="239" t="s">
        <v>766</v>
      </c>
      <c r="B19" s="240" t="s">
        <v>54</v>
      </c>
      <c r="C19" s="122" t="s">
        <v>189</v>
      </c>
      <c r="D19" s="123" t="s">
        <v>90</v>
      </c>
      <c r="E19" s="123" t="s">
        <v>36</v>
      </c>
      <c r="F19" s="123">
        <v>23</v>
      </c>
      <c r="G19" s="241">
        <v>30</v>
      </c>
      <c r="H19" s="244">
        <v>0</v>
      </c>
      <c r="I19" s="242">
        <v>1</v>
      </c>
      <c r="J19" s="242">
        <v>2</v>
      </c>
      <c r="K19" s="242">
        <v>2</v>
      </c>
      <c r="L19" s="242">
        <v>0</v>
      </c>
      <c r="M19" s="242">
        <v>3</v>
      </c>
      <c r="N19" s="242">
        <v>0</v>
      </c>
      <c r="O19" s="242">
        <v>0</v>
      </c>
      <c r="P19" s="242">
        <v>0</v>
      </c>
      <c r="Q19" s="242">
        <v>0</v>
      </c>
      <c r="R19" s="242">
        <v>3</v>
      </c>
      <c r="S19" s="661">
        <v>16000</v>
      </c>
      <c r="T19" s="514" t="s">
        <v>751</v>
      </c>
      <c r="U19" s="245" t="s">
        <v>374</v>
      </c>
      <c r="V19" s="243" t="s">
        <v>375</v>
      </c>
      <c r="W19" s="243" t="s">
        <v>355</v>
      </c>
      <c r="X19" s="169" t="s">
        <v>362</v>
      </c>
      <c r="Y19" s="243">
        <v>1</v>
      </c>
      <c r="Z19" s="243">
        <v>0</v>
      </c>
      <c r="AA19" s="243">
        <v>0</v>
      </c>
      <c r="AB19" s="167">
        <v>1</v>
      </c>
      <c r="AC19" s="243">
        <v>1</v>
      </c>
      <c r="AD19" s="243">
        <v>0</v>
      </c>
      <c r="AE19" s="243">
        <v>0</v>
      </c>
      <c r="AF19" s="167">
        <v>1</v>
      </c>
      <c r="AG19" s="243">
        <v>0</v>
      </c>
      <c r="AH19" s="243">
        <v>0</v>
      </c>
      <c r="AI19" s="243">
        <v>0</v>
      </c>
      <c r="AJ19" s="167">
        <v>0</v>
      </c>
    </row>
    <row r="20" spans="1:36" ht="15" customHeight="1" thickBot="1" x14ac:dyDescent="0.3">
      <c r="A20" s="256" t="s">
        <v>99</v>
      </c>
      <c r="B20" s="255" t="s">
        <v>54</v>
      </c>
      <c r="C20" s="247" t="s">
        <v>30</v>
      </c>
      <c r="D20" s="257" t="s">
        <v>38</v>
      </c>
      <c r="E20" s="257" t="s">
        <v>34</v>
      </c>
      <c r="F20" s="257">
        <v>26</v>
      </c>
      <c r="G20" s="258">
        <v>25</v>
      </c>
      <c r="H20" s="259">
        <v>0</v>
      </c>
      <c r="I20" s="260">
        <v>0</v>
      </c>
      <c r="J20" s="260">
        <v>2</v>
      </c>
      <c r="K20" s="260">
        <v>2</v>
      </c>
      <c r="L20" s="260">
        <v>1</v>
      </c>
      <c r="M20" s="260">
        <v>3</v>
      </c>
      <c r="N20" s="260">
        <v>0</v>
      </c>
      <c r="O20" s="260">
        <v>0</v>
      </c>
      <c r="P20" s="260">
        <v>0</v>
      </c>
      <c r="Q20" s="260">
        <v>1</v>
      </c>
      <c r="R20" s="260">
        <v>3</v>
      </c>
      <c r="S20" s="261">
        <v>12621</v>
      </c>
      <c r="T20" s="662" t="s">
        <v>789</v>
      </c>
      <c r="U20" s="263" t="s">
        <v>353</v>
      </c>
      <c r="V20" s="261" t="s">
        <v>368</v>
      </c>
      <c r="W20" s="261" t="s">
        <v>360</v>
      </c>
      <c r="X20" s="264" t="s">
        <v>348</v>
      </c>
      <c r="Y20" s="261">
        <v>1</v>
      </c>
      <c r="Z20" s="261">
        <v>1</v>
      </c>
      <c r="AA20" s="261">
        <v>0</v>
      </c>
      <c r="AB20" s="168">
        <v>0</v>
      </c>
      <c r="AC20" s="261">
        <v>0</v>
      </c>
      <c r="AD20" s="261">
        <v>0</v>
      </c>
      <c r="AE20" s="261">
        <v>0</v>
      </c>
      <c r="AF20" s="168">
        <v>0</v>
      </c>
      <c r="AG20" s="261">
        <v>1</v>
      </c>
      <c r="AH20" s="261">
        <v>1</v>
      </c>
      <c r="AI20" s="261">
        <v>0</v>
      </c>
      <c r="AJ20" s="168">
        <v>0</v>
      </c>
    </row>
    <row r="21" spans="1:36" ht="15" customHeight="1" thickBot="1" x14ac:dyDescent="0.3">
      <c r="A21" s="239" t="s">
        <v>778</v>
      </c>
      <c r="B21" s="240" t="s">
        <v>54</v>
      </c>
      <c r="C21" s="122" t="s">
        <v>21</v>
      </c>
      <c r="D21" s="123" t="s">
        <v>90</v>
      </c>
      <c r="E21" s="123" t="s">
        <v>34</v>
      </c>
      <c r="F21" s="123">
        <v>24</v>
      </c>
      <c r="G21" s="241">
        <v>23</v>
      </c>
      <c r="H21" s="244">
        <v>0</v>
      </c>
      <c r="I21" s="242">
        <v>0</v>
      </c>
      <c r="J21" s="242">
        <v>2</v>
      </c>
      <c r="K21" s="242">
        <v>1</v>
      </c>
      <c r="L21" s="242">
        <v>0</v>
      </c>
      <c r="M21" s="242">
        <v>4</v>
      </c>
      <c r="N21" s="242">
        <v>2</v>
      </c>
      <c r="O21" s="242">
        <v>0</v>
      </c>
      <c r="P21" s="242">
        <v>0</v>
      </c>
      <c r="Q21" s="242">
        <v>1</v>
      </c>
      <c r="R21" s="242">
        <v>3</v>
      </c>
      <c r="S21" s="243">
        <v>12894</v>
      </c>
      <c r="T21" s="514" t="s">
        <v>807</v>
      </c>
      <c r="U21" s="245" t="s">
        <v>345</v>
      </c>
      <c r="V21" s="243" t="s">
        <v>393</v>
      </c>
      <c r="W21" s="243" t="s">
        <v>390</v>
      </c>
      <c r="X21" s="169" t="s">
        <v>363</v>
      </c>
      <c r="Y21" s="243">
        <v>1</v>
      </c>
      <c r="Z21" s="243">
        <v>1</v>
      </c>
      <c r="AA21" s="243">
        <v>0</v>
      </c>
      <c r="AB21" s="167">
        <v>0</v>
      </c>
      <c r="AC21" s="243">
        <v>1</v>
      </c>
      <c r="AD21" s="243">
        <v>1</v>
      </c>
      <c r="AE21" s="243">
        <v>0</v>
      </c>
      <c r="AF21" s="167">
        <v>0</v>
      </c>
      <c r="AG21" s="243">
        <v>0</v>
      </c>
      <c r="AH21" s="243">
        <v>0</v>
      </c>
      <c r="AI21" s="243">
        <v>0</v>
      </c>
      <c r="AJ21" s="167">
        <v>0</v>
      </c>
    </row>
    <row r="22" spans="1:36" ht="15" customHeight="1" thickBot="1" x14ac:dyDescent="0.3">
      <c r="A22" s="677" t="s">
        <v>101</v>
      </c>
      <c r="B22" s="678" t="s">
        <v>169</v>
      </c>
      <c r="C22" s="679" t="s">
        <v>244</v>
      </c>
      <c r="D22" s="680" t="s">
        <v>90</v>
      </c>
      <c r="E22" s="680" t="s">
        <v>34</v>
      </c>
      <c r="F22" s="680">
        <v>33</v>
      </c>
      <c r="G22" s="681">
        <v>3</v>
      </c>
      <c r="H22" s="682">
        <v>1</v>
      </c>
      <c r="I22" s="683">
        <v>0</v>
      </c>
      <c r="J22" s="683">
        <v>5</v>
      </c>
      <c r="K22" s="683">
        <v>4</v>
      </c>
      <c r="L22" s="683">
        <v>0</v>
      </c>
      <c r="M22" s="683">
        <v>0</v>
      </c>
      <c r="N22" s="680">
        <v>0</v>
      </c>
      <c r="O22" s="683">
        <v>0</v>
      </c>
      <c r="P22" s="683">
        <v>0</v>
      </c>
      <c r="Q22" s="683">
        <v>0</v>
      </c>
      <c r="R22" s="683">
        <v>0</v>
      </c>
      <c r="S22" s="684">
        <v>9381</v>
      </c>
      <c r="T22" s="685" t="s">
        <v>837</v>
      </c>
      <c r="U22" s="686" t="s">
        <v>585</v>
      </c>
      <c r="V22" s="684" t="s">
        <v>510</v>
      </c>
      <c r="W22" s="684" t="s">
        <v>586</v>
      </c>
      <c r="X22" s="687" t="s">
        <v>587</v>
      </c>
      <c r="Y22" s="684">
        <v>1</v>
      </c>
      <c r="Z22" s="684">
        <v>1</v>
      </c>
      <c r="AA22" s="684">
        <v>0</v>
      </c>
      <c r="AB22" s="688">
        <v>0</v>
      </c>
      <c r="AC22" s="684">
        <v>1</v>
      </c>
      <c r="AD22" s="684">
        <v>1</v>
      </c>
      <c r="AE22" s="684">
        <v>0</v>
      </c>
      <c r="AF22" s="688">
        <v>0</v>
      </c>
      <c r="AG22" s="684">
        <v>0</v>
      </c>
      <c r="AH22" s="684">
        <v>0</v>
      </c>
      <c r="AI22" s="684">
        <v>0</v>
      </c>
      <c r="AJ22" s="688">
        <v>0</v>
      </c>
    </row>
    <row r="23" spans="1:36" ht="15" customHeight="1" thickBot="1" x14ac:dyDescent="0.3">
      <c r="A23" s="689" t="s">
        <v>780</v>
      </c>
      <c r="B23" s="690" t="s">
        <v>169</v>
      </c>
      <c r="C23" s="691" t="s">
        <v>235</v>
      </c>
      <c r="D23" s="692" t="s">
        <v>38</v>
      </c>
      <c r="E23" s="692" t="s">
        <v>34</v>
      </c>
      <c r="F23" s="692">
        <v>31</v>
      </c>
      <c r="G23" s="693">
        <v>20</v>
      </c>
      <c r="H23" s="694">
        <v>1</v>
      </c>
      <c r="I23" s="695">
        <v>0</v>
      </c>
      <c r="J23" s="695">
        <v>4</v>
      </c>
      <c r="K23" s="695">
        <v>4</v>
      </c>
      <c r="L23" s="695">
        <v>0</v>
      </c>
      <c r="M23" s="695">
        <v>1</v>
      </c>
      <c r="N23" s="695">
        <v>2</v>
      </c>
      <c r="O23" s="695">
        <v>0</v>
      </c>
      <c r="P23" s="695">
        <v>0</v>
      </c>
      <c r="Q23" s="695">
        <v>0</v>
      </c>
      <c r="R23" s="695">
        <v>2</v>
      </c>
      <c r="S23" s="696">
        <v>1900</v>
      </c>
      <c r="T23" s="697" t="s">
        <v>391</v>
      </c>
      <c r="U23" s="698" t="s">
        <v>752</v>
      </c>
      <c r="V23" s="696" t="s">
        <v>510</v>
      </c>
      <c r="W23" s="696" t="s">
        <v>838</v>
      </c>
      <c r="X23" s="699" t="s">
        <v>839</v>
      </c>
      <c r="Y23" s="696">
        <v>1</v>
      </c>
      <c r="Z23" s="696">
        <v>1</v>
      </c>
      <c r="AA23" s="696">
        <v>0</v>
      </c>
      <c r="AB23" s="700">
        <v>0</v>
      </c>
      <c r="AC23" s="696">
        <v>0</v>
      </c>
      <c r="AD23" s="696">
        <v>0</v>
      </c>
      <c r="AE23" s="696">
        <v>0</v>
      </c>
      <c r="AF23" s="700">
        <v>0</v>
      </c>
      <c r="AG23" s="696">
        <v>1</v>
      </c>
      <c r="AH23" s="696">
        <v>1</v>
      </c>
      <c r="AI23" s="696">
        <v>0</v>
      </c>
      <c r="AJ23" s="700">
        <v>0</v>
      </c>
    </row>
    <row r="24" spans="1:36" ht="15" customHeight="1" thickBot="1" x14ac:dyDescent="0.3">
      <c r="A24" s="251" t="s">
        <v>103</v>
      </c>
      <c r="B24" s="252" t="s">
        <v>96</v>
      </c>
      <c r="C24" s="253" t="s">
        <v>229</v>
      </c>
      <c r="D24" s="269" t="s">
        <v>90</v>
      </c>
      <c r="E24" s="269" t="s">
        <v>34</v>
      </c>
      <c r="F24" s="269">
        <v>32</v>
      </c>
      <c r="G24" s="275">
        <v>25</v>
      </c>
      <c r="H24" s="268">
        <v>1</v>
      </c>
      <c r="I24" s="267">
        <v>0</v>
      </c>
      <c r="J24" s="269">
        <v>4</v>
      </c>
      <c r="K24" s="267">
        <v>3</v>
      </c>
      <c r="L24" s="267">
        <v>0</v>
      </c>
      <c r="M24" s="267">
        <v>2</v>
      </c>
      <c r="N24" s="267">
        <v>2</v>
      </c>
      <c r="O24" s="267">
        <v>0</v>
      </c>
      <c r="P24" s="267">
        <v>0</v>
      </c>
      <c r="Q24" s="267">
        <v>1</v>
      </c>
      <c r="R24" s="267">
        <v>3</v>
      </c>
      <c r="S24" s="270">
        <v>12225</v>
      </c>
      <c r="T24" s="655" t="s">
        <v>856</v>
      </c>
      <c r="U24" s="271" t="s">
        <v>600</v>
      </c>
      <c r="V24" s="272" t="s">
        <v>510</v>
      </c>
      <c r="W24" s="272" t="s">
        <v>624</v>
      </c>
      <c r="X24" s="273" t="s">
        <v>390</v>
      </c>
      <c r="Y24" s="272">
        <v>1</v>
      </c>
      <c r="Z24" s="272">
        <v>1</v>
      </c>
      <c r="AA24" s="272">
        <v>0</v>
      </c>
      <c r="AB24" s="274">
        <v>0</v>
      </c>
      <c r="AC24" s="272">
        <v>1</v>
      </c>
      <c r="AD24" s="272">
        <v>1</v>
      </c>
      <c r="AE24" s="272">
        <v>0</v>
      </c>
      <c r="AF24" s="274">
        <v>0</v>
      </c>
      <c r="AG24" s="272">
        <v>0</v>
      </c>
      <c r="AH24" s="272">
        <v>0</v>
      </c>
      <c r="AI24" s="272">
        <v>0</v>
      </c>
      <c r="AJ24" s="274">
        <v>0</v>
      </c>
    </row>
    <row r="25" spans="1:36" ht="15" customHeight="1" thickBot="1" x14ac:dyDescent="0.3">
      <c r="A25" s="248" t="s">
        <v>111</v>
      </c>
      <c r="B25" s="249" t="s">
        <v>96</v>
      </c>
      <c r="C25" s="250" t="s">
        <v>10</v>
      </c>
      <c r="D25" s="283" t="s">
        <v>90</v>
      </c>
      <c r="E25" s="283" t="s">
        <v>34</v>
      </c>
      <c r="F25" s="283">
        <v>25</v>
      </c>
      <c r="G25" s="284">
        <v>7</v>
      </c>
      <c r="H25" s="277">
        <v>0</v>
      </c>
      <c r="I25" s="276">
        <v>0</v>
      </c>
      <c r="J25" s="276">
        <v>3</v>
      </c>
      <c r="K25" s="276">
        <v>2</v>
      </c>
      <c r="L25" s="276">
        <v>0</v>
      </c>
      <c r="M25" s="276">
        <v>2</v>
      </c>
      <c r="N25" s="276">
        <v>0</v>
      </c>
      <c r="O25" s="276">
        <v>0</v>
      </c>
      <c r="P25" s="276">
        <v>0</v>
      </c>
      <c r="Q25" s="276">
        <v>0</v>
      </c>
      <c r="R25" s="276">
        <v>1</v>
      </c>
      <c r="S25" s="278">
        <v>11551</v>
      </c>
      <c r="T25" s="649" t="s">
        <v>866</v>
      </c>
      <c r="U25" s="279" t="s">
        <v>452</v>
      </c>
      <c r="V25" s="278" t="s">
        <v>510</v>
      </c>
      <c r="W25" s="278" t="s">
        <v>340</v>
      </c>
      <c r="X25" s="280" t="s">
        <v>445</v>
      </c>
      <c r="Y25" s="278">
        <v>1</v>
      </c>
      <c r="Z25" s="278">
        <v>1</v>
      </c>
      <c r="AA25" s="278">
        <v>0</v>
      </c>
      <c r="AB25" s="281">
        <v>0</v>
      </c>
      <c r="AC25" s="278">
        <v>1</v>
      </c>
      <c r="AD25" s="278">
        <v>1</v>
      </c>
      <c r="AE25" s="278">
        <v>0</v>
      </c>
      <c r="AF25" s="281">
        <v>0</v>
      </c>
      <c r="AG25" s="278">
        <v>0</v>
      </c>
      <c r="AH25" s="278">
        <v>0</v>
      </c>
      <c r="AI25" s="278">
        <v>0</v>
      </c>
      <c r="AJ25" s="281">
        <v>0</v>
      </c>
    </row>
    <row r="26" spans="1:36" ht="15" customHeight="1" thickBot="1" x14ac:dyDescent="0.3">
      <c r="A26" s="256" t="s">
        <v>779</v>
      </c>
      <c r="B26" s="255" t="s">
        <v>54</v>
      </c>
      <c r="C26" s="247" t="s">
        <v>28</v>
      </c>
      <c r="D26" s="257" t="s">
        <v>38</v>
      </c>
      <c r="E26" s="257" t="s">
        <v>36</v>
      </c>
      <c r="F26" s="257">
        <v>15</v>
      </c>
      <c r="G26" s="258">
        <v>18</v>
      </c>
      <c r="H26" s="259">
        <v>0</v>
      </c>
      <c r="I26" s="260">
        <v>1</v>
      </c>
      <c r="J26" s="260">
        <v>0</v>
      </c>
      <c r="K26" s="260">
        <v>0</v>
      </c>
      <c r="L26" s="260">
        <v>0</v>
      </c>
      <c r="M26" s="260">
        <v>5</v>
      </c>
      <c r="N26" s="260">
        <v>1</v>
      </c>
      <c r="O26" s="260">
        <v>0</v>
      </c>
      <c r="P26" s="260">
        <v>0</v>
      </c>
      <c r="Q26" s="260">
        <v>0</v>
      </c>
      <c r="R26" s="260">
        <v>0</v>
      </c>
      <c r="S26" s="261">
        <v>20298</v>
      </c>
      <c r="T26" s="516" t="s">
        <v>594</v>
      </c>
      <c r="U26" s="263" t="s">
        <v>345</v>
      </c>
      <c r="V26" s="261" t="s">
        <v>393</v>
      </c>
      <c r="W26" s="261" t="s">
        <v>348</v>
      </c>
      <c r="X26" s="264" t="s">
        <v>347</v>
      </c>
      <c r="Y26" s="261">
        <v>1</v>
      </c>
      <c r="Z26" s="261">
        <v>0</v>
      </c>
      <c r="AA26" s="261">
        <v>0</v>
      </c>
      <c r="AB26" s="168">
        <v>1</v>
      </c>
      <c r="AC26" s="261">
        <v>0</v>
      </c>
      <c r="AD26" s="261">
        <v>0</v>
      </c>
      <c r="AE26" s="261">
        <v>0</v>
      </c>
      <c r="AF26" s="168">
        <v>0</v>
      </c>
      <c r="AG26" s="261">
        <v>1</v>
      </c>
      <c r="AH26" s="261">
        <v>0</v>
      </c>
      <c r="AI26" s="261">
        <v>0</v>
      </c>
      <c r="AJ26" s="168">
        <v>1</v>
      </c>
    </row>
    <row r="27" spans="1:36" ht="15" customHeight="1" thickBot="1" x14ac:dyDescent="0.3">
      <c r="A27" s="239" t="s">
        <v>156</v>
      </c>
      <c r="B27" s="240" t="s">
        <v>54</v>
      </c>
      <c r="C27" s="122" t="s">
        <v>190</v>
      </c>
      <c r="D27" s="123" t="s">
        <v>90</v>
      </c>
      <c r="E27" s="123" t="s">
        <v>34</v>
      </c>
      <c r="F27" s="123">
        <v>48</v>
      </c>
      <c r="G27" s="241">
        <v>10</v>
      </c>
      <c r="H27" s="244">
        <v>1</v>
      </c>
      <c r="I27" s="242">
        <v>0</v>
      </c>
      <c r="J27" s="242">
        <v>6</v>
      </c>
      <c r="K27" s="242">
        <v>6</v>
      </c>
      <c r="L27" s="242">
        <v>0</v>
      </c>
      <c r="M27" s="242">
        <v>2</v>
      </c>
      <c r="N27" s="242">
        <v>0</v>
      </c>
      <c r="O27" s="242">
        <v>0</v>
      </c>
      <c r="P27" s="242">
        <v>0</v>
      </c>
      <c r="Q27" s="242">
        <v>0</v>
      </c>
      <c r="R27" s="242">
        <v>1</v>
      </c>
      <c r="S27" s="282">
        <v>12940</v>
      </c>
      <c r="T27" s="592" t="s">
        <v>703</v>
      </c>
      <c r="U27" s="245" t="s">
        <v>485</v>
      </c>
      <c r="V27" s="243" t="s">
        <v>361</v>
      </c>
      <c r="W27" s="243" t="s">
        <v>363</v>
      </c>
      <c r="X27" s="169" t="s">
        <v>370</v>
      </c>
      <c r="Y27" s="243">
        <v>1</v>
      </c>
      <c r="Z27" s="243">
        <v>1</v>
      </c>
      <c r="AA27" s="243">
        <v>0</v>
      </c>
      <c r="AB27" s="167">
        <v>0</v>
      </c>
      <c r="AC27" s="243">
        <v>1</v>
      </c>
      <c r="AD27" s="243">
        <v>1</v>
      </c>
      <c r="AE27" s="243">
        <v>0</v>
      </c>
      <c r="AF27" s="167">
        <v>0</v>
      </c>
      <c r="AG27" s="243">
        <v>0</v>
      </c>
      <c r="AH27" s="243">
        <v>0</v>
      </c>
      <c r="AI27" s="243">
        <v>0</v>
      </c>
      <c r="AJ27" s="167">
        <v>0</v>
      </c>
    </row>
    <row r="28" spans="1:36" ht="15" customHeight="1" thickBot="1" x14ac:dyDescent="0.3">
      <c r="A28" s="256" t="s">
        <v>204</v>
      </c>
      <c r="B28" s="255" t="s">
        <v>54</v>
      </c>
      <c r="C28" s="247" t="s">
        <v>189</v>
      </c>
      <c r="D28" s="257" t="s">
        <v>38</v>
      </c>
      <c r="E28" s="257" t="s">
        <v>36</v>
      </c>
      <c r="F28" s="257">
        <v>21</v>
      </c>
      <c r="G28" s="258">
        <v>32</v>
      </c>
      <c r="H28" s="259">
        <v>0</v>
      </c>
      <c r="I28" s="260">
        <v>0</v>
      </c>
      <c r="J28" s="260">
        <v>2</v>
      </c>
      <c r="K28" s="260">
        <v>1</v>
      </c>
      <c r="L28" s="260">
        <v>0</v>
      </c>
      <c r="M28" s="260">
        <v>3</v>
      </c>
      <c r="N28" s="260">
        <v>0</v>
      </c>
      <c r="O28" s="260">
        <v>0</v>
      </c>
      <c r="P28" s="260">
        <v>1</v>
      </c>
      <c r="Q28" s="260">
        <v>0</v>
      </c>
      <c r="R28" s="260">
        <v>5</v>
      </c>
      <c r="S28" s="261">
        <v>14056</v>
      </c>
      <c r="T28" s="516" t="s">
        <v>394</v>
      </c>
      <c r="U28" s="263" t="s">
        <v>338</v>
      </c>
      <c r="V28" s="261" t="s">
        <v>346</v>
      </c>
      <c r="W28" s="261" t="s">
        <v>340</v>
      </c>
      <c r="X28" s="264" t="s">
        <v>376</v>
      </c>
      <c r="Y28" s="261">
        <v>1</v>
      </c>
      <c r="Z28" s="261">
        <v>0</v>
      </c>
      <c r="AA28" s="261">
        <v>0</v>
      </c>
      <c r="AB28" s="168">
        <v>1</v>
      </c>
      <c r="AC28" s="261">
        <v>0</v>
      </c>
      <c r="AD28" s="261">
        <v>0</v>
      </c>
      <c r="AE28" s="261">
        <v>0</v>
      </c>
      <c r="AF28" s="168">
        <v>0</v>
      </c>
      <c r="AG28" s="261">
        <v>1</v>
      </c>
      <c r="AH28" s="261">
        <v>0</v>
      </c>
      <c r="AI28" s="261">
        <v>0</v>
      </c>
      <c r="AJ28" s="168">
        <v>1</v>
      </c>
    </row>
    <row r="29" spans="1:36" ht="15" customHeight="1" thickBot="1" x14ac:dyDescent="0.3">
      <c r="A29" s="239" t="s">
        <v>157</v>
      </c>
      <c r="B29" s="240" t="s">
        <v>54</v>
      </c>
      <c r="C29" s="122" t="s">
        <v>27</v>
      </c>
      <c r="D29" s="123" t="s">
        <v>90</v>
      </c>
      <c r="E29" s="123" t="s">
        <v>35</v>
      </c>
      <c r="F29" s="123">
        <v>33</v>
      </c>
      <c r="G29" s="241">
        <v>33</v>
      </c>
      <c r="H29" s="244">
        <v>0</v>
      </c>
      <c r="I29" s="242">
        <v>0</v>
      </c>
      <c r="J29" s="242">
        <v>3</v>
      </c>
      <c r="K29" s="242">
        <v>3</v>
      </c>
      <c r="L29" s="242">
        <v>0</v>
      </c>
      <c r="M29" s="242">
        <v>4</v>
      </c>
      <c r="N29" s="242">
        <v>0</v>
      </c>
      <c r="O29" s="242">
        <v>0</v>
      </c>
      <c r="P29" s="242">
        <v>0</v>
      </c>
      <c r="Q29" s="242">
        <v>0</v>
      </c>
      <c r="R29" s="242">
        <v>3</v>
      </c>
      <c r="S29" s="243">
        <v>14857</v>
      </c>
      <c r="T29" s="592" t="s">
        <v>943</v>
      </c>
      <c r="U29" s="245" t="s">
        <v>367</v>
      </c>
      <c r="V29" s="243" t="s">
        <v>361</v>
      </c>
      <c r="W29" s="243" t="s">
        <v>390</v>
      </c>
      <c r="X29" s="169" t="s">
        <v>369</v>
      </c>
      <c r="Y29" s="243">
        <v>1</v>
      </c>
      <c r="Z29" s="243">
        <v>0</v>
      </c>
      <c r="AA29" s="243">
        <v>1</v>
      </c>
      <c r="AB29" s="167">
        <v>0</v>
      </c>
      <c r="AC29" s="243">
        <v>1</v>
      </c>
      <c r="AD29" s="243">
        <v>0</v>
      </c>
      <c r="AE29" s="243">
        <v>1</v>
      </c>
      <c r="AF29" s="167">
        <v>0</v>
      </c>
      <c r="AG29" s="243">
        <v>0</v>
      </c>
      <c r="AH29" s="243">
        <v>0</v>
      </c>
      <c r="AI29" s="243">
        <v>0</v>
      </c>
      <c r="AJ29" s="167">
        <v>0</v>
      </c>
    </row>
    <row r="30" spans="1:36" ht="15" customHeight="1" thickBot="1" x14ac:dyDescent="0.3">
      <c r="A30" s="256" t="s">
        <v>197</v>
      </c>
      <c r="B30" s="255" t="s">
        <v>54</v>
      </c>
      <c r="C30" s="247" t="s">
        <v>29</v>
      </c>
      <c r="D30" s="257" t="s">
        <v>38</v>
      </c>
      <c r="E30" s="257" t="s">
        <v>36</v>
      </c>
      <c r="F30" s="257">
        <v>6</v>
      </c>
      <c r="G30" s="258">
        <v>23</v>
      </c>
      <c r="H30" s="259">
        <v>0</v>
      </c>
      <c r="I30" s="260">
        <v>0</v>
      </c>
      <c r="J30" s="257">
        <v>0</v>
      </c>
      <c r="K30" s="260">
        <v>0</v>
      </c>
      <c r="L30" s="260">
        <v>0</v>
      </c>
      <c r="M30" s="260">
        <v>2</v>
      </c>
      <c r="N30" s="260">
        <v>0</v>
      </c>
      <c r="O30" s="260">
        <v>0</v>
      </c>
      <c r="P30" s="260">
        <v>0</v>
      </c>
      <c r="Q30" s="260">
        <v>0</v>
      </c>
      <c r="R30" s="260">
        <v>2</v>
      </c>
      <c r="S30" s="261">
        <v>6879</v>
      </c>
      <c r="T30" s="516" t="s">
        <v>758</v>
      </c>
      <c r="U30" s="263" t="s">
        <v>419</v>
      </c>
      <c r="V30" s="261" t="s">
        <v>361</v>
      </c>
      <c r="W30" s="261" t="s">
        <v>348</v>
      </c>
      <c r="X30" s="264" t="s">
        <v>369</v>
      </c>
      <c r="Y30" s="261">
        <v>1</v>
      </c>
      <c r="Z30" s="261">
        <v>0</v>
      </c>
      <c r="AA30" s="261">
        <v>0</v>
      </c>
      <c r="AB30" s="168">
        <v>1</v>
      </c>
      <c r="AC30" s="261">
        <v>0</v>
      </c>
      <c r="AD30" s="261">
        <v>0</v>
      </c>
      <c r="AE30" s="261">
        <v>0</v>
      </c>
      <c r="AF30" s="168">
        <v>0</v>
      </c>
      <c r="AG30" s="261">
        <v>1</v>
      </c>
      <c r="AH30" s="261">
        <v>0</v>
      </c>
      <c r="AI30" s="261">
        <v>0</v>
      </c>
      <c r="AJ30" s="168">
        <v>1</v>
      </c>
    </row>
    <row r="31" spans="1:36" ht="15" customHeight="1" thickBot="1" x14ac:dyDescent="0.3">
      <c r="A31" s="677" t="s">
        <v>971</v>
      </c>
      <c r="B31" s="678" t="s">
        <v>170</v>
      </c>
      <c r="C31" s="679" t="s">
        <v>243</v>
      </c>
      <c r="D31" s="680" t="s">
        <v>90</v>
      </c>
      <c r="E31" s="680" t="s">
        <v>34</v>
      </c>
      <c r="F31" s="680">
        <v>14</v>
      </c>
      <c r="G31" s="681">
        <v>7</v>
      </c>
      <c r="H31" s="682" t="s">
        <v>85</v>
      </c>
      <c r="I31" s="683" t="s">
        <v>85</v>
      </c>
      <c r="J31" s="683">
        <v>2</v>
      </c>
      <c r="K31" s="683">
        <v>2</v>
      </c>
      <c r="L31" s="683">
        <v>0</v>
      </c>
      <c r="M31" s="683">
        <v>0</v>
      </c>
      <c r="N31" s="683">
        <v>0</v>
      </c>
      <c r="O31" s="683">
        <v>0</v>
      </c>
      <c r="P31" s="683" t="s">
        <v>85</v>
      </c>
      <c r="Q31" s="683" t="s">
        <v>85</v>
      </c>
      <c r="R31" s="683">
        <v>1</v>
      </c>
      <c r="S31" s="684">
        <v>13236</v>
      </c>
      <c r="T31" s="685" t="s">
        <v>972</v>
      </c>
      <c r="U31" s="686" t="s">
        <v>834</v>
      </c>
      <c r="V31" s="684" t="s">
        <v>533</v>
      </c>
      <c r="W31" s="684" t="s">
        <v>746</v>
      </c>
      <c r="X31" s="687" t="s">
        <v>515</v>
      </c>
      <c r="Y31" s="684">
        <v>1</v>
      </c>
      <c r="Z31" s="684">
        <v>1</v>
      </c>
      <c r="AA31" s="684">
        <v>0</v>
      </c>
      <c r="AB31" s="688">
        <v>0</v>
      </c>
      <c r="AC31" s="684">
        <v>1</v>
      </c>
      <c r="AD31" s="684">
        <v>1</v>
      </c>
      <c r="AE31" s="684">
        <v>0</v>
      </c>
      <c r="AF31" s="688">
        <v>0</v>
      </c>
      <c r="AG31" s="684">
        <v>0</v>
      </c>
      <c r="AH31" s="684">
        <v>0</v>
      </c>
      <c r="AI31" s="684">
        <v>0</v>
      </c>
      <c r="AJ31" s="688">
        <v>0</v>
      </c>
    </row>
    <row r="32" spans="1:36" ht="15" customHeight="1" thickBot="1" x14ac:dyDescent="0.3">
      <c r="A32" s="256" t="s">
        <v>110</v>
      </c>
      <c r="B32" s="255" t="s">
        <v>54</v>
      </c>
      <c r="C32" s="247" t="s">
        <v>10</v>
      </c>
      <c r="D32" s="257" t="s">
        <v>38</v>
      </c>
      <c r="E32" s="257" t="s">
        <v>36</v>
      </c>
      <c r="F32" s="257">
        <v>26</v>
      </c>
      <c r="G32" s="258">
        <v>29</v>
      </c>
      <c r="H32" s="259">
        <v>0</v>
      </c>
      <c r="I32" s="260">
        <v>1</v>
      </c>
      <c r="J32" s="260">
        <v>3</v>
      </c>
      <c r="K32" s="260">
        <v>1</v>
      </c>
      <c r="L32" s="260">
        <v>0</v>
      </c>
      <c r="M32" s="260">
        <v>3</v>
      </c>
      <c r="N32" s="257">
        <v>2</v>
      </c>
      <c r="O32" s="260">
        <v>0</v>
      </c>
      <c r="P32" s="260">
        <v>0</v>
      </c>
      <c r="Q32" s="260">
        <v>0</v>
      </c>
      <c r="R32" s="260">
        <v>3</v>
      </c>
      <c r="S32" s="370">
        <v>14800</v>
      </c>
      <c r="T32" s="590" t="s">
        <v>893</v>
      </c>
      <c r="U32" s="263" t="s">
        <v>360</v>
      </c>
      <c r="V32" s="261" t="s">
        <v>393</v>
      </c>
      <c r="W32" s="261" t="s">
        <v>370</v>
      </c>
      <c r="X32" s="264" t="s">
        <v>390</v>
      </c>
      <c r="Y32" s="261">
        <v>1</v>
      </c>
      <c r="Z32" s="261">
        <v>0</v>
      </c>
      <c r="AA32" s="261">
        <v>0</v>
      </c>
      <c r="AB32" s="168">
        <v>1</v>
      </c>
      <c r="AC32" s="261">
        <v>0</v>
      </c>
      <c r="AD32" s="261">
        <v>0</v>
      </c>
      <c r="AE32" s="261">
        <v>0</v>
      </c>
      <c r="AF32" s="168">
        <v>0</v>
      </c>
      <c r="AG32" s="261">
        <v>1</v>
      </c>
      <c r="AH32" s="261">
        <v>0</v>
      </c>
      <c r="AI32" s="261">
        <v>0</v>
      </c>
      <c r="AJ32" s="168">
        <v>1</v>
      </c>
    </row>
    <row r="33" spans="1:40" ht="15" customHeight="1" thickBot="1" x14ac:dyDescent="0.3">
      <c r="A33" s="677" t="s">
        <v>162</v>
      </c>
      <c r="B33" s="678" t="s">
        <v>171</v>
      </c>
      <c r="C33" s="679" t="s">
        <v>30</v>
      </c>
      <c r="D33" s="680" t="s">
        <v>90</v>
      </c>
      <c r="E33" s="680" t="s">
        <v>34</v>
      </c>
      <c r="F33" s="680">
        <v>30</v>
      </c>
      <c r="G33" s="681">
        <v>19</v>
      </c>
      <c r="H33" s="682" t="s">
        <v>85</v>
      </c>
      <c r="I33" s="683" t="s">
        <v>85</v>
      </c>
      <c r="J33" s="683">
        <v>3</v>
      </c>
      <c r="K33" s="683">
        <v>3</v>
      </c>
      <c r="L33" s="683">
        <v>0</v>
      </c>
      <c r="M33" s="683">
        <v>3</v>
      </c>
      <c r="N33" s="683">
        <v>0</v>
      </c>
      <c r="O33" s="683">
        <v>0</v>
      </c>
      <c r="P33" s="683" t="s">
        <v>85</v>
      </c>
      <c r="Q33" s="683" t="s">
        <v>85</v>
      </c>
      <c r="R33" s="683">
        <v>1</v>
      </c>
      <c r="S33" s="684">
        <v>11907</v>
      </c>
      <c r="T33" s="707" t="s">
        <v>446</v>
      </c>
      <c r="U33" s="686" t="s">
        <v>517</v>
      </c>
      <c r="V33" s="684" t="s">
        <v>588</v>
      </c>
      <c r="W33" s="684" t="s">
        <v>512</v>
      </c>
      <c r="X33" s="687" t="s">
        <v>597</v>
      </c>
      <c r="Y33" s="684">
        <v>1</v>
      </c>
      <c r="Z33" s="684">
        <v>1</v>
      </c>
      <c r="AA33" s="684">
        <v>0</v>
      </c>
      <c r="AB33" s="688">
        <v>0</v>
      </c>
      <c r="AC33" s="684">
        <v>1</v>
      </c>
      <c r="AD33" s="684">
        <v>1</v>
      </c>
      <c r="AE33" s="684">
        <v>0</v>
      </c>
      <c r="AF33" s="688">
        <v>0</v>
      </c>
      <c r="AG33" s="684">
        <v>0</v>
      </c>
      <c r="AH33" s="684">
        <v>0</v>
      </c>
      <c r="AI33" s="684">
        <v>0</v>
      </c>
      <c r="AJ33" s="688">
        <v>0</v>
      </c>
    </row>
    <row r="34" spans="1:40" ht="15" customHeight="1" thickBot="1" x14ac:dyDescent="0.3">
      <c r="A34" s="239" t="s">
        <v>145</v>
      </c>
      <c r="B34" s="240" t="s">
        <v>54</v>
      </c>
      <c r="C34" s="122" t="s">
        <v>66</v>
      </c>
      <c r="D34" s="123" t="s">
        <v>90</v>
      </c>
      <c r="E34" s="123" t="s">
        <v>34</v>
      </c>
      <c r="F34" s="123">
        <v>42</v>
      </c>
      <c r="G34" s="241">
        <v>40</v>
      </c>
      <c r="H34" s="244">
        <v>1</v>
      </c>
      <c r="I34" s="242">
        <v>0</v>
      </c>
      <c r="J34" s="242">
        <v>5</v>
      </c>
      <c r="K34" s="242">
        <v>4</v>
      </c>
      <c r="L34" s="242">
        <v>0</v>
      </c>
      <c r="M34" s="242">
        <v>3</v>
      </c>
      <c r="N34" s="242">
        <v>0</v>
      </c>
      <c r="O34" s="242">
        <v>0</v>
      </c>
      <c r="P34" s="242">
        <v>1</v>
      </c>
      <c r="Q34" s="242">
        <v>1</v>
      </c>
      <c r="R34" s="242">
        <v>4</v>
      </c>
      <c r="S34" s="243">
        <v>12515</v>
      </c>
      <c r="T34" s="514" t="s">
        <v>990</v>
      </c>
      <c r="U34" s="245" t="s">
        <v>485</v>
      </c>
      <c r="V34" s="243" t="s">
        <v>368</v>
      </c>
      <c r="W34" s="243" t="s">
        <v>362</v>
      </c>
      <c r="X34" s="169" t="s">
        <v>991</v>
      </c>
      <c r="Y34" s="243">
        <v>1</v>
      </c>
      <c r="Z34" s="243">
        <v>1</v>
      </c>
      <c r="AA34" s="243">
        <v>0</v>
      </c>
      <c r="AB34" s="167">
        <v>0</v>
      </c>
      <c r="AC34" s="243">
        <v>1</v>
      </c>
      <c r="AD34" s="243">
        <v>1</v>
      </c>
      <c r="AE34" s="243">
        <v>0</v>
      </c>
      <c r="AF34" s="167">
        <v>0</v>
      </c>
      <c r="AG34" s="243">
        <v>0</v>
      </c>
      <c r="AH34" s="243">
        <v>0</v>
      </c>
      <c r="AI34" s="243">
        <v>0</v>
      </c>
      <c r="AJ34" s="167">
        <v>0</v>
      </c>
    </row>
    <row r="35" spans="1:40" ht="15" customHeight="1" thickBot="1" x14ac:dyDescent="0.3">
      <c r="A35" s="711" t="s">
        <v>992</v>
      </c>
      <c r="B35" s="712" t="s">
        <v>172</v>
      </c>
      <c r="C35" s="713" t="s">
        <v>247</v>
      </c>
      <c r="D35" s="714" t="s">
        <v>955</v>
      </c>
      <c r="E35" s="714" t="s">
        <v>34</v>
      </c>
      <c r="F35" s="714">
        <v>19</v>
      </c>
      <c r="G35" s="715">
        <v>13</v>
      </c>
      <c r="H35" s="716" t="s">
        <v>85</v>
      </c>
      <c r="I35" s="717" t="s">
        <v>85</v>
      </c>
      <c r="J35" s="717">
        <v>1</v>
      </c>
      <c r="K35" s="717">
        <v>1</v>
      </c>
      <c r="L35" s="717">
        <v>0</v>
      </c>
      <c r="M35" s="717">
        <v>4</v>
      </c>
      <c r="N35" s="717">
        <v>1</v>
      </c>
      <c r="O35" s="717">
        <v>1</v>
      </c>
      <c r="P35" s="717" t="s">
        <v>85</v>
      </c>
      <c r="Q35" s="717" t="s">
        <v>85</v>
      </c>
      <c r="R35" s="717">
        <v>1</v>
      </c>
      <c r="S35" s="720">
        <v>14316</v>
      </c>
      <c r="T35" s="770" t="s">
        <v>446</v>
      </c>
      <c r="U35" s="721" t="s">
        <v>512</v>
      </c>
      <c r="V35" s="720" t="s">
        <v>534</v>
      </c>
      <c r="W35" s="718" t="s">
        <v>597</v>
      </c>
      <c r="X35" s="719" t="s">
        <v>834</v>
      </c>
      <c r="Y35" s="496">
        <v>1</v>
      </c>
      <c r="Z35" s="496">
        <v>1</v>
      </c>
      <c r="AA35" s="496">
        <v>0</v>
      </c>
      <c r="AB35" s="497">
        <v>0</v>
      </c>
      <c r="AC35" s="496">
        <v>0</v>
      </c>
      <c r="AD35" s="496">
        <v>0</v>
      </c>
      <c r="AE35" s="496">
        <v>0</v>
      </c>
      <c r="AF35" s="497">
        <v>0</v>
      </c>
      <c r="AG35" s="496">
        <v>0</v>
      </c>
      <c r="AH35" s="496">
        <v>0</v>
      </c>
      <c r="AI35" s="496">
        <v>0</v>
      </c>
      <c r="AJ35" s="497">
        <v>0</v>
      </c>
      <c r="AK35" s="771">
        <v>1</v>
      </c>
      <c r="AL35" s="771">
        <v>1</v>
      </c>
      <c r="AM35" s="771">
        <v>0</v>
      </c>
      <c r="AN35" s="771">
        <v>0</v>
      </c>
    </row>
    <row r="36" spans="1:40" ht="15" customHeight="1" thickBot="1" x14ac:dyDescent="0.3">
      <c r="A36" s="239" t="s">
        <v>164</v>
      </c>
      <c r="B36" s="240" t="s">
        <v>54</v>
      </c>
      <c r="C36" s="122" t="s">
        <v>13</v>
      </c>
      <c r="D36" s="123" t="s">
        <v>90</v>
      </c>
      <c r="E36" s="123" t="s">
        <v>34</v>
      </c>
      <c r="F36" s="123">
        <v>35</v>
      </c>
      <c r="G36" s="241">
        <v>13</v>
      </c>
      <c r="H36" s="244">
        <v>0</v>
      </c>
      <c r="I36" s="242">
        <v>0</v>
      </c>
      <c r="J36" s="242">
        <v>3</v>
      </c>
      <c r="K36" s="242">
        <v>1</v>
      </c>
      <c r="L36" s="242">
        <v>0</v>
      </c>
      <c r="M36" s="242">
        <v>6</v>
      </c>
      <c r="N36" s="242">
        <v>0</v>
      </c>
      <c r="O36" s="242">
        <v>1</v>
      </c>
      <c r="P36" s="242">
        <v>0</v>
      </c>
      <c r="Q36" s="242">
        <v>0</v>
      </c>
      <c r="R36" s="242">
        <v>2</v>
      </c>
      <c r="S36" s="368">
        <v>12973</v>
      </c>
      <c r="T36" s="592" t="s">
        <v>818</v>
      </c>
      <c r="U36" s="245" t="s">
        <v>614</v>
      </c>
      <c r="V36" s="243" t="s">
        <v>348</v>
      </c>
      <c r="W36" s="243" t="s">
        <v>370</v>
      </c>
      <c r="X36" s="169" t="s">
        <v>376</v>
      </c>
      <c r="Y36" s="243">
        <v>1</v>
      </c>
      <c r="Z36" s="243">
        <v>1</v>
      </c>
      <c r="AA36" s="243">
        <v>0</v>
      </c>
      <c r="AB36" s="167">
        <v>0</v>
      </c>
      <c r="AC36" s="243">
        <v>1</v>
      </c>
      <c r="AD36" s="243">
        <v>1</v>
      </c>
      <c r="AE36" s="243">
        <v>0</v>
      </c>
      <c r="AF36" s="167">
        <v>0</v>
      </c>
      <c r="AG36" s="243">
        <v>0</v>
      </c>
      <c r="AH36" s="243">
        <v>0</v>
      </c>
      <c r="AI36" s="243">
        <v>0</v>
      </c>
      <c r="AJ36" s="167">
        <v>0</v>
      </c>
    </row>
    <row r="37" spans="1:40" ht="15" customHeight="1" thickBot="1" x14ac:dyDescent="0.3">
      <c r="A37" s="256" t="s">
        <v>148</v>
      </c>
      <c r="B37" s="255" t="s">
        <v>54</v>
      </c>
      <c r="C37" s="247" t="s">
        <v>24</v>
      </c>
      <c r="D37" s="257" t="s">
        <v>38</v>
      </c>
      <c r="E37" s="257" t="s">
        <v>36</v>
      </c>
      <c r="F37" s="257">
        <v>30</v>
      </c>
      <c r="G37" s="258">
        <v>50</v>
      </c>
      <c r="H37" s="259">
        <v>1</v>
      </c>
      <c r="I37" s="260">
        <v>0</v>
      </c>
      <c r="J37" s="260">
        <v>4</v>
      </c>
      <c r="K37" s="260">
        <v>2</v>
      </c>
      <c r="L37" s="260">
        <v>0</v>
      </c>
      <c r="M37" s="260">
        <v>2</v>
      </c>
      <c r="N37" s="260">
        <v>1</v>
      </c>
      <c r="O37" s="260">
        <v>0</v>
      </c>
      <c r="P37" s="260">
        <v>1</v>
      </c>
      <c r="Q37" s="260">
        <v>0</v>
      </c>
      <c r="R37" s="260">
        <v>7</v>
      </c>
      <c r="S37" s="374">
        <v>13397</v>
      </c>
      <c r="T37" s="794" t="s">
        <v>905</v>
      </c>
      <c r="U37" s="375" t="s">
        <v>374</v>
      </c>
      <c r="V37" s="376" t="s">
        <v>341</v>
      </c>
      <c r="W37" s="376" t="s">
        <v>390</v>
      </c>
      <c r="X37" s="377" t="s">
        <v>445</v>
      </c>
      <c r="Y37" s="261">
        <v>1</v>
      </c>
      <c r="Z37" s="261">
        <v>0</v>
      </c>
      <c r="AA37" s="261">
        <v>0</v>
      </c>
      <c r="AB37" s="168">
        <v>1</v>
      </c>
      <c r="AC37" s="261">
        <v>0</v>
      </c>
      <c r="AD37" s="261">
        <v>0</v>
      </c>
      <c r="AE37" s="261">
        <v>0</v>
      </c>
      <c r="AF37" s="168">
        <v>0</v>
      </c>
      <c r="AG37" s="261">
        <v>1</v>
      </c>
      <c r="AH37" s="261">
        <v>0</v>
      </c>
      <c r="AI37" s="261">
        <v>0</v>
      </c>
      <c r="AJ37" s="168">
        <v>1</v>
      </c>
    </row>
    <row r="38" spans="1:40" ht="15" customHeight="1" thickBot="1" x14ac:dyDescent="0.3">
      <c r="A38" s="795" t="s">
        <v>1031</v>
      </c>
      <c r="B38" s="796" t="s">
        <v>1032</v>
      </c>
      <c r="C38" s="358" t="s">
        <v>243</v>
      </c>
      <c r="D38" s="359" t="s">
        <v>90</v>
      </c>
      <c r="E38" s="361" t="s">
        <v>1072</v>
      </c>
      <c r="F38" s="361">
        <v>40</v>
      </c>
      <c r="G38" s="797">
        <v>32</v>
      </c>
      <c r="H38" s="798" t="s">
        <v>85</v>
      </c>
      <c r="I38" s="799" t="s">
        <v>85</v>
      </c>
      <c r="J38" s="799">
        <v>5</v>
      </c>
      <c r="K38" s="799">
        <v>3</v>
      </c>
      <c r="L38" s="799">
        <v>0</v>
      </c>
      <c r="M38" s="799">
        <v>3</v>
      </c>
      <c r="N38" s="799">
        <v>1</v>
      </c>
      <c r="O38" s="799">
        <v>0</v>
      </c>
      <c r="P38" s="799" t="s">
        <v>85</v>
      </c>
      <c r="Q38" s="799" t="s">
        <v>85</v>
      </c>
      <c r="R38" s="799">
        <v>4</v>
      </c>
      <c r="S38" s="800">
        <v>7633</v>
      </c>
      <c r="T38" s="801" t="s">
        <v>1074</v>
      </c>
      <c r="U38" s="802" t="s">
        <v>522</v>
      </c>
      <c r="V38" s="802" t="s">
        <v>1075</v>
      </c>
      <c r="W38" s="802" t="s">
        <v>1075</v>
      </c>
      <c r="X38" s="802" t="s">
        <v>1075</v>
      </c>
      <c r="Y38" s="802">
        <v>1</v>
      </c>
      <c r="Z38" s="802">
        <v>1</v>
      </c>
      <c r="AA38" s="802">
        <v>0</v>
      </c>
      <c r="AB38" s="355">
        <v>0</v>
      </c>
      <c r="AC38" s="802">
        <v>1</v>
      </c>
      <c r="AD38" s="802">
        <v>1</v>
      </c>
      <c r="AE38" s="802">
        <v>0</v>
      </c>
      <c r="AF38" s="355">
        <v>0</v>
      </c>
      <c r="AG38" s="802">
        <v>0</v>
      </c>
      <c r="AH38" s="802">
        <v>0</v>
      </c>
      <c r="AI38" s="802">
        <v>0</v>
      </c>
      <c r="AJ38" s="355">
        <v>0</v>
      </c>
    </row>
    <row r="39" spans="1:40" ht="15" customHeight="1" thickBot="1" x14ac:dyDescent="0.3">
      <c r="A39" s="834" t="s">
        <v>1070</v>
      </c>
      <c r="B39" s="835" t="s">
        <v>1032</v>
      </c>
      <c r="C39" s="836" t="s">
        <v>1071</v>
      </c>
      <c r="D39" s="810" t="s">
        <v>351</v>
      </c>
      <c r="E39" s="361" t="s">
        <v>36</v>
      </c>
      <c r="F39" s="361">
        <v>22</v>
      </c>
      <c r="G39" s="797">
        <v>23</v>
      </c>
      <c r="H39" s="798" t="s">
        <v>85</v>
      </c>
      <c r="I39" s="799" t="s">
        <v>85</v>
      </c>
      <c r="J39" s="799">
        <v>1</v>
      </c>
      <c r="K39" s="799">
        <v>1</v>
      </c>
      <c r="L39" s="799">
        <v>0</v>
      </c>
      <c r="M39" s="799">
        <v>5</v>
      </c>
      <c r="N39" s="799">
        <v>1</v>
      </c>
      <c r="O39" s="799">
        <v>0</v>
      </c>
      <c r="P39" s="799" t="s">
        <v>85</v>
      </c>
      <c r="Q39" s="799" t="s">
        <v>85</v>
      </c>
      <c r="R39" s="799">
        <v>2</v>
      </c>
      <c r="S39" s="837"/>
      <c r="T39" s="839" t="s">
        <v>946</v>
      </c>
      <c r="U39" s="838" t="s">
        <v>527</v>
      </c>
      <c r="V39" s="838" t="s">
        <v>1076</v>
      </c>
      <c r="W39" s="838" t="s">
        <v>1076</v>
      </c>
      <c r="X39" s="838" t="s">
        <v>1076</v>
      </c>
      <c r="Y39" s="802">
        <v>1</v>
      </c>
      <c r="Z39" s="802">
        <v>0</v>
      </c>
      <c r="AA39" s="802">
        <v>0</v>
      </c>
      <c r="AB39" s="355">
        <v>1</v>
      </c>
      <c r="AC39" s="802">
        <v>1</v>
      </c>
      <c r="AD39" s="802">
        <v>0</v>
      </c>
      <c r="AE39" s="802">
        <v>0</v>
      </c>
      <c r="AF39" s="355">
        <v>1</v>
      </c>
      <c r="AG39" s="802">
        <v>0</v>
      </c>
      <c r="AH39" s="802">
        <v>0</v>
      </c>
      <c r="AI39" s="802">
        <v>0</v>
      </c>
      <c r="AJ39" s="355">
        <v>0</v>
      </c>
    </row>
    <row r="40" spans="1:40" ht="15" customHeight="1" thickBot="1" x14ac:dyDescent="0.3">
      <c r="A40" s="66"/>
      <c r="B40" s="67"/>
      <c r="C40" s="885" t="s">
        <v>173</v>
      </c>
      <c r="D40" s="886"/>
      <c r="E40" s="887"/>
      <c r="F40" s="291">
        <f t="shared" ref="F40:R40" si="0">SUM(F3+F4+F5+F6+F7+F8+F13+F14+F15+F18+F19+F20+F21+F26+F27+F28+F29+F30+F32+F34+F36+F37)</f>
        <v>553</v>
      </c>
      <c r="G40" s="291">
        <f t="shared" si="0"/>
        <v>575</v>
      </c>
      <c r="H40" s="291">
        <f t="shared" si="0"/>
        <v>4</v>
      </c>
      <c r="I40" s="291">
        <f t="shared" si="0"/>
        <v>6</v>
      </c>
      <c r="J40" s="291">
        <f t="shared" si="0"/>
        <v>53</v>
      </c>
      <c r="K40" s="291">
        <f t="shared" si="0"/>
        <v>39</v>
      </c>
      <c r="L40" s="291">
        <f t="shared" si="0"/>
        <v>1</v>
      </c>
      <c r="M40" s="291">
        <f t="shared" si="0"/>
        <v>69</v>
      </c>
      <c r="N40" s="291">
        <f t="shared" si="0"/>
        <v>12</v>
      </c>
      <c r="O40" s="291">
        <f t="shared" si="0"/>
        <v>1</v>
      </c>
      <c r="P40" s="291">
        <f t="shared" si="0"/>
        <v>5</v>
      </c>
      <c r="Q40" s="291">
        <f t="shared" si="0"/>
        <v>4</v>
      </c>
      <c r="R40" s="291">
        <f t="shared" si="0"/>
        <v>61</v>
      </c>
      <c r="S40" s="68"/>
      <c r="T40" s="68"/>
      <c r="U40" s="68"/>
      <c r="V40" s="68"/>
      <c r="W40" s="68"/>
      <c r="X40" s="310" t="s">
        <v>173</v>
      </c>
      <c r="Y40" s="291">
        <f t="shared" ref="Y40:AJ40" si="1">SUM(Y3+Y4+Y5+Y6+Y7+Y8+Y13+Y14+Y15+Y18+Y19+Y20+Y21+Y26+Y27+Y28+Y29+Y30+Y32+Y34+Y36+Y37)</f>
        <v>22</v>
      </c>
      <c r="Z40" s="291">
        <f t="shared" si="1"/>
        <v>9</v>
      </c>
      <c r="AA40" s="291">
        <f t="shared" si="1"/>
        <v>1</v>
      </c>
      <c r="AB40" s="291">
        <f t="shared" si="1"/>
        <v>12</v>
      </c>
      <c r="AC40" s="121">
        <f t="shared" si="1"/>
        <v>11</v>
      </c>
      <c r="AD40" s="121">
        <f t="shared" si="1"/>
        <v>6</v>
      </c>
      <c r="AE40" s="121">
        <f t="shared" si="1"/>
        <v>1</v>
      </c>
      <c r="AF40" s="121">
        <f t="shared" si="1"/>
        <v>4</v>
      </c>
      <c r="AG40" s="289">
        <f t="shared" si="1"/>
        <v>11</v>
      </c>
      <c r="AH40" s="289">
        <f t="shared" si="1"/>
        <v>3</v>
      </c>
      <c r="AI40" s="289">
        <f t="shared" si="1"/>
        <v>0</v>
      </c>
      <c r="AJ40" s="289">
        <f t="shared" si="1"/>
        <v>8</v>
      </c>
    </row>
    <row r="41" spans="1:40" ht="15" customHeight="1" thickBot="1" x14ac:dyDescent="0.3">
      <c r="A41" s="68"/>
      <c r="B41" s="68"/>
      <c r="C41" s="911" t="s">
        <v>175</v>
      </c>
      <c r="D41" s="912"/>
      <c r="E41" s="913"/>
      <c r="F41" s="633">
        <f t="shared" ref="F41:R41" si="2">SUM(F9+F10+F16+F17+F22+F23)</f>
        <v>211</v>
      </c>
      <c r="G41" s="633">
        <f t="shared" si="2"/>
        <v>64</v>
      </c>
      <c r="H41" s="633">
        <f t="shared" si="2"/>
        <v>5</v>
      </c>
      <c r="I41" s="633">
        <f t="shared" si="2"/>
        <v>0</v>
      </c>
      <c r="J41" s="633">
        <f t="shared" si="2"/>
        <v>25</v>
      </c>
      <c r="K41" s="633">
        <f t="shared" si="2"/>
        <v>22</v>
      </c>
      <c r="L41" s="633">
        <f t="shared" si="2"/>
        <v>0</v>
      </c>
      <c r="M41" s="633">
        <f t="shared" si="2"/>
        <v>14</v>
      </c>
      <c r="N41" s="633">
        <f t="shared" si="2"/>
        <v>5</v>
      </c>
      <c r="O41" s="633">
        <f t="shared" si="2"/>
        <v>0</v>
      </c>
      <c r="P41" s="633">
        <f t="shared" si="2"/>
        <v>1</v>
      </c>
      <c r="Q41" s="633">
        <f t="shared" si="2"/>
        <v>0</v>
      </c>
      <c r="R41" s="633">
        <f t="shared" si="2"/>
        <v>6</v>
      </c>
      <c r="S41" s="634"/>
      <c r="T41" s="634"/>
      <c r="U41" s="634"/>
      <c r="V41" s="634"/>
      <c r="W41" s="635"/>
      <c r="X41" s="636" t="s">
        <v>175</v>
      </c>
      <c r="Y41" s="637">
        <f t="shared" ref="Y41:AJ41" si="3">SUM(Y9+Y10+Y16+Y17+Y22+Y23)</f>
        <v>6</v>
      </c>
      <c r="Z41" s="633">
        <f t="shared" si="3"/>
        <v>6</v>
      </c>
      <c r="AA41" s="633">
        <f t="shared" si="3"/>
        <v>0</v>
      </c>
      <c r="AB41" s="633">
        <f t="shared" si="3"/>
        <v>0</v>
      </c>
      <c r="AC41" s="638">
        <f t="shared" si="3"/>
        <v>3</v>
      </c>
      <c r="AD41" s="638">
        <f t="shared" si="3"/>
        <v>3</v>
      </c>
      <c r="AE41" s="638">
        <f t="shared" si="3"/>
        <v>0</v>
      </c>
      <c r="AF41" s="638">
        <f t="shared" si="3"/>
        <v>0</v>
      </c>
      <c r="AG41" s="639">
        <f t="shared" si="3"/>
        <v>3</v>
      </c>
      <c r="AH41" s="639">
        <f t="shared" si="3"/>
        <v>3</v>
      </c>
      <c r="AI41" s="639">
        <f t="shared" si="3"/>
        <v>0</v>
      </c>
      <c r="AJ41" s="639">
        <f t="shared" si="3"/>
        <v>0</v>
      </c>
    </row>
    <row r="42" spans="1:40" ht="15" customHeight="1" thickBot="1" x14ac:dyDescent="0.3">
      <c r="A42" s="68"/>
      <c r="B42" s="68"/>
      <c r="C42" s="911" t="s">
        <v>176</v>
      </c>
      <c r="D42" s="912"/>
      <c r="E42" s="913"/>
      <c r="F42" s="633">
        <f>SUM(F31+F33+F35)</f>
        <v>63</v>
      </c>
      <c r="G42" s="633">
        <f>SUM(G31+G33+G35)</f>
        <v>39</v>
      </c>
      <c r="H42" s="633" t="s">
        <v>85</v>
      </c>
      <c r="I42" s="633" t="s">
        <v>85</v>
      </c>
      <c r="J42" s="633">
        <f t="shared" ref="J42:O42" si="4">SUM(J31+J33+J35)</f>
        <v>6</v>
      </c>
      <c r="K42" s="633">
        <f t="shared" si="4"/>
        <v>6</v>
      </c>
      <c r="L42" s="633">
        <f t="shared" si="4"/>
        <v>0</v>
      </c>
      <c r="M42" s="633">
        <f t="shared" si="4"/>
        <v>7</v>
      </c>
      <c r="N42" s="633">
        <f t="shared" si="4"/>
        <v>1</v>
      </c>
      <c r="O42" s="633">
        <f t="shared" si="4"/>
        <v>1</v>
      </c>
      <c r="P42" s="633" t="s">
        <v>85</v>
      </c>
      <c r="Q42" s="633" t="s">
        <v>85</v>
      </c>
      <c r="R42" s="633">
        <f>SUM(R31+R33+R35)</f>
        <v>3</v>
      </c>
      <c r="S42" s="634"/>
      <c r="T42" s="634"/>
      <c r="U42" s="634"/>
      <c r="V42" s="634"/>
      <c r="W42" s="635"/>
      <c r="X42" s="636" t="s">
        <v>176</v>
      </c>
      <c r="Y42" s="637">
        <f t="shared" ref="Y42:AJ42" si="5">SUM(Y31+Y33+Y35)</f>
        <v>3</v>
      </c>
      <c r="Z42" s="633">
        <f t="shared" si="5"/>
        <v>3</v>
      </c>
      <c r="AA42" s="633">
        <f t="shared" si="5"/>
        <v>0</v>
      </c>
      <c r="AB42" s="633">
        <f t="shared" si="5"/>
        <v>0</v>
      </c>
      <c r="AC42" s="638">
        <f t="shared" si="5"/>
        <v>2</v>
      </c>
      <c r="AD42" s="638">
        <f t="shared" si="5"/>
        <v>2</v>
      </c>
      <c r="AE42" s="638">
        <f t="shared" si="5"/>
        <v>0</v>
      </c>
      <c r="AF42" s="638">
        <f t="shared" si="5"/>
        <v>0</v>
      </c>
      <c r="AG42" s="639">
        <f t="shared" si="5"/>
        <v>0</v>
      </c>
      <c r="AH42" s="639">
        <f t="shared" si="5"/>
        <v>0</v>
      </c>
      <c r="AI42" s="639">
        <f t="shared" si="5"/>
        <v>0</v>
      </c>
      <c r="AJ42" s="639">
        <f t="shared" si="5"/>
        <v>0</v>
      </c>
    </row>
    <row r="43" spans="1:40" ht="15" customHeight="1" thickBot="1" x14ac:dyDescent="0.3">
      <c r="A43" s="68"/>
      <c r="B43" s="68"/>
      <c r="C43" s="888" t="s">
        <v>1068</v>
      </c>
      <c r="D43" s="923"/>
      <c r="E43" s="924"/>
      <c r="F43" s="417">
        <f>SUM(F38+F39)</f>
        <v>62</v>
      </c>
      <c r="G43" s="417">
        <f>SUM(G38+G39)</f>
        <v>55</v>
      </c>
      <c r="H43" s="417" t="s">
        <v>85</v>
      </c>
      <c r="I43" s="417" t="s">
        <v>85</v>
      </c>
      <c r="J43" s="417">
        <f t="shared" ref="J43:O43" si="6">SUM(J38+J39)</f>
        <v>6</v>
      </c>
      <c r="K43" s="417">
        <f t="shared" si="6"/>
        <v>4</v>
      </c>
      <c r="L43" s="417">
        <f t="shared" si="6"/>
        <v>0</v>
      </c>
      <c r="M43" s="417">
        <f t="shared" si="6"/>
        <v>8</v>
      </c>
      <c r="N43" s="417">
        <f t="shared" si="6"/>
        <v>2</v>
      </c>
      <c r="O43" s="417">
        <f t="shared" si="6"/>
        <v>0</v>
      </c>
      <c r="P43" s="417" t="s">
        <v>85</v>
      </c>
      <c r="Q43" s="417" t="s">
        <v>85</v>
      </c>
      <c r="R43" s="417">
        <f>SUM(R38+R39)</f>
        <v>6</v>
      </c>
      <c r="S43" s="418"/>
      <c r="T43" s="418"/>
      <c r="U43" s="418"/>
      <c r="V43" s="418"/>
      <c r="W43" s="419"/>
      <c r="X43" s="420" t="s">
        <v>1069</v>
      </c>
      <c r="Y43" s="421">
        <f t="shared" ref="Y43:AJ43" si="7">SUM(Y38+Y39)</f>
        <v>2</v>
      </c>
      <c r="Z43" s="417">
        <f t="shared" si="7"/>
        <v>1</v>
      </c>
      <c r="AA43" s="417">
        <f t="shared" si="7"/>
        <v>0</v>
      </c>
      <c r="AB43" s="417">
        <f t="shared" si="7"/>
        <v>1</v>
      </c>
      <c r="AC43" s="423">
        <f t="shared" si="7"/>
        <v>2</v>
      </c>
      <c r="AD43" s="423">
        <f t="shared" si="7"/>
        <v>1</v>
      </c>
      <c r="AE43" s="423">
        <f t="shared" si="7"/>
        <v>0</v>
      </c>
      <c r="AF43" s="423">
        <f t="shared" si="7"/>
        <v>1</v>
      </c>
      <c r="AG43" s="422">
        <f t="shared" si="7"/>
        <v>0</v>
      </c>
      <c r="AH43" s="422">
        <f t="shared" si="7"/>
        <v>0</v>
      </c>
      <c r="AI43" s="422">
        <f t="shared" si="7"/>
        <v>0</v>
      </c>
      <c r="AJ43" s="422">
        <f t="shared" si="7"/>
        <v>0</v>
      </c>
    </row>
    <row r="44" spans="1:40" ht="15" customHeight="1" thickBot="1" x14ac:dyDescent="0.3">
      <c r="A44" s="68"/>
      <c r="B44" s="68"/>
      <c r="C44" s="891" t="s">
        <v>168</v>
      </c>
      <c r="D44" s="892"/>
      <c r="E44" s="893"/>
      <c r="F44" s="319">
        <f t="shared" ref="F44:R44" si="8">SUM(F11+F12+F24+F25)</f>
        <v>102</v>
      </c>
      <c r="G44" s="319">
        <f t="shared" si="8"/>
        <v>69</v>
      </c>
      <c r="H44" s="319">
        <f t="shared" si="8"/>
        <v>1</v>
      </c>
      <c r="I44" s="319">
        <f t="shared" si="8"/>
        <v>1</v>
      </c>
      <c r="J44" s="319">
        <f t="shared" si="8"/>
        <v>10</v>
      </c>
      <c r="K44" s="319">
        <f t="shared" si="8"/>
        <v>8</v>
      </c>
      <c r="L44" s="319">
        <f t="shared" si="8"/>
        <v>0</v>
      </c>
      <c r="M44" s="319">
        <f t="shared" si="8"/>
        <v>12</v>
      </c>
      <c r="N44" s="319">
        <f t="shared" si="8"/>
        <v>3</v>
      </c>
      <c r="O44" s="319">
        <f t="shared" si="8"/>
        <v>0</v>
      </c>
      <c r="P44" s="319">
        <f t="shared" si="8"/>
        <v>0</v>
      </c>
      <c r="Q44" s="319">
        <f t="shared" si="8"/>
        <v>1</v>
      </c>
      <c r="R44" s="319">
        <f t="shared" si="8"/>
        <v>7</v>
      </c>
      <c r="S44" s="321"/>
      <c r="T44" s="321"/>
      <c r="U44" s="321"/>
      <c r="V44" s="321"/>
      <c r="W44" s="329"/>
      <c r="X44" s="322" t="s">
        <v>168</v>
      </c>
      <c r="Y44" s="320">
        <f t="shared" ref="Y44:AJ44" si="9">SUM(Y11+Y12+Y24+Y25)</f>
        <v>4</v>
      </c>
      <c r="Z44" s="319">
        <f t="shared" si="9"/>
        <v>3</v>
      </c>
      <c r="AA44" s="319">
        <f t="shared" si="9"/>
        <v>0</v>
      </c>
      <c r="AB44" s="319">
        <f t="shared" si="9"/>
        <v>1</v>
      </c>
      <c r="AC44" s="324">
        <f t="shared" si="9"/>
        <v>2</v>
      </c>
      <c r="AD44" s="324">
        <f t="shared" si="9"/>
        <v>2</v>
      </c>
      <c r="AE44" s="324">
        <f t="shared" si="9"/>
        <v>0</v>
      </c>
      <c r="AF44" s="324">
        <f t="shared" si="9"/>
        <v>0</v>
      </c>
      <c r="AG44" s="323">
        <f t="shared" si="9"/>
        <v>2</v>
      </c>
      <c r="AH44" s="323">
        <f t="shared" si="9"/>
        <v>1</v>
      </c>
      <c r="AI44" s="323">
        <f t="shared" si="9"/>
        <v>0</v>
      </c>
      <c r="AJ44" s="323">
        <f t="shared" si="9"/>
        <v>1</v>
      </c>
    </row>
    <row r="45" spans="1:40" ht="15.75" thickBot="1" x14ac:dyDescent="0.3">
      <c r="A45" s="68"/>
      <c r="B45" s="68"/>
      <c r="C45" s="458" t="s">
        <v>166</v>
      </c>
      <c r="D45" s="459"/>
      <c r="E45" s="460"/>
      <c r="F45" s="461">
        <v>0</v>
      </c>
      <c r="G45" s="461">
        <v>0</v>
      </c>
      <c r="H45" s="465">
        <v>0</v>
      </c>
      <c r="I45" s="465">
        <v>0</v>
      </c>
      <c r="J45" s="461">
        <v>0</v>
      </c>
      <c r="K45" s="461">
        <v>0</v>
      </c>
      <c r="L45" s="461">
        <v>0</v>
      </c>
      <c r="M45" s="461">
        <v>0</v>
      </c>
      <c r="N45" s="461">
        <v>0</v>
      </c>
      <c r="O45" s="461">
        <v>0</v>
      </c>
      <c r="P45" s="461">
        <v>0</v>
      </c>
      <c r="Q45" s="461">
        <v>0</v>
      </c>
      <c r="R45" s="461">
        <v>0</v>
      </c>
      <c r="S45" s="462"/>
      <c r="T45" s="462"/>
      <c r="U45" s="462"/>
      <c r="V45" s="462"/>
      <c r="W45" s="463"/>
      <c r="X45" s="464" t="s">
        <v>166</v>
      </c>
      <c r="Y45" s="465">
        <v>0</v>
      </c>
      <c r="Z45" s="461">
        <v>0</v>
      </c>
      <c r="AA45" s="461">
        <v>0</v>
      </c>
      <c r="AB45" s="461">
        <v>0</v>
      </c>
      <c r="AC45" s="468">
        <v>0</v>
      </c>
      <c r="AD45" s="469">
        <v>0</v>
      </c>
      <c r="AE45" s="469">
        <v>0</v>
      </c>
      <c r="AF45" s="469">
        <v>0</v>
      </c>
      <c r="AG45" s="466">
        <v>0</v>
      </c>
      <c r="AH45" s="467">
        <v>0</v>
      </c>
      <c r="AI45" s="467">
        <v>0</v>
      </c>
      <c r="AJ45" s="467">
        <v>0</v>
      </c>
    </row>
    <row r="46" spans="1:40" ht="15.75" thickBot="1" x14ac:dyDescent="0.3">
      <c r="A46" s="68"/>
      <c r="B46" s="68"/>
      <c r="C46" s="882" t="s">
        <v>70</v>
      </c>
      <c r="D46" s="883"/>
      <c r="E46" s="884"/>
      <c r="F46" s="293">
        <f>SUM(F3:F39)</f>
        <v>991</v>
      </c>
      <c r="G46" s="293">
        <f>SUM(G3:G39)</f>
        <v>802</v>
      </c>
      <c r="H46" s="292">
        <f t="shared" ref="H46:Q46" si="10">SUM(H3:H37)</f>
        <v>10</v>
      </c>
      <c r="I46" s="292">
        <f t="shared" si="10"/>
        <v>7</v>
      </c>
      <c r="J46" s="293">
        <f t="shared" ref="J46:O46" si="11">SUM(J3:J39)</f>
        <v>100</v>
      </c>
      <c r="K46" s="293">
        <f t="shared" si="11"/>
        <v>79</v>
      </c>
      <c r="L46" s="293">
        <f t="shared" si="11"/>
        <v>1</v>
      </c>
      <c r="M46" s="293">
        <f t="shared" si="11"/>
        <v>110</v>
      </c>
      <c r="N46" s="293">
        <f t="shared" si="11"/>
        <v>23</v>
      </c>
      <c r="O46" s="293">
        <f t="shared" si="11"/>
        <v>2</v>
      </c>
      <c r="P46" s="293">
        <f t="shared" si="10"/>
        <v>6</v>
      </c>
      <c r="Q46" s="293">
        <f t="shared" si="10"/>
        <v>5</v>
      </c>
      <c r="R46" s="293">
        <f>SUM(R3:R39)</f>
        <v>83</v>
      </c>
      <c r="S46" s="68"/>
      <c r="T46" s="68"/>
      <c r="U46" s="68"/>
      <c r="V46" s="68"/>
      <c r="W46" s="331"/>
      <c r="X46" s="309" t="s">
        <v>70</v>
      </c>
      <c r="Y46" s="292">
        <f t="shared" ref="Y46:AJ46" si="12">SUM(Y3:Y37)</f>
        <v>35</v>
      </c>
      <c r="Z46" s="293">
        <f t="shared" si="12"/>
        <v>21</v>
      </c>
      <c r="AA46" s="293">
        <f t="shared" si="12"/>
        <v>1</v>
      </c>
      <c r="AB46" s="293">
        <f t="shared" si="12"/>
        <v>13</v>
      </c>
      <c r="AC46" s="198">
        <f t="shared" si="12"/>
        <v>18</v>
      </c>
      <c r="AD46" s="390">
        <f t="shared" si="12"/>
        <v>13</v>
      </c>
      <c r="AE46" s="390">
        <f t="shared" si="12"/>
        <v>1</v>
      </c>
      <c r="AF46" s="390">
        <f t="shared" si="12"/>
        <v>4</v>
      </c>
      <c r="AG46" s="290">
        <f t="shared" si="12"/>
        <v>16</v>
      </c>
      <c r="AH46" s="133">
        <f t="shared" si="12"/>
        <v>7</v>
      </c>
      <c r="AI46" s="133">
        <f t="shared" si="12"/>
        <v>0</v>
      </c>
      <c r="AJ46" s="133">
        <f t="shared" si="12"/>
        <v>9</v>
      </c>
    </row>
    <row r="47" spans="1:40" x14ac:dyDescent="0.25">
      <c r="A47" s="68" t="s">
        <v>1073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</row>
    <row r="48" spans="1:40" x14ac:dyDescent="0.25">
      <c r="A48" s="470" t="s">
        <v>253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</row>
    <row r="49" spans="1:36" x14ac:dyDescent="0.25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</row>
    <row r="50" spans="1:36" x14ac:dyDescent="0.2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</row>
    <row r="51" spans="1:36" x14ac:dyDescent="0.25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</row>
    <row r="52" spans="1:36" x14ac:dyDescent="0.2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</row>
    <row r="53" spans="1:36" x14ac:dyDescent="0.25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</row>
    <row r="54" spans="1:36" x14ac:dyDescent="0.25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</row>
    <row r="55" spans="1:36" x14ac:dyDescent="0.25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</row>
    <row r="56" spans="1:36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</row>
    <row r="57" spans="1:36" x14ac:dyDescent="0.25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</row>
  </sheetData>
  <mergeCells count="12">
    <mergeCell ref="H1:I1"/>
    <mergeCell ref="J1:M1"/>
    <mergeCell ref="N1:O1"/>
    <mergeCell ref="P1:R1"/>
    <mergeCell ref="C40:E40"/>
    <mergeCell ref="C44:E44"/>
    <mergeCell ref="C46:E46"/>
    <mergeCell ref="A1:D1"/>
    <mergeCell ref="E1:G1"/>
    <mergeCell ref="C41:E41"/>
    <mergeCell ref="C42:E42"/>
    <mergeCell ref="C43:E4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S99"/>
  <sheetViews>
    <sheetView workbookViewId="0">
      <pane ySplit="2" topLeftCell="A4" activePane="bottomLeft" state="frozen"/>
      <selection pane="bottomLeft" activeCell="S27" sqref="S27"/>
    </sheetView>
  </sheetViews>
  <sheetFormatPr defaultRowHeight="15" x14ac:dyDescent="0.25"/>
  <cols>
    <col min="1" max="1" width="7.7109375" customWidth="1"/>
    <col min="2" max="2" width="5.7109375" customWidth="1"/>
    <col min="3" max="3" width="14.140625" customWidth="1"/>
    <col min="4" max="18" width="3.7109375" customWidth="1"/>
    <col min="19" max="19" width="6.7109375" bestFit="1" customWidth="1"/>
    <col min="20" max="20" width="5.7109375" customWidth="1"/>
    <col min="21" max="21" width="19.42578125" bestFit="1" customWidth="1"/>
    <col min="22" max="23" width="22" customWidth="1"/>
    <col min="24" max="24" width="21.140625" customWidth="1"/>
    <col min="25" max="36" width="3.7109375" customWidth="1"/>
    <col min="38" max="38" width="13.5703125" bestFit="1" customWidth="1"/>
    <col min="40" max="40" width="13.5703125" bestFit="1" customWidth="1"/>
    <col min="42" max="42" width="13.5703125" bestFit="1" customWidth="1"/>
    <col min="44" max="44" width="13.5703125" bestFit="1" customWidth="1"/>
  </cols>
  <sheetData>
    <row r="1" spans="1:45" ht="15" customHeight="1" thickBot="1" x14ac:dyDescent="0.3">
      <c r="A1" s="933" t="s">
        <v>181</v>
      </c>
      <c r="B1" s="934"/>
      <c r="C1" s="934"/>
      <c r="D1" s="935"/>
      <c r="E1" s="936" t="s">
        <v>77</v>
      </c>
      <c r="F1" s="937"/>
      <c r="G1" s="938"/>
      <c r="H1" s="936" t="s">
        <v>76</v>
      </c>
      <c r="I1" s="938"/>
      <c r="J1" s="929" t="s">
        <v>43</v>
      </c>
      <c r="K1" s="930"/>
      <c r="L1" s="930"/>
      <c r="M1" s="931"/>
      <c r="N1" s="929" t="s">
        <v>44</v>
      </c>
      <c r="O1" s="931"/>
      <c r="P1" s="929" t="s">
        <v>79</v>
      </c>
      <c r="Q1" s="930"/>
      <c r="R1" s="931"/>
      <c r="S1" s="333" t="s">
        <v>45</v>
      </c>
      <c r="T1" s="333" t="s">
        <v>46</v>
      </c>
      <c r="U1" s="334" t="s">
        <v>47</v>
      </c>
      <c r="V1" s="333" t="s">
        <v>48</v>
      </c>
      <c r="W1" s="335" t="s">
        <v>151</v>
      </c>
      <c r="X1" s="336" t="s">
        <v>152</v>
      </c>
      <c r="Y1" s="337" t="s">
        <v>71</v>
      </c>
      <c r="Z1" s="338"/>
      <c r="AA1" s="338"/>
      <c r="AB1" s="338"/>
      <c r="AC1" s="334" t="s">
        <v>72</v>
      </c>
      <c r="AD1" s="336"/>
      <c r="AE1" s="336"/>
      <c r="AF1" s="339"/>
      <c r="AG1" s="334" t="s">
        <v>73</v>
      </c>
      <c r="AH1" s="336"/>
      <c r="AI1" s="336"/>
      <c r="AJ1" s="336"/>
    </row>
    <row r="2" spans="1:45" ht="15" customHeight="1" thickBot="1" x14ac:dyDescent="0.3">
      <c r="A2" s="340" t="s">
        <v>69</v>
      </c>
      <c r="B2" s="341" t="s">
        <v>68</v>
      </c>
      <c r="C2" s="342" t="s">
        <v>113</v>
      </c>
      <c r="D2" s="342" t="s">
        <v>78</v>
      </c>
      <c r="E2" s="343" t="s">
        <v>53</v>
      </c>
      <c r="F2" s="343" t="s">
        <v>37</v>
      </c>
      <c r="G2" s="343" t="s">
        <v>38</v>
      </c>
      <c r="H2" s="344" t="s">
        <v>49</v>
      </c>
      <c r="I2" s="344" t="s">
        <v>36</v>
      </c>
      <c r="J2" s="344" t="s">
        <v>49</v>
      </c>
      <c r="K2" s="344" t="s">
        <v>50</v>
      </c>
      <c r="L2" s="344" t="s">
        <v>35</v>
      </c>
      <c r="M2" s="344" t="s">
        <v>51</v>
      </c>
      <c r="N2" s="344" t="s">
        <v>52</v>
      </c>
      <c r="O2" s="344" t="s">
        <v>53</v>
      </c>
      <c r="P2" s="344" t="s">
        <v>74</v>
      </c>
      <c r="Q2" s="344" t="s">
        <v>75</v>
      </c>
      <c r="R2" s="344" t="s">
        <v>49</v>
      </c>
      <c r="S2" s="345"/>
      <c r="T2" s="346"/>
      <c r="U2" s="347"/>
      <c r="V2" s="345"/>
      <c r="W2" s="348"/>
      <c r="X2" s="348"/>
      <c r="Y2" s="333" t="s">
        <v>33</v>
      </c>
      <c r="Z2" s="333" t="s">
        <v>34</v>
      </c>
      <c r="AA2" s="333" t="s">
        <v>35</v>
      </c>
      <c r="AB2" s="333" t="s">
        <v>36</v>
      </c>
      <c r="AC2" s="333" t="s">
        <v>33</v>
      </c>
      <c r="AD2" s="333" t="s">
        <v>34</v>
      </c>
      <c r="AE2" s="333" t="s">
        <v>35</v>
      </c>
      <c r="AF2" s="333" t="s">
        <v>36</v>
      </c>
      <c r="AG2" s="333" t="s">
        <v>33</v>
      </c>
      <c r="AH2" s="333" t="s">
        <v>34</v>
      </c>
      <c r="AI2" s="333" t="s">
        <v>35</v>
      </c>
      <c r="AJ2" s="333" t="s">
        <v>36</v>
      </c>
    </row>
    <row r="3" spans="1:45" ht="15" customHeight="1" thickBot="1" x14ac:dyDescent="0.3">
      <c r="A3" s="254" t="s">
        <v>89</v>
      </c>
      <c r="B3" s="255" t="s">
        <v>54</v>
      </c>
      <c r="C3" s="247" t="s">
        <v>13</v>
      </c>
      <c r="D3" s="257" t="s">
        <v>380</v>
      </c>
      <c r="E3" s="257" t="s">
        <v>34</v>
      </c>
      <c r="F3" s="257">
        <v>20</v>
      </c>
      <c r="G3" s="258">
        <v>15</v>
      </c>
      <c r="H3" s="259">
        <v>0</v>
      </c>
      <c r="I3" s="260">
        <v>0</v>
      </c>
      <c r="J3" s="260">
        <v>2</v>
      </c>
      <c r="K3" s="260">
        <v>2</v>
      </c>
      <c r="L3" s="260">
        <v>0</v>
      </c>
      <c r="M3" s="260">
        <v>2</v>
      </c>
      <c r="N3" s="260">
        <v>2</v>
      </c>
      <c r="O3" s="260">
        <v>0</v>
      </c>
      <c r="P3" s="260">
        <v>0</v>
      </c>
      <c r="Q3" s="260">
        <v>1</v>
      </c>
      <c r="R3" s="260">
        <v>0</v>
      </c>
      <c r="S3" s="261">
        <v>66164</v>
      </c>
      <c r="T3" s="590" t="s">
        <v>371</v>
      </c>
      <c r="U3" s="263" t="s">
        <v>367</v>
      </c>
      <c r="V3" s="261" t="s">
        <v>368</v>
      </c>
      <c r="W3" s="261" t="s">
        <v>369</v>
      </c>
      <c r="X3" s="264" t="s">
        <v>370</v>
      </c>
      <c r="Y3" s="261">
        <v>1</v>
      </c>
      <c r="Z3" s="261">
        <v>1</v>
      </c>
      <c r="AA3" s="261">
        <v>0</v>
      </c>
      <c r="AB3" s="168">
        <v>0</v>
      </c>
      <c r="AC3" s="261">
        <v>0</v>
      </c>
      <c r="AD3" s="261">
        <v>0</v>
      </c>
      <c r="AE3" s="261">
        <v>0</v>
      </c>
      <c r="AF3" s="168">
        <v>0</v>
      </c>
      <c r="AG3" s="261">
        <v>1</v>
      </c>
      <c r="AH3" s="261">
        <v>1</v>
      </c>
      <c r="AI3" s="261">
        <v>0</v>
      </c>
      <c r="AJ3" s="168">
        <v>0</v>
      </c>
      <c r="AL3" s="772"/>
      <c r="AM3" s="773"/>
      <c r="AN3" s="98"/>
      <c r="AO3" s="98"/>
      <c r="AP3" s="98"/>
      <c r="AQ3" s="98"/>
      <c r="AR3" s="98"/>
      <c r="AS3" s="98"/>
    </row>
    <row r="4" spans="1:45" ht="15" customHeight="1" thickBot="1" x14ac:dyDescent="0.3">
      <c r="A4" s="239" t="s">
        <v>205</v>
      </c>
      <c r="B4" s="240" t="s">
        <v>54</v>
      </c>
      <c r="C4" s="122" t="s">
        <v>21</v>
      </c>
      <c r="D4" s="123" t="s">
        <v>90</v>
      </c>
      <c r="E4" s="123" t="s">
        <v>36</v>
      </c>
      <c r="F4" s="123">
        <v>0</v>
      </c>
      <c r="G4" s="241">
        <v>39</v>
      </c>
      <c r="H4" s="244">
        <v>0</v>
      </c>
      <c r="I4" s="242">
        <v>0</v>
      </c>
      <c r="J4" s="242">
        <v>0</v>
      </c>
      <c r="K4" s="123">
        <v>0</v>
      </c>
      <c r="L4" s="242">
        <v>0</v>
      </c>
      <c r="M4" s="123">
        <v>0</v>
      </c>
      <c r="N4" s="242">
        <v>1</v>
      </c>
      <c r="O4" s="242">
        <v>0</v>
      </c>
      <c r="P4" s="242">
        <v>0</v>
      </c>
      <c r="Q4" s="123">
        <v>0</v>
      </c>
      <c r="R4" s="242">
        <v>3</v>
      </c>
      <c r="S4" s="243">
        <v>13102</v>
      </c>
      <c r="T4" s="514" t="s">
        <v>382</v>
      </c>
      <c r="U4" s="245" t="s">
        <v>338</v>
      </c>
      <c r="V4" s="243" t="s">
        <v>361</v>
      </c>
      <c r="W4" s="243" t="s">
        <v>340</v>
      </c>
      <c r="X4" s="169" t="s">
        <v>369</v>
      </c>
      <c r="Y4" s="243">
        <v>1</v>
      </c>
      <c r="Z4" s="243">
        <v>0</v>
      </c>
      <c r="AA4" s="243">
        <v>0</v>
      </c>
      <c r="AB4" s="167">
        <v>1</v>
      </c>
      <c r="AC4" s="243">
        <v>1</v>
      </c>
      <c r="AD4" s="243">
        <v>0</v>
      </c>
      <c r="AE4" s="243">
        <v>0</v>
      </c>
      <c r="AF4" s="167">
        <v>1</v>
      </c>
      <c r="AG4" s="243">
        <v>0</v>
      </c>
      <c r="AH4" s="243">
        <v>0</v>
      </c>
      <c r="AI4" s="243">
        <v>0</v>
      </c>
      <c r="AJ4" s="167">
        <v>0</v>
      </c>
      <c r="AL4" s="772"/>
      <c r="AM4" s="773"/>
      <c r="AN4" s="98"/>
      <c r="AO4" s="98"/>
      <c r="AP4" s="98"/>
      <c r="AQ4" s="98"/>
      <c r="AR4" s="98"/>
      <c r="AS4" s="98"/>
    </row>
    <row r="5" spans="1:45" ht="15" customHeight="1" thickBot="1" x14ac:dyDescent="0.3">
      <c r="A5" s="239" t="s">
        <v>108</v>
      </c>
      <c r="B5" s="240" t="s">
        <v>54</v>
      </c>
      <c r="C5" s="122" t="s">
        <v>189</v>
      </c>
      <c r="D5" s="123" t="s">
        <v>90</v>
      </c>
      <c r="E5" s="123" t="s">
        <v>34</v>
      </c>
      <c r="F5" s="123">
        <v>26</v>
      </c>
      <c r="G5" s="241">
        <v>23</v>
      </c>
      <c r="H5" s="368">
        <v>0</v>
      </c>
      <c r="I5" s="241">
        <v>0</v>
      </c>
      <c r="J5" s="242">
        <v>2</v>
      </c>
      <c r="K5" s="242">
        <v>2</v>
      </c>
      <c r="L5" s="242">
        <v>1</v>
      </c>
      <c r="M5" s="242">
        <v>3</v>
      </c>
      <c r="N5" s="242">
        <v>1</v>
      </c>
      <c r="O5" s="242">
        <v>0</v>
      </c>
      <c r="P5" s="123">
        <v>0</v>
      </c>
      <c r="Q5" s="242">
        <v>1</v>
      </c>
      <c r="R5" s="123">
        <v>3</v>
      </c>
      <c r="S5" s="243">
        <v>12967</v>
      </c>
      <c r="T5" s="514" t="s">
        <v>426</v>
      </c>
      <c r="U5" s="245" t="s">
        <v>345</v>
      </c>
      <c r="V5" s="243" t="s">
        <v>393</v>
      </c>
      <c r="W5" s="243" t="s">
        <v>347</v>
      </c>
      <c r="X5" s="243" t="s">
        <v>348</v>
      </c>
      <c r="Y5" s="243">
        <v>1</v>
      </c>
      <c r="Z5" s="243">
        <v>1</v>
      </c>
      <c r="AA5" s="243">
        <v>0</v>
      </c>
      <c r="AB5" s="167">
        <v>0</v>
      </c>
      <c r="AC5" s="243">
        <v>1</v>
      </c>
      <c r="AD5" s="243">
        <v>1</v>
      </c>
      <c r="AE5" s="243">
        <v>0</v>
      </c>
      <c r="AF5" s="167">
        <v>0</v>
      </c>
      <c r="AG5" s="243">
        <v>0</v>
      </c>
      <c r="AH5" s="243">
        <v>0</v>
      </c>
      <c r="AI5" s="243">
        <v>0</v>
      </c>
      <c r="AJ5" s="167">
        <v>0</v>
      </c>
      <c r="AL5" s="772"/>
      <c r="AM5" s="773"/>
      <c r="AN5" s="98"/>
      <c r="AO5" s="98"/>
      <c r="AP5" s="98"/>
      <c r="AQ5" s="98"/>
      <c r="AR5" s="98"/>
      <c r="AS5" s="98"/>
    </row>
    <row r="6" spans="1:45" ht="15" customHeight="1" thickBot="1" x14ac:dyDescent="0.3">
      <c r="A6" s="378" t="s">
        <v>193</v>
      </c>
      <c r="B6" s="379" t="s">
        <v>54</v>
      </c>
      <c r="C6" s="372" t="s">
        <v>30</v>
      </c>
      <c r="D6" s="380" t="s">
        <v>38</v>
      </c>
      <c r="E6" s="380" t="s">
        <v>36</v>
      </c>
      <c r="F6" s="380">
        <v>13</v>
      </c>
      <c r="G6" s="381">
        <v>36</v>
      </c>
      <c r="H6" s="381">
        <v>0</v>
      </c>
      <c r="I6" s="383">
        <v>0</v>
      </c>
      <c r="J6" s="380">
        <v>1</v>
      </c>
      <c r="K6" s="380">
        <v>1</v>
      </c>
      <c r="L6" s="383">
        <v>0</v>
      </c>
      <c r="M6" s="383">
        <v>2</v>
      </c>
      <c r="N6" s="383">
        <v>0</v>
      </c>
      <c r="O6" s="383">
        <v>0</v>
      </c>
      <c r="P6" s="383">
        <v>0</v>
      </c>
      <c r="Q6" s="380">
        <v>0</v>
      </c>
      <c r="R6" s="383">
        <v>3</v>
      </c>
      <c r="S6" s="261">
        <v>8860</v>
      </c>
      <c r="T6" s="516" t="s">
        <v>456</v>
      </c>
      <c r="U6" s="263" t="s">
        <v>353</v>
      </c>
      <c r="V6" s="261" t="s">
        <v>399</v>
      </c>
      <c r="W6" s="261" t="s">
        <v>369</v>
      </c>
      <c r="X6" s="264" t="s">
        <v>376</v>
      </c>
      <c r="Y6" s="384">
        <v>1</v>
      </c>
      <c r="Z6" s="384">
        <v>0</v>
      </c>
      <c r="AA6" s="384">
        <v>0</v>
      </c>
      <c r="AB6" s="387">
        <v>1</v>
      </c>
      <c r="AC6" s="384">
        <v>0</v>
      </c>
      <c r="AD6" s="384">
        <v>0</v>
      </c>
      <c r="AE6" s="384">
        <v>0</v>
      </c>
      <c r="AF6" s="387">
        <v>0</v>
      </c>
      <c r="AG6" s="384">
        <v>1</v>
      </c>
      <c r="AH6" s="384">
        <v>0</v>
      </c>
      <c r="AI6" s="384">
        <v>0</v>
      </c>
      <c r="AJ6" s="387">
        <v>1</v>
      </c>
      <c r="AL6" s="772"/>
      <c r="AM6" s="773"/>
      <c r="AN6" s="98"/>
      <c r="AO6" s="98"/>
      <c r="AP6" s="98"/>
      <c r="AQ6" s="98"/>
      <c r="AR6" s="98"/>
      <c r="AS6" s="98"/>
    </row>
    <row r="7" spans="1:45" ht="15" customHeight="1" thickBot="1" x14ac:dyDescent="0.3">
      <c r="A7" s="239" t="s">
        <v>92</v>
      </c>
      <c r="B7" s="240" t="s">
        <v>54</v>
      </c>
      <c r="C7" s="122" t="s">
        <v>190</v>
      </c>
      <c r="D7" s="123" t="s">
        <v>90</v>
      </c>
      <c r="E7" s="123" t="s">
        <v>34</v>
      </c>
      <c r="F7" s="123">
        <v>52</v>
      </c>
      <c r="G7" s="241">
        <v>0</v>
      </c>
      <c r="H7" s="244">
        <v>1</v>
      </c>
      <c r="I7" s="123">
        <v>0</v>
      </c>
      <c r="J7" s="242">
        <v>7</v>
      </c>
      <c r="K7" s="242">
        <v>7</v>
      </c>
      <c r="L7" s="242">
        <v>0</v>
      </c>
      <c r="M7" s="242">
        <v>1</v>
      </c>
      <c r="N7" s="242">
        <v>1</v>
      </c>
      <c r="O7" s="242">
        <v>0</v>
      </c>
      <c r="P7" s="242">
        <v>0</v>
      </c>
      <c r="Q7" s="242">
        <v>0</v>
      </c>
      <c r="R7" s="242">
        <v>0</v>
      </c>
      <c r="S7" s="243">
        <v>13657</v>
      </c>
      <c r="T7" s="592" t="s">
        <v>378</v>
      </c>
      <c r="U7" s="245" t="s">
        <v>374</v>
      </c>
      <c r="V7" s="243" t="s">
        <v>346</v>
      </c>
      <c r="W7" s="243" t="s">
        <v>390</v>
      </c>
      <c r="X7" s="169" t="s">
        <v>362</v>
      </c>
      <c r="Y7" s="243">
        <v>1</v>
      </c>
      <c r="Z7" s="243">
        <v>1</v>
      </c>
      <c r="AA7" s="243">
        <v>0</v>
      </c>
      <c r="AB7" s="167">
        <v>0</v>
      </c>
      <c r="AC7" s="243">
        <v>1</v>
      </c>
      <c r="AD7" s="243">
        <v>1</v>
      </c>
      <c r="AE7" s="243">
        <v>0</v>
      </c>
      <c r="AF7" s="167">
        <v>0</v>
      </c>
      <c r="AG7" s="243">
        <v>0</v>
      </c>
      <c r="AH7" s="243">
        <v>0</v>
      </c>
      <c r="AI7" s="243">
        <v>0</v>
      </c>
      <c r="AJ7" s="167">
        <v>0</v>
      </c>
      <c r="AL7" s="772"/>
      <c r="AM7" s="773"/>
      <c r="AN7" s="98"/>
      <c r="AO7" s="98"/>
      <c r="AP7" s="98"/>
      <c r="AQ7" s="98"/>
      <c r="AR7" s="98"/>
      <c r="AS7" s="98"/>
    </row>
    <row r="8" spans="1:45" ht="15" customHeight="1" thickBot="1" x14ac:dyDescent="0.3">
      <c r="A8" s="378" t="s">
        <v>206</v>
      </c>
      <c r="B8" s="379" t="s">
        <v>54</v>
      </c>
      <c r="C8" s="372" t="s">
        <v>28</v>
      </c>
      <c r="D8" s="380" t="s">
        <v>38</v>
      </c>
      <c r="E8" s="380" t="s">
        <v>36</v>
      </c>
      <c r="F8" s="380">
        <v>16</v>
      </c>
      <c r="G8" s="381">
        <v>22</v>
      </c>
      <c r="H8" s="382">
        <v>0</v>
      </c>
      <c r="I8" s="380">
        <v>1</v>
      </c>
      <c r="J8" s="383">
        <v>1</v>
      </c>
      <c r="K8" s="383">
        <v>1</v>
      </c>
      <c r="L8" s="383">
        <v>0</v>
      </c>
      <c r="M8" s="383">
        <v>3</v>
      </c>
      <c r="N8" s="383">
        <v>0</v>
      </c>
      <c r="O8" s="383">
        <v>0</v>
      </c>
      <c r="P8" s="383">
        <v>0</v>
      </c>
      <c r="Q8" s="383">
        <v>0</v>
      </c>
      <c r="R8" s="383">
        <v>1</v>
      </c>
      <c r="S8" s="261">
        <v>21510</v>
      </c>
      <c r="T8" s="590" t="s">
        <v>479</v>
      </c>
      <c r="U8" s="263" t="s">
        <v>452</v>
      </c>
      <c r="V8" s="261" t="s">
        <v>393</v>
      </c>
      <c r="W8" s="261" t="s">
        <v>362</v>
      </c>
      <c r="X8" s="264" t="s">
        <v>340</v>
      </c>
      <c r="Y8" s="384">
        <v>1</v>
      </c>
      <c r="Z8" s="384">
        <v>0</v>
      </c>
      <c r="AA8" s="384">
        <v>0</v>
      </c>
      <c r="AB8" s="387">
        <v>1</v>
      </c>
      <c r="AC8" s="384">
        <v>0</v>
      </c>
      <c r="AD8" s="384">
        <v>0</v>
      </c>
      <c r="AE8" s="384">
        <v>0</v>
      </c>
      <c r="AF8" s="387">
        <v>0</v>
      </c>
      <c r="AG8" s="384">
        <v>1</v>
      </c>
      <c r="AH8" s="384">
        <v>0</v>
      </c>
      <c r="AI8" s="384">
        <v>0</v>
      </c>
      <c r="AJ8" s="387">
        <v>1</v>
      </c>
      <c r="AL8" s="772"/>
      <c r="AM8" s="773"/>
      <c r="AN8" s="98"/>
      <c r="AO8" s="98"/>
      <c r="AP8" s="98"/>
      <c r="AQ8" s="98"/>
      <c r="AR8" s="98"/>
      <c r="AS8" s="98"/>
    </row>
    <row r="9" spans="1:45" ht="15" customHeight="1" thickBot="1" x14ac:dyDescent="0.3">
      <c r="A9" s="402" t="s">
        <v>107</v>
      </c>
      <c r="B9" s="403" t="s">
        <v>161</v>
      </c>
      <c r="C9" s="404" t="s">
        <v>222</v>
      </c>
      <c r="D9" s="405" t="s">
        <v>90</v>
      </c>
      <c r="E9" s="405" t="s">
        <v>34</v>
      </c>
      <c r="F9" s="405">
        <v>25</v>
      </c>
      <c r="G9" s="406">
        <v>9</v>
      </c>
      <c r="H9" s="407">
        <v>0</v>
      </c>
      <c r="I9" s="408">
        <v>0</v>
      </c>
      <c r="J9" s="408">
        <v>1</v>
      </c>
      <c r="K9" s="408">
        <v>1</v>
      </c>
      <c r="L9" s="408">
        <v>0</v>
      </c>
      <c r="M9" s="408">
        <v>6</v>
      </c>
      <c r="N9" s="408">
        <v>0</v>
      </c>
      <c r="O9" s="408">
        <v>0</v>
      </c>
      <c r="P9" s="408">
        <v>0</v>
      </c>
      <c r="Q9" s="405">
        <v>0</v>
      </c>
      <c r="R9" s="408">
        <v>0</v>
      </c>
      <c r="S9" s="409">
        <v>12618</v>
      </c>
      <c r="T9" s="519" t="s">
        <v>398</v>
      </c>
      <c r="U9" s="411" t="s">
        <v>531</v>
      </c>
      <c r="V9" s="412" t="s">
        <v>533</v>
      </c>
      <c r="W9" s="409" t="s">
        <v>532</v>
      </c>
      <c r="X9" s="412" t="s">
        <v>529</v>
      </c>
      <c r="Y9" s="409">
        <v>1</v>
      </c>
      <c r="Z9" s="409">
        <v>1</v>
      </c>
      <c r="AA9" s="409">
        <v>0</v>
      </c>
      <c r="AB9" s="413">
        <v>0</v>
      </c>
      <c r="AC9" s="409">
        <v>1</v>
      </c>
      <c r="AD9" s="409">
        <v>1</v>
      </c>
      <c r="AE9" s="409">
        <v>0</v>
      </c>
      <c r="AF9" s="413">
        <v>0</v>
      </c>
      <c r="AG9" s="409">
        <v>0</v>
      </c>
      <c r="AH9" s="409">
        <v>0</v>
      </c>
      <c r="AI9" s="409">
        <v>0</v>
      </c>
      <c r="AJ9" s="413">
        <v>0</v>
      </c>
      <c r="AL9" s="772"/>
      <c r="AM9" s="773"/>
      <c r="AN9" s="98"/>
      <c r="AO9" s="98"/>
      <c r="AP9" s="98"/>
      <c r="AQ9" s="98"/>
      <c r="AR9" s="98"/>
      <c r="AS9" s="98"/>
    </row>
    <row r="10" spans="1:45" ht="15" customHeight="1" thickBot="1" x14ac:dyDescent="0.3">
      <c r="A10" s="391" t="s">
        <v>231</v>
      </c>
      <c r="B10" s="392" t="s">
        <v>161</v>
      </c>
      <c r="C10" s="414" t="s">
        <v>189</v>
      </c>
      <c r="D10" s="394" t="s">
        <v>629</v>
      </c>
      <c r="E10" s="394" t="s">
        <v>34</v>
      </c>
      <c r="F10" s="394">
        <v>23</v>
      </c>
      <c r="G10" s="395">
        <v>16</v>
      </c>
      <c r="H10" s="396">
        <v>0</v>
      </c>
      <c r="I10" s="397">
        <v>0</v>
      </c>
      <c r="J10" s="397">
        <v>2</v>
      </c>
      <c r="K10" s="397">
        <v>2</v>
      </c>
      <c r="L10" s="397">
        <v>0</v>
      </c>
      <c r="M10" s="397">
        <v>3</v>
      </c>
      <c r="N10" s="397">
        <v>0</v>
      </c>
      <c r="O10" s="397">
        <v>0</v>
      </c>
      <c r="P10" s="397">
        <v>0</v>
      </c>
      <c r="Q10" s="394">
        <v>1</v>
      </c>
      <c r="R10" s="397">
        <v>1</v>
      </c>
      <c r="S10" s="398">
        <v>6739</v>
      </c>
      <c r="T10" s="643" t="s">
        <v>552</v>
      </c>
      <c r="U10" s="399" t="s">
        <v>548</v>
      </c>
      <c r="V10" s="398" t="s">
        <v>549</v>
      </c>
      <c r="W10" s="398" t="s">
        <v>550</v>
      </c>
      <c r="X10" s="400" t="s">
        <v>551</v>
      </c>
      <c r="Y10" s="398">
        <v>1</v>
      </c>
      <c r="Z10" s="398">
        <v>1</v>
      </c>
      <c r="AA10" s="398">
        <v>0</v>
      </c>
      <c r="AB10" s="401">
        <v>0</v>
      </c>
      <c r="AC10" s="398">
        <v>0</v>
      </c>
      <c r="AD10" s="398">
        <v>0</v>
      </c>
      <c r="AE10" s="398">
        <v>0</v>
      </c>
      <c r="AF10" s="401">
        <v>0</v>
      </c>
      <c r="AG10" s="398">
        <v>1</v>
      </c>
      <c r="AH10" s="398">
        <v>1</v>
      </c>
      <c r="AI10" s="398">
        <v>0</v>
      </c>
      <c r="AJ10" s="401">
        <v>0</v>
      </c>
      <c r="AL10" s="772"/>
      <c r="AM10" s="773"/>
      <c r="AN10" s="98"/>
      <c r="AO10" s="98"/>
      <c r="AP10" s="98"/>
      <c r="AQ10" s="98"/>
      <c r="AR10" s="98"/>
      <c r="AS10" s="98"/>
    </row>
    <row r="11" spans="1:45" ht="15" customHeight="1" thickBot="1" x14ac:dyDescent="0.3">
      <c r="A11" s="251" t="s">
        <v>555</v>
      </c>
      <c r="B11" s="252" t="s">
        <v>96</v>
      </c>
      <c r="C11" s="253" t="s">
        <v>21</v>
      </c>
      <c r="D11" s="269" t="s">
        <v>38</v>
      </c>
      <c r="E11" s="269" t="s">
        <v>36</v>
      </c>
      <c r="F11" s="269">
        <v>20</v>
      </c>
      <c r="G11" s="275">
        <v>25</v>
      </c>
      <c r="H11" s="268">
        <v>0</v>
      </c>
      <c r="I11" s="267">
        <v>1</v>
      </c>
      <c r="J11" s="267">
        <v>2</v>
      </c>
      <c r="K11" s="267">
        <v>2</v>
      </c>
      <c r="L11" s="267">
        <v>0</v>
      </c>
      <c r="M11" s="267">
        <v>2</v>
      </c>
      <c r="N11" s="267">
        <v>1</v>
      </c>
      <c r="O11" s="267">
        <v>0</v>
      </c>
      <c r="P11" s="267">
        <v>0</v>
      </c>
      <c r="Q11" s="269">
        <v>0</v>
      </c>
      <c r="R11" s="267">
        <v>3</v>
      </c>
      <c r="S11" s="294">
        <v>7012</v>
      </c>
      <c r="T11" s="645" t="s">
        <v>423</v>
      </c>
      <c r="U11" s="296" t="s">
        <v>527</v>
      </c>
      <c r="V11" s="297" t="s">
        <v>510</v>
      </c>
      <c r="W11" s="272" t="s">
        <v>377</v>
      </c>
      <c r="X11" s="273" t="s">
        <v>369</v>
      </c>
      <c r="Y11" s="272">
        <v>1</v>
      </c>
      <c r="Z11" s="272">
        <v>0</v>
      </c>
      <c r="AA11" s="272">
        <v>0</v>
      </c>
      <c r="AB11" s="274">
        <v>1</v>
      </c>
      <c r="AC11" s="272">
        <v>0</v>
      </c>
      <c r="AD11" s="272">
        <v>0</v>
      </c>
      <c r="AE11" s="272">
        <v>0</v>
      </c>
      <c r="AF11" s="274">
        <v>0</v>
      </c>
      <c r="AG11" s="272">
        <v>1</v>
      </c>
      <c r="AH11" s="272">
        <v>0</v>
      </c>
      <c r="AI11" s="272">
        <v>0</v>
      </c>
      <c r="AJ11" s="274">
        <v>1</v>
      </c>
      <c r="AL11" s="98"/>
      <c r="AM11" s="98"/>
      <c r="AN11" s="98"/>
      <c r="AO11" s="98"/>
      <c r="AP11" s="98"/>
      <c r="AQ11" s="98"/>
      <c r="AR11" s="98"/>
      <c r="AS11" s="98"/>
    </row>
    <row r="12" spans="1:45" ht="15" customHeight="1" thickBot="1" x14ac:dyDescent="0.3">
      <c r="A12" s="248" t="s">
        <v>615</v>
      </c>
      <c r="B12" s="249" t="s">
        <v>96</v>
      </c>
      <c r="C12" s="250" t="s">
        <v>242</v>
      </c>
      <c r="D12" s="283" t="s">
        <v>90</v>
      </c>
      <c r="E12" s="283" t="s">
        <v>34</v>
      </c>
      <c r="F12" s="283">
        <v>31</v>
      </c>
      <c r="G12" s="284">
        <v>21</v>
      </c>
      <c r="H12" s="277">
        <v>0</v>
      </c>
      <c r="I12" s="276">
        <v>0</v>
      </c>
      <c r="J12" s="276">
        <v>3</v>
      </c>
      <c r="K12" s="276">
        <v>2</v>
      </c>
      <c r="L12" s="276">
        <v>0</v>
      </c>
      <c r="M12" s="276">
        <v>4</v>
      </c>
      <c r="N12" s="276">
        <v>0</v>
      </c>
      <c r="O12" s="276">
        <v>0</v>
      </c>
      <c r="P12" s="276">
        <v>0</v>
      </c>
      <c r="Q12" s="283">
        <v>0</v>
      </c>
      <c r="R12" s="276">
        <v>2</v>
      </c>
      <c r="S12" s="278">
        <v>7672</v>
      </c>
      <c r="T12" s="650" t="s">
        <v>616</v>
      </c>
      <c r="U12" s="279" t="s">
        <v>609</v>
      </c>
      <c r="V12" s="278" t="s">
        <v>510</v>
      </c>
      <c r="W12" s="278" t="s">
        <v>390</v>
      </c>
      <c r="X12" s="280" t="s">
        <v>377</v>
      </c>
      <c r="Y12" s="278">
        <v>1</v>
      </c>
      <c r="Z12" s="278">
        <v>1</v>
      </c>
      <c r="AA12" s="278">
        <v>0</v>
      </c>
      <c r="AB12" s="281">
        <v>0</v>
      </c>
      <c r="AC12" s="278">
        <v>1</v>
      </c>
      <c r="AD12" s="278">
        <v>1</v>
      </c>
      <c r="AE12" s="278">
        <v>0</v>
      </c>
      <c r="AF12" s="281">
        <v>0</v>
      </c>
      <c r="AG12" s="278">
        <v>0</v>
      </c>
      <c r="AH12" s="278">
        <v>0</v>
      </c>
      <c r="AI12" s="278">
        <v>0</v>
      </c>
      <c r="AJ12" s="281">
        <v>0</v>
      </c>
      <c r="AL12" s="622"/>
      <c r="AM12" s="98"/>
      <c r="AN12" s="98"/>
      <c r="AO12" s="98"/>
      <c r="AP12" s="98"/>
      <c r="AQ12" s="98"/>
      <c r="AR12" s="98"/>
      <c r="AS12" s="98"/>
    </row>
    <row r="13" spans="1:45" ht="15" customHeight="1" thickBot="1" x14ac:dyDescent="0.3">
      <c r="A13" s="378" t="s">
        <v>633</v>
      </c>
      <c r="B13" s="379" t="s">
        <v>54</v>
      </c>
      <c r="C13" s="372" t="s">
        <v>26</v>
      </c>
      <c r="D13" s="380" t="s">
        <v>38</v>
      </c>
      <c r="E13" s="380" t="s">
        <v>34</v>
      </c>
      <c r="F13" s="380">
        <v>22</v>
      </c>
      <c r="G13" s="381">
        <v>15</v>
      </c>
      <c r="H13" s="382">
        <v>0</v>
      </c>
      <c r="I13" s="383">
        <v>0</v>
      </c>
      <c r="J13" s="383">
        <v>3</v>
      </c>
      <c r="K13" s="383">
        <v>2</v>
      </c>
      <c r="L13" s="383">
        <v>0</v>
      </c>
      <c r="M13" s="383">
        <v>1</v>
      </c>
      <c r="N13" s="383">
        <v>0</v>
      </c>
      <c r="O13" s="383">
        <v>0</v>
      </c>
      <c r="P13" s="383">
        <v>0</v>
      </c>
      <c r="Q13" s="380">
        <v>1</v>
      </c>
      <c r="R13" s="383">
        <v>0</v>
      </c>
      <c r="S13" s="261">
        <v>14303</v>
      </c>
      <c r="T13" s="516" t="s">
        <v>442</v>
      </c>
      <c r="U13" s="263" t="s">
        <v>353</v>
      </c>
      <c r="V13" s="261" t="s">
        <v>368</v>
      </c>
      <c r="W13" s="261" t="s">
        <v>347</v>
      </c>
      <c r="X13" s="264" t="s">
        <v>340</v>
      </c>
      <c r="Y13" s="384">
        <v>1</v>
      </c>
      <c r="Z13" s="384">
        <v>1</v>
      </c>
      <c r="AA13" s="384">
        <v>0</v>
      </c>
      <c r="AB13" s="387">
        <v>0</v>
      </c>
      <c r="AC13" s="384">
        <v>0</v>
      </c>
      <c r="AD13" s="384">
        <v>0</v>
      </c>
      <c r="AE13" s="384">
        <v>0</v>
      </c>
      <c r="AF13" s="387">
        <v>0</v>
      </c>
      <c r="AG13" s="384">
        <v>1</v>
      </c>
      <c r="AH13" s="384">
        <v>1</v>
      </c>
      <c r="AI13" s="384">
        <v>0</v>
      </c>
      <c r="AJ13" s="387">
        <v>0</v>
      </c>
      <c r="AL13" s="98"/>
      <c r="AM13" s="98"/>
      <c r="AN13" s="98"/>
      <c r="AO13" s="98"/>
      <c r="AP13" s="98"/>
      <c r="AQ13" s="98"/>
      <c r="AR13" s="98"/>
      <c r="AS13" s="98"/>
    </row>
    <row r="14" spans="1:45" ht="15" customHeight="1" thickBot="1" x14ac:dyDescent="0.3">
      <c r="A14" s="239" t="s">
        <v>203</v>
      </c>
      <c r="B14" s="240" t="s">
        <v>54</v>
      </c>
      <c r="C14" s="122" t="s">
        <v>29</v>
      </c>
      <c r="D14" s="123" t="s">
        <v>90</v>
      </c>
      <c r="E14" s="123" t="s">
        <v>36</v>
      </c>
      <c r="F14" s="123">
        <v>12</v>
      </c>
      <c r="G14" s="241">
        <v>16</v>
      </c>
      <c r="H14" s="241">
        <v>0</v>
      </c>
      <c r="I14" s="242">
        <v>1</v>
      </c>
      <c r="J14" s="242">
        <v>0</v>
      </c>
      <c r="K14" s="242">
        <v>0</v>
      </c>
      <c r="L14" s="242">
        <v>0</v>
      </c>
      <c r="M14" s="242">
        <v>4</v>
      </c>
      <c r="N14" s="242">
        <v>0</v>
      </c>
      <c r="O14" s="242">
        <v>0</v>
      </c>
      <c r="P14" s="242">
        <v>0</v>
      </c>
      <c r="Q14" s="123">
        <v>0</v>
      </c>
      <c r="R14" s="242">
        <v>1</v>
      </c>
      <c r="S14" s="243">
        <v>13067</v>
      </c>
      <c r="T14" s="514" t="s">
        <v>651</v>
      </c>
      <c r="U14" s="245" t="s">
        <v>652</v>
      </c>
      <c r="V14" s="243" t="s">
        <v>377</v>
      </c>
      <c r="W14" s="243" t="s">
        <v>370</v>
      </c>
      <c r="X14" s="169" t="s">
        <v>363</v>
      </c>
      <c r="Y14" s="243">
        <v>1</v>
      </c>
      <c r="Z14" s="243">
        <v>0</v>
      </c>
      <c r="AA14" s="243">
        <v>0</v>
      </c>
      <c r="AB14" s="167">
        <v>1</v>
      </c>
      <c r="AC14" s="243">
        <v>1</v>
      </c>
      <c r="AD14" s="243">
        <v>0</v>
      </c>
      <c r="AE14" s="243">
        <v>0</v>
      </c>
      <c r="AF14" s="167">
        <v>1</v>
      </c>
      <c r="AG14" s="243">
        <v>0</v>
      </c>
      <c r="AH14" s="243">
        <v>0</v>
      </c>
      <c r="AI14" s="243">
        <v>0</v>
      </c>
      <c r="AJ14" s="167">
        <v>0</v>
      </c>
      <c r="AL14" s="932"/>
      <c r="AM14" s="932"/>
      <c r="AN14" s="928"/>
      <c r="AO14" s="928"/>
      <c r="AP14" s="928"/>
      <c r="AQ14" s="928"/>
      <c r="AR14" s="928"/>
      <c r="AS14" s="928"/>
    </row>
    <row r="15" spans="1:45" ht="15" customHeight="1" thickBot="1" x14ac:dyDescent="0.3">
      <c r="A15" s="378" t="s">
        <v>634</v>
      </c>
      <c r="B15" s="379" t="s">
        <v>54</v>
      </c>
      <c r="C15" s="372" t="s">
        <v>24</v>
      </c>
      <c r="D15" s="380" t="s">
        <v>38</v>
      </c>
      <c r="E15" s="380" t="s">
        <v>36</v>
      </c>
      <c r="F15" s="380">
        <v>6</v>
      </c>
      <c r="G15" s="381">
        <v>25</v>
      </c>
      <c r="H15" s="382">
        <v>0</v>
      </c>
      <c r="I15" s="383">
        <v>0</v>
      </c>
      <c r="J15" s="383">
        <v>0</v>
      </c>
      <c r="K15" s="383">
        <v>0</v>
      </c>
      <c r="L15" s="383">
        <v>0</v>
      </c>
      <c r="M15" s="383">
        <v>2</v>
      </c>
      <c r="N15" s="380">
        <v>3</v>
      </c>
      <c r="O15" s="383">
        <v>0</v>
      </c>
      <c r="P15" s="383">
        <v>1</v>
      </c>
      <c r="Q15" s="380">
        <v>0</v>
      </c>
      <c r="R15" s="383">
        <v>4</v>
      </c>
      <c r="S15" s="261">
        <v>13327</v>
      </c>
      <c r="T15" s="262" t="s">
        <v>544</v>
      </c>
      <c r="U15" s="263" t="s">
        <v>338</v>
      </c>
      <c r="V15" s="261" t="s">
        <v>361</v>
      </c>
      <c r="W15" s="261" t="s">
        <v>370</v>
      </c>
      <c r="X15" s="264" t="s">
        <v>340</v>
      </c>
      <c r="Y15" s="261">
        <v>1</v>
      </c>
      <c r="Z15" s="261">
        <v>0</v>
      </c>
      <c r="AA15" s="261">
        <v>0</v>
      </c>
      <c r="AB15" s="387">
        <v>1</v>
      </c>
      <c r="AC15" s="384">
        <v>0</v>
      </c>
      <c r="AD15" s="384">
        <v>0</v>
      </c>
      <c r="AE15" s="384">
        <v>0</v>
      </c>
      <c r="AF15" s="387">
        <v>0</v>
      </c>
      <c r="AG15" s="384">
        <v>1</v>
      </c>
      <c r="AH15" s="384">
        <v>0</v>
      </c>
      <c r="AI15" s="384">
        <v>0</v>
      </c>
      <c r="AJ15" s="387">
        <v>1</v>
      </c>
      <c r="AL15" s="772"/>
      <c r="AM15" s="773"/>
      <c r="AN15" s="20"/>
      <c r="AO15" s="621"/>
      <c r="AP15" s="20"/>
      <c r="AQ15" s="621"/>
      <c r="AR15" s="20"/>
      <c r="AS15" s="621"/>
    </row>
    <row r="16" spans="1:45" ht="15" customHeight="1" thickBot="1" x14ac:dyDescent="0.3">
      <c r="A16" s="402" t="s">
        <v>697</v>
      </c>
      <c r="B16" s="403" t="s">
        <v>161</v>
      </c>
      <c r="C16" s="404" t="s">
        <v>227</v>
      </c>
      <c r="D16" s="405" t="s">
        <v>90</v>
      </c>
      <c r="E16" s="405" t="s">
        <v>34</v>
      </c>
      <c r="F16" s="405">
        <v>24</v>
      </c>
      <c r="G16" s="406">
        <v>18</v>
      </c>
      <c r="H16" s="407">
        <v>0</v>
      </c>
      <c r="I16" s="408">
        <v>0</v>
      </c>
      <c r="J16" s="408">
        <v>2</v>
      </c>
      <c r="K16" s="408">
        <v>1</v>
      </c>
      <c r="L16" s="408">
        <v>1</v>
      </c>
      <c r="M16" s="408">
        <v>3</v>
      </c>
      <c r="N16" s="408">
        <v>0</v>
      </c>
      <c r="O16" s="408">
        <v>0</v>
      </c>
      <c r="P16" s="408">
        <v>0</v>
      </c>
      <c r="Q16" s="405">
        <v>1</v>
      </c>
      <c r="R16" s="408">
        <v>0</v>
      </c>
      <c r="S16" s="663">
        <v>14800</v>
      </c>
      <c r="T16" s="519" t="s">
        <v>594</v>
      </c>
      <c r="U16" s="411" t="s">
        <v>512</v>
      </c>
      <c r="V16" s="409" t="s">
        <v>698</v>
      </c>
      <c r="W16" s="409" t="s">
        <v>514</v>
      </c>
      <c r="X16" s="412" t="s">
        <v>590</v>
      </c>
      <c r="Y16" s="409">
        <v>1</v>
      </c>
      <c r="Z16" s="409">
        <v>1</v>
      </c>
      <c r="AA16" s="409">
        <v>0</v>
      </c>
      <c r="AB16" s="413">
        <v>0</v>
      </c>
      <c r="AC16" s="409">
        <v>1</v>
      </c>
      <c r="AD16" s="409">
        <v>1</v>
      </c>
      <c r="AE16" s="409">
        <v>0</v>
      </c>
      <c r="AF16" s="413">
        <v>0</v>
      </c>
      <c r="AG16" s="409">
        <v>0</v>
      </c>
      <c r="AH16" s="409">
        <v>0</v>
      </c>
      <c r="AI16" s="409">
        <v>0</v>
      </c>
      <c r="AJ16" s="413">
        <v>0</v>
      </c>
      <c r="AL16" s="772"/>
      <c r="AM16" s="773"/>
      <c r="AN16" s="20"/>
      <c r="AO16" s="621"/>
      <c r="AP16" s="20"/>
      <c r="AQ16" s="621"/>
      <c r="AR16" s="20"/>
      <c r="AS16" s="621"/>
    </row>
    <row r="17" spans="1:45" ht="15" customHeight="1" thickBot="1" x14ac:dyDescent="0.3">
      <c r="A17" s="391" t="s">
        <v>122</v>
      </c>
      <c r="B17" s="392" t="s">
        <v>161</v>
      </c>
      <c r="C17" s="414" t="s">
        <v>227</v>
      </c>
      <c r="D17" s="394" t="s">
        <v>38</v>
      </c>
      <c r="E17" s="394" t="s">
        <v>36</v>
      </c>
      <c r="F17" s="394">
        <v>13</v>
      </c>
      <c r="G17" s="395">
        <v>14</v>
      </c>
      <c r="H17" s="396">
        <v>0</v>
      </c>
      <c r="I17" s="397">
        <v>1</v>
      </c>
      <c r="J17" s="397">
        <v>1</v>
      </c>
      <c r="K17" s="397">
        <v>1</v>
      </c>
      <c r="L17" s="397">
        <v>0</v>
      </c>
      <c r="M17" s="397">
        <v>2</v>
      </c>
      <c r="N17" s="397">
        <v>1</v>
      </c>
      <c r="O17" s="397">
        <v>0</v>
      </c>
      <c r="P17" s="397">
        <v>0</v>
      </c>
      <c r="Q17" s="397">
        <v>0</v>
      </c>
      <c r="R17" s="397">
        <v>1</v>
      </c>
      <c r="S17" s="398">
        <v>38500</v>
      </c>
      <c r="T17" s="523" t="s">
        <v>744</v>
      </c>
      <c r="U17" s="399" t="s">
        <v>522</v>
      </c>
      <c r="V17" s="398" t="s">
        <v>745</v>
      </c>
      <c r="W17" s="398" t="s">
        <v>524</v>
      </c>
      <c r="X17" s="400" t="s">
        <v>525</v>
      </c>
      <c r="Y17" s="398">
        <v>1</v>
      </c>
      <c r="Z17" s="398">
        <v>0</v>
      </c>
      <c r="AA17" s="398">
        <v>0</v>
      </c>
      <c r="AB17" s="401">
        <v>1</v>
      </c>
      <c r="AC17" s="398">
        <v>0</v>
      </c>
      <c r="AD17" s="398">
        <v>0</v>
      </c>
      <c r="AE17" s="398">
        <v>0</v>
      </c>
      <c r="AF17" s="401">
        <v>0</v>
      </c>
      <c r="AG17" s="398">
        <v>1</v>
      </c>
      <c r="AH17" s="398">
        <v>0</v>
      </c>
      <c r="AI17" s="398">
        <v>0</v>
      </c>
      <c r="AJ17" s="401">
        <v>1</v>
      </c>
      <c r="AL17" s="772"/>
      <c r="AM17" s="773"/>
      <c r="AN17" s="20"/>
      <c r="AO17" s="621"/>
      <c r="AP17" s="20"/>
      <c r="AQ17" s="621"/>
      <c r="AR17" s="20"/>
      <c r="AS17" s="621"/>
    </row>
    <row r="18" spans="1:45" ht="15" customHeight="1" thickBot="1" x14ac:dyDescent="0.3">
      <c r="A18" s="239" t="s">
        <v>104</v>
      </c>
      <c r="B18" s="240" t="s">
        <v>54</v>
      </c>
      <c r="C18" s="122" t="s">
        <v>66</v>
      </c>
      <c r="D18" s="123" t="s">
        <v>90</v>
      </c>
      <c r="E18" s="123" t="s">
        <v>34</v>
      </c>
      <c r="F18" s="123">
        <v>15</v>
      </c>
      <c r="G18" s="241">
        <v>7</v>
      </c>
      <c r="H18" s="244">
        <v>0</v>
      </c>
      <c r="I18" s="242">
        <v>0</v>
      </c>
      <c r="J18" s="242">
        <v>0</v>
      </c>
      <c r="K18" s="242">
        <v>0</v>
      </c>
      <c r="L18" s="242">
        <v>0</v>
      </c>
      <c r="M18" s="242">
        <v>5</v>
      </c>
      <c r="N18" s="242">
        <v>0</v>
      </c>
      <c r="O18" s="242">
        <v>0</v>
      </c>
      <c r="P18" s="242">
        <v>0</v>
      </c>
      <c r="Q18" s="242">
        <v>0</v>
      </c>
      <c r="R18" s="242">
        <v>1</v>
      </c>
      <c r="S18" s="243">
        <v>13660</v>
      </c>
      <c r="T18" s="514" t="s">
        <v>731</v>
      </c>
      <c r="U18" s="245" t="s">
        <v>419</v>
      </c>
      <c r="V18" s="243" t="s">
        <v>361</v>
      </c>
      <c r="W18" s="243" t="s">
        <v>387</v>
      </c>
      <c r="X18" s="169" t="s">
        <v>355</v>
      </c>
      <c r="Y18" s="243">
        <v>1</v>
      </c>
      <c r="Z18" s="243">
        <v>1</v>
      </c>
      <c r="AA18" s="243">
        <v>0</v>
      </c>
      <c r="AB18" s="167">
        <v>0</v>
      </c>
      <c r="AC18" s="243">
        <v>1</v>
      </c>
      <c r="AD18" s="243">
        <v>1</v>
      </c>
      <c r="AE18" s="243">
        <v>0</v>
      </c>
      <c r="AF18" s="167">
        <v>0</v>
      </c>
      <c r="AG18" s="243">
        <v>0</v>
      </c>
      <c r="AH18" s="243">
        <v>0</v>
      </c>
      <c r="AI18" s="243">
        <v>0</v>
      </c>
      <c r="AJ18" s="167">
        <v>0</v>
      </c>
      <c r="AL18" s="772"/>
      <c r="AM18" s="773"/>
      <c r="AN18" s="20"/>
      <c r="AO18" s="621"/>
      <c r="AP18" s="20"/>
      <c r="AQ18" s="621"/>
      <c r="AR18" s="20"/>
      <c r="AS18" s="621"/>
    </row>
    <row r="19" spans="1:45" ht="15" customHeight="1" thickBot="1" x14ac:dyDescent="0.3">
      <c r="A19" s="239" t="s">
        <v>98</v>
      </c>
      <c r="B19" s="240" t="s">
        <v>54</v>
      </c>
      <c r="C19" s="122" t="s">
        <v>27</v>
      </c>
      <c r="D19" s="123" t="s">
        <v>350</v>
      </c>
      <c r="E19" s="123" t="s">
        <v>36</v>
      </c>
      <c r="F19" s="123">
        <v>25</v>
      </c>
      <c r="G19" s="241">
        <v>30</v>
      </c>
      <c r="H19" s="244">
        <v>0</v>
      </c>
      <c r="I19" s="242">
        <v>1</v>
      </c>
      <c r="J19" s="242">
        <v>3</v>
      </c>
      <c r="K19" s="242">
        <v>2</v>
      </c>
      <c r="L19" s="242">
        <v>0</v>
      </c>
      <c r="M19" s="242">
        <v>2</v>
      </c>
      <c r="N19" s="242">
        <v>0</v>
      </c>
      <c r="O19" s="242">
        <v>0</v>
      </c>
      <c r="P19" s="242">
        <v>0</v>
      </c>
      <c r="Q19" s="242">
        <v>0</v>
      </c>
      <c r="R19" s="242">
        <v>3</v>
      </c>
      <c r="S19" s="661">
        <v>82000</v>
      </c>
      <c r="T19" s="514" t="s">
        <v>764</v>
      </c>
      <c r="U19" s="245" t="s">
        <v>338</v>
      </c>
      <c r="V19" s="243" t="s">
        <v>339</v>
      </c>
      <c r="W19" s="243" t="s">
        <v>340</v>
      </c>
      <c r="X19" s="169" t="s">
        <v>390</v>
      </c>
      <c r="Y19" s="243">
        <v>1</v>
      </c>
      <c r="Z19" s="243">
        <v>0</v>
      </c>
      <c r="AA19" s="243">
        <v>0</v>
      </c>
      <c r="AB19" s="167">
        <v>1</v>
      </c>
      <c r="AC19" s="243">
        <v>1</v>
      </c>
      <c r="AD19" s="243">
        <v>0</v>
      </c>
      <c r="AE19" s="243">
        <v>0</v>
      </c>
      <c r="AF19" s="167">
        <v>1</v>
      </c>
      <c r="AG19" s="243">
        <v>0</v>
      </c>
      <c r="AH19" s="243">
        <v>0</v>
      </c>
      <c r="AI19" s="243">
        <v>0</v>
      </c>
      <c r="AJ19" s="167">
        <v>0</v>
      </c>
      <c r="AL19" s="772"/>
      <c r="AM19" s="773"/>
      <c r="AN19" s="20"/>
      <c r="AO19" s="621"/>
      <c r="AP19" s="20"/>
      <c r="AQ19" s="621"/>
      <c r="AR19" s="20"/>
      <c r="AS19" s="621"/>
    </row>
    <row r="20" spans="1:45" ht="15" customHeight="1" thickBot="1" x14ac:dyDescent="0.3">
      <c r="A20" s="378" t="s">
        <v>99</v>
      </c>
      <c r="B20" s="379" t="s">
        <v>54</v>
      </c>
      <c r="C20" s="372" t="s">
        <v>190</v>
      </c>
      <c r="D20" s="380" t="s">
        <v>38</v>
      </c>
      <c r="E20" s="380" t="s">
        <v>34</v>
      </c>
      <c r="F20" s="380">
        <v>24</v>
      </c>
      <c r="G20" s="381">
        <v>13</v>
      </c>
      <c r="H20" s="382">
        <v>1</v>
      </c>
      <c r="I20" s="383">
        <v>0</v>
      </c>
      <c r="J20" s="383">
        <v>4</v>
      </c>
      <c r="K20" s="383">
        <v>2</v>
      </c>
      <c r="L20" s="383">
        <v>0</v>
      </c>
      <c r="M20" s="383">
        <v>0</v>
      </c>
      <c r="N20" s="383">
        <v>0</v>
      </c>
      <c r="O20" s="383">
        <v>0</v>
      </c>
      <c r="P20" s="383">
        <v>0</v>
      </c>
      <c r="Q20" s="383">
        <v>0</v>
      </c>
      <c r="R20" s="383">
        <v>1</v>
      </c>
      <c r="S20" s="261">
        <v>3034</v>
      </c>
      <c r="T20" s="590" t="s">
        <v>443</v>
      </c>
      <c r="U20" s="263" t="s">
        <v>345</v>
      </c>
      <c r="V20" s="261" t="s">
        <v>393</v>
      </c>
      <c r="W20" s="261" t="s">
        <v>363</v>
      </c>
      <c r="X20" s="264" t="s">
        <v>686</v>
      </c>
      <c r="Y20" s="384">
        <v>1</v>
      </c>
      <c r="Z20" s="384">
        <v>1</v>
      </c>
      <c r="AA20" s="384">
        <v>0</v>
      </c>
      <c r="AB20" s="387">
        <v>0</v>
      </c>
      <c r="AC20" s="384">
        <v>0</v>
      </c>
      <c r="AD20" s="384">
        <v>0</v>
      </c>
      <c r="AE20" s="384">
        <v>0</v>
      </c>
      <c r="AF20" s="387">
        <v>0</v>
      </c>
      <c r="AG20" s="384">
        <v>1</v>
      </c>
      <c r="AH20" s="384">
        <v>1</v>
      </c>
      <c r="AI20" s="384">
        <v>0</v>
      </c>
      <c r="AJ20" s="387">
        <v>0</v>
      </c>
      <c r="AL20" s="772"/>
      <c r="AM20" s="773"/>
      <c r="AN20" s="20"/>
      <c r="AO20" s="621"/>
      <c r="AP20" s="20"/>
      <c r="AQ20" s="621"/>
      <c r="AR20" s="20"/>
      <c r="AS20" s="621"/>
    </row>
    <row r="21" spans="1:45" ht="15" customHeight="1" thickBot="1" x14ac:dyDescent="0.3">
      <c r="A21" s="239" t="s">
        <v>100</v>
      </c>
      <c r="B21" s="240" t="s">
        <v>54</v>
      </c>
      <c r="C21" s="122" t="s">
        <v>28</v>
      </c>
      <c r="D21" s="123" t="s">
        <v>90</v>
      </c>
      <c r="E21" s="123" t="s">
        <v>34</v>
      </c>
      <c r="F21" s="123">
        <v>32</v>
      </c>
      <c r="G21" s="241">
        <v>12</v>
      </c>
      <c r="H21" s="244">
        <v>1</v>
      </c>
      <c r="I21" s="242">
        <v>0</v>
      </c>
      <c r="J21" s="242">
        <v>4</v>
      </c>
      <c r="K21" s="242">
        <v>3</v>
      </c>
      <c r="L21" s="242">
        <v>0</v>
      </c>
      <c r="M21" s="242">
        <v>2</v>
      </c>
      <c r="N21" s="242">
        <v>0</v>
      </c>
      <c r="O21" s="242">
        <v>0</v>
      </c>
      <c r="P21" s="242">
        <v>0</v>
      </c>
      <c r="Q21" s="242">
        <v>0</v>
      </c>
      <c r="R21" s="242">
        <v>0</v>
      </c>
      <c r="S21" s="661">
        <v>14800</v>
      </c>
      <c r="T21" s="592" t="s">
        <v>723</v>
      </c>
      <c r="U21" s="245" t="s">
        <v>360</v>
      </c>
      <c r="V21" s="243" t="s">
        <v>399</v>
      </c>
      <c r="W21" s="243" t="s">
        <v>377</v>
      </c>
      <c r="X21" s="169" t="s">
        <v>340</v>
      </c>
      <c r="Y21" s="243">
        <v>1</v>
      </c>
      <c r="Z21" s="243">
        <v>1</v>
      </c>
      <c r="AA21" s="243">
        <v>0</v>
      </c>
      <c r="AB21" s="167">
        <v>0</v>
      </c>
      <c r="AC21" s="243">
        <v>1</v>
      </c>
      <c r="AD21" s="243">
        <v>1</v>
      </c>
      <c r="AE21" s="243">
        <v>0</v>
      </c>
      <c r="AF21" s="167">
        <v>0</v>
      </c>
      <c r="AG21" s="243">
        <v>0</v>
      </c>
      <c r="AH21" s="243">
        <v>0</v>
      </c>
      <c r="AI21" s="243">
        <v>0</v>
      </c>
      <c r="AJ21" s="167">
        <v>0</v>
      </c>
      <c r="AL21" s="772"/>
      <c r="AM21" s="773"/>
      <c r="AN21" s="20"/>
      <c r="AO21" s="621"/>
      <c r="AP21" s="20"/>
      <c r="AQ21" s="621"/>
      <c r="AR21" s="20"/>
      <c r="AS21" s="621"/>
    </row>
    <row r="22" spans="1:45" ht="15" customHeight="1" thickBot="1" x14ac:dyDescent="0.3">
      <c r="A22" s="402" t="s">
        <v>101</v>
      </c>
      <c r="B22" s="403" t="s">
        <v>161</v>
      </c>
      <c r="C22" s="404" t="s">
        <v>189</v>
      </c>
      <c r="D22" s="405" t="s">
        <v>90</v>
      </c>
      <c r="E22" s="405" t="s">
        <v>36</v>
      </c>
      <c r="F22" s="405">
        <v>3</v>
      </c>
      <c r="G22" s="406">
        <v>23</v>
      </c>
      <c r="H22" s="407">
        <v>0</v>
      </c>
      <c r="I22" s="408">
        <v>0</v>
      </c>
      <c r="J22" s="408">
        <v>0</v>
      </c>
      <c r="K22" s="408">
        <v>0</v>
      </c>
      <c r="L22" s="408">
        <v>0</v>
      </c>
      <c r="M22" s="408">
        <v>1</v>
      </c>
      <c r="N22" s="405">
        <v>0</v>
      </c>
      <c r="O22" s="408">
        <v>0</v>
      </c>
      <c r="P22" s="408">
        <v>0</v>
      </c>
      <c r="Q22" s="408">
        <v>0</v>
      </c>
      <c r="R22" s="408">
        <v>2</v>
      </c>
      <c r="S22" s="409">
        <v>14132</v>
      </c>
      <c r="T22" s="519" t="s">
        <v>373</v>
      </c>
      <c r="U22" s="411" t="s">
        <v>531</v>
      </c>
      <c r="V22" s="409" t="s">
        <v>528</v>
      </c>
      <c r="W22" s="409" t="s">
        <v>529</v>
      </c>
      <c r="X22" s="412" t="s">
        <v>700</v>
      </c>
      <c r="Y22" s="409">
        <v>1</v>
      </c>
      <c r="Z22" s="409">
        <v>0</v>
      </c>
      <c r="AA22" s="409">
        <v>0</v>
      </c>
      <c r="AB22" s="413">
        <v>1</v>
      </c>
      <c r="AC22" s="409">
        <v>1</v>
      </c>
      <c r="AD22" s="409">
        <v>0</v>
      </c>
      <c r="AE22" s="409">
        <v>0</v>
      </c>
      <c r="AF22" s="413">
        <v>1</v>
      </c>
      <c r="AG22" s="409">
        <v>0</v>
      </c>
      <c r="AH22" s="409">
        <v>0</v>
      </c>
      <c r="AI22" s="409">
        <v>0</v>
      </c>
      <c r="AJ22" s="413">
        <v>0</v>
      </c>
      <c r="AL22" s="772"/>
      <c r="AM22" s="773"/>
      <c r="AN22" s="20"/>
      <c r="AO22" s="621"/>
      <c r="AP22" s="20"/>
      <c r="AQ22" s="621"/>
      <c r="AR22" s="20"/>
      <c r="AS22" s="621"/>
    </row>
    <row r="23" spans="1:45" ht="15" customHeight="1" thickBot="1" x14ac:dyDescent="0.3">
      <c r="A23" s="391" t="s">
        <v>102</v>
      </c>
      <c r="B23" s="392" t="s">
        <v>161</v>
      </c>
      <c r="C23" s="414" t="s">
        <v>222</v>
      </c>
      <c r="D23" s="394" t="s">
        <v>38</v>
      </c>
      <c r="E23" s="394" t="s">
        <v>34</v>
      </c>
      <c r="F23" s="394">
        <v>47</v>
      </c>
      <c r="G23" s="395">
        <v>19</v>
      </c>
      <c r="H23" s="396">
        <v>1</v>
      </c>
      <c r="I23" s="397">
        <v>0</v>
      </c>
      <c r="J23" s="397">
        <v>7</v>
      </c>
      <c r="K23" s="397">
        <v>6</v>
      </c>
      <c r="L23" s="397">
        <v>0</v>
      </c>
      <c r="M23" s="397">
        <v>0</v>
      </c>
      <c r="N23" s="397">
        <v>0</v>
      </c>
      <c r="O23" s="397">
        <v>0</v>
      </c>
      <c r="P23" s="397">
        <v>0</v>
      </c>
      <c r="Q23" s="397">
        <v>0</v>
      </c>
      <c r="R23" s="397">
        <v>3</v>
      </c>
      <c r="S23" s="398">
        <v>6800</v>
      </c>
      <c r="T23" s="643" t="s">
        <v>831</v>
      </c>
      <c r="U23" s="399" t="s">
        <v>527</v>
      </c>
      <c r="V23" s="398" t="s">
        <v>693</v>
      </c>
      <c r="W23" s="398" t="s">
        <v>569</v>
      </c>
      <c r="X23" s="400" t="s">
        <v>832</v>
      </c>
      <c r="Y23" s="398">
        <v>1</v>
      </c>
      <c r="Z23" s="398">
        <v>1</v>
      </c>
      <c r="AA23" s="398">
        <v>0</v>
      </c>
      <c r="AB23" s="401">
        <v>0</v>
      </c>
      <c r="AC23" s="398">
        <v>0</v>
      </c>
      <c r="AD23" s="398">
        <v>0</v>
      </c>
      <c r="AE23" s="398">
        <v>0</v>
      </c>
      <c r="AF23" s="401">
        <v>0</v>
      </c>
      <c r="AG23" s="398">
        <v>1</v>
      </c>
      <c r="AH23" s="398">
        <v>1</v>
      </c>
      <c r="AI23" s="398">
        <v>0</v>
      </c>
      <c r="AJ23" s="401">
        <v>0</v>
      </c>
    </row>
    <row r="24" spans="1:45" ht="15" customHeight="1" thickBot="1" x14ac:dyDescent="0.3">
      <c r="A24" s="248" t="s">
        <v>103</v>
      </c>
      <c r="B24" s="249" t="s">
        <v>96</v>
      </c>
      <c r="C24" s="250" t="s">
        <v>24</v>
      </c>
      <c r="D24" s="283" t="s">
        <v>90</v>
      </c>
      <c r="E24" s="283" t="s">
        <v>36</v>
      </c>
      <c r="F24" s="283">
        <v>21</v>
      </c>
      <c r="G24" s="284">
        <v>23</v>
      </c>
      <c r="H24" s="277">
        <v>0</v>
      </c>
      <c r="I24" s="276">
        <v>1</v>
      </c>
      <c r="J24" s="283">
        <v>2</v>
      </c>
      <c r="K24" s="276">
        <v>1</v>
      </c>
      <c r="L24" s="276">
        <v>0</v>
      </c>
      <c r="M24" s="276">
        <v>3</v>
      </c>
      <c r="N24" s="276">
        <v>1</v>
      </c>
      <c r="O24" s="276">
        <v>0</v>
      </c>
      <c r="P24" s="276">
        <v>0</v>
      </c>
      <c r="Q24" s="276">
        <v>0</v>
      </c>
      <c r="R24" s="276">
        <v>2</v>
      </c>
      <c r="S24" s="442">
        <v>13767</v>
      </c>
      <c r="T24" s="649" t="s">
        <v>488</v>
      </c>
      <c r="U24" s="279" t="s">
        <v>627</v>
      </c>
      <c r="V24" s="278" t="s">
        <v>341</v>
      </c>
      <c r="W24" s="278" t="s">
        <v>686</v>
      </c>
      <c r="X24" s="280" t="s">
        <v>347</v>
      </c>
      <c r="Y24" s="278">
        <v>1</v>
      </c>
      <c r="Z24" s="278">
        <v>0</v>
      </c>
      <c r="AA24" s="278">
        <v>0</v>
      </c>
      <c r="AB24" s="281">
        <v>1</v>
      </c>
      <c r="AC24" s="278">
        <v>1</v>
      </c>
      <c r="AD24" s="278">
        <v>0</v>
      </c>
      <c r="AE24" s="278">
        <v>0</v>
      </c>
      <c r="AF24" s="281">
        <v>1</v>
      </c>
      <c r="AG24" s="278">
        <v>0</v>
      </c>
      <c r="AH24" s="278">
        <v>0</v>
      </c>
      <c r="AI24" s="278">
        <v>0</v>
      </c>
      <c r="AJ24" s="281">
        <v>0</v>
      </c>
    </row>
    <row r="25" spans="1:45" ht="15" customHeight="1" thickBot="1" x14ac:dyDescent="0.3">
      <c r="A25" s="251" t="s">
        <v>111</v>
      </c>
      <c r="B25" s="252" t="s">
        <v>96</v>
      </c>
      <c r="C25" s="253" t="s">
        <v>26</v>
      </c>
      <c r="D25" s="269" t="s">
        <v>38</v>
      </c>
      <c r="E25" s="269" t="s">
        <v>36</v>
      </c>
      <c r="F25" s="269">
        <v>7</v>
      </c>
      <c r="G25" s="275">
        <v>25</v>
      </c>
      <c r="H25" s="268">
        <v>0</v>
      </c>
      <c r="I25" s="267">
        <v>0</v>
      </c>
      <c r="J25" s="267">
        <v>1</v>
      </c>
      <c r="K25" s="267">
        <v>1</v>
      </c>
      <c r="L25" s="267">
        <v>0</v>
      </c>
      <c r="M25" s="267">
        <v>0</v>
      </c>
      <c r="N25" s="267">
        <v>0</v>
      </c>
      <c r="O25" s="267">
        <v>0</v>
      </c>
      <c r="P25" s="267">
        <v>0</v>
      </c>
      <c r="Q25" s="267">
        <v>0</v>
      </c>
      <c r="R25" s="267">
        <v>3</v>
      </c>
      <c r="S25" s="272">
        <v>11551</v>
      </c>
      <c r="T25" s="651" t="s">
        <v>867</v>
      </c>
      <c r="U25" s="271" t="s">
        <v>452</v>
      </c>
      <c r="V25" s="272" t="s">
        <v>510</v>
      </c>
      <c r="W25" s="272" t="s">
        <v>340</v>
      </c>
      <c r="X25" s="273" t="s">
        <v>445</v>
      </c>
      <c r="Y25" s="272">
        <v>1</v>
      </c>
      <c r="Z25" s="272">
        <v>0</v>
      </c>
      <c r="AA25" s="272">
        <v>0</v>
      </c>
      <c r="AB25" s="274">
        <v>1</v>
      </c>
      <c r="AC25" s="272">
        <v>0</v>
      </c>
      <c r="AD25" s="272">
        <v>0</v>
      </c>
      <c r="AE25" s="272">
        <v>0</v>
      </c>
      <c r="AF25" s="274">
        <v>0</v>
      </c>
      <c r="AG25" s="272">
        <v>1</v>
      </c>
      <c r="AH25" s="272">
        <v>0</v>
      </c>
      <c r="AI25" s="272">
        <v>0</v>
      </c>
      <c r="AJ25" s="274">
        <v>1</v>
      </c>
    </row>
    <row r="26" spans="1:45" ht="15" customHeight="1" thickBot="1" x14ac:dyDescent="0.3">
      <c r="A26" s="256" t="s">
        <v>196</v>
      </c>
      <c r="B26" s="255" t="s">
        <v>54</v>
      </c>
      <c r="C26" s="247" t="s">
        <v>189</v>
      </c>
      <c r="D26" s="257" t="s">
        <v>38</v>
      </c>
      <c r="E26" s="257" t="s">
        <v>36</v>
      </c>
      <c r="F26" s="257">
        <v>6</v>
      </c>
      <c r="G26" s="258">
        <v>37</v>
      </c>
      <c r="H26" s="259">
        <v>0</v>
      </c>
      <c r="I26" s="260">
        <v>0</v>
      </c>
      <c r="J26" s="260">
        <v>0</v>
      </c>
      <c r="K26" s="260">
        <v>0</v>
      </c>
      <c r="L26" s="260">
        <v>0</v>
      </c>
      <c r="M26" s="260">
        <v>2</v>
      </c>
      <c r="N26" s="260">
        <v>2</v>
      </c>
      <c r="O26" s="260">
        <v>0</v>
      </c>
      <c r="P26" s="260">
        <v>1</v>
      </c>
      <c r="Q26" s="260">
        <v>0</v>
      </c>
      <c r="R26" s="260">
        <v>4</v>
      </c>
      <c r="S26" s="261">
        <v>16116</v>
      </c>
      <c r="T26" s="516" t="s">
        <v>885</v>
      </c>
      <c r="U26" s="263" t="s">
        <v>367</v>
      </c>
      <c r="V26" s="261" t="s">
        <v>346</v>
      </c>
      <c r="W26" s="261" t="s">
        <v>363</v>
      </c>
      <c r="X26" s="264" t="s">
        <v>387</v>
      </c>
      <c r="Y26" s="261">
        <v>1</v>
      </c>
      <c r="Z26" s="261">
        <v>0</v>
      </c>
      <c r="AA26" s="261">
        <v>0</v>
      </c>
      <c r="AB26" s="168">
        <v>1</v>
      </c>
      <c r="AC26" s="261">
        <v>0</v>
      </c>
      <c r="AD26" s="261">
        <v>0</v>
      </c>
      <c r="AE26" s="261">
        <v>0</v>
      </c>
      <c r="AF26" s="168">
        <v>0</v>
      </c>
      <c r="AG26" s="261">
        <v>1</v>
      </c>
      <c r="AH26" s="261">
        <v>0</v>
      </c>
      <c r="AI26" s="261">
        <v>0</v>
      </c>
      <c r="AJ26" s="168">
        <v>1</v>
      </c>
    </row>
    <row r="27" spans="1:45" ht="15" customHeight="1" thickBot="1" x14ac:dyDescent="0.3">
      <c r="A27" s="239" t="s">
        <v>156</v>
      </c>
      <c r="B27" s="240" t="s">
        <v>54</v>
      </c>
      <c r="C27" s="122" t="s">
        <v>30</v>
      </c>
      <c r="D27" s="123" t="s">
        <v>90</v>
      </c>
      <c r="E27" s="123" t="s">
        <v>36</v>
      </c>
      <c r="F27" s="123">
        <v>21</v>
      </c>
      <c r="G27" s="241">
        <v>32</v>
      </c>
      <c r="H27" s="244">
        <v>0</v>
      </c>
      <c r="I27" s="242">
        <v>0</v>
      </c>
      <c r="J27" s="242">
        <v>2</v>
      </c>
      <c r="K27" s="242">
        <v>1</v>
      </c>
      <c r="L27" s="242">
        <v>0</v>
      </c>
      <c r="M27" s="242">
        <v>3</v>
      </c>
      <c r="N27" s="242">
        <v>0</v>
      </c>
      <c r="O27" s="242">
        <v>0</v>
      </c>
      <c r="P27" s="242">
        <v>0</v>
      </c>
      <c r="Q27" s="242">
        <v>0</v>
      </c>
      <c r="R27" s="242">
        <v>2</v>
      </c>
      <c r="S27" s="742">
        <v>14800</v>
      </c>
      <c r="T27" s="514" t="s">
        <v>895</v>
      </c>
      <c r="U27" s="245" t="s">
        <v>419</v>
      </c>
      <c r="V27" s="243" t="s">
        <v>393</v>
      </c>
      <c r="W27" s="243" t="s">
        <v>387</v>
      </c>
      <c r="X27" s="169" t="s">
        <v>377</v>
      </c>
      <c r="Y27" s="243">
        <v>1</v>
      </c>
      <c r="Z27" s="243">
        <v>0</v>
      </c>
      <c r="AA27" s="243">
        <v>0</v>
      </c>
      <c r="AB27" s="167">
        <v>1</v>
      </c>
      <c r="AC27" s="243">
        <v>1</v>
      </c>
      <c r="AD27" s="243">
        <v>0</v>
      </c>
      <c r="AE27" s="243">
        <v>0</v>
      </c>
      <c r="AF27" s="167">
        <v>1</v>
      </c>
      <c r="AG27" s="243">
        <v>0</v>
      </c>
      <c r="AH27" s="243">
        <v>0</v>
      </c>
      <c r="AI27" s="243">
        <v>0</v>
      </c>
      <c r="AJ27" s="167">
        <v>0</v>
      </c>
    </row>
    <row r="28" spans="1:45" ht="15" customHeight="1" thickBot="1" x14ac:dyDescent="0.3">
      <c r="A28" s="256" t="s">
        <v>782</v>
      </c>
      <c r="B28" s="255" t="s">
        <v>54</v>
      </c>
      <c r="C28" s="247" t="s">
        <v>27</v>
      </c>
      <c r="D28" s="257" t="s">
        <v>38</v>
      </c>
      <c r="E28" s="257" t="s">
        <v>36</v>
      </c>
      <c r="F28" s="257">
        <v>13</v>
      </c>
      <c r="G28" s="258">
        <v>17</v>
      </c>
      <c r="H28" s="259">
        <v>0</v>
      </c>
      <c r="I28" s="260">
        <v>1</v>
      </c>
      <c r="J28" s="260">
        <v>1</v>
      </c>
      <c r="K28" s="260">
        <v>1</v>
      </c>
      <c r="L28" s="260">
        <v>0</v>
      </c>
      <c r="M28" s="260">
        <v>2</v>
      </c>
      <c r="N28" s="260">
        <v>1</v>
      </c>
      <c r="O28" s="260">
        <v>0</v>
      </c>
      <c r="P28" s="260">
        <v>0</v>
      </c>
      <c r="Q28" s="260">
        <v>0</v>
      </c>
      <c r="R28" s="260">
        <v>3</v>
      </c>
      <c r="S28" s="261">
        <v>13362</v>
      </c>
      <c r="T28" s="516" t="s">
        <v>553</v>
      </c>
      <c r="U28" s="263" t="s">
        <v>452</v>
      </c>
      <c r="V28" s="261" t="s">
        <v>339</v>
      </c>
      <c r="W28" s="261" t="s">
        <v>907</v>
      </c>
      <c r="X28" s="264" t="s">
        <v>355</v>
      </c>
      <c r="Y28" s="261">
        <v>1</v>
      </c>
      <c r="Z28" s="261">
        <v>0</v>
      </c>
      <c r="AA28" s="261">
        <v>0</v>
      </c>
      <c r="AB28" s="168">
        <v>1</v>
      </c>
      <c r="AC28" s="261">
        <v>0</v>
      </c>
      <c r="AD28" s="261">
        <v>0</v>
      </c>
      <c r="AE28" s="261">
        <v>0</v>
      </c>
      <c r="AF28" s="168">
        <v>0</v>
      </c>
      <c r="AG28" s="261">
        <v>1</v>
      </c>
      <c r="AH28" s="261">
        <v>0</v>
      </c>
      <c r="AI28" s="261">
        <v>0</v>
      </c>
      <c r="AJ28" s="168">
        <v>1</v>
      </c>
    </row>
    <row r="29" spans="1:45" ht="15" customHeight="1" thickBot="1" x14ac:dyDescent="0.3">
      <c r="A29" s="239" t="s">
        <v>157</v>
      </c>
      <c r="B29" s="240" t="s">
        <v>54</v>
      </c>
      <c r="C29" s="122" t="s">
        <v>13</v>
      </c>
      <c r="D29" s="123" t="s">
        <v>90</v>
      </c>
      <c r="E29" s="123" t="s">
        <v>34</v>
      </c>
      <c r="F29" s="123">
        <v>26</v>
      </c>
      <c r="G29" s="241">
        <v>20</v>
      </c>
      <c r="H29" s="244">
        <v>0</v>
      </c>
      <c r="I29" s="242">
        <v>0</v>
      </c>
      <c r="J29" s="242">
        <v>2</v>
      </c>
      <c r="K29" s="242">
        <v>2</v>
      </c>
      <c r="L29" s="242">
        <v>0</v>
      </c>
      <c r="M29" s="242">
        <v>4</v>
      </c>
      <c r="N29" s="242">
        <v>0</v>
      </c>
      <c r="O29" s="242">
        <v>0</v>
      </c>
      <c r="P29" s="242">
        <v>0</v>
      </c>
      <c r="Q29" s="242">
        <v>1</v>
      </c>
      <c r="R29" s="242">
        <v>2</v>
      </c>
      <c r="S29" s="661">
        <v>14800</v>
      </c>
      <c r="T29" s="592" t="s">
        <v>946</v>
      </c>
      <c r="U29" s="245" t="s">
        <v>345</v>
      </c>
      <c r="V29" s="243" t="s">
        <v>341</v>
      </c>
      <c r="W29" s="243" t="s">
        <v>338</v>
      </c>
      <c r="X29" s="169" t="s">
        <v>360</v>
      </c>
      <c r="Y29" s="243">
        <v>1</v>
      </c>
      <c r="Z29" s="243">
        <v>1</v>
      </c>
      <c r="AA29" s="243">
        <v>0</v>
      </c>
      <c r="AB29" s="167">
        <v>0</v>
      </c>
      <c r="AC29" s="243">
        <v>1</v>
      </c>
      <c r="AD29" s="243">
        <v>1</v>
      </c>
      <c r="AE29" s="243">
        <v>0</v>
      </c>
      <c r="AF29" s="167">
        <v>0</v>
      </c>
      <c r="AG29" s="243">
        <v>0</v>
      </c>
      <c r="AH29" s="243">
        <v>0</v>
      </c>
      <c r="AI29" s="243">
        <v>0</v>
      </c>
      <c r="AJ29" s="167">
        <v>0</v>
      </c>
    </row>
    <row r="30" spans="1:45" ht="15" customHeight="1" thickBot="1" x14ac:dyDescent="0.3">
      <c r="A30" s="256" t="s">
        <v>159</v>
      </c>
      <c r="B30" s="255" t="s">
        <v>54</v>
      </c>
      <c r="C30" s="247" t="s">
        <v>21</v>
      </c>
      <c r="D30" s="257" t="s">
        <v>38</v>
      </c>
      <c r="E30" s="257" t="s">
        <v>36</v>
      </c>
      <c r="F30" s="257">
        <v>14</v>
      </c>
      <c r="G30" s="258">
        <v>42</v>
      </c>
      <c r="H30" s="259">
        <v>0</v>
      </c>
      <c r="I30" s="260">
        <v>0</v>
      </c>
      <c r="J30" s="257">
        <v>1</v>
      </c>
      <c r="K30" s="260">
        <v>0</v>
      </c>
      <c r="L30" s="260">
        <v>0</v>
      </c>
      <c r="M30" s="260">
        <v>3</v>
      </c>
      <c r="N30" s="260">
        <v>1</v>
      </c>
      <c r="O30" s="260">
        <v>0</v>
      </c>
      <c r="P30" s="260">
        <v>1</v>
      </c>
      <c r="Q30" s="260">
        <v>0</v>
      </c>
      <c r="R30" s="260">
        <v>5</v>
      </c>
      <c r="S30" s="261">
        <v>84068</v>
      </c>
      <c r="T30" s="516" t="s">
        <v>616</v>
      </c>
      <c r="U30" s="263" t="s">
        <v>338</v>
      </c>
      <c r="V30" s="261" t="s">
        <v>399</v>
      </c>
      <c r="W30" s="261" t="s">
        <v>340</v>
      </c>
      <c r="X30" s="264" t="s">
        <v>376</v>
      </c>
      <c r="Y30" s="261">
        <v>1</v>
      </c>
      <c r="Z30" s="261">
        <v>0</v>
      </c>
      <c r="AA30" s="261">
        <v>0</v>
      </c>
      <c r="AB30" s="168">
        <v>1</v>
      </c>
      <c r="AC30" s="261">
        <v>0</v>
      </c>
      <c r="AD30" s="261">
        <v>0</v>
      </c>
      <c r="AE30" s="261">
        <v>0</v>
      </c>
      <c r="AF30" s="168">
        <v>0</v>
      </c>
      <c r="AG30" s="261">
        <v>1</v>
      </c>
      <c r="AH30" s="261">
        <v>0</v>
      </c>
      <c r="AI30" s="261">
        <v>0</v>
      </c>
      <c r="AJ30" s="168">
        <v>1</v>
      </c>
    </row>
    <row r="31" spans="1:45" ht="15" customHeight="1" thickBot="1" x14ac:dyDescent="0.3">
      <c r="A31" s="239" t="s">
        <v>110</v>
      </c>
      <c r="B31" s="240" t="s">
        <v>54</v>
      </c>
      <c r="C31" s="122" t="s">
        <v>26</v>
      </c>
      <c r="D31" s="123" t="s">
        <v>90</v>
      </c>
      <c r="E31" s="123" t="s">
        <v>34</v>
      </c>
      <c r="F31" s="123">
        <v>29</v>
      </c>
      <c r="G31" s="241">
        <v>26</v>
      </c>
      <c r="H31" s="244">
        <v>0</v>
      </c>
      <c r="I31" s="242">
        <v>0</v>
      </c>
      <c r="J31" s="242">
        <v>3</v>
      </c>
      <c r="K31" s="242">
        <v>1</v>
      </c>
      <c r="L31" s="242">
        <v>0</v>
      </c>
      <c r="M31" s="242">
        <v>4</v>
      </c>
      <c r="N31" s="123">
        <v>2</v>
      </c>
      <c r="O31" s="242">
        <v>0</v>
      </c>
      <c r="P31" s="242">
        <v>0</v>
      </c>
      <c r="Q31" s="242">
        <v>1</v>
      </c>
      <c r="R31" s="242">
        <v>3</v>
      </c>
      <c r="S31" s="118">
        <v>14800</v>
      </c>
      <c r="T31" s="514" t="s">
        <v>807</v>
      </c>
      <c r="U31" s="245" t="s">
        <v>360</v>
      </c>
      <c r="V31" s="243" t="s">
        <v>393</v>
      </c>
      <c r="W31" s="243" t="s">
        <v>370</v>
      </c>
      <c r="X31" s="169" t="s">
        <v>390</v>
      </c>
      <c r="Y31" s="243">
        <v>1</v>
      </c>
      <c r="Z31" s="243">
        <v>1</v>
      </c>
      <c r="AA31" s="243">
        <v>0</v>
      </c>
      <c r="AB31" s="167">
        <v>0</v>
      </c>
      <c r="AC31" s="243">
        <v>1</v>
      </c>
      <c r="AD31" s="243">
        <v>1</v>
      </c>
      <c r="AE31" s="243">
        <v>0</v>
      </c>
      <c r="AF31" s="167">
        <v>0</v>
      </c>
      <c r="AG31" s="243">
        <v>0</v>
      </c>
      <c r="AH31" s="243">
        <v>0</v>
      </c>
      <c r="AI31" s="243">
        <v>0</v>
      </c>
      <c r="AJ31" s="167">
        <v>0</v>
      </c>
    </row>
    <row r="32" spans="1:45" ht="15" customHeight="1" thickBot="1" x14ac:dyDescent="0.3">
      <c r="A32" s="378" t="s">
        <v>145</v>
      </c>
      <c r="B32" s="379" t="s">
        <v>54</v>
      </c>
      <c r="C32" s="372" t="s">
        <v>29</v>
      </c>
      <c r="D32" s="380" t="s">
        <v>38</v>
      </c>
      <c r="E32" s="380" t="s">
        <v>34</v>
      </c>
      <c r="F32" s="380">
        <v>25</v>
      </c>
      <c r="G32" s="381">
        <v>23</v>
      </c>
      <c r="H32" s="382">
        <v>1</v>
      </c>
      <c r="I32" s="383">
        <v>0</v>
      </c>
      <c r="J32" s="383">
        <v>4</v>
      </c>
      <c r="K32" s="383">
        <v>1</v>
      </c>
      <c r="L32" s="383">
        <v>0</v>
      </c>
      <c r="M32" s="383">
        <v>1</v>
      </c>
      <c r="N32" s="383">
        <v>1</v>
      </c>
      <c r="O32" s="383">
        <v>0</v>
      </c>
      <c r="P32" s="383">
        <v>0</v>
      </c>
      <c r="Q32" s="383">
        <v>1</v>
      </c>
      <c r="R32" s="383">
        <v>3</v>
      </c>
      <c r="S32" s="261">
        <v>8159</v>
      </c>
      <c r="T32" s="590" t="s">
        <v>796</v>
      </c>
      <c r="U32" s="263" t="s">
        <v>338</v>
      </c>
      <c r="V32" s="261" t="s">
        <v>346</v>
      </c>
      <c r="W32" s="261" t="s">
        <v>348</v>
      </c>
      <c r="X32" s="264" t="s">
        <v>376</v>
      </c>
      <c r="Y32" s="384">
        <v>1</v>
      </c>
      <c r="Z32" s="384">
        <v>1</v>
      </c>
      <c r="AA32" s="384">
        <v>0</v>
      </c>
      <c r="AB32" s="387">
        <v>0</v>
      </c>
      <c r="AC32" s="384">
        <v>0</v>
      </c>
      <c r="AD32" s="384">
        <v>0</v>
      </c>
      <c r="AE32" s="384">
        <v>0</v>
      </c>
      <c r="AF32" s="387">
        <v>0</v>
      </c>
      <c r="AG32" s="384">
        <v>1</v>
      </c>
      <c r="AH32" s="384">
        <v>1</v>
      </c>
      <c r="AI32" s="384">
        <v>0</v>
      </c>
      <c r="AJ32" s="387">
        <v>0</v>
      </c>
    </row>
    <row r="33" spans="1:36" ht="15" customHeight="1" thickBot="1" x14ac:dyDescent="0.3">
      <c r="A33" s="239" t="s">
        <v>898</v>
      </c>
      <c r="B33" s="240" t="s">
        <v>54</v>
      </c>
      <c r="C33" s="122" t="s">
        <v>24</v>
      </c>
      <c r="D33" s="123" t="s">
        <v>90</v>
      </c>
      <c r="E33" s="123" t="s">
        <v>36</v>
      </c>
      <c r="F33" s="123">
        <v>26</v>
      </c>
      <c r="G33" s="241">
        <v>27</v>
      </c>
      <c r="H33" s="244">
        <v>0</v>
      </c>
      <c r="I33" s="242">
        <v>1</v>
      </c>
      <c r="J33" s="242">
        <v>3</v>
      </c>
      <c r="K33" s="242">
        <v>1</v>
      </c>
      <c r="L33" s="242">
        <v>0</v>
      </c>
      <c r="M33" s="242">
        <v>3</v>
      </c>
      <c r="N33" s="242">
        <v>1</v>
      </c>
      <c r="O33" s="242">
        <v>0</v>
      </c>
      <c r="P33" s="242">
        <v>0</v>
      </c>
      <c r="Q33" s="242">
        <v>0</v>
      </c>
      <c r="R33" s="242">
        <v>3</v>
      </c>
      <c r="S33" s="368">
        <v>14800</v>
      </c>
      <c r="T33" s="592" t="s">
        <v>1009</v>
      </c>
      <c r="U33" s="245" t="s">
        <v>367</v>
      </c>
      <c r="V33" s="243" t="s">
        <v>393</v>
      </c>
      <c r="W33" s="243" t="s">
        <v>369</v>
      </c>
      <c r="X33" s="169" t="s">
        <v>345</v>
      </c>
      <c r="Y33" s="243">
        <v>1</v>
      </c>
      <c r="Z33" s="243">
        <v>0</v>
      </c>
      <c r="AA33" s="243">
        <v>0</v>
      </c>
      <c r="AB33" s="167">
        <v>1</v>
      </c>
      <c r="AC33" s="243">
        <v>1</v>
      </c>
      <c r="AD33" s="243">
        <v>0</v>
      </c>
      <c r="AE33" s="243">
        <v>0</v>
      </c>
      <c r="AF33" s="167">
        <v>1</v>
      </c>
      <c r="AG33" s="243">
        <v>0</v>
      </c>
      <c r="AH33" s="243">
        <v>0</v>
      </c>
      <c r="AI33" s="243">
        <v>0</v>
      </c>
      <c r="AJ33" s="167">
        <v>0</v>
      </c>
    </row>
    <row r="34" spans="1:36" ht="15" customHeight="1" thickBot="1" x14ac:dyDescent="0.3">
      <c r="A34" s="378" t="s">
        <v>148</v>
      </c>
      <c r="B34" s="379" t="s">
        <v>54</v>
      </c>
      <c r="C34" s="372" t="s">
        <v>66</v>
      </c>
      <c r="D34" s="380" t="s">
        <v>38</v>
      </c>
      <c r="E34" s="380" t="s">
        <v>36</v>
      </c>
      <c r="F34" s="380">
        <v>21</v>
      </c>
      <c r="G34" s="381">
        <v>37</v>
      </c>
      <c r="H34" s="382">
        <v>0</v>
      </c>
      <c r="I34" s="383">
        <v>0</v>
      </c>
      <c r="J34" s="383">
        <v>2</v>
      </c>
      <c r="K34" s="383">
        <v>1</v>
      </c>
      <c r="L34" s="383">
        <v>0</v>
      </c>
      <c r="M34" s="383">
        <v>3</v>
      </c>
      <c r="N34" s="383">
        <v>0</v>
      </c>
      <c r="O34" s="383">
        <v>0</v>
      </c>
      <c r="P34" s="383">
        <v>1</v>
      </c>
      <c r="Q34" s="383">
        <v>0</v>
      </c>
      <c r="R34" s="383">
        <v>5</v>
      </c>
      <c r="S34" s="374">
        <v>7014</v>
      </c>
      <c r="T34" s="804" t="s">
        <v>896</v>
      </c>
      <c r="U34" s="375" t="s">
        <v>880</v>
      </c>
      <c r="V34" s="376" t="s">
        <v>354</v>
      </c>
      <c r="W34" s="376" t="s">
        <v>601</v>
      </c>
      <c r="X34" s="377" t="s">
        <v>348</v>
      </c>
      <c r="Y34" s="384">
        <v>1</v>
      </c>
      <c r="Z34" s="384">
        <v>0</v>
      </c>
      <c r="AA34" s="384">
        <v>0</v>
      </c>
      <c r="AB34" s="387">
        <v>1</v>
      </c>
      <c r="AC34" s="384">
        <v>0</v>
      </c>
      <c r="AD34" s="384">
        <v>0</v>
      </c>
      <c r="AE34" s="384">
        <v>0</v>
      </c>
      <c r="AF34" s="387">
        <v>0</v>
      </c>
      <c r="AG34" s="384">
        <v>1</v>
      </c>
      <c r="AH34" s="384">
        <v>0</v>
      </c>
      <c r="AI34" s="384">
        <v>0</v>
      </c>
      <c r="AJ34" s="387">
        <v>1</v>
      </c>
    </row>
    <row r="35" spans="1:36" ht="15" customHeight="1" thickBot="1" x14ac:dyDescent="0.3">
      <c r="A35" s="66"/>
      <c r="B35" s="67"/>
      <c r="C35" s="885" t="s">
        <v>149</v>
      </c>
      <c r="D35" s="886"/>
      <c r="E35" s="887"/>
      <c r="F35" s="291">
        <f t="shared" ref="F35:R35" si="0">SUM(F3+F4+F5+F6+F7+F8+F13+F14+F15+F18+F19+F20+F21+F26+F27+F28+F29+F30+F31+F32+F33+F34)</f>
        <v>444</v>
      </c>
      <c r="G35" s="291">
        <f t="shared" si="0"/>
        <v>514</v>
      </c>
      <c r="H35" s="291">
        <f t="shared" si="0"/>
        <v>4</v>
      </c>
      <c r="I35" s="291">
        <f t="shared" si="0"/>
        <v>5</v>
      </c>
      <c r="J35" s="291">
        <f t="shared" si="0"/>
        <v>45</v>
      </c>
      <c r="K35" s="291">
        <f t="shared" si="0"/>
        <v>30</v>
      </c>
      <c r="L35" s="291">
        <f t="shared" si="0"/>
        <v>1</v>
      </c>
      <c r="M35" s="291">
        <f t="shared" si="0"/>
        <v>52</v>
      </c>
      <c r="N35" s="291">
        <f t="shared" si="0"/>
        <v>16</v>
      </c>
      <c r="O35" s="291">
        <f t="shared" si="0"/>
        <v>0</v>
      </c>
      <c r="P35" s="291">
        <f t="shared" si="0"/>
        <v>4</v>
      </c>
      <c r="Q35" s="291">
        <f t="shared" si="0"/>
        <v>6</v>
      </c>
      <c r="R35" s="291">
        <f t="shared" si="0"/>
        <v>50</v>
      </c>
      <c r="S35" s="68"/>
      <c r="T35" s="68"/>
      <c r="U35" s="68"/>
      <c r="V35" s="68"/>
      <c r="W35" s="68"/>
      <c r="X35" s="310" t="s">
        <v>173</v>
      </c>
      <c r="Y35" s="291">
        <f t="shared" ref="Y35:AJ35" si="1">SUM(Y3+Y4+Y5+Y6+Y7+Y8+Y13+Y14+Y15+Y18+Y19+Y20+Y21+Y26+Y27+Y28+Y29+Y30+Y31+Y32+Y33+Y34)</f>
        <v>22</v>
      </c>
      <c r="Z35" s="291">
        <f t="shared" si="1"/>
        <v>10</v>
      </c>
      <c r="AA35" s="291">
        <f t="shared" si="1"/>
        <v>0</v>
      </c>
      <c r="AB35" s="291">
        <f t="shared" si="1"/>
        <v>12</v>
      </c>
      <c r="AC35" s="121">
        <f t="shared" si="1"/>
        <v>11</v>
      </c>
      <c r="AD35" s="121">
        <f t="shared" si="1"/>
        <v>6</v>
      </c>
      <c r="AE35" s="121">
        <f t="shared" si="1"/>
        <v>0</v>
      </c>
      <c r="AF35" s="121">
        <f t="shared" si="1"/>
        <v>5</v>
      </c>
      <c r="AG35" s="289">
        <f t="shared" si="1"/>
        <v>11</v>
      </c>
      <c r="AH35" s="289">
        <f t="shared" si="1"/>
        <v>4</v>
      </c>
      <c r="AI35" s="289">
        <f t="shared" si="1"/>
        <v>0</v>
      </c>
      <c r="AJ35" s="289">
        <f t="shared" si="1"/>
        <v>7</v>
      </c>
    </row>
    <row r="36" spans="1:36" ht="15" customHeight="1" thickBot="1" x14ac:dyDescent="0.3">
      <c r="A36" s="68"/>
      <c r="B36" s="68"/>
      <c r="C36" s="888" t="s">
        <v>178</v>
      </c>
      <c r="D36" s="889"/>
      <c r="E36" s="890"/>
      <c r="F36" s="417">
        <f t="shared" ref="F36:R36" si="2">SUM(F9+F10+F16+F17+F22+F23)</f>
        <v>135</v>
      </c>
      <c r="G36" s="417">
        <f t="shared" si="2"/>
        <v>99</v>
      </c>
      <c r="H36" s="417">
        <f t="shared" si="2"/>
        <v>1</v>
      </c>
      <c r="I36" s="417">
        <f t="shared" si="2"/>
        <v>1</v>
      </c>
      <c r="J36" s="417">
        <f t="shared" si="2"/>
        <v>13</v>
      </c>
      <c r="K36" s="417">
        <f t="shared" si="2"/>
        <v>11</v>
      </c>
      <c r="L36" s="417">
        <f t="shared" si="2"/>
        <v>1</v>
      </c>
      <c r="M36" s="417">
        <f t="shared" si="2"/>
        <v>15</v>
      </c>
      <c r="N36" s="417">
        <f t="shared" si="2"/>
        <v>1</v>
      </c>
      <c r="O36" s="417">
        <f t="shared" si="2"/>
        <v>0</v>
      </c>
      <c r="P36" s="417">
        <f t="shared" si="2"/>
        <v>0</v>
      </c>
      <c r="Q36" s="417">
        <f t="shared" si="2"/>
        <v>2</v>
      </c>
      <c r="R36" s="417">
        <f t="shared" si="2"/>
        <v>7</v>
      </c>
      <c r="S36" s="418"/>
      <c r="T36" s="418"/>
      <c r="U36" s="418"/>
      <c r="V36" s="418"/>
      <c r="W36" s="419"/>
      <c r="X36" s="420" t="s">
        <v>178</v>
      </c>
      <c r="Y36" s="421">
        <f t="shared" ref="Y36:AJ36" si="3">SUM(Y9+Y10+Y16+Y17+Y22+Y23)</f>
        <v>6</v>
      </c>
      <c r="Z36" s="417">
        <f t="shared" si="3"/>
        <v>4</v>
      </c>
      <c r="AA36" s="417">
        <f t="shared" si="3"/>
        <v>0</v>
      </c>
      <c r="AB36" s="417">
        <f t="shared" si="3"/>
        <v>2</v>
      </c>
      <c r="AC36" s="423">
        <f t="shared" si="3"/>
        <v>3</v>
      </c>
      <c r="AD36" s="423">
        <f t="shared" si="3"/>
        <v>2</v>
      </c>
      <c r="AE36" s="423">
        <f t="shared" si="3"/>
        <v>0</v>
      </c>
      <c r="AF36" s="423">
        <f t="shared" si="3"/>
        <v>1</v>
      </c>
      <c r="AG36" s="422">
        <f t="shared" si="3"/>
        <v>3</v>
      </c>
      <c r="AH36" s="422">
        <f t="shared" si="3"/>
        <v>2</v>
      </c>
      <c r="AI36" s="422">
        <f t="shared" si="3"/>
        <v>0</v>
      </c>
      <c r="AJ36" s="422">
        <f t="shared" si="3"/>
        <v>1</v>
      </c>
    </row>
    <row r="37" spans="1:36" ht="15" customHeight="1" thickBot="1" x14ac:dyDescent="0.3">
      <c r="A37" s="68"/>
      <c r="B37" s="68"/>
      <c r="C37" s="891" t="s">
        <v>168</v>
      </c>
      <c r="D37" s="892"/>
      <c r="E37" s="893"/>
      <c r="F37" s="319">
        <f t="shared" ref="F37:R37" si="4">SUM(F11+F12+F24+F25)</f>
        <v>79</v>
      </c>
      <c r="G37" s="319">
        <f t="shared" si="4"/>
        <v>94</v>
      </c>
      <c r="H37" s="319">
        <f t="shared" si="4"/>
        <v>0</v>
      </c>
      <c r="I37" s="319">
        <f t="shared" si="4"/>
        <v>2</v>
      </c>
      <c r="J37" s="319">
        <f t="shared" si="4"/>
        <v>8</v>
      </c>
      <c r="K37" s="319">
        <f t="shared" si="4"/>
        <v>6</v>
      </c>
      <c r="L37" s="319">
        <f t="shared" si="4"/>
        <v>0</v>
      </c>
      <c r="M37" s="319">
        <f t="shared" si="4"/>
        <v>9</v>
      </c>
      <c r="N37" s="319">
        <f t="shared" si="4"/>
        <v>2</v>
      </c>
      <c r="O37" s="319">
        <f t="shared" si="4"/>
        <v>0</v>
      </c>
      <c r="P37" s="319">
        <f t="shared" si="4"/>
        <v>0</v>
      </c>
      <c r="Q37" s="319">
        <f t="shared" si="4"/>
        <v>0</v>
      </c>
      <c r="R37" s="319">
        <f t="shared" si="4"/>
        <v>10</v>
      </c>
      <c r="S37" s="321"/>
      <c r="T37" s="321"/>
      <c r="U37" s="321"/>
      <c r="V37" s="321"/>
      <c r="W37" s="329"/>
      <c r="X37" s="322" t="s">
        <v>168</v>
      </c>
      <c r="Y37" s="320">
        <f t="shared" ref="Y37:AJ37" si="5">SUM(Y11+Y12+Y24+Y25)</f>
        <v>4</v>
      </c>
      <c r="Z37" s="319">
        <f t="shared" si="5"/>
        <v>1</v>
      </c>
      <c r="AA37" s="319">
        <f t="shared" si="5"/>
        <v>0</v>
      </c>
      <c r="AB37" s="319">
        <f t="shared" si="5"/>
        <v>3</v>
      </c>
      <c r="AC37" s="324">
        <f t="shared" si="5"/>
        <v>2</v>
      </c>
      <c r="AD37" s="324">
        <f t="shared" si="5"/>
        <v>1</v>
      </c>
      <c r="AE37" s="324">
        <f t="shared" si="5"/>
        <v>0</v>
      </c>
      <c r="AF37" s="324">
        <f t="shared" si="5"/>
        <v>1</v>
      </c>
      <c r="AG37" s="323">
        <f t="shared" si="5"/>
        <v>2</v>
      </c>
      <c r="AH37" s="323">
        <f t="shared" si="5"/>
        <v>0</v>
      </c>
      <c r="AI37" s="323">
        <f t="shared" si="5"/>
        <v>0</v>
      </c>
      <c r="AJ37" s="323">
        <f t="shared" si="5"/>
        <v>2</v>
      </c>
    </row>
    <row r="38" spans="1:36" ht="15.75" thickBot="1" x14ac:dyDescent="0.3">
      <c r="B38" s="68"/>
      <c r="C38" s="458" t="s">
        <v>166</v>
      </c>
      <c r="D38" s="459"/>
      <c r="E38" s="460"/>
      <c r="F38" s="461">
        <v>0</v>
      </c>
      <c r="G38" s="461">
        <v>0</v>
      </c>
      <c r="H38" s="465">
        <v>0</v>
      </c>
      <c r="I38" s="465">
        <v>0</v>
      </c>
      <c r="J38" s="461">
        <v>0</v>
      </c>
      <c r="K38" s="461">
        <v>0</v>
      </c>
      <c r="L38" s="461">
        <v>0</v>
      </c>
      <c r="M38" s="461">
        <v>0</v>
      </c>
      <c r="N38" s="461">
        <v>0</v>
      </c>
      <c r="O38" s="461">
        <v>0</v>
      </c>
      <c r="P38" s="461">
        <v>0</v>
      </c>
      <c r="Q38" s="461">
        <v>0</v>
      </c>
      <c r="R38" s="461">
        <v>0</v>
      </c>
      <c r="S38" s="462"/>
      <c r="T38" s="462"/>
      <c r="U38" s="462"/>
      <c r="V38" s="462"/>
      <c r="W38" s="463"/>
      <c r="X38" s="464" t="s">
        <v>166</v>
      </c>
      <c r="Y38" s="465">
        <v>0</v>
      </c>
      <c r="Z38" s="461">
        <v>0</v>
      </c>
      <c r="AA38" s="461">
        <v>0</v>
      </c>
      <c r="AB38" s="461">
        <v>0</v>
      </c>
      <c r="AC38" s="468">
        <v>0</v>
      </c>
      <c r="AD38" s="469">
        <v>0</v>
      </c>
      <c r="AE38" s="469">
        <v>0</v>
      </c>
      <c r="AF38" s="469">
        <v>0</v>
      </c>
      <c r="AG38" s="466">
        <v>0</v>
      </c>
      <c r="AH38" s="467">
        <v>0</v>
      </c>
      <c r="AI38" s="467">
        <v>0</v>
      </c>
      <c r="AJ38" s="467">
        <v>0</v>
      </c>
    </row>
    <row r="39" spans="1:36" ht="15.75" thickBot="1" x14ac:dyDescent="0.3">
      <c r="A39" s="68"/>
      <c r="B39" s="68"/>
      <c r="C39" s="882" t="s">
        <v>70</v>
      </c>
      <c r="D39" s="883"/>
      <c r="E39" s="884"/>
      <c r="F39" s="293">
        <f t="shared" ref="F39:R39" si="6">SUM(F3:F34)</f>
        <v>658</v>
      </c>
      <c r="G39" s="293">
        <f t="shared" si="6"/>
        <v>707</v>
      </c>
      <c r="H39" s="292">
        <f t="shared" si="6"/>
        <v>5</v>
      </c>
      <c r="I39" s="292">
        <f t="shared" si="6"/>
        <v>8</v>
      </c>
      <c r="J39" s="293">
        <f t="shared" si="6"/>
        <v>66</v>
      </c>
      <c r="K39" s="293">
        <f t="shared" si="6"/>
        <v>47</v>
      </c>
      <c r="L39" s="293">
        <f t="shared" si="6"/>
        <v>2</v>
      </c>
      <c r="M39" s="293">
        <f t="shared" si="6"/>
        <v>76</v>
      </c>
      <c r="N39" s="293">
        <f t="shared" si="6"/>
        <v>19</v>
      </c>
      <c r="O39" s="293">
        <f t="shared" si="6"/>
        <v>0</v>
      </c>
      <c r="P39" s="293">
        <f t="shared" si="6"/>
        <v>4</v>
      </c>
      <c r="Q39" s="293">
        <f t="shared" si="6"/>
        <v>8</v>
      </c>
      <c r="R39" s="293">
        <f t="shared" si="6"/>
        <v>67</v>
      </c>
      <c r="S39" s="68"/>
      <c r="T39" s="68"/>
      <c r="U39" s="68"/>
      <c r="V39" s="68"/>
      <c r="W39" s="331"/>
      <c r="X39" s="309" t="s">
        <v>70</v>
      </c>
      <c r="Y39" s="292">
        <f t="shared" ref="Y39:AJ39" si="7">SUM(Y3:Y34)</f>
        <v>32</v>
      </c>
      <c r="Z39" s="293">
        <f t="shared" si="7"/>
        <v>15</v>
      </c>
      <c r="AA39" s="293">
        <f t="shared" si="7"/>
        <v>0</v>
      </c>
      <c r="AB39" s="293">
        <f t="shared" si="7"/>
        <v>17</v>
      </c>
      <c r="AC39" s="198">
        <f t="shared" si="7"/>
        <v>16</v>
      </c>
      <c r="AD39" s="390">
        <f t="shared" si="7"/>
        <v>9</v>
      </c>
      <c r="AE39" s="390">
        <f t="shared" si="7"/>
        <v>0</v>
      </c>
      <c r="AF39" s="390">
        <f t="shared" si="7"/>
        <v>7</v>
      </c>
      <c r="AG39" s="290">
        <f t="shared" si="7"/>
        <v>16</v>
      </c>
      <c r="AH39" s="133">
        <f t="shared" si="7"/>
        <v>6</v>
      </c>
      <c r="AI39" s="133">
        <f t="shared" si="7"/>
        <v>0</v>
      </c>
      <c r="AJ39" s="133">
        <f t="shared" si="7"/>
        <v>10</v>
      </c>
    </row>
    <row r="40" spans="1:36" x14ac:dyDescent="0.25">
      <c r="A40" s="68" t="s">
        <v>630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</row>
    <row r="41" spans="1:36" x14ac:dyDescent="0.25">
      <c r="A41" s="470" t="s">
        <v>253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</row>
    <row r="42" spans="1:36" x14ac:dyDescent="0.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</row>
    <row r="43" spans="1:36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</row>
    <row r="44" spans="1:36" x14ac:dyDescent="0.25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</row>
    <row r="45" spans="1:36" x14ac:dyDescent="0.25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</row>
    <row r="46" spans="1:36" x14ac:dyDescent="0.25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</row>
    <row r="47" spans="1:36" x14ac:dyDescent="0.25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</row>
    <row r="48" spans="1:36" x14ac:dyDescent="0.2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</row>
    <row r="49" spans="1:35" x14ac:dyDescent="0.25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</row>
    <row r="50" spans="1:35" x14ac:dyDescent="0.2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</row>
    <row r="51" spans="1:35" x14ac:dyDescent="0.25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</row>
    <row r="52" spans="1:35" x14ac:dyDescent="0.2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</row>
    <row r="53" spans="1:35" x14ac:dyDescent="0.25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</row>
    <row r="54" spans="1:35" x14ac:dyDescent="0.25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</row>
    <row r="55" spans="1:35" x14ac:dyDescent="0.25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</row>
    <row r="56" spans="1:35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</row>
    <row r="57" spans="1:35" x14ac:dyDescent="0.25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</row>
    <row r="58" spans="1:35" x14ac:dyDescent="0.25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</row>
    <row r="59" spans="1:35" x14ac:dyDescent="0.25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</row>
    <row r="60" spans="1:35" x14ac:dyDescent="0.25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</row>
    <row r="61" spans="1:35" x14ac:dyDescent="0.25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</row>
    <row r="62" spans="1:35" x14ac:dyDescent="0.25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</row>
    <row r="63" spans="1:35" x14ac:dyDescent="0.25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</row>
    <row r="64" spans="1:35" x14ac:dyDescent="0.25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</row>
    <row r="65" spans="1:35" x14ac:dyDescent="0.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</row>
    <row r="66" spans="1:35" x14ac:dyDescent="0.25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</row>
    <row r="67" spans="1:35" x14ac:dyDescent="0.25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</row>
    <row r="68" spans="1:35" x14ac:dyDescent="0.25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</row>
    <row r="69" spans="1:35" x14ac:dyDescent="0.25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</row>
    <row r="70" spans="1:35" x14ac:dyDescent="0.25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</row>
    <row r="71" spans="1:35" x14ac:dyDescent="0.25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</row>
    <row r="72" spans="1:35" x14ac:dyDescent="0.25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</row>
    <row r="73" spans="1:35" x14ac:dyDescent="0.25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</row>
    <row r="74" spans="1:35" x14ac:dyDescent="0.25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</row>
    <row r="75" spans="1:35" x14ac:dyDescent="0.25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</row>
    <row r="76" spans="1:35" x14ac:dyDescent="0.25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x14ac:dyDescent="0.25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</row>
    <row r="78" spans="1:35" x14ac:dyDescent="0.25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</row>
    <row r="79" spans="1:35" x14ac:dyDescent="0.25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</row>
    <row r="80" spans="1:35" x14ac:dyDescent="0.25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</row>
    <row r="81" spans="1:35" x14ac:dyDescent="0.25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</row>
    <row r="82" spans="1:35" x14ac:dyDescent="0.25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</row>
    <row r="83" spans="1:35" x14ac:dyDescent="0.25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</row>
    <row r="84" spans="1:35" x14ac:dyDescent="0.25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</row>
    <row r="85" spans="1:35" x14ac:dyDescent="0.25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</row>
    <row r="86" spans="1:35" x14ac:dyDescent="0.25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</row>
    <row r="87" spans="1:35" x14ac:dyDescent="0.25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</row>
    <row r="88" spans="1:35" x14ac:dyDescent="0.25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</row>
    <row r="89" spans="1:35" x14ac:dyDescent="0.25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</row>
    <row r="90" spans="1:35" x14ac:dyDescent="0.25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</row>
    <row r="91" spans="1:35" x14ac:dyDescent="0.25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</row>
    <row r="92" spans="1:35" x14ac:dyDescent="0.25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</row>
    <row r="93" spans="1:35" x14ac:dyDescent="0.25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</row>
    <row r="94" spans="1:35" x14ac:dyDescent="0.25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</row>
    <row r="95" spans="1:35" x14ac:dyDescent="0.25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</row>
    <row r="96" spans="1:35" x14ac:dyDescent="0.25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</row>
    <row r="97" spans="1:35" x14ac:dyDescent="0.25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</row>
    <row r="98" spans="1:35" x14ac:dyDescent="0.25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</row>
    <row r="99" spans="1:35" x14ac:dyDescent="0.25"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</row>
  </sheetData>
  <mergeCells count="14">
    <mergeCell ref="AR14:AS14"/>
    <mergeCell ref="C39:E39"/>
    <mergeCell ref="C37:E37"/>
    <mergeCell ref="J1:M1"/>
    <mergeCell ref="AL14:AM14"/>
    <mergeCell ref="AN14:AO14"/>
    <mergeCell ref="AP14:AQ14"/>
    <mergeCell ref="N1:O1"/>
    <mergeCell ref="P1:R1"/>
    <mergeCell ref="C35:E35"/>
    <mergeCell ref="C36:E36"/>
    <mergeCell ref="A1:D1"/>
    <mergeCell ref="E1:G1"/>
    <mergeCell ref="H1:I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45"/>
  <sheetViews>
    <sheetView workbookViewId="0">
      <pane ySplit="2" topLeftCell="A5" activePane="bottomLeft" state="frozen"/>
      <selection pane="bottomLeft" activeCell="U6" sqref="U6"/>
    </sheetView>
  </sheetViews>
  <sheetFormatPr defaultRowHeight="15" x14ac:dyDescent="0.25"/>
  <cols>
    <col min="1" max="1" width="7.7109375" customWidth="1"/>
    <col min="2" max="2" width="5.7109375" customWidth="1"/>
    <col min="3" max="3" width="14.140625" customWidth="1"/>
    <col min="4" max="5" width="3.7109375" customWidth="1"/>
    <col min="6" max="6" width="4.140625" customWidth="1"/>
    <col min="7" max="18" width="3.7109375" customWidth="1"/>
    <col min="19" max="19" width="6.28515625" customWidth="1"/>
    <col min="20" max="20" width="5.7109375" customWidth="1"/>
    <col min="21" max="21" width="17.28515625" bestFit="1" customWidth="1"/>
    <col min="22" max="22" width="20.42578125" bestFit="1" customWidth="1"/>
    <col min="23" max="23" width="19.85546875" customWidth="1"/>
    <col min="24" max="24" width="23.85546875" customWidth="1"/>
    <col min="25" max="36" width="3.7109375" customWidth="1"/>
  </cols>
  <sheetData>
    <row r="1" spans="1:37" ht="15" customHeight="1" thickBot="1" x14ac:dyDescent="0.3">
      <c r="A1" s="942" t="s">
        <v>182</v>
      </c>
      <c r="B1" s="943"/>
      <c r="C1" s="943"/>
      <c r="D1" s="944"/>
      <c r="E1" s="945" t="s">
        <v>77</v>
      </c>
      <c r="F1" s="946"/>
      <c r="G1" s="947"/>
      <c r="H1" s="945" t="s">
        <v>76</v>
      </c>
      <c r="I1" s="947"/>
      <c r="J1" s="939" t="s">
        <v>43</v>
      </c>
      <c r="K1" s="940"/>
      <c r="L1" s="940"/>
      <c r="M1" s="941"/>
      <c r="N1" s="939" t="s">
        <v>44</v>
      </c>
      <c r="O1" s="941"/>
      <c r="P1" s="939" t="s">
        <v>79</v>
      </c>
      <c r="Q1" s="940"/>
      <c r="R1" s="941"/>
      <c r="S1" s="132" t="s">
        <v>45</v>
      </c>
      <c r="T1" s="132" t="s">
        <v>46</v>
      </c>
      <c r="U1" s="126" t="s">
        <v>47</v>
      </c>
      <c r="V1" s="132" t="s">
        <v>48</v>
      </c>
      <c r="W1" s="124" t="s">
        <v>151</v>
      </c>
      <c r="X1" s="124" t="s">
        <v>115</v>
      </c>
      <c r="Y1" s="125" t="s">
        <v>71</v>
      </c>
      <c r="Z1" s="125"/>
      <c r="AA1" s="125"/>
      <c r="AB1" s="125"/>
      <c r="AC1" s="126" t="s">
        <v>72</v>
      </c>
      <c r="AD1" s="124"/>
      <c r="AE1" s="124"/>
      <c r="AF1" s="127"/>
      <c r="AG1" s="126" t="s">
        <v>73</v>
      </c>
      <c r="AH1" s="124"/>
      <c r="AI1" s="124"/>
      <c r="AJ1" s="124"/>
    </row>
    <row r="2" spans="1:37" ht="15" customHeight="1" thickBot="1" x14ac:dyDescent="0.3">
      <c r="A2" s="201" t="s">
        <v>69</v>
      </c>
      <c r="B2" s="202" t="s">
        <v>68</v>
      </c>
      <c r="C2" s="203" t="s">
        <v>67</v>
      </c>
      <c r="D2" s="203" t="s">
        <v>78</v>
      </c>
      <c r="E2" s="204" t="s">
        <v>53</v>
      </c>
      <c r="F2" s="204" t="s">
        <v>37</v>
      </c>
      <c r="G2" s="204" t="s">
        <v>38</v>
      </c>
      <c r="H2" s="205" t="s">
        <v>74</v>
      </c>
      <c r="I2" s="206" t="s">
        <v>75</v>
      </c>
      <c r="J2" s="206" t="s">
        <v>49</v>
      </c>
      <c r="K2" s="206" t="s">
        <v>50</v>
      </c>
      <c r="L2" s="206" t="s">
        <v>35</v>
      </c>
      <c r="M2" s="206" t="s">
        <v>51</v>
      </c>
      <c r="N2" s="206" t="s">
        <v>52</v>
      </c>
      <c r="O2" s="206" t="s">
        <v>53</v>
      </c>
      <c r="P2" s="206" t="s">
        <v>74</v>
      </c>
      <c r="Q2" s="206" t="s">
        <v>75</v>
      </c>
      <c r="R2" s="206" t="s">
        <v>49</v>
      </c>
      <c r="S2" s="128"/>
      <c r="T2" s="129"/>
      <c r="U2" s="130"/>
      <c r="V2" s="128"/>
      <c r="W2" s="132"/>
      <c r="X2" s="131"/>
      <c r="Y2" s="132" t="s">
        <v>33</v>
      </c>
      <c r="Z2" s="132" t="s">
        <v>34</v>
      </c>
      <c r="AA2" s="132" t="s">
        <v>35</v>
      </c>
      <c r="AB2" s="132" t="s">
        <v>36</v>
      </c>
      <c r="AC2" s="132" t="s">
        <v>33</v>
      </c>
      <c r="AD2" s="132" t="s">
        <v>34</v>
      </c>
      <c r="AE2" s="132" t="s">
        <v>35</v>
      </c>
      <c r="AF2" s="132" t="s">
        <v>36</v>
      </c>
      <c r="AG2" s="132" t="s">
        <v>33</v>
      </c>
      <c r="AH2" s="132" t="s">
        <v>34</v>
      </c>
      <c r="AI2" s="132" t="s">
        <v>35</v>
      </c>
      <c r="AJ2" s="132" t="s">
        <v>36</v>
      </c>
    </row>
    <row r="3" spans="1:37" ht="15" customHeight="1" thickBot="1" x14ac:dyDescent="0.3">
      <c r="A3" s="369" t="s">
        <v>89</v>
      </c>
      <c r="B3" s="240" t="s">
        <v>54</v>
      </c>
      <c r="C3" s="122" t="s">
        <v>66</v>
      </c>
      <c r="D3" s="123" t="s">
        <v>90</v>
      </c>
      <c r="E3" s="123" t="s">
        <v>34</v>
      </c>
      <c r="F3" s="123">
        <v>36</v>
      </c>
      <c r="G3" s="241">
        <v>17</v>
      </c>
      <c r="H3" s="244">
        <v>1</v>
      </c>
      <c r="I3" s="242">
        <v>0</v>
      </c>
      <c r="J3" s="242">
        <v>4</v>
      </c>
      <c r="K3" s="242">
        <v>2</v>
      </c>
      <c r="L3" s="242">
        <v>0</v>
      </c>
      <c r="M3" s="242">
        <v>4</v>
      </c>
      <c r="N3" s="242">
        <v>0</v>
      </c>
      <c r="O3" s="242">
        <v>0</v>
      </c>
      <c r="P3" s="242">
        <v>0</v>
      </c>
      <c r="Q3" s="242">
        <v>0</v>
      </c>
      <c r="R3" s="242">
        <v>2</v>
      </c>
      <c r="S3" s="243">
        <v>22639</v>
      </c>
      <c r="T3" s="592" t="s">
        <v>359</v>
      </c>
      <c r="U3" s="245" t="s">
        <v>360</v>
      </c>
      <c r="V3" s="243" t="s">
        <v>361</v>
      </c>
      <c r="W3" s="243" t="s">
        <v>362</v>
      </c>
      <c r="X3" s="169" t="s">
        <v>363</v>
      </c>
      <c r="Y3" s="243">
        <v>1</v>
      </c>
      <c r="Z3" s="243">
        <v>1</v>
      </c>
      <c r="AA3" s="243">
        <v>0</v>
      </c>
      <c r="AB3" s="167">
        <v>0</v>
      </c>
      <c r="AC3" s="243">
        <v>1</v>
      </c>
      <c r="AD3" s="243">
        <v>1</v>
      </c>
      <c r="AE3" s="243">
        <v>0</v>
      </c>
      <c r="AF3" s="167">
        <v>0</v>
      </c>
      <c r="AG3" s="243">
        <v>0</v>
      </c>
      <c r="AH3" s="243">
        <v>0</v>
      </c>
      <c r="AI3" s="243">
        <v>0</v>
      </c>
      <c r="AJ3" s="167">
        <v>0</v>
      </c>
    </row>
    <row r="4" spans="1:37" ht="15" customHeight="1" thickBot="1" x14ac:dyDescent="0.3">
      <c r="A4" s="256" t="s">
        <v>80</v>
      </c>
      <c r="B4" s="255" t="s">
        <v>54</v>
      </c>
      <c r="C4" s="247" t="s">
        <v>30</v>
      </c>
      <c r="D4" s="257" t="s">
        <v>38</v>
      </c>
      <c r="E4" s="257" t="s">
        <v>34</v>
      </c>
      <c r="F4" s="257">
        <v>24</v>
      </c>
      <c r="G4" s="258">
        <v>20</v>
      </c>
      <c r="H4" s="259">
        <v>0</v>
      </c>
      <c r="I4" s="260">
        <v>0</v>
      </c>
      <c r="J4" s="260">
        <v>2</v>
      </c>
      <c r="K4" s="257">
        <v>1</v>
      </c>
      <c r="L4" s="260">
        <v>0</v>
      </c>
      <c r="M4" s="257">
        <v>4</v>
      </c>
      <c r="N4" s="260">
        <v>1</v>
      </c>
      <c r="O4" s="260">
        <v>0</v>
      </c>
      <c r="P4" s="260">
        <v>0</v>
      </c>
      <c r="Q4" s="257">
        <v>1</v>
      </c>
      <c r="R4" s="260">
        <v>2</v>
      </c>
      <c r="S4" s="261">
        <v>9721</v>
      </c>
      <c r="T4" s="262" t="s">
        <v>394</v>
      </c>
      <c r="U4" s="263" t="s">
        <v>345</v>
      </c>
      <c r="V4" s="261" t="s">
        <v>393</v>
      </c>
      <c r="W4" s="261" t="s">
        <v>347</v>
      </c>
      <c r="X4" s="264" t="s">
        <v>348</v>
      </c>
      <c r="Y4" s="261">
        <v>1</v>
      </c>
      <c r="Z4" s="261">
        <v>1</v>
      </c>
      <c r="AA4" s="261">
        <v>0</v>
      </c>
      <c r="AB4" s="168">
        <v>0</v>
      </c>
      <c r="AC4" s="261">
        <v>0</v>
      </c>
      <c r="AD4" s="261">
        <v>0</v>
      </c>
      <c r="AE4" s="261">
        <v>0</v>
      </c>
      <c r="AF4" s="168">
        <v>0</v>
      </c>
      <c r="AG4" s="261">
        <v>1</v>
      </c>
      <c r="AH4" s="261">
        <v>1</v>
      </c>
      <c r="AI4" s="261">
        <v>0</v>
      </c>
      <c r="AJ4" s="168">
        <v>0</v>
      </c>
    </row>
    <row r="5" spans="1:37" ht="15" customHeight="1" thickBot="1" x14ac:dyDescent="0.3">
      <c r="A5" s="256" t="s">
        <v>108</v>
      </c>
      <c r="B5" s="255" t="s">
        <v>54</v>
      </c>
      <c r="C5" s="247" t="s">
        <v>24</v>
      </c>
      <c r="D5" s="257" t="s">
        <v>38</v>
      </c>
      <c r="E5" s="257" t="s">
        <v>36</v>
      </c>
      <c r="F5" s="257">
        <v>0</v>
      </c>
      <c r="G5" s="258">
        <v>45</v>
      </c>
      <c r="H5" s="265">
        <v>0</v>
      </c>
      <c r="I5" s="258">
        <v>0</v>
      </c>
      <c r="J5" s="260">
        <v>0</v>
      </c>
      <c r="K5" s="260">
        <v>0</v>
      </c>
      <c r="L5" s="260">
        <v>0</v>
      </c>
      <c r="M5" s="260">
        <v>0</v>
      </c>
      <c r="N5" s="260">
        <v>0</v>
      </c>
      <c r="O5" s="260">
        <v>1</v>
      </c>
      <c r="P5" s="257">
        <v>1</v>
      </c>
      <c r="Q5" s="260">
        <v>0</v>
      </c>
      <c r="R5" s="257">
        <v>5</v>
      </c>
      <c r="S5" s="261">
        <v>12817</v>
      </c>
      <c r="T5" s="516" t="s">
        <v>432</v>
      </c>
      <c r="U5" s="263" t="s">
        <v>338</v>
      </c>
      <c r="V5" s="261" t="s">
        <v>375</v>
      </c>
      <c r="W5" s="261" t="s">
        <v>340</v>
      </c>
      <c r="X5" s="261" t="s">
        <v>390</v>
      </c>
      <c r="Y5" s="261">
        <v>1</v>
      </c>
      <c r="Z5" s="261">
        <v>0</v>
      </c>
      <c r="AA5" s="261">
        <v>0</v>
      </c>
      <c r="AB5" s="168">
        <v>1</v>
      </c>
      <c r="AC5" s="261">
        <v>0</v>
      </c>
      <c r="AD5" s="261">
        <v>0</v>
      </c>
      <c r="AE5" s="261">
        <v>0</v>
      </c>
      <c r="AF5" s="168">
        <v>0</v>
      </c>
      <c r="AG5" s="261">
        <v>1</v>
      </c>
      <c r="AH5" s="261">
        <v>0</v>
      </c>
      <c r="AI5" s="261">
        <v>0</v>
      </c>
      <c r="AJ5" s="168">
        <v>1</v>
      </c>
    </row>
    <row r="6" spans="1:37" ht="15" customHeight="1" thickBot="1" x14ac:dyDescent="0.3">
      <c r="A6" s="239" t="s">
        <v>114</v>
      </c>
      <c r="B6" s="240" t="s">
        <v>54</v>
      </c>
      <c r="C6" s="122" t="s">
        <v>13</v>
      </c>
      <c r="D6" s="123" t="s">
        <v>90</v>
      </c>
      <c r="E6" s="123" t="s">
        <v>36</v>
      </c>
      <c r="F6" s="123">
        <v>19</v>
      </c>
      <c r="G6" s="241">
        <v>22</v>
      </c>
      <c r="H6" s="241">
        <v>0</v>
      </c>
      <c r="I6" s="242">
        <v>1</v>
      </c>
      <c r="J6" s="123">
        <v>1</v>
      </c>
      <c r="K6" s="123">
        <v>1</v>
      </c>
      <c r="L6" s="242">
        <v>0</v>
      </c>
      <c r="M6" s="242">
        <v>4</v>
      </c>
      <c r="N6" s="242">
        <v>1</v>
      </c>
      <c r="O6" s="242">
        <v>0</v>
      </c>
      <c r="P6" s="242">
        <v>0</v>
      </c>
      <c r="Q6" s="123">
        <v>0</v>
      </c>
      <c r="R6" s="242">
        <v>1</v>
      </c>
      <c r="S6" s="243">
        <v>21682</v>
      </c>
      <c r="T6" s="514" t="s">
        <v>444</v>
      </c>
      <c r="U6" s="245" t="s">
        <v>367</v>
      </c>
      <c r="V6" s="243" t="s">
        <v>354</v>
      </c>
      <c r="W6" s="243" t="s">
        <v>445</v>
      </c>
      <c r="X6" s="169" t="s">
        <v>347</v>
      </c>
      <c r="Y6" s="243">
        <v>1</v>
      </c>
      <c r="Z6" s="243">
        <v>0</v>
      </c>
      <c r="AA6" s="243">
        <v>0</v>
      </c>
      <c r="AB6" s="167">
        <v>1</v>
      </c>
      <c r="AC6" s="243">
        <v>1</v>
      </c>
      <c r="AD6" s="243">
        <v>0</v>
      </c>
      <c r="AE6" s="243">
        <v>0</v>
      </c>
      <c r="AF6" s="167">
        <v>1</v>
      </c>
      <c r="AG6" s="243">
        <v>0</v>
      </c>
      <c r="AH6" s="243">
        <v>0</v>
      </c>
      <c r="AI6" s="243">
        <v>0</v>
      </c>
      <c r="AJ6" s="167">
        <v>0</v>
      </c>
    </row>
    <row r="7" spans="1:37" ht="15" customHeight="1" thickBot="1" x14ac:dyDescent="0.3">
      <c r="A7" s="256" t="s">
        <v>92</v>
      </c>
      <c r="B7" s="255" t="s">
        <v>54</v>
      </c>
      <c r="C7" s="247" t="s">
        <v>26</v>
      </c>
      <c r="D7" s="257" t="s">
        <v>38</v>
      </c>
      <c r="E7" s="257" t="s">
        <v>36</v>
      </c>
      <c r="F7" s="257">
        <v>16</v>
      </c>
      <c r="G7" s="258">
        <v>33</v>
      </c>
      <c r="H7" s="259">
        <v>0</v>
      </c>
      <c r="I7" s="257">
        <v>0</v>
      </c>
      <c r="J7" s="260">
        <v>1</v>
      </c>
      <c r="K7" s="260">
        <v>1</v>
      </c>
      <c r="L7" s="260">
        <v>0</v>
      </c>
      <c r="M7" s="260">
        <v>3</v>
      </c>
      <c r="N7" s="260">
        <v>1</v>
      </c>
      <c r="O7" s="260">
        <v>0</v>
      </c>
      <c r="P7" s="260">
        <v>0</v>
      </c>
      <c r="Q7" s="260">
        <v>0</v>
      </c>
      <c r="R7" s="260">
        <v>3</v>
      </c>
      <c r="S7" s="261">
        <v>15127</v>
      </c>
      <c r="T7" s="516" t="s">
        <v>469</v>
      </c>
      <c r="U7" s="263" t="s">
        <v>353</v>
      </c>
      <c r="V7" s="261" t="s">
        <v>339</v>
      </c>
      <c r="W7" s="261" t="s">
        <v>369</v>
      </c>
      <c r="X7" s="264" t="s">
        <v>376</v>
      </c>
      <c r="Y7" s="261">
        <v>1</v>
      </c>
      <c r="Z7" s="261">
        <v>0</v>
      </c>
      <c r="AA7" s="261">
        <v>0</v>
      </c>
      <c r="AB7" s="168">
        <v>1</v>
      </c>
      <c r="AC7" s="261">
        <v>0</v>
      </c>
      <c r="AD7" s="261">
        <v>0</v>
      </c>
      <c r="AE7" s="261">
        <v>0</v>
      </c>
      <c r="AF7" s="168">
        <v>0</v>
      </c>
      <c r="AG7" s="261">
        <v>1</v>
      </c>
      <c r="AH7" s="261">
        <v>0</v>
      </c>
      <c r="AI7" s="261">
        <v>0</v>
      </c>
      <c r="AJ7" s="168">
        <v>1</v>
      </c>
    </row>
    <row r="8" spans="1:37" ht="15" customHeight="1" thickBot="1" x14ac:dyDescent="0.3">
      <c r="A8" s="239" t="s">
        <v>206</v>
      </c>
      <c r="B8" s="240" t="s">
        <v>54</v>
      </c>
      <c r="C8" s="122" t="s">
        <v>10</v>
      </c>
      <c r="D8" s="123" t="s">
        <v>90</v>
      </c>
      <c r="E8" s="123" t="s">
        <v>34</v>
      </c>
      <c r="F8" s="123">
        <v>22</v>
      </c>
      <c r="G8" s="241">
        <v>16</v>
      </c>
      <c r="H8" s="244">
        <v>0</v>
      </c>
      <c r="I8" s="123">
        <v>0</v>
      </c>
      <c r="J8" s="242">
        <v>1</v>
      </c>
      <c r="K8" s="242">
        <v>1</v>
      </c>
      <c r="L8" s="242">
        <v>0</v>
      </c>
      <c r="M8" s="242">
        <v>5</v>
      </c>
      <c r="N8" s="242">
        <v>0</v>
      </c>
      <c r="O8" s="242">
        <v>0</v>
      </c>
      <c r="P8" s="242">
        <v>0</v>
      </c>
      <c r="Q8" s="242">
        <v>1</v>
      </c>
      <c r="R8" s="242">
        <v>1</v>
      </c>
      <c r="S8" s="243">
        <v>21510</v>
      </c>
      <c r="T8" s="592" t="s">
        <v>479</v>
      </c>
      <c r="U8" s="245" t="s">
        <v>452</v>
      </c>
      <c r="V8" s="243" t="s">
        <v>393</v>
      </c>
      <c r="W8" s="243" t="s">
        <v>362</v>
      </c>
      <c r="X8" s="169" t="s">
        <v>340</v>
      </c>
      <c r="Y8" s="243">
        <v>1</v>
      </c>
      <c r="Z8" s="243">
        <v>1</v>
      </c>
      <c r="AA8" s="243">
        <v>0</v>
      </c>
      <c r="AB8" s="167">
        <v>0</v>
      </c>
      <c r="AC8" s="243">
        <v>1</v>
      </c>
      <c r="AD8" s="243">
        <v>1</v>
      </c>
      <c r="AE8" s="243">
        <v>0</v>
      </c>
      <c r="AF8" s="167">
        <v>0</v>
      </c>
      <c r="AG8" s="243">
        <v>0</v>
      </c>
      <c r="AH8" s="243">
        <v>0</v>
      </c>
      <c r="AI8" s="243">
        <v>0</v>
      </c>
      <c r="AJ8" s="167">
        <v>0</v>
      </c>
    </row>
    <row r="9" spans="1:37" ht="15" customHeight="1" thickBot="1" x14ac:dyDescent="0.3">
      <c r="A9" s="402" t="s">
        <v>107</v>
      </c>
      <c r="B9" s="403" t="s">
        <v>161</v>
      </c>
      <c r="C9" s="404" t="s">
        <v>225</v>
      </c>
      <c r="D9" s="405" t="s">
        <v>90</v>
      </c>
      <c r="E9" s="405" t="s">
        <v>34</v>
      </c>
      <c r="F9" s="405">
        <v>25</v>
      </c>
      <c r="G9" s="406">
        <v>18</v>
      </c>
      <c r="H9" s="407">
        <v>0</v>
      </c>
      <c r="I9" s="408">
        <v>0</v>
      </c>
      <c r="J9" s="408">
        <v>3</v>
      </c>
      <c r="K9" s="408">
        <v>2</v>
      </c>
      <c r="L9" s="408">
        <v>0</v>
      </c>
      <c r="M9" s="408">
        <v>2</v>
      </c>
      <c r="N9" s="408">
        <v>0</v>
      </c>
      <c r="O9" s="408">
        <v>0</v>
      </c>
      <c r="P9" s="408">
        <v>0</v>
      </c>
      <c r="Q9" s="405">
        <v>1</v>
      </c>
      <c r="R9" s="408">
        <v>2</v>
      </c>
      <c r="S9" s="409">
        <v>19943</v>
      </c>
      <c r="T9" s="642" t="s">
        <v>521</v>
      </c>
      <c r="U9" s="411" t="s">
        <v>522</v>
      </c>
      <c r="V9" s="409" t="s">
        <v>523</v>
      </c>
      <c r="W9" s="409" t="s">
        <v>524</v>
      </c>
      <c r="X9" s="412" t="s">
        <v>525</v>
      </c>
      <c r="Y9" s="409">
        <v>1</v>
      </c>
      <c r="Z9" s="409">
        <v>1</v>
      </c>
      <c r="AA9" s="409">
        <v>0</v>
      </c>
      <c r="AB9" s="413">
        <v>0</v>
      </c>
      <c r="AC9" s="409">
        <v>1</v>
      </c>
      <c r="AD9" s="409">
        <v>1</v>
      </c>
      <c r="AE9" s="409">
        <v>0</v>
      </c>
      <c r="AF9" s="413">
        <v>0</v>
      </c>
      <c r="AG9" s="409">
        <v>0</v>
      </c>
      <c r="AH9" s="409">
        <v>0</v>
      </c>
      <c r="AI9" s="409">
        <v>0</v>
      </c>
      <c r="AJ9" s="413">
        <v>0</v>
      </c>
    </row>
    <row r="10" spans="1:37" ht="15" customHeight="1" thickBot="1" x14ac:dyDescent="0.3">
      <c r="A10" s="391" t="s">
        <v>93</v>
      </c>
      <c r="B10" s="392" t="s">
        <v>161</v>
      </c>
      <c r="C10" s="414" t="s">
        <v>230</v>
      </c>
      <c r="D10" s="394" t="s">
        <v>38</v>
      </c>
      <c r="E10" s="394" t="s">
        <v>36</v>
      </c>
      <c r="F10" s="394">
        <v>3</v>
      </c>
      <c r="G10" s="395">
        <v>15</v>
      </c>
      <c r="H10" s="396">
        <v>0</v>
      </c>
      <c r="I10" s="397">
        <v>0</v>
      </c>
      <c r="J10" s="397">
        <v>0</v>
      </c>
      <c r="K10" s="397">
        <v>0</v>
      </c>
      <c r="L10" s="397">
        <v>0</v>
      </c>
      <c r="M10" s="397">
        <v>1</v>
      </c>
      <c r="N10" s="397">
        <v>0</v>
      </c>
      <c r="O10" s="397">
        <v>0</v>
      </c>
      <c r="P10" s="397">
        <v>0</v>
      </c>
      <c r="Q10" s="394">
        <v>0</v>
      </c>
      <c r="R10" s="397">
        <v>2</v>
      </c>
      <c r="S10" s="398">
        <v>8235</v>
      </c>
      <c r="T10" s="643" t="s">
        <v>565</v>
      </c>
      <c r="U10" s="399" t="s">
        <v>517</v>
      </c>
      <c r="V10" s="398" t="s">
        <v>566</v>
      </c>
      <c r="W10" s="398" t="s">
        <v>561</v>
      </c>
      <c r="X10" s="400" t="s">
        <v>519</v>
      </c>
      <c r="Y10" s="398">
        <v>1</v>
      </c>
      <c r="Z10" s="398">
        <v>0</v>
      </c>
      <c r="AA10" s="398">
        <v>0</v>
      </c>
      <c r="AB10" s="401">
        <v>1</v>
      </c>
      <c r="AC10" s="398">
        <v>0</v>
      </c>
      <c r="AD10" s="398">
        <v>0</v>
      </c>
      <c r="AE10" s="398">
        <v>0</v>
      </c>
      <c r="AF10" s="401">
        <v>0</v>
      </c>
      <c r="AG10" s="398">
        <v>1</v>
      </c>
      <c r="AH10" s="398">
        <v>0</v>
      </c>
      <c r="AI10" s="398">
        <v>0</v>
      </c>
      <c r="AJ10" s="401">
        <v>1</v>
      </c>
    </row>
    <row r="11" spans="1:37" ht="15" customHeight="1" thickBot="1" x14ac:dyDescent="0.3">
      <c r="A11" s="251" t="s">
        <v>94</v>
      </c>
      <c r="B11" s="252" t="s">
        <v>96</v>
      </c>
      <c r="C11" s="253" t="s">
        <v>13</v>
      </c>
      <c r="D11" s="269" t="s">
        <v>38</v>
      </c>
      <c r="E11" s="269" t="s">
        <v>34</v>
      </c>
      <c r="F11" s="269">
        <v>17</v>
      </c>
      <c r="G11" s="275">
        <v>16</v>
      </c>
      <c r="H11" s="268">
        <v>0</v>
      </c>
      <c r="I11" s="267">
        <v>0</v>
      </c>
      <c r="J11" s="267">
        <v>2</v>
      </c>
      <c r="K11" s="267">
        <v>2</v>
      </c>
      <c r="L11" s="267">
        <v>0</v>
      </c>
      <c r="M11" s="267">
        <v>1</v>
      </c>
      <c r="N11" s="267">
        <v>2</v>
      </c>
      <c r="O11" s="267">
        <v>0</v>
      </c>
      <c r="P11" s="267">
        <v>0</v>
      </c>
      <c r="Q11" s="269">
        <v>1</v>
      </c>
      <c r="R11" s="267">
        <v>1</v>
      </c>
      <c r="S11" s="294">
        <v>5131</v>
      </c>
      <c r="T11" s="646" t="s">
        <v>603</v>
      </c>
      <c r="U11" s="296" t="s">
        <v>601</v>
      </c>
      <c r="V11" s="297" t="s">
        <v>510</v>
      </c>
      <c r="W11" s="272" t="s">
        <v>602</v>
      </c>
      <c r="X11" s="273" t="s">
        <v>347</v>
      </c>
      <c r="Y11" s="272">
        <v>1</v>
      </c>
      <c r="Z11" s="272">
        <v>1</v>
      </c>
      <c r="AA11" s="272">
        <v>0</v>
      </c>
      <c r="AB11" s="274">
        <v>0</v>
      </c>
      <c r="AC11" s="272">
        <v>0</v>
      </c>
      <c r="AD11" s="272">
        <v>0</v>
      </c>
      <c r="AE11" s="272">
        <v>0</v>
      </c>
      <c r="AF11" s="274">
        <v>0</v>
      </c>
      <c r="AG11" s="272">
        <v>1</v>
      </c>
      <c r="AH11" s="272">
        <v>1</v>
      </c>
      <c r="AI11" s="272">
        <v>0</v>
      </c>
      <c r="AJ11" s="274">
        <v>0</v>
      </c>
    </row>
    <row r="12" spans="1:37" ht="15" customHeight="1" thickBot="1" x14ac:dyDescent="0.3">
      <c r="A12" s="248" t="s">
        <v>251</v>
      </c>
      <c r="B12" s="249" t="s">
        <v>96</v>
      </c>
      <c r="C12" s="250" t="s">
        <v>29</v>
      </c>
      <c r="D12" s="283" t="s">
        <v>90</v>
      </c>
      <c r="E12" s="283" t="s">
        <v>34</v>
      </c>
      <c r="F12" s="283">
        <v>29</v>
      </c>
      <c r="G12" s="284">
        <v>13</v>
      </c>
      <c r="H12" s="277">
        <v>1</v>
      </c>
      <c r="I12" s="276">
        <v>0</v>
      </c>
      <c r="J12" s="276">
        <v>4</v>
      </c>
      <c r="K12" s="276">
        <v>3</v>
      </c>
      <c r="L12" s="276">
        <v>0</v>
      </c>
      <c r="M12" s="276">
        <v>1</v>
      </c>
      <c r="N12" s="276">
        <v>1</v>
      </c>
      <c r="O12" s="276">
        <v>0</v>
      </c>
      <c r="P12" s="276">
        <v>0</v>
      </c>
      <c r="Q12" s="283">
        <v>0</v>
      </c>
      <c r="R12" s="276">
        <v>1</v>
      </c>
      <c r="S12" s="278">
        <v>17739</v>
      </c>
      <c r="T12" s="650" t="s">
        <v>544</v>
      </c>
      <c r="U12" s="279" t="s">
        <v>624</v>
      </c>
      <c r="V12" s="278" t="s">
        <v>361</v>
      </c>
      <c r="W12" s="278" t="s">
        <v>387</v>
      </c>
      <c r="X12" s="280" t="s">
        <v>348</v>
      </c>
      <c r="Y12" s="278">
        <v>1</v>
      </c>
      <c r="Z12" s="278">
        <v>1</v>
      </c>
      <c r="AA12" s="278">
        <v>0</v>
      </c>
      <c r="AB12" s="281">
        <v>0</v>
      </c>
      <c r="AC12" s="278">
        <v>1</v>
      </c>
      <c r="AD12" s="278">
        <v>1</v>
      </c>
      <c r="AE12" s="278">
        <v>0</v>
      </c>
      <c r="AF12" s="281">
        <v>0</v>
      </c>
      <c r="AG12" s="278">
        <v>0</v>
      </c>
      <c r="AH12" s="278">
        <v>0</v>
      </c>
      <c r="AI12" s="278">
        <v>0</v>
      </c>
      <c r="AJ12" s="281">
        <v>0</v>
      </c>
    </row>
    <row r="13" spans="1:37" ht="15" customHeight="1" thickBot="1" x14ac:dyDescent="0.3">
      <c r="A13" s="239" t="s">
        <v>214</v>
      </c>
      <c r="B13" s="240" t="s">
        <v>54</v>
      </c>
      <c r="C13" s="122" t="s">
        <v>21</v>
      </c>
      <c r="D13" s="123" t="s">
        <v>90</v>
      </c>
      <c r="E13" s="123" t="s">
        <v>35</v>
      </c>
      <c r="F13" s="123">
        <v>21</v>
      </c>
      <c r="G13" s="241">
        <v>21</v>
      </c>
      <c r="H13" s="244">
        <v>0</v>
      </c>
      <c r="I13" s="242">
        <v>0</v>
      </c>
      <c r="J13" s="242">
        <v>0</v>
      </c>
      <c r="K13" s="242">
        <v>0</v>
      </c>
      <c r="L13" s="242">
        <v>0</v>
      </c>
      <c r="M13" s="242">
        <v>7</v>
      </c>
      <c r="N13" s="242">
        <v>0</v>
      </c>
      <c r="O13" s="242">
        <v>0</v>
      </c>
      <c r="P13" s="242">
        <v>0</v>
      </c>
      <c r="Q13" s="123">
        <v>0</v>
      </c>
      <c r="R13" s="242">
        <v>0</v>
      </c>
      <c r="S13" s="243">
        <v>21680</v>
      </c>
      <c r="T13" s="514" t="s">
        <v>617</v>
      </c>
      <c r="U13" s="245" t="s">
        <v>452</v>
      </c>
      <c r="V13" s="243" t="s">
        <v>339</v>
      </c>
      <c r="W13" s="243" t="s">
        <v>363</v>
      </c>
      <c r="X13" s="169" t="s">
        <v>356</v>
      </c>
      <c r="Y13" s="243">
        <v>1</v>
      </c>
      <c r="Z13" s="243">
        <v>0</v>
      </c>
      <c r="AA13" s="243">
        <v>1</v>
      </c>
      <c r="AB13" s="167">
        <v>0</v>
      </c>
      <c r="AC13" s="243">
        <v>1</v>
      </c>
      <c r="AD13" s="243">
        <v>0</v>
      </c>
      <c r="AE13" s="243">
        <v>1</v>
      </c>
      <c r="AF13" s="167">
        <v>0</v>
      </c>
      <c r="AG13" s="243">
        <v>0</v>
      </c>
      <c r="AH13" s="243">
        <v>0</v>
      </c>
      <c r="AI13" s="243">
        <v>0</v>
      </c>
      <c r="AJ13" s="167">
        <v>0</v>
      </c>
    </row>
    <row r="14" spans="1:37" ht="15" customHeight="1" thickBot="1" x14ac:dyDescent="0.3">
      <c r="A14" s="256" t="s">
        <v>207</v>
      </c>
      <c r="B14" s="255" t="s">
        <v>54</v>
      </c>
      <c r="C14" s="247" t="s">
        <v>190</v>
      </c>
      <c r="D14" s="257" t="s">
        <v>38</v>
      </c>
      <c r="E14" s="257" t="s">
        <v>34</v>
      </c>
      <c r="F14" s="257">
        <v>26</v>
      </c>
      <c r="G14" s="258">
        <v>5</v>
      </c>
      <c r="H14" s="258">
        <v>1</v>
      </c>
      <c r="I14" s="260">
        <v>0</v>
      </c>
      <c r="J14" s="260">
        <v>4</v>
      </c>
      <c r="K14" s="260">
        <v>3</v>
      </c>
      <c r="L14" s="260">
        <v>0</v>
      </c>
      <c r="M14" s="260">
        <v>0</v>
      </c>
      <c r="N14" s="260">
        <v>0</v>
      </c>
      <c r="O14" s="260">
        <v>0</v>
      </c>
      <c r="P14" s="260">
        <v>0</v>
      </c>
      <c r="Q14" s="257">
        <v>0</v>
      </c>
      <c r="R14" s="260">
        <v>1</v>
      </c>
      <c r="S14" s="261">
        <v>3249</v>
      </c>
      <c r="T14" s="590" t="s">
        <v>665</v>
      </c>
      <c r="U14" s="263" t="s">
        <v>374</v>
      </c>
      <c r="V14" s="261" t="s">
        <v>361</v>
      </c>
      <c r="W14" s="261" t="s">
        <v>348</v>
      </c>
      <c r="X14" s="264" t="s">
        <v>445</v>
      </c>
      <c r="Y14" s="261">
        <v>1</v>
      </c>
      <c r="Z14" s="261">
        <v>1</v>
      </c>
      <c r="AA14" s="261">
        <v>0</v>
      </c>
      <c r="AB14" s="168">
        <v>0</v>
      </c>
      <c r="AC14" s="261">
        <v>0</v>
      </c>
      <c r="AD14" s="261">
        <v>0</v>
      </c>
      <c r="AE14" s="261">
        <v>0</v>
      </c>
      <c r="AF14" s="168">
        <v>0</v>
      </c>
      <c r="AG14" s="261">
        <v>1</v>
      </c>
      <c r="AH14" s="261">
        <v>1</v>
      </c>
      <c r="AI14" s="261">
        <v>0</v>
      </c>
      <c r="AJ14" s="168">
        <v>0</v>
      </c>
    </row>
    <row r="15" spans="1:37" ht="15" customHeight="1" thickBot="1" x14ac:dyDescent="0.3">
      <c r="A15" s="239" t="s">
        <v>154</v>
      </c>
      <c r="B15" s="240" t="s">
        <v>54</v>
      </c>
      <c r="C15" s="122" t="s">
        <v>189</v>
      </c>
      <c r="D15" s="123" t="s">
        <v>90</v>
      </c>
      <c r="E15" s="123" t="s">
        <v>34</v>
      </c>
      <c r="F15" s="123">
        <v>18</v>
      </c>
      <c r="G15" s="241">
        <v>16</v>
      </c>
      <c r="H15" s="244">
        <v>0</v>
      </c>
      <c r="I15" s="242">
        <v>0</v>
      </c>
      <c r="J15" s="242">
        <v>0</v>
      </c>
      <c r="K15" s="242">
        <v>0</v>
      </c>
      <c r="L15" s="242">
        <v>0</v>
      </c>
      <c r="M15" s="242">
        <v>6</v>
      </c>
      <c r="N15" s="123">
        <v>0</v>
      </c>
      <c r="O15" s="242">
        <v>0</v>
      </c>
      <c r="P15" s="242">
        <v>0</v>
      </c>
      <c r="Q15" s="123">
        <v>1</v>
      </c>
      <c r="R15" s="242">
        <v>1</v>
      </c>
      <c r="S15" s="243">
        <v>21907</v>
      </c>
      <c r="T15" s="592" t="s">
        <v>673</v>
      </c>
      <c r="U15" s="245" t="s">
        <v>360</v>
      </c>
      <c r="V15" s="243" t="s">
        <v>393</v>
      </c>
      <c r="W15" s="243" t="s">
        <v>601</v>
      </c>
      <c r="X15" s="169" t="s">
        <v>445</v>
      </c>
      <c r="Y15" s="243">
        <v>1</v>
      </c>
      <c r="Z15" s="243">
        <v>1</v>
      </c>
      <c r="AA15" s="243">
        <v>0</v>
      </c>
      <c r="AB15" s="167">
        <v>0</v>
      </c>
      <c r="AC15" s="243">
        <v>1</v>
      </c>
      <c r="AD15" s="243">
        <v>1</v>
      </c>
      <c r="AE15" s="243">
        <v>0</v>
      </c>
      <c r="AF15" s="167">
        <v>0</v>
      </c>
      <c r="AG15" s="243">
        <v>0</v>
      </c>
      <c r="AH15" s="243">
        <v>0</v>
      </c>
      <c r="AI15" s="243">
        <v>0</v>
      </c>
      <c r="AJ15" s="167">
        <v>0</v>
      </c>
    </row>
    <row r="16" spans="1:37" ht="15" customHeight="1" thickBot="1" x14ac:dyDescent="0.3">
      <c r="A16" s="402" t="s">
        <v>697</v>
      </c>
      <c r="B16" s="403" t="s">
        <v>161</v>
      </c>
      <c r="C16" s="404" t="s">
        <v>232</v>
      </c>
      <c r="D16" s="405" t="s">
        <v>90</v>
      </c>
      <c r="E16" s="405" t="s">
        <v>34</v>
      </c>
      <c r="F16" s="405">
        <v>25</v>
      </c>
      <c r="G16" s="406">
        <v>21</v>
      </c>
      <c r="H16" s="407">
        <v>0</v>
      </c>
      <c r="I16" s="408">
        <v>0</v>
      </c>
      <c r="J16" s="408">
        <v>1</v>
      </c>
      <c r="K16" s="408">
        <v>1</v>
      </c>
      <c r="L16" s="408">
        <v>0</v>
      </c>
      <c r="M16" s="408">
        <v>6</v>
      </c>
      <c r="N16" s="408">
        <v>0</v>
      </c>
      <c r="O16" s="408">
        <v>0</v>
      </c>
      <c r="P16" s="408">
        <v>0</v>
      </c>
      <c r="Q16" s="405">
        <v>1</v>
      </c>
      <c r="R16" s="408">
        <v>2</v>
      </c>
      <c r="S16" s="441">
        <v>22114</v>
      </c>
      <c r="T16" s="519" t="s">
        <v>699</v>
      </c>
      <c r="U16" s="411" t="s">
        <v>531</v>
      </c>
      <c r="V16" s="409" t="s">
        <v>533</v>
      </c>
      <c r="W16" s="409" t="s">
        <v>554</v>
      </c>
      <c r="X16" s="412" t="s">
        <v>700</v>
      </c>
      <c r="Y16" s="409">
        <v>1</v>
      </c>
      <c r="Z16" s="409">
        <v>1</v>
      </c>
      <c r="AA16" s="409">
        <v>0</v>
      </c>
      <c r="AB16" s="413">
        <v>0</v>
      </c>
      <c r="AC16" s="409">
        <v>1</v>
      </c>
      <c r="AD16" s="409">
        <v>1</v>
      </c>
      <c r="AE16" s="409">
        <v>0</v>
      </c>
      <c r="AF16" s="413">
        <v>0</v>
      </c>
      <c r="AG16" s="409">
        <v>0</v>
      </c>
      <c r="AH16" s="409">
        <v>0</v>
      </c>
      <c r="AI16" s="409">
        <v>0</v>
      </c>
      <c r="AJ16" s="413">
        <v>0</v>
      </c>
      <c r="AK16" s="227"/>
    </row>
    <row r="17" spans="1:37" ht="15" customHeight="1" thickBot="1" x14ac:dyDescent="0.3">
      <c r="A17" s="391" t="s">
        <v>122</v>
      </c>
      <c r="B17" s="392" t="s">
        <v>161</v>
      </c>
      <c r="C17" s="414" t="s">
        <v>232</v>
      </c>
      <c r="D17" s="394" t="s">
        <v>38</v>
      </c>
      <c r="E17" s="394" t="s">
        <v>36</v>
      </c>
      <c r="F17" s="394">
        <v>8</v>
      </c>
      <c r="G17" s="395">
        <v>23</v>
      </c>
      <c r="H17" s="396">
        <v>0</v>
      </c>
      <c r="I17" s="397">
        <v>0</v>
      </c>
      <c r="J17" s="397">
        <v>1</v>
      </c>
      <c r="K17" s="397">
        <v>0</v>
      </c>
      <c r="L17" s="397">
        <v>0</v>
      </c>
      <c r="M17" s="397">
        <v>1</v>
      </c>
      <c r="N17" s="397">
        <v>0</v>
      </c>
      <c r="O17" s="397">
        <v>0</v>
      </c>
      <c r="P17" s="397">
        <v>0</v>
      </c>
      <c r="Q17" s="397">
        <v>0</v>
      </c>
      <c r="R17" s="397">
        <v>2</v>
      </c>
      <c r="S17" s="398">
        <v>15045</v>
      </c>
      <c r="T17" s="523" t="s">
        <v>709</v>
      </c>
      <c r="U17" s="399" t="s">
        <v>536</v>
      </c>
      <c r="V17" s="398" t="s">
        <v>566</v>
      </c>
      <c r="W17" s="398" t="s">
        <v>518</v>
      </c>
      <c r="X17" s="400" t="s">
        <v>710</v>
      </c>
      <c r="Y17" s="398">
        <v>1</v>
      </c>
      <c r="Z17" s="398">
        <v>0</v>
      </c>
      <c r="AA17" s="398">
        <v>0</v>
      </c>
      <c r="AB17" s="401">
        <v>1</v>
      </c>
      <c r="AC17" s="398">
        <v>0</v>
      </c>
      <c r="AD17" s="398">
        <v>0</v>
      </c>
      <c r="AE17" s="398">
        <v>0</v>
      </c>
      <c r="AF17" s="401">
        <v>0</v>
      </c>
      <c r="AG17" s="398">
        <v>1</v>
      </c>
      <c r="AH17" s="398">
        <v>0</v>
      </c>
      <c r="AI17" s="398">
        <v>0</v>
      </c>
      <c r="AJ17" s="401">
        <v>1</v>
      </c>
      <c r="AK17" s="227"/>
    </row>
    <row r="18" spans="1:37" ht="15" customHeight="1" thickBot="1" x14ac:dyDescent="0.3">
      <c r="A18" s="256" t="s">
        <v>104</v>
      </c>
      <c r="B18" s="255" t="s">
        <v>54</v>
      </c>
      <c r="C18" s="247" t="s">
        <v>27</v>
      </c>
      <c r="D18" s="257" t="s">
        <v>38</v>
      </c>
      <c r="E18" s="257" t="s">
        <v>36</v>
      </c>
      <c r="F18" s="257">
        <v>19</v>
      </c>
      <c r="G18" s="258">
        <v>23</v>
      </c>
      <c r="H18" s="259">
        <v>0</v>
      </c>
      <c r="I18" s="260">
        <v>1</v>
      </c>
      <c r="J18" s="260">
        <v>3</v>
      </c>
      <c r="K18" s="260">
        <v>2</v>
      </c>
      <c r="L18" s="260">
        <v>0</v>
      </c>
      <c r="M18" s="260">
        <v>0</v>
      </c>
      <c r="N18" s="260">
        <v>1</v>
      </c>
      <c r="O18" s="260">
        <v>0</v>
      </c>
      <c r="P18" s="260">
        <v>0</v>
      </c>
      <c r="Q18" s="260">
        <v>0</v>
      </c>
      <c r="R18" s="260">
        <v>3</v>
      </c>
      <c r="S18" s="261">
        <v>13362</v>
      </c>
      <c r="T18" s="590" t="s">
        <v>724</v>
      </c>
      <c r="U18" s="263" t="s">
        <v>345</v>
      </c>
      <c r="V18" s="261" t="s">
        <v>339</v>
      </c>
      <c r="W18" s="261" t="s">
        <v>356</v>
      </c>
      <c r="X18" s="264" t="s">
        <v>452</v>
      </c>
      <c r="Y18" s="261">
        <v>1</v>
      </c>
      <c r="Z18" s="261">
        <v>0</v>
      </c>
      <c r="AA18" s="261">
        <v>0</v>
      </c>
      <c r="AB18" s="168">
        <v>1</v>
      </c>
      <c r="AC18" s="261">
        <v>0</v>
      </c>
      <c r="AD18" s="261">
        <v>0</v>
      </c>
      <c r="AE18" s="261">
        <v>0</v>
      </c>
      <c r="AF18" s="168">
        <v>0</v>
      </c>
      <c r="AG18" s="261">
        <v>1</v>
      </c>
      <c r="AH18" s="261">
        <v>0</v>
      </c>
      <c r="AI18" s="261">
        <v>0</v>
      </c>
      <c r="AJ18" s="168">
        <v>1</v>
      </c>
    </row>
    <row r="19" spans="1:37" ht="15" customHeight="1" thickBot="1" x14ac:dyDescent="0.3">
      <c r="A19" s="256" t="s">
        <v>98</v>
      </c>
      <c r="B19" s="255" t="s">
        <v>54</v>
      </c>
      <c r="C19" s="247" t="s">
        <v>29</v>
      </c>
      <c r="D19" s="257" t="s">
        <v>38</v>
      </c>
      <c r="E19" s="257" t="s">
        <v>34</v>
      </c>
      <c r="F19" s="257">
        <v>32</v>
      </c>
      <c r="G19" s="258">
        <v>30</v>
      </c>
      <c r="H19" s="259">
        <v>1</v>
      </c>
      <c r="I19" s="260">
        <v>0</v>
      </c>
      <c r="J19" s="260">
        <v>4</v>
      </c>
      <c r="K19" s="260">
        <v>3</v>
      </c>
      <c r="L19" s="260">
        <v>0</v>
      </c>
      <c r="M19" s="260">
        <v>2</v>
      </c>
      <c r="N19" s="260">
        <v>1</v>
      </c>
      <c r="O19" s="260">
        <v>0</v>
      </c>
      <c r="P19" s="260">
        <v>1</v>
      </c>
      <c r="Q19" s="260">
        <v>1</v>
      </c>
      <c r="R19" s="260">
        <v>4</v>
      </c>
      <c r="S19" s="668">
        <v>11247</v>
      </c>
      <c r="T19" s="669" t="s">
        <v>763</v>
      </c>
      <c r="U19" s="263" t="s">
        <v>452</v>
      </c>
      <c r="V19" s="261" t="s">
        <v>361</v>
      </c>
      <c r="W19" s="261" t="s">
        <v>445</v>
      </c>
      <c r="X19" s="264" t="s">
        <v>356</v>
      </c>
      <c r="Y19" s="261">
        <v>1</v>
      </c>
      <c r="Z19" s="261">
        <v>1</v>
      </c>
      <c r="AA19" s="261">
        <v>0</v>
      </c>
      <c r="AB19" s="168">
        <v>0</v>
      </c>
      <c r="AC19" s="261">
        <v>0</v>
      </c>
      <c r="AD19" s="261">
        <v>0</v>
      </c>
      <c r="AE19" s="261">
        <v>0</v>
      </c>
      <c r="AF19" s="168">
        <v>0</v>
      </c>
      <c r="AG19" s="261">
        <v>1</v>
      </c>
      <c r="AH19" s="261">
        <v>1</v>
      </c>
      <c r="AI19" s="261">
        <v>0</v>
      </c>
      <c r="AJ19" s="168">
        <v>0</v>
      </c>
    </row>
    <row r="20" spans="1:37" ht="15" customHeight="1" thickBot="1" x14ac:dyDescent="0.3">
      <c r="A20" s="239" t="s">
        <v>216</v>
      </c>
      <c r="B20" s="240" t="s">
        <v>54</v>
      </c>
      <c r="C20" s="122" t="s">
        <v>24</v>
      </c>
      <c r="D20" s="123" t="s">
        <v>90</v>
      </c>
      <c r="E20" s="123" t="s">
        <v>34</v>
      </c>
      <c r="F20" s="123">
        <v>17</v>
      </c>
      <c r="G20" s="241">
        <v>8</v>
      </c>
      <c r="H20" s="244">
        <v>0</v>
      </c>
      <c r="I20" s="242">
        <v>0</v>
      </c>
      <c r="J20" s="242">
        <v>1</v>
      </c>
      <c r="K20" s="242">
        <v>0</v>
      </c>
      <c r="L20" s="242">
        <v>0</v>
      </c>
      <c r="M20" s="242">
        <v>4</v>
      </c>
      <c r="N20" s="242">
        <v>0</v>
      </c>
      <c r="O20" s="242">
        <v>0</v>
      </c>
      <c r="P20" s="242">
        <v>0</v>
      </c>
      <c r="Q20" s="242">
        <v>0</v>
      </c>
      <c r="R20" s="242">
        <v>1</v>
      </c>
      <c r="S20" s="661">
        <v>24000</v>
      </c>
      <c r="T20" s="592" t="s">
        <v>790</v>
      </c>
      <c r="U20" s="245" t="s">
        <v>419</v>
      </c>
      <c r="V20" s="243" t="s">
        <v>375</v>
      </c>
      <c r="W20" s="243" t="s">
        <v>387</v>
      </c>
      <c r="X20" s="169" t="s">
        <v>340</v>
      </c>
      <c r="Y20" s="243">
        <v>1</v>
      </c>
      <c r="Z20" s="243">
        <v>1</v>
      </c>
      <c r="AA20" s="243">
        <v>0</v>
      </c>
      <c r="AB20" s="167">
        <v>0</v>
      </c>
      <c r="AC20" s="243">
        <v>1</v>
      </c>
      <c r="AD20" s="243">
        <v>1</v>
      </c>
      <c r="AE20" s="243">
        <v>0</v>
      </c>
      <c r="AF20" s="167">
        <v>0</v>
      </c>
      <c r="AG20" s="243">
        <v>0</v>
      </c>
      <c r="AH20" s="243">
        <v>0</v>
      </c>
      <c r="AI20" s="243">
        <v>0</v>
      </c>
      <c r="AJ20" s="167">
        <v>0</v>
      </c>
    </row>
    <row r="21" spans="1:37" ht="15" customHeight="1" thickBot="1" x14ac:dyDescent="0.3">
      <c r="A21" s="256" t="s">
        <v>100</v>
      </c>
      <c r="B21" s="255" t="s">
        <v>54</v>
      </c>
      <c r="C21" s="247" t="s">
        <v>10</v>
      </c>
      <c r="D21" s="257" t="s">
        <v>38</v>
      </c>
      <c r="E21" s="257" t="s">
        <v>36</v>
      </c>
      <c r="F21" s="257">
        <v>12</v>
      </c>
      <c r="G21" s="258">
        <v>32</v>
      </c>
      <c r="H21" s="259">
        <v>0</v>
      </c>
      <c r="I21" s="260">
        <v>0</v>
      </c>
      <c r="J21" s="260">
        <v>0</v>
      </c>
      <c r="K21" s="260">
        <v>0</v>
      </c>
      <c r="L21" s="260">
        <v>0</v>
      </c>
      <c r="M21" s="260">
        <v>4</v>
      </c>
      <c r="N21" s="260">
        <v>0</v>
      </c>
      <c r="O21" s="260">
        <v>0</v>
      </c>
      <c r="P21" s="260">
        <v>1</v>
      </c>
      <c r="Q21" s="260">
        <v>0</v>
      </c>
      <c r="R21" s="260">
        <v>4</v>
      </c>
      <c r="S21" s="261">
        <v>14800</v>
      </c>
      <c r="T21" s="516" t="s">
        <v>722</v>
      </c>
      <c r="U21" s="263" t="s">
        <v>360</v>
      </c>
      <c r="V21" s="261" t="s">
        <v>399</v>
      </c>
      <c r="W21" s="261" t="s">
        <v>377</v>
      </c>
      <c r="X21" s="264" t="s">
        <v>340</v>
      </c>
      <c r="Y21" s="261">
        <v>1</v>
      </c>
      <c r="Z21" s="261">
        <v>0</v>
      </c>
      <c r="AA21" s="261">
        <v>0</v>
      </c>
      <c r="AB21" s="168">
        <v>1</v>
      </c>
      <c r="AC21" s="261">
        <v>0</v>
      </c>
      <c r="AD21" s="261">
        <v>0</v>
      </c>
      <c r="AE21" s="261">
        <v>0</v>
      </c>
      <c r="AF21" s="168">
        <v>0</v>
      </c>
      <c r="AG21" s="261">
        <v>1</v>
      </c>
      <c r="AH21" s="261">
        <v>0</v>
      </c>
      <c r="AI21" s="261">
        <v>0</v>
      </c>
      <c r="AJ21" s="168">
        <v>1</v>
      </c>
    </row>
    <row r="22" spans="1:37" ht="15" customHeight="1" thickBot="1" x14ac:dyDescent="0.3">
      <c r="A22" s="402" t="s">
        <v>783</v>
      </c>
      <c r="B22" s="403" t="s">
        <v>161</v>
      </c>
      <c r="C22" s="404" t="s">
        <v>230</v>
      </c>
      <c r="D22" s="405" t="s">
        <v>90</v>
      </c>
      <c r="E22" s="405" t="s">
        <v>34</v>
      </c>
      <c r="F22" s="405">
        <v>40</v>
      </c>
      <c r="G22" s="406">
        <v>23</v>
      </c>
      <c r="H22" s="407">
        <v>1</v>
      </c>
      <c r="I22" s="408">
        <v>0</v>
      </c>
      <c r="J22" s="408">
        <v>6</v>
      </c>
      <c r="K22" s="408">
        <v>5</v>
      </c>
      <c r="L22" s="408">
        <v>0</v>
      </c>
      <c r="M22" s="408">
        <v>0</v>
      </c>
      <c r="N22" s="405">
        <v>1</v>
      </c>
      <c r="O22" s="408">
        <v>0</v>
      </c>
      <c r="P22" s="408">
        <v>0</v>
      </c>
      <c r="Q22" s="408">
        <v>0</v>
      </c>
      <c r="R22" s="408">
        <v>3</v>
      </c>
      <c r="S22" s="409">
        <v>18913</v>
      </c>
      <c r="T22" s="642" t="s">
        <v>823</v>
      </c>
      <c r="U22" s="411" t="s">
        <v>597</v>
      </c>
      <c r="V22" s="409" t="s">
        <v>698</v>
      </c>
      <c r="W22" s="409" t="s">
        <v>535</v>
      </c>
      <c r="X22" s="412" t="s">
        <v>824</v>
      </c>
      <c r="Y22" s="409">
        <v>1</v>
      </c>
      <c r="Z22" s="409">
        <v>1</v>
      </c>
      <c r="AA22" s="409">
        <v>0</v>
      </c>
      <c r="AB22" s="413">
        <v>0</v>
      </c>
      <c r="AC22" s="409">
        <v>1</v>
      </c>
      <c r="AD22" s="409">
        <v>1</v>
      </c>
      <c r="AE22" s="409">
        <v>0</v>
      </c>
      <c r="AF22" s="413">
        <v>0</v>
      </c>
      <c r="AG22" s="409">
        <v>0</v>
      </c>
      <c r="AH22" s="409">
        <v>0</v>
      </c>
      <c r="AI22" s="409">
        <v>0</v>
      </c>
      <c r="AJ22" s="413">
        <v>0</v>
      </c>
    </row>
    <row r="23" spans="1:37" ht="15" customHeight="1" thickBot="1" x14ac:dyDescent="0.3">
      <c r="A23" s="391" t="s">
        <v>102</v>
      </c>
      <c r="B23" s="392" t="s">
        <v>161</v>
      </c>
      <c r="C23" s="414" t="s">
        <v>225</v>
      </c>
      <c r="D23" s="394" t="s">
        <v>38</v>
      </c>
      <c r="E23" s="394" t="s">
        <v>36</v>
      </c>
      <c r="F23" s="394">
        <v>7</v>
      </c>
      <c r="G23" s="395">
        <v>26</v>
      </c>
      <c r="H23" s="396">
        <v>0</v>
      </c>
      <c r="I23" s="397">
        <v>0</v>
      </c>
      <c r="J23" s="397">
        <v>1</v>
      </c>
      <c r="K23" s="397">
        <v>1</v>
      </c>
      <c r="L23" s="397">
        <v>0</v>
      </c>
      <c r="M23" s="397">
        <v>0</v>
      </c>
      <c r="N23" s="397">
        <v>1</v>
      </c>
      <c r="O23" s="397">
        <v>0</v>
      </c>
      <c r="P23" s="397">
        <v>1</v>
      </c>
      <c r="Q23" s="397">
        <v>0</v>
      </c>
      <c r="R23" s="397">
        <v>4</v>
      </c>
      <c r="S23" s="398">
        <v>15659</v>
      </c>
      <c r="T23" s="523" t="s">
        <v>494</v>
      </c>
      <c r="U23" s="399" t="s">
        <v>597</v>
      </c>
      <c r="V23" s="398" t="s">
        <v>698</v>
      </c>
      <c r="W23" s="398" t="s">
        <v>557</v>
      </c>
      <c r="X23" s="400" t="s">
        <v>525</v>
      </c>
      <c r="Y23" s="398">
        <v>1</v>
      </c>
      <c r="Z23" s="398">
        <v>0</v>
      </c>
      <c r="AA23" s="398">
        <v>0</v>
      </c>
      <c r="AB23" s="401">
        <v>1</v>
      </c>
      <c r="AC23" s="398">
        <v>0</v>
      </c>
      <c r="AD23" s="398">
        <v>0</v>
      </c>
      <c r="AE23" s="398">
        <v>0</v>
      </c>
      <c r="AF23" s="401">
        <v>0</v>
      </c>
      <c r="AG23" s="398">
        <v>1</v>
      </c>
      <c r="AH23" s="398">
        <v>0</v>
      </c>
      <c r="AI23" s="398">
        <v>0</v>
      </c>
      <c r="AJ23" s="401">
        <v>1</v>
      </c>
    </row>
    <row r="24" spans="1:37" ht="15" customHeight="1" thickBot="1" x14ac:dyDescent="0.3">
      <c r="A24" s="248" t="s">
        <v>103</v>
      </c>
      <c r="B24" s="249" t="s">
        <v>96</v>
      </c>
      <c r="C24" s="250" t="s">
        <v>27</v>
      </c>
      <c r="D24" s="283" t="s">
        <v>90</v>
      </c>
      <c r="E24" s="283" t="s">
        <v>34</v>
      </c>
      <c r="F24" s="283">
        <v>17</v>
      </c>
      <c r="G24" s="284">
        <v>8</v>
      </c>
      <c r="H24" s="277">
        <v>0</v>
      </c>
      <c r="I24" s="276">
        <v>0</v>
      </c>
      <c r="J24" s="283">
        <v>2</v>
      </c>
      <c r="K24" s="276">
        <v>2</v>
      </c>
      <c r="L24" s="276">
        <v>0</v>
      </c>
      <c r="M24" s="276">
        <v>1</v>
      </c>
      <c r="N24" s="276">
        <v>0</v>
      </c>
      <c r="O24" s="276">
        <v>0</v>
      </c>
      <c r="P24" s="276">
        <v>0</v>
      </c>
      <c r="Q24" s="276">
        <v>0</v>
      </c>
      <c r="R24" s="276">
        <v>1</v>
      </c>
      <c r="S24" s="722">
        <v>24000</v>
      </c>
      <c r="T24" s="649" t="s">
        <v>853</v>
      </c>
      <c r="U24" s="279" t="s">
        <v>531</v>
      </c>
      <c r="V24" s="278" t="s">
        <v>510</v>
      </c>
      <c r="W24" s="278" t="s">
        <v>854</v>
      </c>
      <c r="X24" s="280" t="s">
        <v>445</v>
      </c>
      <c r="Y24" s="278">
        <v>1</v>
      </c>
      <c r="Z24" s="278">
        <v>1</v>
      </c>
      <c r="AA24" s="278">
        <v>0</v>
      </c>
      <c r="AB24" s="281">
        <v>0</v>
      </c>
      <c r="AC24" s="278">
        <v>1</v>
      </c>
      <c r="AD24" s="278">
        <v>1</v>
      </c>
      <c r="AE24" s="278">
        <v>0</v>
      </c>
      <c r="AF24" s="281">
        <v>0</v>
      </c>
      <c r="AG24" s="278">
        <v>0</v>
      </c>
      <c r="AH24" s="278">
        <v>0</v>
      </c>
      <c r="AI24" s="278">
        <v>0</v>
      </c>
      <c r="AJ24" s="281">
        <v>0</v>
      </c>
    </row>
    <row r="25" spans="1:37" ht="15" customHeight="1" thickBot="1" x14ac:dyDescent="0.3">
      <c r="A25" s="251" t="s">
        <v>111</v>
      </c>
      <c r="B25" s="252" t="s">
        <v>96</v>
      </c>
      <c r="C25" s="253" t="s">
        <v>245</v>
      </c>
      <c r="D25" s="269" t="s">
        <v>38</v>
      </c>
      <c r="E25" s="269" t="s">
        <v>34</v>
      </c>
      <c r="F25" s="269">
        <v>43</v>
      </c>
      <c r="G25" s="275">
        <v>9</v>
      </c>
      <c r="H25" s="268">
        <v>1</v>
      </c>
      <c r="I25" s="267">
        <v>0</v>
      </c>
      <c r="J25" s="267">
        <v>6</v>
      </c>
      <c r="K25" s="267">
        <v>5</v>
      </c>
      <c r="L25" s="267">
        <v>0</v>
      </c>
      <c r="M25" s="267">
        <v>1</v>
      </c>
      <c r="N25" s="267">
        <v>0</v>
      </c>
      <c r="O25" s="267">
        <v>0</v>
      </c>
      <c r="P25" s="267">
        <v>0</v>
      </c>
      <c r="Q25" s="267">
        <v>0</v>
      </c>
      <c r="R25" s="267">
        <v>0</v>
      </c>
      <c r="S25" s="272">
        <v>5742</v>
      </c>
      <c r="T25" s="655" t="s">
        <v>723</v>
      </c>
      <c r="U25" s="271" t="s">
        <v>864</v>
      </c>
      <c r="V25" s="272" t="s">
        <v>510</v>
      </c>
      <c r="W25" s="272" t="s">
        <v>738</v>
      </c>
      <c r="X25" s="273" t="s">
        <v>619</v>
      </c>
      <c r="Y25" s="272">
        <v>1</v>
      </c>
      <c r="Z25" s="272">
        <v>1</v>
      </c>
      <c r="AA25" s="272">
        <v>0</v>
      </c>
      <c r="AB25" s="274">
        <v>0</v>
      </c>
      <c r="AC25" s="272">
        <v>0</v>
      </c>
      <c r="AD25" s="272">
        <v>0</v>
      </c>
      <c r="AE25" s="272">
        <v>0</v>
      </c>
      <c r="AF25" s="274">
        <v>0</v>
      </c>
      <c r="AG25" s="272">
        <v>1</v>
      </c>
      <c r="AH25" s="272">
        <v>1</v>
      </c>
      <c r="AI25" s="272">
        <v>0</v>
      </c>
      <c r="AJ25" s="274">
        <v>0</v>
      </c>
    </row>
    <row r="26" spans="1:37" ht="15" customHeight="1" thickBot="1" x14ac:dyDescent="0.3">
      <c r="A26" s="239" t="s">
        <v>779</v>
      </c>
      <c r="B26" s="240" t="s">
        <v>54</v>
      </c>
      <c r="C26" s="122" t="s">
        <v>26</v>
      </c>
      <c r="D26" s="123" t="s">
        <v>90</v>
      </c>
      <c r="E26" s="123" t="s">
        <v>34</v>
      </c>
      <c r="F26" s="123">
        <v>18</v>
      </c>
      <c r="G26" s="241">
        <v>15</v>
      </c>
      <c r="H26" s="244">
        <v>0</v>
      </c>
      <c r="I26" s="242">
        <v>0</v>
      </c>
      <c r="J26" s="242">
        <v>0</v>
      </c>
      <c r="K26" s="242">
        <v>0</v>
      </c>
      <c r="L26" s="242">
        <v>0</v>
      </c>
      <c r="M26" s="242">
        <v>6</v>
      </c>
      <c r="N26" s="242">
        <v>0</v>
      </c>
      <c r="O26" s="242">
        <v>0</v>
      </c>
      <c r="P26" s="242">
        <v>0</v>
      </c>
      <c r="Q26" s="242">
        <v>1</v>
      </c>
      <c r="R26" s="242">
        <v>0</v>
      </c>
      <c r="S26" s="243">
        <v>20298</v>
      </c>
      <c r="T26" s="514" t="s">
        <v>594</v>
      </c>
      <c r="U26" s="245" t="s">
        <v>345</v>
      </c>
      <c r="V26" s="243" t="s">
        <v>393</v>
      </c>
      <c r="W26" s="243" t="s">
        <v>348</v>
      </c>
      <c r="X26" s="169" t="s">
        <v>347</v>
      </c>
      <c r="Y26" s="243">
        <v>1</v>
      </c>
      <c r="Z26" s="243">
        <v>1</v>
      </c>
      <c r="AA26" s="243">
        <v>0</v>
      </c>
      <c r="AB26" s="167">
        <v>0</v>
      </c>
      <c r="AC26" s="243">
        <v>1</v>
      </c>
      <c r="AD26" s="243">
        <v>1</v>
      </c>
      <c r="AE26" s="243">
        <v>0</v>
      </c>
      <c r="AF26" s="167">
        <v>0</v>
      </c>
      <c r="AG26" s="243">
        <v>0</v>
      </c>
      <c r="AH26" s="243">
        <v>0</v>
      </c>
      <c r="AI26" s="243">
        <v>0</v>
      </c>
      <c r="AJ26" s="167">
        <v>0</v>
      </c>
    </row>
    <row r="27" spans="1:37" ht="15" customHeight="1" thickBot="1" x14ac:dyDescent="0.3">
      <c r="A27" s="256" t="s">
        <v>781</v>
      </c>
      <c r="B27" s="255" t="s">
        <v>54</v>
      </c>
      <c r="C27" s="247" t="s">
        <v>13</v>
      </c>
      <c r="D27" s="257" t="s">
        <v>38</v>
      </c>
      <c r="E27" s="257" t="s">
        <v>34</v>
      </c>
      <c r="F27" s="257">
        <v>12</v>
      </c>
      <c r="G27" s="258">
        <v>6</v>
      </c>
      <c r="H27" s="259">
        <v>0</v>
      </c>
      <c r="I27" s="260">
        <v>0</v>
      </c>
      <c r="J27" s="260">
        <v>0</v>
      </c>
      <c r="K27" s="260">
        <v>0</v>
      </c>
      <c r="L27" s="260">
        <v>1</v>
      </c>
      <c r="M27" s="260">
        <v>3</v>
      </c>
      <c r="N27" s="260">
        <v>0</v>
      </c>
      <c r="O27" s="260">
        <v>0</v>
      </c>
      <c r="P27" s="260">
        <v>0</v>
      </c>
      <c r="Q27" s="260">
        <v>1</v>
      </c>
      <c r="R27" s="260">
        <v>0</v>
      </c>
      <c r="S27" s="373">
        <v>8404</v>
      </c>
      <c r="T27" s="590" t="s">
        <v>673</v>
      </c>
      <c r="U27" s="263" t="s">
        <v>338</v>
      </c>
      <c r="V27" s="261" t="s">
        <v>354</v>
      </c>
      <c r="W27" s="261" t="s">
        <v>340</v>
      </c>
      <c r="X27" s="264" t="s">
        <v>369</v>
      </c>
      <c r="Y27" s="261">
        <v>1</v>
      </c>
      <c r="Z27" s="261">
        <v>1</v>
      </c>
      <c r="AA27" s="261">
        <v>0</v>
      </c>
      <c r="AB27" s="168">
        <v>0</v>
      </c>
      <c r="AC27" s="261">
        <v>0</v>
      </c>
      <c r="AD27" s="261">
        <v>0</v>
      </c>
      <c r="AE27" s="261">
        <v>0</v>
      </c>
      <c r="AF27" s="168">
        <v>0</v>
      </c>
      <c r="AG27" s="261">
        <v>1</v>
      </c>
      <c r="AH27" s="261">
        <v>1</v>
      </c>
      <c r="AI27" s="261">
        <v>0</v>
      </c>
      <c r="AJ27" s="168">
        <v>0</v>
      </c>
    </row>
    <row r="28" spans="1:37" ht="15" customHeight="1" thickBot="1" x14ac:dyDescent="0.3">
      <c r="A28" s="239" t="s">
        <v>782</v>
      </c>
      <c r="B28" s="240" t="s">
        <v>54</v>
      </c>
      <c r="C28" s="122" t="s">
        <v>29</v>
      </c>
      <c r="D28" s="123" t="s">
        <v>90</v>
      </c>
      <c r="E28" s="123" t="s">
        <v>34</v>
      </c>
      <c r="F28" s="123">
        <v>28</v>
      </c>
      <c r="G28" s="241">
        <v>8</v>
      </c>
      <c r="H28" s="244">
        <v>0</v>
      </c>
      <c r="I28" s="242">
        <v>0</v>
      </c>
      <c r="J28" s="242">
        <v>3</v>
      </c>
      <c r="K28" s="242">
        <v>2</v>
      </c>
      <c r="L28" s="242">
        <v>0</v>
      </c>
      <c r="M28" s="242">
        <v>3</v>
      </c>
      <c r="N28" s="242">
        <v>1</v>
      </c>
      <c r="O28" s="242">
        <v>0</v>
      </c>
      <c r="P28" s="242">
        <v>0</v>
      </c>
      <c r="Q28" s="242">
        <v>0</v>
      </c>
      <c r="R28" s="242">
        <v>1</v>
      </c>
      <c r="S28" s="243">
        <v>21896</v>
      </c>
      <c r="T28" s="592" t="s">
        <v>556</v>
      </c>
      <c r="U28" s="245" t="s">
        <v>367</v>
      </c>
      <c r="V28" s="243" t="s">
        <v>393</v>
      </c>
      <c r="W28" s="243" t="s">
        <v>363</v>
      </c>
      <c r="X28" s="169" t="s">
        <v>445</v>
      </c>
      <c r="Y28" s="243">
        <v>1</v>
      </c>
      <c r="Z28" s="243">
        <v>1</v>
      </c>
      <c r="AA28" s="243">
        <v>0</v>
      </c>
      <c r="AB28" s="167">
        <v>0</v>
      </c>
      <c r="AC28" s="243">
        <v>1</v>
      </c>
      <c r="AD28" s="243">
        <v>1</v>
      </c>
      <c r="AE28" s="243">
        <v>0</v>
      </c>
      <c r="AF28" s="167">
        <v>0</v>
      </c>
      <c r="AG28" s="243">
        <v>0</v>
      </c>
      <c r="AH28" s="243">
        <v>0</v>
      </c>
      <c r="AI28" s="243">
        <v>0</v>
      </c>
      <c r="AJ28" s="167">
        <v>0</v>
      </c>
    </row>
    <row r="29" spans="1:37" ht="15" customHeight="1" thickBot="1" x14ac:dyDescent="0.3">
      <c r="A29" s="256" t="s">
        <v>208</v>
      </c>
      <c r="B29" s="255" t="s">
        <v>54</v>
      </c>
      <c r="C29" s="247" t="s">
        <v>66</v>
      </c>
      <c r="D29" s="257" t="s">
        <v>38</v>
      </c>
      <c r="E29" s="257" t="s">
        <v>34</v>
      </c>
      <c r="F29" s="257">
        <v>16</v>
      </c>
      <c r="G29" s="258">
        <v>12</v>
      </c>
      <c r="H29" s="259">
        <v>0</v>
      </c>
      <c r="I29" s="260">
        <v>0</v>
      </c>
      <c r="J29" s="260">
        <v>1</v>
      </c>
      <c r="K29" s="260">
        <v>1</v>
      </c>
      <c r="L29" s="260">
        <v>0</v>
      </c>
      <c r="M29" s="260">
        <v>3</v>
      </c>
      <c r="N29" s="260">
        <v>0</v>
      </c>
      <c r="O29" s="260">
        <v>0</v>
      </c>
      <c r="P29" s="260">
        <v>0</v>
      </c>
      <c r="Q29" s="260">
        <v>1</v>
      </c>
      <c r="R29" s="260">
        <v>2</v>
      </c>
      <c r="S29" s="261">
        <v>9019</v>
      </c>
      <c r="T29" s="516" t="s">
        <v>617</v>
      </c>
      <c r="U29" s="263" t="s">
        <v>360</v>
      </c>
      <c r="V29" s="261" t="s">
        <v>346</v>
      </c>
      <c r="W29" s="261" t="s">
        <v>600</v>
      </c>
      <c r="X29" s="264" t="s">
        <v>377</v>
      </c>
      <c r="Y29" s="261">
        <v>1</v>
      </c>
      <c r="Z29" s="261">
        <v>1</v>
      </c>
      <c r="AA29" s="261">
        <v>0</v>
      </c>
      <c r="AB29" s="168">
        <v>0</v>
      </c>
      <c r="AC29" s="261">
        <v>0</v>
      </c>
      <c r="AD29" s="261">
        <v>0</v>
      </c>
      <c r="AE29" s="261">
        <v>0</v>
      </c>
      <c r="AF29" s="168">
        <v>0</v>
      </c>
      <c r="AG29" s="261">
        <v>1</v>
      </c>
      <c r="AH29" s="261">
        <v>1</v>
      </c>
      <c r="AI29" s="261">
        <v>0</v>
      </c>
      <c r="AJ29" s="168">
        <v>0</v>
      </c>
    </row>
    <row r="30" spans="1:37" ht="15" customHeight="1" thickBot="1" x14ac:dyDescent="0.3">
      <c r="A30" s="248" t="s">
        <v>865</v>
      </c>
      <c r="B30" s="249" t="s">
        <v>127</v>
      </c>
      <c r="C30" s="250" t="s">
        <v>30</v>
      </c>
      <c r="D30" s="283" t="s">
        <v>90</v>
      </c>
      <c r="E30" s="283" t="s">
        <v>36</v>
      </c>
      <c r="F30" s="283">
        <v>22</v>
      </c>
      <c r="G30" s="284">
        <v>30</v>
      </c>
      <c r="H30" s="277" t="s">
        <v>85</v>
      </c>
      <c r="I30" s="276" t="s">
        <v>85</v>
      </c>
      <c r="J30" s="276">
        <v>1</v>
      </c>
      <c r="K30" s="276">
        <v>1</v>
      </c>
      <c r="L30" s="276">
        <v>1</v>
      </c>
      <c r="M30" s="276">
        <v>4</v>
      </c>
      <c r="N30" s="276">
        <v>0</v>
      </c>
      <c r="O30" s="276">
        <v>0</v>
      </c>
      <c r="P30" s="276" t="s">
        <v>85</v>
      </c>
      <c r="Q30" s="276" t="s">
        <v>85</v>
      </c>
      <c r="R30" s="283">
        <v>3</v>
      </c>
      <c r="S30" s="278">
        <v>11040</v>
      </c>
      <c r="T30" s="650" t="s">
        <v>954</v>
      </c>
      <c r="U30" s="279" t="s">
        <v>452</v>
      </c>
      <c r="V30" s="278" t="s">
        <v>361</v>
      </c>
      <c r="W30" s="278" t="s">
        <v>363</v>
      </c>
      <c r="X30" s="280" t="s">
        <v>485</v>
      </c>
      <c r="Y30" s="278">
        <v>1</v>
      </c>
      <c r="Z30" s="278">
        <v>0</v>
      </c>
      <c r="AA30" s="278">
        <v>0</v>
      </c>
      <c r="AB30" s="281">
        <v>1</v>
      </c>
      <c r="AC30" s="278">
        <v>1</v>
      </c>
      <c r="AD30" s="278">
        <v>0</v>
      </c>
      <c r="AE30" s="278">
        <v>0</v>
      </c>
      <c r="AF30" s="281">
        <v>1</v>
      </c>
      <c r="AG30" s="278">
        <v>0</v>
      </c>
      <c r="AH30" s="278">
        <v>0</v>
      </c>
      <c r="AI30" s="278">
        <v>0</v>
      </c>
      <c r="AJ30" s="281">
        <v>0</v>
      </c>
    </row>
    <row r="31" spans="1:37" ht="15" customHeight="1" thickBot="1" x14ac:dyDescent="0.3">
      <c r="A31" s="239" t="s">
        <v>159</v>
      </c>
      <c r="B31" s="240" t="s">
        <v>54</v>
      </c>
      <c r="C31" s="122" t="s">
        <v>30</v>
      </c>
      <c r="D31" s="123" t="s">
        <v>90</v>
      </c>
      <c r="E31" s="123" t="s">
        <v>34</v>
      </c>
      <c r="F31" s="123">
        <v>25</v>
      </c>
      <c r="G31" s="241">
        <v>18</v>
      </c>
      <c r="H31" s="244">
        <v>0</v>
      </c>
      <c r="I31" s="242">
        <v>0</v>
      </c>
      <c r="J31" s="123">
        <v>1</v>
      </c>
      <c r="K31" s="242">
        <v>1</v>
      </c>
      <c r="L31" s="242">
        <v>0</v>
      </c>
      <c r="M31" s="242">
        <v>6</v>
      </c>
      <c r="N31" s="242">
        <v>0</v>
      </c>
      <c r="O31" s="242">
        <v>0</v>
      </c>
      <c r="P31" s="242">
        <v>0</v>
      </c>
      <c r="Q31" s="242">
        <v>1</v>
      </c>
      <c r="R31" s="242">
        <v>2</v>
      </c>
      <c r="S31" s="661">
        <v>24000</v>
      </c>
      <c r="T31" s="514" t="s">
        <v>359</v>
      </c>
      <c r="U31" s="245" t="s">
        <v>345</v>
      </c>
      <c r="V31" s="243" t="s">
        <v>393</v>
      </c>
      <c r="W31" s="243" t="s">
        <v>355</v>
      </c>
      <c r="X31" s="169" t="s">
        <v>362</v>
      </c>
      <c r="Y31" s="243">
        <v>1</v>
      </c>
      <c r="Z31" s="243">
        <v>1</v>
      </c>
      <c r="AA31" s="243">
        <v>0</v>
      </c>
      <c r="AB31" s="167">
        <v>0</v>
      </c>
      <c r="AC31" s="243">
        <v>1</v>
      </c>
      <c r="AD31" s="243">
        <v>1</v>
      </c>
      <c r="AE31" s="243">
        <v>0</v>
      </c>
      <c r="AF31" s="167">
        <v>0</v>
      </c>
      <c r="AG31" s="243">
        <v>0</v>
      </c>
      <c r="AH31" s="243">
        <v>0</v>
      </c>
      <c r="AI31" s="243">
        <v>0</v>
      </c>
      <c r="AJ31" s="167">
        <v>0</v>
      </c>
    </row>
    <row r="32" spans="1:37" ht="15" customHeight="1" thickBot="1" x14ac:dyDescent="0.3">
      <c r="A32" s="256" t="s">
        <v>110</v>
      </c>
      <c r="B32" s="255" t="s">
        <v>54</v>
      </c>
      <c r="C32" s="247" t="s">
        <v>21</v>
      </c>
      <c r="D32" s="257" t="s">
        <v>38</v>
      </c>
      <c r="E32" s="257" t="s">
        <v>36</v>
      </c>
      <c r="F32" s="257">
        <v>6</v>
      </c>
      <c r="G32" s="258">
        <v>22</v>
      </c>
      <c r="H32" s="259">
        <v>0</v>
      </c>
      <c r="I32" s="260">
        <v>0</v>
      </c>
      <c r="J32" s="260">
        <v>0</v>
      </c>
      <c r="K32" s="260">
        <v>0</v>
      </c>
      <c r="L32" s="260">
        <v>0</v>
      </c>
      <c r="M32" s="260">
        <v>2</v>
      </c>
      <c r="N32" s="257">
        <v>2</v>
      </c>
      <c r="O32" s="260">
        <v>0</v>
      </c>
      <c r="P32" s="260">
        <v>0</v>
      </c>
      <c r="Q32" s="260">
        <v>0</v>
      </c>
      <c r="R32" s="260">
        <v>3</v>
      </c>
      <c r="S32" s="370">
        <v>9982</v>
      </c>
      <c r="T32" s="516" t="s">
        <v>724</v>
      </c>
      <c r="U32" s="263" t="s">
        <v>419</v>
      </c>
      <c r="V32" s="261" t="s">
        <v>361</v>
      </c>
      <c r="W32" s="261" t="s">
        <v>377</v>
      </c>
      <c r="X32" s="264" t="s">
        <v>348</v>
      </c>
      <c r="Y32" s="261">
        <v>1</v>
      </c>
      <c r="Z32" s="261">
        <v>0</v>
      </c>
      <c r="AA32" s="261">
        <v>0</v>
      </c>
      <c r="AB32" s="168">
        <v>1</v>
      </c>
      <c r="AC32" s="261">
        <v>0</v>
      </c>
      <c r="AD32" s="261">
        <v>0</v>
      </c>
      <c r="AE32" s="261">
        <v>0</v>
      </c>
      <c r="AF32" s="168">
        <v>0</v>
      </c>
      <c r="AG32" s="261">
        <v>1</v>
      </c>
      <c r="AH32" s="261">
        <v>0</v>
      </c>
      <c r="AI32" s="261">
        <v>0</v>
      </c>
      <c r="AJ32" s="168">
        <v>1</v>
      </c>
    </row>
    <row r="33" spans="1:36" ht="15" customHeight="1" thickBot="1" x14ac:dyDescent="0.3">
      <c r="A33" s="239" t="s">
        <v>145</v>
      </c>
      <c r="B33" s="240" t="s">
        <v>54</v>
      </c>
      <c r="C33" s="122" t="s">
        <v>190</v>
      </c>
      <c r="D33" s="123" t="s">
        <v>90</v>
      </c>
      <c r="E33" s="123" t="s">
        <v>34</v>
      </c>
      <c r="F33" s="123">
        <v>38</v>
      </c>
      <c r="G33" s="241">
        <v>17</v>
      </c>
      <c r="H33" s="244">
        <v>1</v>
      </c>
      <c r="I33" s="242">
        <v>0</v>
      </c>
      <c r="J33" s="242">
        <v>6</v>
      </c>
      <c r="K33" s="242">
        <v>4</v>
      </c>
      <c r="L33" s="242">
        <v>0</v>
      </c>
      <c r="M33" s="242">
        <v>0</v>
      </c>
      <c r="N33" s="242">
        <v>0</v>
      </c>
      <c r="O33" s="242">
        <v>0</v>
      </c>
      <c r="P33" s="242">
        <v>0</v>
      </c>
      <c r="Q33" s="242">
        <v>0</v>
      </c>
      <c r="R33" s="242">
        <v>2</v>
      </c>
      <c r="S33" s="243">
        <v>23016</v>
      </c>
      <c r="T33" s="514" t="s">
        <v>643</v>
      </c>
      <c r="U33" s="245" t="s">
        <v>452</v>
      </c>
      <c r="V33" s="243" t="s">
        <v>361</v>
      </c>
      <c r="W33" s="243" t="s">
        <v>445</v>
      </c>
      <c r="X33" s="169" t="s">
        <v>363</v>
      </c>
      <c r="Y33" s="243">
        <v>1</v>
      </c>
      <c r="Z33" s="243">
        <v>1</v>
      </c>
      <c r="AA33" s="243">
        <v>0</v>
      </c>
      <c r="AB33" s="167">
        <v>0</v>
      </c>
      <c r="AC33" s="243">
        <v>1</v>
      </c>
      <c r="AD33" s="243">
        <v>1</v>
      </c>
      <c r="AE33" s="243">
        <v>0</v>
      </c>
      <c r="AF33" s="167">
        <v>0</v>
      </c>
      <c r="AG33" s="243">
        <v>0</v>
      </c>
      <c r="AH33" s="243">
        <v>0</v>
      </c>
      <c r="AI33" s="243">
        <v>0</v>
      </c>
      <c r="AJ33" s="167">
        <v>0</v>
      </c>
    </row>
    <row r="34" spans="1:36" ht="15" customHeight="1" thickBot="1" x14ac:dyDescent="0.3">
      <c r="A34" s="256" t="s">
        <v>164</v>
      </c>
      <c r="B34" s="255" t="s">
        <v>54</v>
      </c>
      <c r="C34" s="247" t="s">
        <v>189</v>
      </c>
      <c r="D34" s="257" t="s">
        <v>38</v>
      </c>
      <c r="E34" s="257" t="s">
        <v>34</v>
      </c>
      <c r="F34" s="257">
        <v>26</v>
      </c>
      <c r="G34" s="258">
        <v>21</v>
      </c>
      <c r="H34" s="259">
        <v>0</v>
      </c>
      <c r="I34" s="260">
        <v>0</v>
      </c>
      <c r="J34" s="260">
        <v>3</v>
      </c>
      <c r="K34" s="260">
        <v>1</v>
      </c>
      <c r="L34" s="260">
        <v>0</v>
      </c>
      <c r="M34" s="260">
        <v>3</v>
      </c>
      <c r="N34" s="260">
        <v>0</v>
      </c>
      <c r="O34" s="260">
        <v>1</v>
      </c>
      <c r="P34" s="260">
        <v>0</v>
      </c>
      <c r="Q34" s="260">
        <v>1</v>
      </c>
      <c r="R34" s="260">
        <v>0</v>
      </c>
      <c r="S34" s="265">
        <v>32019</v>
      </c>
      <c r="T34" s="590" t="s">
        <v>1013</v>
      </c>
      <c r="U34" s="263" t="s">
        <v>338</v>
      </c>
      <c r="V34" s="261" t="s">
        <v>339</v>
      </c>
      <c r="W34" s="261" t="s">
        <v>340</v>
      </c>
      <c r="X34" s="264" t="s">
        <v>390</v>
      </c>
      <c r="Y34" s="261">
        <v>1</v>
      </c>
      <c r="Z34" s="261">
        <v>1</v>
      </c>
      <c r="AA34" s="261">
        <v>0</v>
      </c>
      <c r="AB34" s="168">
        <v>0</v>
      </c>
      <c r="AC34" s="261">
        <v>0</v>
      </c>
      <c r="AD34" s="261">
        <v>0</v>
      </c>
      <c r="AE34" s="261">
        <v>0</v>
      </c>
      <c r="AF34" s="168">
        <v>0</v>
      </c>
      <c r="AG34" s="261">
        <v>1</v>
      </c>
      <c r="AH34" s="261">
        <v>1</v>
      </c>
      <c r="AI34" s="261">
        <v>0</v>
      </c>
      <c r="AJ34" s="168">
        <v>0</v>
      </c>
    </row>
    <row r="35" spans="1:36" ht="15" customHeight="1" thickBot="1" x14ac:dyDescent="0.3">
      <c r="A35" s="239" t="s">
        <v>148</v>
      </c>
      <c r="B35" s="240" t="s">
        <v>54</v>
      </c>
      <c r="C35" s="122" t="s">
        <v>27</v>
      </c>
      <c r="D35" s="123" t="s">
        <v>90</v>
      </c>
      <c r="E35" s="123" t="s">
        <v>34</v>
      </c>
      <c r="F35" s="123">
        <v>22</v>
      </c>
      <c r="G35" s="241">
        <v>14</v>
      </c>
      <c r="H35" s="244">
        <v>0</v>
      </c>
      <c r="I35" s="242">
        <v>0</v>
      </c>
      <c r="J35" s="242">
        <v>2</v>
      </c>
      <c r="K35" s="242">
        <v>0</v>
      </c>
      <c r="L35" s="242">
        <v>0</v>
      </c>
      <c r="M35" s="242">
        <v>4</v>
      </c>
      <c r="N35" s="242">
        <v>0</v>
      </c>
      <c r="O35" s="242">
        <v>0</v>
      </c>
      <c r="P35" s="242">
        <v>0</v>
      </c>
      <c r="Q35" s="242">
        <v>0</v>
      </c>
      <c r="R35" s="242">
        <v>1</v>
      </c>
      <c r="S35" s="803">
        <v>24000</v>
      </c>
      <c r="T35" s="524" t="s">
        <v>1039</v>
      </c>
      <c r="U35" s="286" t="s">
        <v>419</v>
      </c>
      <c r="V35" s="287" t="s">
        <v>393</v>
      </c>
      <c r="W35" s="287" t="s">
        <v>452</v>
      </c>
      <c r="X35" s="288" t="s">
        <v>356</v>
      </c>
      <c r="Y35" s="243">
        <v>1</v>
      </c>
      <c r="Z35" s="243">
        <v>1</v>
      </c>
      <c r="AA35" s="243">
        <v>0</v>
      </c>
      <c r="AB35" s="167">
        <v>0</v>
      </c>
      <c r="AC35" s="243">
        <v>1</v>
      </c>
      <c r="AD35" s="243">
        <v>1</v>
      </c>
      <c r="AE35" s="243">
        <v>0</v>
      </c>
      <c r="AF35" s="167">
        <v>0</v>
      </c>
      <c r="AG35" s="243">
        <v>0</v>
      </c>
      <c r="AH35" s="243">
        <v>0</v>
      </c>
      <c r="AI35" s="243">
        <v>0</v>
      </c>
      <c r="AJ35" s="167">
        <v>0</v>
      </c>
    </row>
    <row r="36" spans="1:36" ht="15" customHeight="1" thickBot="1" x14ac:dyDescent="0.3">
      <c r="A36" s="256" t="s">
        <v>143</v>
      </c>
      <c r="B36" s="255" t="s">
        <v>126</v>
      </c>
      <c r="C36" s="247" t="s">
        <v>24</v>
      </c>
      <c r="D36" s="257" t="s">
        <v>38</v>
      </c>
      <c r="E36" s="257" t="s">
        <v>36</v>
      </c>
      <c r="F36" s="257">
        <v>10</v>
      </c>
      <c r="G36" s="258">
        <v>47</v>
      </c>
      <c r="H36" s="259" t="s">
        <v>85</v>
      </c>
      <c r="I36" s="260" t="s">
        <v>85</v>
      </c>
      <c r="J36" s="260">
        <v>1</v>
      </c>
      <c r="K36" s="260">
        <v>1</v>
      </c>
      <c r="L36" s="260">
        <v>0</v>
      </c>
      <c r="M36" s="260">
        <v>1</v>
      </c>
      <c r="N36" s="260">
        <v>0</v>
      </c>
      <c r="O36" s="260">
        <v>0</v>
      </c>
      <c r="P36" s="260" t="s">
        <v>85</v>
      </c>
      <c r="Q36" s="260" t="s">
        <v>85</v>
      </c>
      <c r="R36" s="260">
        <v>7</v>
      </c>
      <c r="S36" s="374">
        <v>13349</v>
      </c>
      <c r="T36" s="794" t="s">
        <v>1060</v>
      </c>
      <c r="U36" s="375" t="s">
        <v>345</v>
      </c>
      <c r="V36" s="376" t="s">
        <v>375</v>
      </c>
      <c r="W36" s="376" t="s">
        <v>340</v>
      </c>
      <c r="X36" s="377" t="s">
        <v>369</v>
      </c>
      <c r="Y36" s="261">
        <v>1</v>
      </c>
      <c r="Z36" s="261">
        <v>0</v>
      </c>
      <c r="AA36" s="261">
        <v>0</v>
      </c>
      <c r="AB36" s="168">
        <v>1</v>
      </c>
      <c r="AC36" s="261">
        <v>0</v>
      </c>
      <c r="AD36" s="261">
        <v>0</v>
      </c>
      <c r="AE36" s="261">
        <v>0</v>
      </c>
      <c r="AF36" s="168">
        <v>0</v>
      </c>
      <c r="AG36" s="261">
        <v>1</v>
      </c>
      <c r="AH36" s="261">
        <v>0</v>
      </c>
      <c r="AI36" s="261">
        <v>0</v>
      </c>
      <c r="AJ36" s="168">
        <v>1</v>
      </c>
    </row>
    <row r="37" spans="1:36" ht="15" customHeight="1" thickBot="1" x14ac:dyDescent="0.3">
      <c r="A37" s="66"/>
      <c r="B37" s="67"/>
      <c r="C37" s="885" t="s">
        <v>149</v>
      </c>
      <c r="D37" s="886"/>
      <c r="E37" s="887"/>
      <c r="F37" s="291">
        <f t="shared" ref="F37:R37" si="0">SUM(F3+F4+F5+F6+F7+F8+F13+F14+F15+F18+F19+F20+F21+F26+F27+F28+F29+F31+F32+F33+F34+F35)</f>
        <v>453</v>
      </c>
      <c r="G37" s="291">
        <f t="shared" si="0"/>
        <v>421</v>
      </c>
      <c r="H37" s="291">
        <f t="shared" si="0"/>
        <v>4</v>
      </c>
      <c r="I37" s="291">
        <f t="shared" si="0"/>
        <v>2</v>
      </c>
      <c r="J37" s="291">
        <f t="shared" si="0"/>
        <v>37</v>
      </c>
      <c r="K37" s="291">
        <f t="shared" si="0"/>
        <v>23</v>
      </c>
      <c r="L37" s="291">
        <f t="shared" si="0"/>
        <v>1</v>
      </c>
      <c r="M37" s="291">
        <f t="shared" si="0"/>
        <v>73</v>
      </c>
      <c r="N37" s="291">
        <f t="shared" si="0"/>
        <v>8</v>
      </c>
      <c r="O37" s="291">
        <f t="shared" si="0"/>
        <v>2</v>
      </c>
      <c r="P37" s="291">
        <f t="shared" si="0"/>
        <v>3</v>
      </c>
      <c r="Q37" s="291">
        <f t="shared" si="0"/>
        <v>9</v>
      </c>
      <c r="R37" s="291">
        <f t="shared" si="0"/>
        <v>39</v>
      </c>
      <c r="S37" s="68"/>
      <c r="T37" s="68"/>
      <c r="U37" s="68"/>
      <c r="V37" s="68"/>
      <c r="W37" s="68"/>
      <c r="X37" s="310" t="s">
        <v>173</v>
      </c>
      <c r="Y37" s="291">
        <f t="shared" ref="Y37:AJ37" si="1">SUM(Y3+Y4+Y5+Y6+Y7+Y8+Y13+Y14+Y15+Y18+Y19+Y20+Y21+Y26+Y27+Y28+Y29+Y31+Y32+Y33+Y34+Y35)</f>
        <v>22</v>
      </c>
      <c r="Z37" s="291">
        <f t="shared" si="1"/>
        <v>15</v>
      </c>
      <c r="AA37" s="291">
        <f t="shared" si="1"/>
        <v>1</v>
      </c>
      <c r="AB37" s="291">
        <f t="shared" si="1"/>
        <v>6</v>
      </c>
      <c r="AC37" s="121">
        <f t="shared" si="1"/>
        <v>11</v>
      </c>
      <c r="AD37" s="121">
        <f t="shared" si="1"/>
        <v>9</v>
      </c>
      <c r="AE37" s="121">
        <f t="shared" si="1"/>
        <v>1</v>
      </c>
      <c r="AF37" s="121">
        <f t="shared" si="1"/>
        <v>1</v>
      </c>
      <c r="AG37" s="289">
        <f t="shared" si="1"/>
        <v>11</v>
      </c>
      <c r="AH37" s="289">
        <f t="shared" si="1"/>
        <v>6</v>
      </c>
      <c r="AI37" s="289">
        <f t="shared" si="1"/>
        <v>0</v>
      </c>
      <c r="AJ37" s="289">
        <f t="shared" si="1"/>
        <v>5</v>
      </c>
    </row>
    <row r="38" spans="1:36" ht="15" customHeight="1" thickBot="1" x14ac:dyDescent="0.3">
      <c r="A38" s="68"/>
      <c r="B38" s="68"/>
      <c r="C38" s="885" t="s">
        <v>174</v>
      </c>
      <c r="D38" s="886"/>
      <c r="E38" s="887"/>
      <c r="F38" s="298">
        <f>SUM(F36)</f>
        <v>10</v>
      </c>
      <c r="G38" s="298">
        <f>SUM(G36)</f>
        <v>47</v>
      </c>
      <c r="H38" s="298" t="s">
        <v>85</v>
      </c>
      <c r="I38" s="298" t="s">
        <v>85</v>
      </c>
      <c r="J38" s="298">
        <f t="shared" ref="J38:O38" si="2">SUM(J36)</f>
        <v>1</v>
      </c>
      <c r="K38" s="298">
        <f t="shared" si="2"/>
        <v>1</v>
      </c>
      <c r="L38" s="298">
        <f t="shared" si="2"/>
        <v>0</v>
      </c>
      <c r="M38" s="298">
        <f t="shared" si="2"/>
        <v>1</v>
      </c>
      <c r="N38" s="298">
        <f t="shared" si="2"/>
        <v>0</v>
      </c>
      <c r="O38" s="298">
        <f t="shared" si="2"/>
        <v>0</v>
      </c>
      <c r="P38" s="298" t="s">
        <v>85</v>
      </c>
      <c r="Q38" s="298" t="s">
        <v>85</v>
      </c>
      <c r="R38" s="298">
        <f>SUM(R36)</f>
        <v>7</v>
      </c>
      <c r="S38" s="68"/>
      <c r="T38" s="68"/>
      <c r="U38" s="68"/>
      <c r="V38" s="68"/>
      <c r="W38" s="328"/>
      <c r="X38" s="310" t="s">
        <v>174</v>
      </c>
      <c r="Y38" s="298">
        <f t="shared" ref="Y38:AJ38" si="3">SUM(Y36)</f>
        <v>1</v>
      </c>
      <c r="Z38" s="298">
        <f t="shared" si="3"/>
        <v>0</v>
      </c>
      <c r="AA38" s="298">
        <f t="shared" si="3"/>
        <v>0</v>
      </c>
      <c r="AB38" s="298">
        <f t="shared" si="3"/>
        <v>1</v>
      </c>
      <c r="AC38" s="805">
        <f t="shared" si="3"/>
        <v>0</v>
      </c>
      <c r="AD38" s="805">
        <f t="shared" si="3"/>
        <v>0</v>
      </c>
      <c r="AE38" s="805">
        <f t="shared" si="3"/>
        <v>0</v>
      </c>
      <c r="AF38" s="805">
        <f t="shared" si="3"/>
        <v>0</v>
      </c>
      <c r="AG38" s="299">
        <f t="shared" si="3"/>
        <v>1</v>
      </c>
      <c r="AH38" s="299">
        <f t="shared" si="3"/>
        <v>0</v>
      </c>
      <c r="AI38" s="299">
        <f t="shared" si="3"/>
        <v>0</v>
      </c>
      <c r="AJ38" s="299">
        <f t="shared" si="3"/>
        <v>1</v>
      </c>
    </row>
    <row r="39" spans="1:36" ht="15" customHeight="1" thickBot="1" x14ac:dyDescent="0.3">
      <c r="A39" s="68"/>
      <c r="B39" s="68"/>
      <c r="C39" s="888" t="s">
        <v>178</v>
      </c>
      <c r="D39" s="889"/>
      <c r="E39" s="890"/>
      <c r="F39" s="417">
        <f t="shared" ref="F39:R39" si="4">SUM(F9+F10+F16+F17+F22+F23)</f>
        <v>108</v>
      </c>
      <c r="G39" s="417">
        <f t="shared" si="4"/>
        <v>126</v>
      </c>
      <c r="H39" s="417">
        <f t="shared" si="4"/>
        <v>1</v>
      </c>
      <c r="I39" s="417">
        <f t="shared" si="4"/>
        <v>0</v>
      </c>
      <c r="J39" s="417">
        <f t="shared" si="4"/>
        <v>12</v>
      </c>
      <c r="K39" s="417">
        <f t="shared" si="4"/>
        <v>9</v>
      </c>
      <c r="L39" s="417">
        <f t="shared" si="4"/>
        <v>0</v>
      </c>
      <c r="M39" s="417">
        <f t="shared" si="4"/>
        <v>10</v>
      </c>
      <c r="N39" s="417">
        <f t="shared" si="4"/>
        <v>2</v>
      </c>
      <c r="O39" s="417">
        <f t="shared" si="4"/>
        <v>0</v>
      </c>
      <c r="P39" s="417">
        <f t="shared" si="4"/>
        <v>1</v>
      </c>
      <c r="Q39" s="417">
        <f t="shared" si="4"/>
        <v>2</v>
      </c>
      <c r="R39" s="417">
        <f t="shared" si="4"/>
        <v>15</v>
      </c>
      <c r="S39" s="418"/>
      <c r="T39" s="418"/>
      <c r="U39" s="418"/>
      <c r="V39" s="418"/>
      <c r="W39" s="419"/>
      <c r="X39" s="420" t="s">
        <v>178</v>
      </c>
      <c r="Y39" s="421">
        <f t="shared" ref="Y39:AJ39" si="5">SUM(Y9+Y10+Y16+Y17+Y22+Y23)</f>
        <v>6</v>
      </c>
      <c r="Z39" s="417">
        <f t="shared" si="5"/>
        <v>3</v>
      </c>
      <c r="AA39" s="417">
        <f t="shared" si="5"/>
        <v>0</v>
      </c>
      <c r="AB39" s="417">
        <f t="shared" si="5"/>
        <v>3</v>
      </c>
      <c r="AC39" s="423">
        <f t="shared" si="5"/>
        <v>3</v>
      </c>
      <c r="AD39" s="423">
        <f t="shared" si="5"/>
        <v>3</v>
      </c>
      <c r="AE39" s="423">
        <f t="shared" si="5"/>
        <v>0</v>
      </c>
      <c r="AF39" s="423">
        <f t="shared" si="5"/>
        <v>0</v>
      </c>
      <c r="AG39" s="422">
        <f t="shared" si="5"/>
        <v>3</v>
      </c>
      <c r="AH39" s="422">
        <f t="shared" si="5"/>
        <v>0</v>
      </c>
      <c r="AI39" s="422">
        <f t="shared" si="5"/>
        <v>0</v>
      </c>
      <c r="AJ39" s="422">
        <f t="shared" si="5"/>
        <v>3</v>
      </c>
    </row>
    <row r="40" spans="1:36" ht="15" customHeight="1" thickBot="1" x14ac:dyDescent="0.3">
      <c r="A40" s="68"/>
      <c r="B40" s="68"/>
      <c r="C40" s="891" t="s">
        <v>168</v>
      </c>
      <c r="D40" s="892"/>
      <c r="E40" s="893"/>
      <c r="F40" s="319">
        <f t="shared" ref="F40:R40" si="6">SUM(F11+F12+F24+F25)</f>
        <v>106</v>
      </c>
      <c r="G40" s="319">
        <f t="shared" si="6"/>
        <v>46</v>
      </c>
      <c r="H40" s="319">
        <f t="shared" si="6"/>
        <v>2</v>
      </c>
      <c r="I40" s="319">
        <f t="shared" si="6"/>
        <v>0</v>
      </c>
      <c r="J40" s="319">
        <f t="shared" si="6"/>
        <v>14</v>
      </c>
      <c r="K40" s="319">
        <f t="shared" si="6"/>
        <v>12</v>
      </c>
      <c r="L40" s="319">
        <f t="shared" si="6"/>
        <v>0</v>
      </c>
      <c r="M40" s="319">
        <f t="shared" si="6"/>
        <v>4</v>
      </c>
      <c r="N40" s="319">
        <f t="shared" si="6"/>
        <v>3</v>
      </c>
      <c r="O40" s="319">
        <f t="shared" si="6"/>
        <v>0</v>
      </c>
      <c r="P40" s="319">
        <f t="shared" si="6"/>
        <v>0</v>
      </c>
      <c r="Q40" s="319">
        <f t="shared" si="6"/>
        <v>1</v>
      </c>
      <c r="R40" s="319">
        <f t="shared" si="6"/>
        <v>3</v>
      </c>
      <c r="S40" s="321"/>
      <c r="T40" s="321"/>
      <c r="U40" s="321"/>
      <c r="V40" s="321"/>
      <c r="W40" s="329"/>
      <c r="X40" s="322" t="s">
        <v>168</v>
      </c>
      <c r="Y40" s="320">
        <f t="shared" ref="Y40:AJ40" si="7">SUM(Y11+Y12+Y24+Y25)</f>
        <v>4</v>
      </c>
      <c r="Z40" s="319">
        <f t="shared" si="7"/>
        <v>4</v>
      </c>
      <c r="AA40" s="319">
        <f t="shared" si="7"/>
        <v>0</v>
      </c>
      <c r="AB40" s="319">
        <f t="shared" si="7"/>
        <v>0</v>
      </c>
      <c r="AC40" s="324">
        <f t="shared" si="7"/>
        <v>2</v>
      </c>
      <c r="AD40" s="324">
        <f t="shared" si="7"/>
        <v>2</v>
      </c>
      <c r="AE40" s="324">
        <f t="shared" si="7"/>
        <v>0</v>
      </c>
      <c r="AF40" s="324">
        <f t="shared" si="7"/>
        <v>0</v>
      </c>
      <c r="AG40" s="323">
        <f t="shared" si="7"/>
        <v>2</v>
      </c>
      <c r="AH40" s="323">
        <f t="shared" si="7"/>
        <v>2</v>
      </c>
      <c r="AI40" s="323">
        <f t="shared" si="7"/>
        <v>0</v>
      </c>
      <c r="AJ40" s="323">
        <f t="shared" si="7"/>
        <v>0</v>
      </c>
    </row>
    <row r="41" spans="1:36" ht="15" customHeight="1" thickBot="1" x14ac:dyDescent="0.3">
      <c r="A41" s="68"/>
      <c r="B41" s="68"/>
      <c r="C41" s="891" t="s">
        <v>167</v>
      </c>
      <c r="D41" s="892"/>
      <c r="E41" s="893"/>
      <c r="F41" s="319">
        <f>F30</f>
        <v>22</v>
      </c>
      <c r="G41" s="319">
        <f>G30</f>
        <v>30</v>
      </c>
      <c r="H41" s="319" t="s">
        <v>85</v>
      </c>
      <c r="I41" s="319" t="s">
        <v>85</v>
      </c>
      <c r="J41" s="319">
        <f t="shared" ref="J41:O41" si="8">J30</f>
        <v>1</v>
      </c>
      <c r="K41" s="319">
        <f t="shared" si="8"/>
        <v>1</v>
      </c>
      <c r="L41" s="319">
        <f t="shared" si="8"/>
        <v>1</v>
      </c>
      <c r="M41" s="319">
        <f t="shared" si="8"/>
        <v>4</v>
      </c>
      <c r="N41" s="319">
        <f t="shared" si="8"/>
        <v>0</v>
      </c>
      <c r="O41" s="319">
        <f t="shared" si="8"/>
        <v>0</v>
      </c>
      <c r="P41" s="319" t="s">
        <v>85</v>
      </c>
      <c r="Q41" s="319" t="s">
        <v>85</v>
      </c>
      <c r="R41" s="319">
        <f>R30</f>
        <v>3</v>
      </c>
      <c r="S41" s="321"/>
      <c r="T41" s="321"/>
      <c r="U41" s="321"/>
      <c r="V41" s="321"/>
      <c r="W41" s="329"/>
      <c r="X41" s="322" t="s">
        <v>167</v>
      </c>
      <c r="Y41" s="320" t="e">
        <f>SUM(Y30+#REF!)</f>
        <v>#REF!</v>
      </c>
      <c r="Z41" s="319" t="e">
        <f>SUM(Z30+#REF!)</f>
        <v>#REF!</v>
      </c>
      <c r="AA41" s="319" t="e">
        <f>SUM(AA30+#REF!)</f>
        <v>#REF!</v>
      </c>
      <c r="AB41" s="319" t="e">
        <f>SUM(AB30+#REF!)</f>
        <v>#REF!</v>
      </c>
      <c r="AC41" s="324" t="e">
        <f>SUM(AC30+#REF!)</f>
        <v>#REF!</v>
      </c>
      <c r="AD41" s="324" t="e">
        <f>SUM(AD30+#REF!)</f>
        <v>#REF!</v>
      </c>
      <c r="AE41" s="324" t="e">
        <f>SUM(AE30+#REF!)</f>
        <v>#REF!</v>
      </c>
      <c r="AF41" s="324" t="e">
        <f>SUM(AF30+#REF!)</f>
        <v>#REF!</v>
      </c>
      <c r="AG41" s="323" t="e">
        <f>SUM(AG30+#REF!)</f>
        <v>#REF!</v>
      </c>
      <c r="AH41" s="323" t="e">
        <f>SUM(AH30+#REF!)</f>
        <v>#REF!</v>
      </c>
      <c r="AI41" s="323" t="e">
        <f>SUM(AI30+#REF!)</f>
        <v>#REF!</v>
      </c>
      <c r="AJ41" s="323" t="e">
        <f>SUM(AJ30+#REF!)</f>
        <v>#REF!</v>
      </c>
    </row>
    <row r="42" spans="1:36" ht="15.75" thickBot="1" x14ac:dyDescent="0.3">
      <c r="C42" s="458" t="s">
        <v>166</v>
      </c>
      <c r="D42" s="459"/>
      <c r="E42" s="460"/>
      <c r="F42" s="461">
        <v>0</v>
      </c>
      <c r="G42" s="461">
        <v>0</v>
      </c>
      <c r="H42" s="465">
        <v>0</v>
      </c>
      <c r="I42" s="465">
        <v>0</v>
      </c>
      <c r="J42" s="461">
        <v>0</v>
      </c>
      <c r="K42" s="461">
        <v>0</v>
      </c>
      <c r="L42" s="461">
        <v>0</v>
      </c>
      <c r="M42" s="461">
        <v>0</v>
      </c>
      <c r="N42" s="461">
        <v>0</v>
      </c>
      <c r="O42" s="461">
        <v>0</v>
      </c>
      <c r="P42" s="461">
        <v>0</v>
      </c>
      <c r="Q42" s="461">
        <v>0</v>
      </c>
      <c r="R42" s="461">
        <v>0</v>
      </c>
      <c r="S42" s="462"/>
      <c r="T42" s="462"/>
      <c r="U42" s="462"/>
      <c r="V42" s="462"/>
      <c r="W42" s="463"/>
      <c r="X42" s="464" t="s">
        <v>166</v>
      </c>
      <c r="Y42" s="465">
        <v>0</v>
      </c>
      <c r="Z42" s="461">
        <v>0</v>
      </c>
      <c r="AA42" s="461">
        <v>0</v>
      </c>
      <c r="AB42" s="461">
        <v>0</v>
      </c>
      <c r="AC42" s="468">
        <v>0</v>
      </c>
      <c r="AD42" s="469">
        <v>0</v>
      </c>
      <c r="AE42" s="469">
        <v>0</v>
      </c>
      <c r="AF42" s="469">
        <v>0</v>
      </c>
      <c r="AG42" s="466">
        <v>0</v>
      </c>
      <c r="AH42" s="467">
        <v>0</v>
      </c>
      <c r="AI42" s="467">
        <v>0</v>
      </c>
      <c r="AJ42" s="467">
        <v>0</v>
      </c>
    </row>
    <row r="43" spans="1:36" ht="15.75" thickBot="1" x14ac:dyDescent="0.3">
      <c r="C43" s="882" t="s">
        <v>70</v>
      </c>
      <c r="D43" s="883"/>
      <c r="E43" s="884"/>
      <c r="F43" s="293">
        <f t="shared" ref="F43:R43" si="9">SUM(F3:F36)</f>
        <v>699</v>
      </c>
      <c r="G43" s="293">
        <f t="shared" si="9"/>
        <v>670</v>
      </c>
      <c r="H43" s="292">
        <f t="shared" si="9"/>
        <v>7</v>
      </c>
      <c r="I43" s="292">
        <f t="shared" si="9"/>
        <v>2</v>
      </c>
      <c r="J43" s="293">
        <f t="shared" si="9"/>
        <v>65</v>
      </c>
      <c r="K43" s="293">
        <f t="shared" si="9"/>
        <v>46</v>
      </c>
      <c r="L43" s="293">
        <f t="shared" si="9"/>
        <v>2</v>
      </c>
      <c r="M43" s="293">
        <f t="shared" si="9"/>
        <v>92</v>
      </c>
      <c r="N43" s="293">
        <f t="shared" si="9"/>
        <v>13</v>
      </c>
      <c r="O43" s="293">
        <f t="shared" si="9"/>
        <v>2</v>
      </c>
      <c r="P43" s="293">
        <f t="shared" si="9"/>
        <v>4</v>
      </c>
      <c r="Q43" s="293">
        <f t="shared" si="9"/>
        <v>12</v>
      </c>
      <c r="R43" s="293">
        <f t="shared" si="9"/>
        <v>67</v>
      </c>
      <c r="S43" s="68"/>
      <c r="T43" s="68"/>
      <c r="U43" s="68"/>
      <c r="V43" s="68"/>
      <c r="W43" s="331"/>
      <c r="X43" s="309" t="s">
        <v>70</v>
      </c>
      <c r="Y43" s="292">
        <f t="shared" ref="Y43:AJ43" si="10">SUM(Y3:Y36)</f>
        <v>34</v>
      </c>
      <c r="Z43" s="293">
        <f t="shared" si="10"/>
        <v>22</v>
      </c>
      <c r="AA43" s="293">
        <f t="shared" si="10"/>
        <v>1</v>
      </c>
      <c r="AB43" s="293">
        <f t="shared" si="10"/>
        <v>11</v>
      </c>
      <c r="AC43" s="198">
        <f t="shared" si="10"/>
        <v>17</v>
      </c>
      <c r="AD43" s="390">
        <f t="shared" si="10"/>
        <v>14</v>
      </c>
      <c r="AE43" s="390">
        <f t="shared" si="10"/>
        <v>1</v>
      </c>
      <c r="AF43" s="390">
        <f t="shared" si="10"/>
        <v>2</v>
      </c>
      <c r="AG43" s="290">
        <f t="shared" si="10"/>
        <v>17</v>
      </c>
      <c r="AH43" s="133">
        <f t="shared" si="10"/>
        <v>8</v>
      </c>
      <c r="AI43" s="133">
        <f t="shared" si="10"/>
        <v>0</v>
      </c>
      <c r="AJ43" s="133">
        <f t="shared" si="10"/>
        <v>9</v>
      </c>
    </row>
    <row r="45" spans="1:36" x14ac:dyDescent="0.25">
      <c r="A45" s="470" t="s">
        <v>253</v>
      </c>
    </row>
  </sheetData>
  <mergeCells count="12">
    <mergeCell ref="C41:E41"/>
    <mergeCell ref="C43:E43"/>
    <mergeCell ref="A1:D1"/>
    <mergeCell ref="E1:G1"/>
    <mergeCell ref="H1:I1"/>
    <mergeCell ref="C40:E40"/>
    <mergeCell ref="J1:M1"/>
    <mergeCell ref="N1:O1"/>
    <mergeCell ref="P1:R1"/>
    <mergeCell ref="C37:E37"/>
    <mergeCell ref="C39:E39"/>
    <mergeCell ref="C38:E3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43"/>
  <sheetViews>
    <sheetView zoomScaleNormal="100" workbookViewId="0">
      <pane ySplit="2" topLeftCell="A3" activePane="bottomLeft" state="frozen"/>
      <selection pane="bottomLeft" activeCell="E11" sqref="E11"/>
    </sheetView>
  </sheetViews>
  <sheetFormatPr defaultRowHeight="15" x14ac:dyDescent="0.25"/>
  <cols>
    <col min="1" max="1" width="7.7109375" customWidth="1"/>
    <col min="2" max="2" width="5.7109375" customWidth="1"/>
    <col min="3" max="3" width="14.140625" customWidth="1"/>
    <col min="4" max="5" width="3.7109375" customWidth="1"/>
    <col min="6" max="7" width="4.140625" customWidth="1"/>
    <col min="8" max="18" width="3.7109375" customWidth="1"/>
    <col min="19" max="20" width="5.7109375" customWidth="1"/>
    <col min="21" max="21" width="22.140625" bestFit="1" customWidth="1"/>
    <col min="22" max="22" width="20.42578125" bestFit="1" customWidth="1"/>
    <col min="23" max="23" width="23.85546875" customWidth="1"/>
    <col min="24" max="24" width="21.85546875" customWidth="1"/>
    <col min="25" max="36" width="3.7109375" customWidth="1"/>
  </cols>
  <sheetData>
    <row r="1" spans="1:36" ht="15" customHeight="1" thickBot="1" x14ac:dyDescent="0.3">
      <c r="A1" s="953" t="s">
        <v>213</v>
      </c>
      <c r="B1" s="954"/>
      <c r="C1" s="954"/>
      <c r="D1" s="955"/>
      <c r="E1" s="948" t="s">
        <v>77</v>
      </c>
      <c r="F1" s="956"/>
      <c r="G1" s="949"/>
      <c r="H1" s="948" t="s">
        <v>76</v>
      </c>
      <c r="I1" s="949"/>
      <c r="J1" s="950" t="s">
        <v>43</v>
      </c>
      <c r="K1" s="951"/>
      <c r="L1" s="951"/>
      <c r="M1" s="952"/>
      <c r="N1" s="950" t="s">
        <v>44</v>
      </c>
      <c r="O1" s="952"/>
      <c r="P1" s="950" t="s">
        <v>79</v>
      </c>
      <c r="Q1" s="951"/>
      <c r="R1" s="952"/>
      <c r="S1" s="840" t="s">
        <v>45</v>
      </c>
      <c r="T1" s="840" t="s">
        <v>46</v>
      </c>
      <c r="U1" s="841" t="s">
        <v>47</v>
      </c>
      <c r="V1" s="840" t="s">
        <v>48</v>
      </c>
      <c r="W1" s="842" t="s">
        <v>151</v>
      </c>
      <c r="X1" s="842" t="s">
        <v>152</v>
      </c>
      <c r="Y1" s="843" t="s">
        <v>71</v>
      </c>
      <c r="Z1" s="844"/>
      <c r="AA1" s="844"/>
      <c r="AB1" s="844"/>
      <c r="AC1" s="841" t="s">
        <v>72</v>
      </c>
      <c r="AD1" s="845"/>
      <c r="AE1" s="845"/>
      <c r="AF1" s="846"/>
      <c r="AG1" s="841" t="s">
        <v>73</v>
      </c>
      <c r="AH1" s="845"/>
      <c r="AI1" s="845"/>
      <c r="AJ1" s="845"/>
    </row>
    <row r="2" spans="1:36" ht="15" customHeight="1" thickBot="1" x14ac:dyDescent="0.3">
      <c r="A2" s="847" t="s">
        <v>69</v>
      </c>
      <c r="B2" s="848" t="s">
        <v>68</v>
      </c>
      <c r="C2" s="849" t="s">
        <v>67</v>
      </c>
      <c r="D2" s="849" t="s">
        <v>78</v>
      </c>
      <c r="E2" s="850" t="s">
        <v>53</v>
      </c>
      <c r="F2" s="850" t="s">
        <v>37</v>
      </c>
      <c r="G2" s="850" t="s">
        <v>38</v>
      </c>
      <c r="H2" s="530" t="s">
        <v>74</v>
      </c>
      <c r="I2" s="851" t="s">
        <v>75</v>
      </c>
      <c r="J2" s="851" t="s">
        <v>49</v>
      </c>
      <c r="K2" s="851" t="s">
        <v>50</v>
      </c>
      <c r="L2" s="851" t="s">
        <v>35</v>
      </c>
      <c r="M2" s="851" t="s">
        <v>51</v>
      </c>
      <c r="N2" s="851" t="s">
        <v>52</v>
      </c>
      <c r="O2" s="851" t="s">
        <v>53</v>
      </c>
      <c r="P2" s="851" t="s">
        <v>74</v>
      </c>
      <c r="Q2" s="851" t="s">
        <v>75</v>
      </c>
      <c r="R2" s="851" t="s">
        <v>49</v>
      </c>
      <c r="S2" s="852"/>
      <c r="T2" s="853"/>
      <c r="U2" s="854"/>
      <c r="V2" s="852"/>
      <c r="W2" s="855"/>
      <c r="X2" s="855"/>
      <c r="Y2" s="840" t="s">
        <v>33</v>
      </c>
      <c r="Z2" s="840" t="s">
        <v>34</v>
      </c>
      <c r="AA2" s="840" t="s">
        <v>35</v>
      </c>
      <c r="AB2" s="840" t="s">
        <v>36</v>
      </c>
      <c r="AC2" s="840" t="s">
        <v>33</v>
      </c>
      <c r="AD2" s="840" t="s">
        <v>34</v>
      </c>
      <c r="AE2" s="840" t="s">
        <v>35</v>
      </c>
      <c r="AF2" s="840" t="s">
        <v>36</v>
      </c>
      <c r="AG2" s="840" t="s">
        <v>33</v>
      </c>
      <c r="AH2" s="840" t="s">
        <v>34</v>
      </c>
      <c r="AI2" s="840" t="s">
        <v>35</v>
      </c>
      <c r="AJ2" s="840" t="s">
        <v>36</v>
      </c>
    </row>
    <row r="3" spans="1:36" ht="15" customHeight="1" thickBot="1" x14ac:dyDescent="0.3">
      <c r="A3" s="369" t="s">
        <v>89</v>
      </c>
      <c r="B3" s="240" t="s">
        <v>54</v>
      </c>
      <c r="C3" s="122" t="s">
        <v>10</v>
      </c>
      <c r="D3" s="123" t="s">
        <v>350</v>
      </c>
      <c r="E3" s="123" t="s">
        <v>36</v>
      </c>
      <c r="F3" s="123">
        <v>15</v>
      </c>
      <c r="G3" s="241">
        <v>20</v>
      </c>
      <c r="H3" s="244">
        <v>0</v>
      </c>
      <c r="I3" s="242">
        <v>1</v>
      </c>
      <c r="J3" s="242">
        <v>0</v>
      </c>
      <c r="K3" s="242">
        <v>0</v>
      </c>
      <c r="L3" s="242">
        <v>0</v>
      </c>
      <c r="M3" s="242">
        <v>5</v>
      </c>
      <c r="N3" s="242">
        <v>1</v>
      </c>
      <c r="O3" s="242">
        <v>0</v>
      </c>
      <c r="P3" s="242">
        <v>0</v>
      </c>
      <c r="Q3" s="242">
        <v>0</v>
      </c>
      <c r="R3" s="242">
        <v>2</v>
      </c>
      <c r="S3" s="243">
        <v>66164</v>
      </c>
      <c r="T3" s="514" t="s">
        <v>366</v>
      </c>
      <c r="U3" s="245" t="s">
        <v>367</v>
      </c>
      <c r="V3" s="243" t="s">
        <v>368</v>
      </c>
      <c r="W3" s="243" t="s">
        <v>369</v>
      </c>
      <c r="X3" s="169" t="s">
        <v>370</v>
      </c>
      <c r="Y3" s="243">
        <v>1</v>
      </c>
      <c r="Z3" s="243">
        <v>0</v>
      </c>
      <c r="AA3" s="243">
        <v>0</v>
      </c>
      <c r="AB3" s="167">
        <v>1</v>
      </c>
      <c r="AC3" s="243">
        <v>1</v>
      </c>
      <c r="AD3" s="243">
        <v>0</v>
      </c>
      <c r="AE3" s="243">
        <v>0</v>
      </c>
      <c r="AF3" s="167">
        <v>1</v>
      </c>
      <c r="AG3" s="243">
        <v>0</v>
      </c>
      <c r="AH3" s="243">
        <v>0</v>
      </c>
      <c r="AI3" s="243">
        <v>0</v>
      </c>
      <c r="AJ3" s="167">
        <v>0</v>
      </c>
    </row>
    <row r="4" spans="1:36" ht="15" customHeight="1" thickBot="1" x14ac:dyDescent="0.3">
      <c r="A4" s="378" t="s">
        <v>210</v>
      </c>
      <c r="B4" s="379" t="s">
        <v>54</v>
      </c>
      <c r="C4" s="372" t="s">
        <v>66</v>
      </c>
      <c r="D4" s="380" t="s">
        <v>38</v>
      </c>
      <c r="E4" s="380" t="s">
        <v>34</v>
      </c>
      <c r="F4" s="380">
        <v>20</v>
      </c>
      <c r="G4" s="381">
        <v>18</v>
      </c>
      <c r="H4" s="382">
        <v>0</v>
      </c>
      <c r="I4" s="383">
        <v>0</v>
      </c>
      <c r="J4" s="383">
        <v>2</v>
      </c>
      <c r="K4" s="380">
        <v>2</v>
      </c>
      <c r="L4" s="383">
        <v>0</v>
      </c>
      <c r="M4" s="380">
        <v>2</v>
      </c>
      <c r="N4" s="383">
        <v>1</v>
      </c>
      <c r="O4" s="383">
        <v>0</v>
      </c>
      <c r="P4" s="383">
        <v>0</v>
      </c>
      <c r="Q4" s="380">
        <v>1</v>
      </c>
      <c r="R4" s="383">
        <v>3</v>
      </c>
      <c r="S4" s="261">
        <v>5888</v>
      </c>
      <c r="T4" s="590" t="s">
        <v>402</v>
      </c>
      <c r="U4" s="263" t="s">
        <v>353</v>
      </c>
      <c r="V4" s="261" t="s">
        <v>339</v>
      </c>
      <c r="W4" s="261" t="s">
        <v>355</v>
      </c>
      <c r="X4" s="264" t="s">
        <v>356</v>
      </c>
      <c r="Y4" s="384">
        <v>1</v>
      </c>
      <c r="Z4" s="384">
        <v>1</v>
      </c>
      <c r="AA4" s="384">
        <v>0</v>
      </c>
      <c r="AB4" s="387">
        <v>0</v>
      </c>
      <c r="AC4" s="384">
        <v>0</v>
      </c>
      <c r="AD4" s="384">
        <v>0</v>
      </c>
      <c r="AE4" s="384">
        <v>0</v>
      </c>
      <c r="AF4" s="387">
        <v>0</v>
      </c>
      <c r="AG4" s="384">
        <v>1</v>
      </c>
      <c r="AH4" s="384">
        <v>1</v>
      </c>
      <c r="AI4" s="384">
        <v>0</v>
      </c>
      <c r="AJ4" s="387">
        <v>0</v>
      </c>
    </row>
    <row r="5" spans="1:36" ht="15" customHeight="1" thickBot="1" x14ac:dyDescent="0.3">
      <c r="A5" s="239" t="s">
        <v>108</v>
      </c>
      <c r="B5" s="240" t="s">
        <v>54</v>
      </c>
      <c r="C5" s="122" t="s">
        <v>21</v>
      </c>
      <c r="D5" s="123" t="s">
        <v>90</v>
      </c>
      <c r="E5" s="123" t="s">
        <v>36</v>
      </c>
      <c r="F5" s="123">
        <v>32</v>
      </c>
      <c r="G5" s="241">
        <v>36</v>
      </c>
      <c r="H5" s="368">
        <v>1</v>
      </c>
      <c r="I5" s="241">
        <v>1</v>
      </c>
      <c r="J5" s="242">
        <v>4</v>
      </c>
      <c r="K5" s="242">
        <v>3</v>
      </c>
      <c r="L5" s="242">
        <v>0</v>
      </c>
      <c r="M5" s="242">
        <v>2</v>
      </c>
      <c r="N5" s="242">
        <v>0</v>
      </c>
      <c r="O5" s="242">
        <v>0</v>
      </c>
      <c r="P5" s="123">
        <v>0</v>
      </c>
      <c r="Q5" s="242">
        <v>0</v>
      </c>
      <c r="R5" s="123">
        <v>3</v>
      </c>
      <c r="S5" s="243">
        <v>6665</v>
      </c>
      <c r="T5" s="514" t="s">
        <v>429</v>
      </c>
      <c r="U5" s="245" t="s">
        <v>360</v>
      </c>
      <c r="V5" s="243" t="s">
        <v>361</v>
      </c>
      <c r="W5" s="243" t="s">
        <v>387</v>
      </c>
      <c r="X5" s="169" t="s">
        <v>363</v>
      </c>
      <c r="Y5" s="243">
        <v>1</v>
      </c>
      <c r="Z5" s="243">
        <v>0</v>
      </c>
      <c r="AA5" s="243">
        <v>0</v>
      </c>
      <c r="AB5" s="167">
        <v>1</v>
      </c>
      <c r="AC5" s="243">
        <v>1</v>
      </c>
      <c r="AD5" s="243">
        <v>0</v>
      </c>
      <c r="AE5" s="243">
        <v>0</v>
      </c>
      <c r="AF5" s="167">
        <v>1</v>
      </c>
      <c r="AG5" s="243">
        <v>0</v>
      </c>
      <c r="AH5" s="243">
        <v>0</v>
      </c>
      <c r="AI5" s="243">
        <v>0</v>
      </c>
      <c r="AJ5" s="167">
        <v>0</v>
      </c>
    </row>
    <row r="6" spans="1:36" ht="15" customHeight="1" thickBot="1" x14ac:dyDescent="0.3">
      <c r="A6" s="378" t="s">
        <v>114</v>
      </c>
      <c r="B6" s="379" t="s">
        <v>54</v>
      </c>
      <c r="C6" s="372" t="s">
        <v>28</v>
      </c>
      <c r="D6" s="380" t="s">
        <v>38</v>
      </c>
      <c r="E6" s="380" t="s">
        <v>34</v>
      </c>
      <c r="F6" s="380">
        <v>22</v>
      </c>
      <c r="G6" s="381">
        <v>19</v>
      </c>
      <c r="H6" s="381">
        <v>0</v>
      </c>
      <c r="I6" s="383">
        <v>0</v>
      </c>
      <c r="J6" s="380">
        <v>1</v>
      </c>
      <c r="K6" s="380">
        <v>1</v>
      </c>
      <c r="L6" s="383">
        <v>0</v>
      </c>
      <c r="M6" s="383">
        <v>5</v>
      </c>
      <c r="N6" s="383">
        <v>1</v>
      </c>
      <c r="O6" s="383">
        <v>0</v>
      </c>
      <c r="P6" s="383">
        <v>0</v>
      </c>
      <c r="Q6" s="380">
        <v>1</v>
      </c>
      <c r="R6" s="383">
        <v>1</v>
      </c>
      <c r="S6" s="261">
        <v>21682</v>
      </c>
      <c r="T6" s="590" t="s">
        <v>446</v>
      </c>
      <c r="U6" s="263" t="s">
        <v>367</v>
      </c>
      <c r="V6" s="261" t="s">
        <v>354</v>
      </c>
      <c r="W6" s="261" t="s">
        <v>445</v>
      </c>
      <c r="X6" s="264" t="s">
        <v>347</v>
      </c>
      <c r="Y6" s="384">
        <v>1</v>
      </c>
      <c r="Z6" s="384">
        <v>1</v>
      </c>
      <c r="AA6" s="384">
        <v>0</v>
      </c>
      <c r="AB6" s="387">
        <v>0</v>
      </c>
      <c r="AC6" s="384">
        <v>0</v>
      </c>
      <c r="AD6" s="384">
        <v>0</v>
      </c>
      <c r="AE6" s="384">
        <v>0</v>
      </c>
      <c r="AF6" s="387">
        <v>0</v>
      </c>
      <c r="AG6" s="384">
        <v>1</v>
      </c>
      <c r="AH6" s="384">
        <v>1</v>
      </c>
      <c r="AI6" s="384">
        <v>0</v>
      </c>
      <c r="AJ6" s="387">
        <v>0</v>
      </c>
    </row>
    <row r="7" spans="1:36" ht="15" customHeight="1" thickBot="1" x14ac:dyDescent="0.3">
      <c r="A7" s="239" t="s">
        <v>92</v>
      </c>
      <c r="B7" s="240" t="s">
        <v>54</v>
      </c>
      <c r="C7" s="122" t="s">
        <v>27</v>
      </c>
      <c r="D7" s="123" t="s">
        <v>90</v>
      </c>
      <c r="E7" s="123" t="s">
        <v>36</v>
      </c>
      <c r="F7" s="123">
        <v>12</v>
      </c>
      <c r="G7" s="241">
        <v>19</v>
      </c>
      <c r="H7" s="244">
        <v>0</v>
      </c>
      <c r="I7" s="123">
        <v>1</v>
      </c>
      <c r="J7" s="242">
        <v>0</v>
      </c>
      <c r="K7" s="242">
        <v>0</v>
      </c>
      <c r="L7" s="242">
        <v>0</v>
      </c>
      <c r="M7" s="242">
        <v>4</v>
      </c>
      <c r="N7" s="242">
        <v>0</v>
      </c>
      <c r="O7" s="242">
        <v>0</v>
      </c>
      <c r="P7" s="242">
        <v>0</v>
      </c>
      <c r="Q7" s="242">
        <v>0</v>
      </c>
      <c r="R7" s="242">
        <v>1</v>
      </c>
      <c r="S7" s="243">
        <v>6717</v>
      </c>
      <c r="T7" s="514" t="s">
        <v>466</v>
      </c>
      <c r="U7" s="245" t="s">
        <v>419</v>
      </c>
      <c r="V7" s="243" t="s">
        <v>393</v>
      </c>
      <c r="W7" s="243" t="s">
        <v>370</v>
      </c>
      <c r="X7" s="169" t="s">
        <v>356</v>
      </c>
      <c r="Y7" s="243">
        <v>1</v>
      </c>
      <c r="Z7" s="243">
        <v>0</v>
      </c>
      <c r="AA7" s="243">
        <v>0</v>
      </c>
      <c r="AB7" s="167">
        <v>1</v>
      </c>
      <c r="AC7" s="243">
        <v>1</v>
      </c>
      <c r="AD7" s="243">
        <v>0</v>
      </c>
      <c r="AE7" s="243">
        <v>0</v>
      </c>
      <c r="AF7" s="167">
        <v>1</v>
      </c>
      <c r="AG7" s="243">
        <v>0</v>
      </c>
      <c r="AH7" s="243">
        <v>0</v>
      </c>
      <c r="AI7" s="243">
        <v>0</v>
      </c>
      <c r="AJ7" s="167">
        <v>0</v>
      </c>
    </row>
    <row r="8" spans="1:36" ht="15" customHeight="1" thickBot="1" x14ac:dyDescent="0.3">
      <c r="A8" s="378" t="s">
        <v>105</v>
      </c>
      <c r="B8" s="379" t="s">
        <v>54</v>
      </c>
      <c r="C8" s="372" t="s">
        <v>30</v>
      </c>
      <c r="D8" s="380" t="s">
        <v>38</v>
      </c>
      <c r="E8" s="380" t="s">
        <v>36</v>
      </c>
      <c r="F8" s="380">
        <v>24</v>
      </c>
      <c r="G8" s="381">
        <v>44</v>
      </c>
      <c r="H8" s="382">
        <v>0</v>
      </c>
      <c r="I8" s="380">
        <v>0</v>
      </c>
      <c r="J8" s="383">
        <v>3</v>
      </c>
      <c r="K8" s="383">
        <v>3</v>
      </c>
      <c r="L8" s="383">
        <v>0</v>
      </c>
      <c r="M8" s="383">
        <v>1</v>
      </c>
      <c r="N8" s="383">
        <v>1</v>
      </c>
      <c r="O8" s="383">
        <v>0</v>
      </c>
      <c r="P8" s="383">
        <v>1</v>
      </c>
      <c r="Q8" s="383">
        <v>0</v>
      </c>
      <c r="R8" s="383">
        <v>5</v>
      </c>
      <c r="S8" s="261">
        <v>8654</v>
      </c>
      <c r="T8" s="262" t="s">
        <v>486</v>
      </c>
      <c r="U8" s="263" t="s">
        <v>485</v>
      </c>
      <c r="V8" s="261" t="s">
        <v>361</v>
      </c>
      <c r="W8" s="261" t="s">
        <v>356</v>
      </c>
      <c r="X8" s="264" t="s">
        <v>370</v>
      </c>
      <c r="Y8" s="384">
        <v>1</v>
      </c>
      <c r="Z8" s="384">
        <v>0</v>
      </c>
      <c r="AA8" s="384">
        <v>0</v>
      </c>
      <c r="AB8" s="387">
        <v>1</v>
      </c>
      <c r="AC8" s="384">
        <v>0</v>
      </c>
      <c r="AD8" s="384">
        <v>0</v>
      </c>
      <c r="AE8" s="384">
        <v>0</v>
      </c>
      <c r="AF8" s="387">
        <v>0</v>
      </c>
      <c r="AG8" s="384">
        <v>1</v>
      </c>
      <c r="AH8" s="384">
        <v>0</v>
      </c>
      <c r="AI8" s="384">
        <v>0</v>
      </c>
      <c r="AJ8" s="387">
        <v>1</v>
      </c>
    </row>
    <row r="9" spans="1:36" ht="15" customHeight="1" thickBot="1" x14ac:dyDescent="0.3">
      <c r="A9" s="677" t="s">
        <v>226</v>
      </c>
      <c r="B9" s="678" t="s">
        <v>169</v>
      </c>
      <c r="C9" s="679" t="s">
        <v>440</v>
      </c>
      <c r="D9" s="680" t="s">
        <v>90</v>
      </c>
      <c r="E9" s="680" t="s">
        <v>34</v>
      </c>
      <c r="F9" s="680">
        <v>70</v>
      </c>
      <c r="G9" s="681">
        <v>14</v>
      </c>
      <c r="H9" s="682">
        <v>1</v>
      </c>
      <c r="I9" s="683">
        <v>0</v>
      </c>
      <c r="J9" s="683">
        <v>10</v>
      </c>
      <c r="K9" s="683">
        <v>10</v>
      </c>
      <c r="L9" s="683">
        <v>0</v>
      </c>
      <c r="M9" s="683">
        <v>0</v>
      </c>
      <c r="N9" s="683">
        <v>1</v>
      </c>
      <c r="O9" s="683">
        <v>0</v>
      </c>
      <c r="P9" s="683">
        <v>0</v>
      </c>
      <c r="Q9" s="680">
        <v>0</v>
      </c>
      <c r="R9" s="683">
        <v>2</v>
      </c>
      <c r="S9" s="684">
        <v>4219</v>
      </c>
      <c r="T9" s="685" t="s">
        <v>580</v>
      </c>
      <c r="U9" s="686" t="s">
        <v>581</v>
      </c>
      <c r="V9" s="684" t="s">
        <v>510</v>
      </c>
      <c r="W9" s="684" t="s">
        <v>582</v>
      </c>
      <c r="X9" s="687" t="s">
        <v>583</v>
      </c>
      <c r="Y9" s="684">
        <v>1</v>
      </c>
      <c r="Z9" s="684">
        <v>1</v>
      </c>
      <c r="AA9" s="684">
        <v>0</v>
      </c>
      <c r="AB9" s="688">
        <v>0</v>
      </c>
      <c r="AC9" s="684">
        <v>1</v>
      </c>
      <c r="AD9" s="684">
        <v>1</v>
      </c>
      <c r="AE9" s="684">
        <v>0</v>
      </c>
      <c r="AF9" s="688">
        <v>0</v>
      </c>
      <c r="AG9" s="684">
        <v>0</v>
      </c>
      <c r="AH9" s="684">
        <v>0</v>
      </c>
      <c r="AI9" s="684">
        <v>0</v>
      </c>
      <c r="AJ9" s="688">
        <v>0</v>
      </c>
    </row>
    <row r="10" spans="1:36" ht="15" customHeight="1" thickBot="1" x14ac:dyDescent="0.3">
      <c r="A10" s="689" t="s">
        <v>228</v>
      </c>
      <c r="B10" s="690" t="s">
        <v>169</v>
      </c>
      <c r="C10" s="691" t="s">
        <v>241</v>
      </c>
      <c r="D10" s="692" t="s">
        <v>38</v>
      </c>
      <c r="E10" s="692" t="s">
        <v>34</v>
      </c>
      <c r="F10" s="692">
        <v>25</v>
      </c>
      <c r="G10" s="693">
        <v>15</v>
      </c>
      <c r="H10" s="694">
        <v>1</v>
      </c>
      <c r="I10" s="695">
        <v>0</v>
      </c>
      <c r="J10" s="695">
        <v>4</v>
      </c>
      <c r="K10" s="695">
        <v>1</v>
      </c>
      <c r="L10" s="695">
        <v>0</v>
      </c>
      <c r="M10" s="695">
        <v>1</v>
      </c>
      <c r="N10" s="695">
        <v>1</v>
      </c>
      <c r="O10" s="695">
        <v>0</v>
      </c>
      <c r="P10" s="695">
        <v>0</v>
      </c>
      <c r="Q10" s="692">
        <v>0</v>
      </c>
      <c r="R10" s="695">
        <v>0</v>
      </c>
      <c r="S10" s="696">
        <v>7759</v>
      </c>
      <c r="T10" s="697" t="s">
        <v>593</v>
      </c>
      <c r="U10" s="698" t="s">
        <v>576</v>
      </c>
      <c r="V10" s="696" t="s">
        <v>510</v>
      </c>
      <c r="W10" s="696" t="s">
        <v>575</v>
      </c>
      <c r="X10" s="699" t="s">
        <v>592</v>
      </c>
      <c r="Y10" s="696">
        <v>1</v>
      </c>
      <c r="Z10" s="696">
        <v>1</v>
      </c>
      <c r="AA10" s="696">
        <v>0</v>
      </c>
      <c r="AB10" s="700">
        <v>0</v>
      </c>
      <c r="AC10" s="696">
        <v>0</v>
      </c>
      <c r="AD10" s="696">
        <v>0</v>
      </c>
      <c r="AE10" s="696">
        <v>0</v>
      </c>
      <c r="AF10" s="700">
        <v>0</v>
      </c>
      <c r="AG10" s="696">
        <v>1</v>
      </c>
      <c r="AH10" s="696">
        <v>1</v>
      </c>
      <c r="AI10" s="696">
        <v>0</v>
      </c>
      <c r="AJ10" s="700">
        <v>0</v>
      </c>
    </row>
    <row r="11" spans="1:36" ht="15" customHeight="1" thickBot="1" x14ac:dyDescent="0.3">
      <c r="A11" s="248" t="s">
        <v>94</v>
      </c>
      <c r="B11" s="249" t="s">
        <v>96</v>
      </c>
      <c r="C11" s="250" t="s">
        <v>28</v>
      </c>
      <c r="D11" s="283" t="s">
        <v>90</v>
      </c>
      <c r="E11" s="283" t="s">
        <v>36</v>
      </c>
      <c r="F11" s="283">
        <v>16</v>
      </c>
      <c r="G11" s="284">
        <v>17</v>
      </c>
      <c r="H11" s="277">
        <v>0</v>
      </c>
      <c r="I11" s="276">
        <v>1</v>
      </c>
      <c r="J11" s="276">
        <v>1</v>
      </c>
      <c r="K11" s="276">
        <v>1</v>
      </c>
      <c r="L11" s="276">
        <v>0</v>
      </c>
      <c r="M11" s="276">
        <v>3</v>
      </c>
      <c r="N11" s="276">
        <v>0</v>
      </c>
      <c r="O11" s="276">
        <v>0</v>
      </c>
      <c r="P11" s="276">
        <v>0</v>
      </c>
      <c r="Q11" s="283">
        <v>0</v>
      </c>
      <c r="R11" s="276">
        <v>2</v>
      </c>
      <c r="S11" s="443">
        <v>5131</v>
      </c>
      <c r="T11" s="648" t="s">
        <v>563</v>
      </c>
      <c r="U11" s="444" t="s">
        <v>601</v>
      </c>
      <c r="V11" s="445" t="s">
        <v>510</v>
      </c>
      <c r="W11" s="278" t="s">
        <v>602</v>
      </c>
      <c r="X11" s="280" t="s">
        <v>347</v>
      </c>
      <c r="Y11" s="278">
        <v>1</v>
      </c>
      <c r="Z11" s="278">
        <v>0</v>
      </c>
      <c r="AA11" s="278">
        <v>0</v>
      </c>
      <c r="AB11" s="281">
        <v>1</v>
      </c>
      <c r="AC11" s="278">
        <v>1</v>
      </c>
      <c r="AD11" s="278">
        <v>0</v>
      </c>
      <c r="AE11" s="278">
        <v>0</v>
      </c>
      <c r="AF11" s="281">
        <v>1</v>
      </c>
      <c r="AG11" s="278">
        <v>0</v>
      </c>
      <c r="AH11" s="278">
        <v>0</v>
      </c>
      <c r="AI11" s="278">
        <v>0</v>
      </c>
      <c r="AJ11" s="281">
        <v>0</v>
      </c>
    </row>
    <row r="12" spans="1:36" ht="15" customHeight="1" thickBot="1" x14ac:dyDescent="0.3">
      <c r="A12" s="251" t="s">
        <v>251</v>
      </c>
      <c r="B12" s="252" t="s">
        <v>96</v>
      </c>
      <c r="C12" s="253" t="s">
        <v>189</v>
      </c>
      <c r="D12" s="269" t="s">
        <v>629</v>
      </c>
      <c r="E12" s="269" t="s">
        <v>36</v>
      </c>
      <c r="F12" s="269">
        <v>22</v>
      </c>
      <c r="G12" s="275">
        <v>43</v>
      </c>
      <c r="H12" s="268">
        <v>0</v>
      </c>
      <c r="I12" s="267">
        <v>0</v>
      </c>
      <c r="J12" s="267">
        <v>1</v>
      </c>
      <c r="K12" s="267">
        <v>1</v>
      </c>
      <c r="L12" s="267">
        <v>0</v>
      </c>
      <c r="M12" s="267">
        <v>5</v>
      </c>
      <c r="N12" s="267">
        <v>1</v>
      </c>
      <c r="O12" s="267">
        <v>0</v>
      </c>
      <c r="P12" s="267">
        <v>1</v>
      </c>
      <c r="Q12" s="269">
        <v>0</v>
      </c>
      <c r="R12" s="267">
        <v>4</v>
      </c>
      <c r="S12" s="272">
        <v>5128</v>
      </c>
      <c r="T12" s="655" t="s">
        <v>628</v>
      </c>
      <c r="U12" s="271" t="s">
        <v>627</v>
      </c>
      <c r="V12" s="272" t="s">
        <v>510</v>
      </c>
      <c r="W12" s="272" t="s">
        <v>347</v>
      </c>
      <c r="X12" s="273" t="s">
        <v>340</v>
      </c>
      <c r="Y12" s="272">
        <v>1</v>
      </c>
      <c r="Z12" s="272">
        <v>0</v>
      </c>
      <c r="AA12" s="272">
        <v>0</v>
      </c>
      <c r="AB12" s="274">
        <v>1</v>
      </c>
      <c r="AC12" s="272">
        <v>0</v>
      </c>
      <c r="AD12" s="272">
        <v>0</v>
      </c>
      <c r="AE12" s="272">
        <v>0</v>
      </c>
      <c r="AF12" s="274">
        <v>0</v>
      </c>
      <c r="AG12" s="272">
        <v>1</v>
      </c>
      <c r="AH12" s="272">
        <v>0</v>
      </c>
      <c r="AI12" s="272">
        <v>0</v>
      </c>
      <c r="AJ12" s="274">
        <v>1</v>
      </c>
    </row>
    <row r="13" spans="1:36" ht="15" customHeight="1" thickBot="1" x14ac:dyDescent="0.3">
      <c r="A13" s="378" t="s">
        <v>109</v>
      </c>
      <c r="B13" s="379" t="s">
        <v>54</v>
      </c>
      <c r="C13" s="372" t="s">
        <v>29</v>
      </c>
      <c r="D13" s="380" t="s">
        <v>38</v>
      </c>
      <c r="E13" s="380" t="s">
        <v>36</v>
      </c>
      <c r="F13" s="380">
        <v>8</v>
      </c>
      <c r="G13" s="381">
        <v>36</v>
      </c>
      <c r="H13" s="382">
        <v>0</v>
      </c>
      <c r="I13" s="383">
        <v>0</v>
      </c>
      <c r="J13" s="383">
        <v>1</v>
      </c>
      <c r="K13" s="383">
        <v>0</v>
      </c>
      <c r="L13" s="383">
        <v>0</v>
      </c>
      <c r="M13" s="383">
        <v>1</v>
      </c>
      <c r="N13" s="383">
        <v>2</v>
      </c>
      <c r="O13" s="383">
        <v>0</v>
      </c>
      <c r="P13" s="383">
        <v>1</v>
      </c>
      <c r="Q13" s="380">
        <v>0</v>
      </c>
      <c r="R13" s="383">
        <v>5</v>
      </c>
      <c r="S13" s="384">
        <v>4753</v>
      </c>
      <c r="T13" s="526" t="s">
        <v>491</v>
      </c>
      <c r="U13" s="385" t="s">
        <v>419</v>
      </c>
      <c r="V13" s="384" t="s">
        <v>346</v>
      </c>
      <c r="W13" s="384" t="s">
        <v>355</v>
      </c>
      <c r="X13" s="386" t="s">
        <v>369</v>
      </c>
      <c r="Y13" s="384">
        <v>1</v>
      </c>
      <c r="Z13" s="384">
        <v>0</v>
      </c>
      <c r="AA13" s="384">
        <v>0</v>
      </c>
      <c r="AB13" s="387">
        <v>1</v>
      </c>
      <c r="AC13" s="384">
        <v>0</v>
      </c>
      <c r="AD13" s="384">
        <v>0</v>
      </c>
      <c r="AE13" s="384">
        <v>0</v>
      </c>
      <c r="AF13" s="387">
        <v>0</v>
      </c>
      <c r="AG13" s="384">
        <v>1</v>
      </c>
      <c r="AH13" s="384">
        <v>0</v>
      </c>
      <c r="AI13" s="384">
        <v>0</v>
      </c>
      <c r="AJ13" s="387">
        <v>1</v>
      </c>
    </row>
    <row r="14" spans="1:36" ht="15" customHeight="1" thickBot="1" x14ac:dyDescent="0.3">
      <c r="A14" s="239" t="s">
        <v>112</v>
      </c>
      <c r="B14" s="240" t="s">
        <v>54</v>
      </c>
      <c r="C14" s="122" t="s">
        <v>24</v>
      </c>
      <c r="D14" s="123" t="s">
        <v>90</v>
      </c>
      <c r="E14" s="123" t="s">
        <v>36</v>
      </c>
      <c r="F14" s="123">
        <v>23</v>
      </c>
      <c r="G14" s="241">
        <v>33</v>
      </c>
      <c r="H14" s="241">
        <v>0</v>
      </c>
      <c r="I14" s="242">
        <v>0</v>
      </c>
      <c r="J14" s="242">
        <v>2</v>
      </c>
      <c r="K14" s="242">
        <v>2</v>
      </c>
      <c r="L14" s="242">
        <v>0</v>
      </c>
      <c r="M14" s="242">
        <v>3</v>
      </c>
      <c r="N14" s="242">
        <v>1</v>
      </c>
      <c r="O14" s="242">
        <v>0</v>
      </c>
      <c r="P14" s="242">
        <v>0</v>
      </c>
      <c r="Q14" s="123">
        <v>0</v>
      </c>
      <c r="R14" s="242">
        <v>3</v>
      </c>
      <c r="S14" s="661">
        <v>8137</v>
      </c>
      <c r="T14" s="517" t="s">
        <v>658</v>
      </c>
      <c r="U14" s="245" t="s">
        <v>353</v>
      </c>
      <c r="V14" s="243" t="s">
        <v>368</v>
      </c>
      <c r="W14" s="243" t="s">
        <v>356</v>
      </c>
      <c r="X14" s="169" t="s">
        <v>377</v>
      </c>
      <c r="Y14" s="243">
        <v>1</v>
      </c>
      <c r="Z14" s="243">
        <v>0</v>
      </c>
      <c r="AA14" s="243">
        <v>0</v>
      </c>
      <c r="AB14" s="167">
        <v>1</v>
      </c>
      <c r="AC14" s="243">
        <v>1</v>
      </c>
      <c r="AD14" s="243">
        <v>0</v>
      </c>
      <c r="AE14" s="243">
        <v>0</v>
      </c>
      <c r="AF14" s="167">
        <v>1</v>
      </c>
      <c r="AG14" s="243">
        <v>0</v>
      </c>
      <c r="AH14" s="243">
        <v>0</v>
      </c>
      <c r="AI14" s="243">
        <v>0</v>
      </c>
      <c r="AJ14" s="167">
        <v>0</v>
      </c>
    </row>
    <row r="15" spans="1:36" ht="15" customHeight="1" thickBot="1" x14ac:dyDescent="0.3">
      <c r="A15" s="239" t="s">
        <v>215</v>
      </c>
      <c r="B15" s="240" t="s">
        <v>54</v>
      </c>
      <c r="C15" s="122" t="s">
        <v>26</v>
      </c>
      <c r="D15" s="123" t="s">
        <v>90</v>
      </c>
      <c r="E15" s="123" t="s">
        <v>36</v>
      </c>
      <c r="F15" s="123">
        <v>9</v>
      </c>
      <c r="G15" s="241">
        <v>21</v>
      </c>
      <c r="H15" s="244">
        <v>0</v>
      </c>
      <c r="I15" s="242">
        <v>0</v>
      </c>
      <c r="J15" s="242">
        <v>0</v>
      </c>
      <c r="K15" s="242">
        <v>0</v>
      </c>
      <c r="L15" s="242">
        <v>0</v>
      </c>
      <c r="M15" s="242">
        <v>3</v>
      </c>
      <c r="N15" s="123">
        <v>0</v>
      </c>
      <c r="O15" s="242">
        <v>0</v>
      </c>
      <c r="P15" s="242">
        <v>0</v>
      </c>
      <c r="Q15" s="123">
        <v>0</v>
      </c>
      <c r="R15" s="242">
        <v>2</v>
      </c>
      <c r="S15" s="243">
        <v>5907</v>
      </c>
      <c r="T15" s="517" t="s">
        <v>677</v>
      </c>
      <c r="U15" s="245" t="s">
        <v>419</v>
      </c>
      <c r="V15" s="243" t="s">
        <v>354</v>
      </c>
      <c r="W15" s="243" t="s">
        <v>377</v>
      </c>
      <c r="X15" s="169" t="s">
        <v>369</v>
      </c>
      <c r="Y15" s="243">
        <v>1</v>
      </c>
      <c r="Z15" s="243">
        <v>0</v>
      </c>
      <c r="AA15" s="243">
        <v>0</v>
      </c>
      <c r="AB15" s="167">
        <v>1</v>
      </c>
      <c r="AC15" s="243">
        <v>1</v>
      </c>
      <c r="AD15" s="243">
        <v>0</v>
      </c>
      <c r="AE15" s="243">
        <v>0</v>
      </c>
      <c r="AF15" s="167">
        <v>1</v>
      </c>
      <c r="AG15" s="243">
        <v>0</v>
      </c>
      <c r="AH15" s="243">
        <v>0</v>
      </c>
      <c r="AI15" s="243">
        <v>0</v>
      </c>
      <c r="AJ15" s="167">
        <v>0</v>
      </c>
    </row>
    <row r="16" spans="1:36" ht="15" customHeight="1" thickBot="1" x14ac:dyDescent="0.3">
      <c r="A16" s="689" t="s">
        <v>155</v>
      </c>
      <c r="B16" s="690" t="s">
        <v>169</v>
      </c>
      <c r="C16" s="691" t="s">
        <v>245</v>
      </c>
      <c r="D16" s="692" t="s">
        <v>38</v>
      </c>
      <c r="E16" s="692" t="s">
        <v>36</v>
      </c>
      <c r="F16" s="692">
        <v>14</v>
      </c>
      <c r="G16" s="693">
        <v>24</v>
      </c>
      <c r="H16" s="694">
        <v>0</v>
      </c>
      <c r="I16" s="695">
        <v>0</v>
      </c>
      <c r="J16" s="695">
        <v>2</v>
      </c>
      <c r="K16" s="695">
        <v>2</v>
      </c>
      <c r="L16" s="695">
        <v>0</v>
      </c>
      <c r="M16" s="695">
        <v>0</v>
      </c>
      <c r="N16" s="695">
        <v>1</v>
      </c>
      <c r="O16" s="695">
        <v>0</v>
      </c>
      <c r="P16" s="695">
        <v>0</v>
      </c>
      <c r="Q16" s="692">
        <v>0</v>
      </c>
      <c r="R16" s="695">
        <v>3</v>
      </c>
      <c r="S16" s="701">
        <v>5430</v>
      </c>
      <c r="T16" s="702" t="s">
        <v>620</v>
      </c>
      <c r="U16" s="698" t="s">
        <v>589</v>
      </c>
      <c r="V16" s="696" t="s">
        <v>718</v>
      </c>
      <c r="W16" s="696" t="s">
        <v>541</v>
      </c>
      <c r="X16" s="699" t="s">
        <v>719</v>
      </c>
      <c r="Y16" s="696">
        <v>1</v>
      </c>
      <c r="Z16" s="696">
        <v>0</v>
      </c>
      <c r="AA16" s="696">
        <v>0</v>
      </c>
      <c r="AB16" s="700">
        <v>1</v>
      </c>
      <c r="AC16" s="696">
        <v>0</v>
      </c>
      <c r="AD16" s="696">
        <v>0</v>
      </c>
      <c r="AE16" s="696">
        <v>0</v>
      </c>
      <c r="AF16" s="700">
        <v>1</v>
      </c>
      <c r="AG16" s="696">
        <v>0</v>
      </c>
      <c r="AH16" s="696">
        <v>0</v>
      </c>
      <c r="AI16" s="696">
        <v>0</v>
      </c>
      <c r="AJ16" s="700">
        <v>1</v>
      </c>
    </row>
    <row r="17" spans="1:36" ht="15" customHeight="1" thickBot="1" x14ac:dyDescent="0.3">
      <c r="A17" s="677" t="s">
        <v>122</v>
      </c>
      <c r="B17" s="678" t="s">
        <v>169</v>
      </c>
      <c r="C17" s="679" t="s">
        <v>245</v>
      </c>
      <c r="D17" s="680" t="s">
        <v>90</v>
      </c>
      <c r="E17" s="680" t="s">
        <v>34</v>
      </c>
      <c r="F17" s="680">
        <v>34</v>
      </c>
      <c r="G17" s="681">
        <v>23</v>
      </c>
      <c r="H17" s="682">
        <v>0</v>
      </c>
      <c r="I17" s="683">
        <v>0</v>
      </c>
      <c r="J17" s="683">
        <v>3</v>
      </c>
      <c r="K17" s="683">
        <v>2</v>
      </c>
      <c r="L17" s="683">
        <v>0</v>
      </c>
      <c r="M17" s="683">
        <v>5</v>
      </c>
      <c r="N17" s="683">
        <v>0</v>
      </c>
      <c r="O17" s="683">
        <v>0</v>
      </c>
      <c r="P17" s="683">
        <v>0</v>
      </c>
      <c r="Q17" s="683">
        <v>0</v>
      </c>
      <c r="R17" s="683">
        <v>2</v>
      </c>
      <c r="S17" s="684">
        <v>5838</v>
      </c>
      <c r="T17" s="685" t="s">
        <v>717</v>
      </c>
      <c r="U17" s="686" t="s">
        <v>585</v>
      </c>
      <c r="V17" s="684" t="s">
        <v>510</v>
      </c>
      <c r="W17" s="684" t="s">
        <v>586</v>
      </c>
      <c r="X17" s="687" t="s">
        <v>843</v>
      </c>
      <c r="Y17" s="684">
        <v>1</v>
      </c>
      <c r="Z17" s="684">
        <v>1</v>
      </c>
      <c r="AA17" s="684">
        <v>0</v>
      </c>
      <c r="AB17" s="688">
        <v>0</v>
      </c>
      <c r="AC17" s="684">
        <v>1</v>
      </c>
      <c r="AD17" s="684">
        <v>1</v>
      </c>
      <c r="AE17" s="684">
        <v>0</v>
      </c>
      <c r="AF17" s="688">
        <v>0</v>
      </c>
      <c r="AG17" s="684">
        <v>0</v>
      </c>
      <c r="AH17" s="684">
        <v>0</v>
      </c>
      <c r="AI17" s="684">
        <v>0</v>
      </c>
      <c r="AJ17" s="688">
        <v>0</v>
      </c>
    </row>
    <row r="18" spans="1:36" ht="15" customHeight="1" thickBot="1" x14ac:dyDescent="0.3">
      <c r="A18" s="256" t="s">
        <v>211</v>
      </c>
      <c r="B18" s="255" t="s">
        <v>54</v>
      </c>
      <c r="C18" s="247" t="s">
        <v>189</v>
      </c>
      <c r="D18" s="257" t="s">
        <v>38</v>
      </c>
      <c r="E18" s="257" t="s">
        <v>36</v>
      </c>
      <c r="F18" s="257">
        <v>16</v>
      </c>
      <c r="G18" s="258">
        <v>48</v>
      </c>
      <c r="H18" s="259">
        <v>0</v>
      </c>
      <c r="I18" s="260">
        <v>0</v>
      </c>
      <c r="J18" s="260">
        <v>1</v>
      </c>
      <c r="K18" s="260">
        <v>1</v>
      </c>
      <c r="L18" s="260">
        <v>0</v>
      </c>
      <c r="M18" s="260">
        <v>3</v>
      </c>
      <c r="N18" s="260">
        <v>1</v>
      </c>
      <c r="O18" s="260">
        <v>0</v>
      </c>
      <c r="P18" s="260">
        <v>1</v>
      </c>
      <c r="Q18" s="260">
        <v>0</v>
      </c>
      <c r="R18" s="260">
        <v>4</v>
      </c>
      <c r="S18" s="261">
        <v>28254</v>
      </c>
      <c r="T18" s="516" t="s">
        <v>720</v>
      </c>
      <c r="U18" s="263" t="s">
        <v>652</v>
      </c>
      <c r="V18" s="261" t="s">
        <v>393</v>
      </c>
      <c r="W18" s="261" t="s">
        <v>347</v>
      </c>
      <c r="X18" s="264" t="s">
        <v>363</v>
      </c>
      <c r="Y18" s="261">
        <v>1</v>
      </c>
      <c r="Z18" s="261">
        <v>0</v>
      </c>
      <c r="AA18" s="261">
        <v>0</v>
      </c>
      <c r="AB18" s="168">
        <v>1</v>
      </c>
      <c r="AC18" s="261">
        <v>0</v>
      </c>
      <c r="AD18" s="261">
        <v>0</v>
      </c>
      <c r="AE18" s="261">
        <v>0</v>
      </c>
      <c r="AF18" s="168">
        <v>0</v>
      </c>
      <c r="AG18" s="261">
        <v>1</v>
      </c>
      <c r="AH18" s="261">
        <v>0</v>
      </c>
      <c r="AI18" s="261">
        <v>0</v>
      </c>
      <c r="AJ18" s="168">
        <v>1</v>
      </c>
    </row>
    <row r="19" spans="1:36" ht="15" customHeight="1" thickBot="1" x14ac:dyDescent="0.3">
      <c r="A19" s="239" t="s">
        <v>212</v>
      </c>
      <c r="B19" s="240" t="s">
        <v>54</v>
      </c>
      <c r="C19" s="122" t="s">
        <v>190</v>
      </c>
      <c r="D19" s="123" t="s">
        <v>90</v>
      </c>
      <c r="E19" s="123" t="s">
        <v>34</v>
      </c>
      <c r="F19" s="123">
        <v>24</v>
      </c>
      <c r="G19" s="241">
        <v>9</v>
      </c>
      <c r="H19" s="244">
        <v>0</v>
      </c>
      <c r="I19" s="242">
        <v>0</v>
      </c>
      <c r="J19" s="242">
        <v>3</v>
      </c>
      <c r="K19" s="242">
        <v>3</v>
      </c>
      <c r="L19" s="242">
        <v>0</v>
      </c>
      <c r="M19" s="242">
        <v>1</v>
      </c>
      <c r="N19" s="242">
        <v>0</v>
      </c>
      <c r="O19" s="242">
        <v>1</v>
      </c>
      <c r="P19" s="242">
        <v>0</v>
      </c>
      <c r="Q19" s="242">
        <v>0</v>
      </c>
      <c r="R19" s="242">
        <v>0</v>
      </c>
      <c r="S19" s="243">
        <v>17097</v>
      </c>
      <c r="T19" s="592" t="s">
        <v>740</v>
      </c>
      <c r="U19" s="245" t="s">
        <v>367</v>
      </c>
      <c r="V19" s="243" t="s">
        <v>354</v>
      </c>
      <c r="W19" s="243" t="s">
        <v>363</v>
      </c>
      <c r="X19" s="169" t="s">
        <v>377</v>
      </c>
      <c r="Y19" s="243">
        <v>1</v>
      </c>
      <c r="Z19" s="243">
        <v>1</v>
      </c>
      <c r="AA19" s="243">
        <v>0</v>
      </c>
      <c r="AB19" s="167">
        <v>0</v>
      </c>
      <c r="AC19" s="243">
        <v>1</v>
      </c>
      <c r="AD19" s="243">
        <v>1</v>
      </c>
      <c r="AE19" s="243">
        <v>0</v>
      </c>
      <c r="AF19" s="167">
        <v>0</v>
      </c>
      <c r="AG19" s="243">
        <v>0</v>
      </c>
      <c r="AH19" s="243">
        <v>0</v>
      </c>
      <c r="AI19" s="243">
        <v>0</v>
      </c>
      <c r="AJ19" s="167">
        <v>0</v>
      </c>
    </row>
    <row r="20" spans="1:36" ht="15" customHeight="1" thickBot="1" x14ac:dyDescent="0.3">
      <c r="A20" s="378" t="s">
        <v>99</v>
      </c>
      <c r="B20" s="379" t="s">
        <v>54</v>
      </c>
      <c r="C20" s="372" t="s">
        <v>21</v>
      </c>
      <c r="D20" s="380" t="s">
        <v>38</v>
      </c>
      <c r="E20" s="380" t="s">
        <v>36</v>
      </c>
      <c r="F20" s="380">
        <v>6</v>
      </c>
      <c r="G20" s="381">
        <v>22</v>
      </c>
      <c r="H20" s="382">
        <v>0</v>
      </c>
      <c r="I20" s="383">
        <v>0</v>
      </c>
      <c r="J20" s="383">
        <v>0</v>
      </c>
      <c r="K20" s="383">
        <v>0</v>
      </c>
      <c r="L20" s="383">
        <v>0</v>
      </c>
      <c r="M20" s="383">
        <v>2</v>
      </c>
      <c r="N20" s="383">
        <v>0</v>
      </c>
      <c r="O20" s="383">
        <v>0</v>
      </c>
      <c r="P20" s="383">
        <v>0</v>
      </c>
      <c r="Q20" s="383">
        <v>0</v>
      </c>
      <c r="R20" s="383">
        <v>2</v>
      </c>
      <c r="S20" s="261">
        <v>9306</v>
      </c>
      <c r="T20" s="516" t="s">
        <v>744</v>
      </c>
      <c r="U20" s="263" t="s">
        <v>452</v>
      </c>
      <c r="V20" s="261" t="s">
        <v>361</v>
      </c>
      <c r="W20" s="261" t="s">
        <v>376</v>
      </c>
      <c r="X20" s="264" t="s">
        <v>356</v>
      </c>
      <c r="Y20" s="384">
        <v>1</v>
      </c>
      <c r="Z20" s="384">
        <v>0</v>
      </c>
      <c r="AA20" s="384">
        <v>0</v>
      </c>
      <c r="AB20" s="387">
        <v>1</v>
      </c>
      <c r="AC20" s="384">
        <v>0</v>
      </c>
      <c r="AD20" s="384">
        <v>0</v>
      </c>
      <c r="AE20" s="384">
        <v>0</v>
      </c>
      <c r="AF20" s="387">
        <v>0</v>
      </c>
      <c r="AG20" s="384">
        <v>1</v>
      </c>
      <c r="AH20" s="384">
        <v>0</v>
      </c>
      <c r="AI20" s="384">
        <v>0</v>
      </c>
      <c r="AJ20" s="387">
        <v>1</v>
      </c>
    </row>
    <row r="21" spans="1:36" ht="15" customHeight="1" thickBot="1" x14ac:dyDescent="0.3">
      <c r="A21" s="239" t="s">
        <v>200</v>
      </c>
      <c r="B21" s="240" t="s">
        <v>54</v>
      </c>
      <c r="C21" s="122" t="s">
        <v>30</v>
      </c>
      <c r="D21" s="123" t="s">
        <v>90</v>
      </c>
      <c r="E21" s="123" t="s">
        <v>34</v>
      </c>
      <c r="F21" s="123">
        <v>28</v>
      </c>
      <c r="G21" s="241">
        <v>26</v>
      </c>
      <c r="H21" s="244">
        <v>1</v>
      </c>
      <c r="I21" s="242">
        <v>0</v>
      </c>
      <c r="J21" s="242">
        <v>4</v>
      </c>
      <c r="K21" s="242">
        <v>1</v>
      </c>
      <c r="L21" s="242">
        <v>1</v>
      </c>
      <c r="M21" s="242">
        <v>1</v>
      </c>
      <c r="N21" s="242">
        <v>0</v>
      </c>
      <c r="O21" s="242">
        <v>0</v>
      </c>
      <c r="P21" s="242">
        <v>0</v>
      </c>
      <c r="Q21" s="242">
        <v>1</v>
      </c>
      <c r="R21" s="242">
        <v>2</v>
      </c>
      <c r="S21" s="243">
        <v>5909</v>
      </c>
      <c r="T21" s="517" t="s">
        <v>817</v>
      </c>
      <c r="U21" s="245" t="s">
        <v>374</v>
      </c>
      <c r="V21" s="243" t="s">
        <v>375</v>
      </c>
      <c r="W21" s="243" t="s">
        <v>355</v>
      </c>
      <c r="X21" s="169" t="s">
        <v>370</v>
      </c>
      <c r="Y21" s="243">
        <v>1</v>
      </c>
      <c r="Z21" s="243">
        <v>1</v>
      </c>
      <c r="AA21" s="243">
        <v>0</v>
      </c>
      <c r="AB21" s="167">
        <v>0</v>
      </c>
      <c r="AC21" s="243">
        <v>1</v>
      </c>
      <c r="AD21" s="243">
        <v>1</v>
      </c>
      <c r="AE21" s="243">
        <v>0</v>
      </c>
      <c r="AF21" s="167">
        <v>0</v>
      </c>
      <c r="AG21" s="243">
        <v>0</v>
      </c>
      <c r="AH21" s="243">
        <v>0</v>
      </c>
      <c r="AI21" s="243">
        <v>0</v>
      </c>
      <c r="AJ21" s="167">
        <v>0</v>
      </c>
    </row>
    <row r="22" spans="1:36" ht="15" customHeight="1" thickBot="1" x14ac:dyDescent="0.3">
      <c r="A22" s="677" t="s">
        <v>101</v>
      </c>
      <c r="B22" s="678" t="s">
        <v>169</v>
      </c>
      <c r="C22" s="679" t="s">
        <v>241</v>
      </c>
      <c r="D22" s="680" t="s">
        <v>90</v>
      </c>
      <c r="E22" s="680" t="s">
        <v>34</v>
      </c>
      <c r="F22" s="680">
        <v>43</v>
      </c>
      <c r="G22" s="681">
        <v>41</v>
      </c>
      <c r="H22" s="682">
        <v>1</v>
      </c>
      <c r="I22" s="683">
        <v>0</v>
      </c>
      <c r="J22" s="683">
        <v>6</v>
      </c>
      <c r="K22" s="683">
        <v>2</v>
      </c>
      <c r="L22" s="683">
        <v>0</v>
      </c>
      <c r="M22" s="683">
        <v>3</v>
      </c>
      <c r="N22" s="680">
        <v>0</v>
      </c>
      <c r="O22" s="683">
        <v>1</v>
      </c>
      <c r="P22" s="683">
        <v>1</v>
      </c>
      <c r="Q22" s="683">
        <v>1</v>
      </c>
      <c r="R22" s="683">
        <v>4</v>
      </c>
      <c r="S22" s="684">
        <v>4030</v>
      </c>
      <c r="T22" s="703" t="s">
        <v>840</v>
      </c>
      <c r="U22" s="686" t="s">
        <v>752</v>
      </c>
      <c r="V22" s="684" t="s">
        <v>510</v>
      </c>
      <c r="W22" s="684" t="s">
        <v>519</v>
      </c>
      <c r="X22" s="687" t="s">
        <v>577</v>
      </c>
      <c r="Y22" s="684">
        <v>1</v>
      </c>
      <c r="Z22" s="684">
        <v>1</v>
      </c>
      <c r="AA22" s="684">
        <v>0</v>
      </c>
      <c r="AB22" s="688">
        <v>0</v>
      </c>
      <c r="AC22" s="684">
        <v>1</v>
      </c>
      <c r="AD22" s="684">
        <v>1</v>
      </c>
      <c r="AE22" s="684">
        <v>0</v>
      </c>
      <c r="AF22" s="688">
        <v>0</v>
      </c>
      <c r="AG22" s="684">
        <v>0</v>
      </c>
      <c r="AH22" s="684">
        <v>0</v>
      </c>
      <c r="AI22" s="684">
        <v>0</v>
      </c>
      <c r="AJ22" s="688">
        <v>0</v>
      </c>
    </row>
    <row r="23" spans="1:36" ht="15" customHeight="1" thickBot="1" x14ac:dyDescent="0.3">
      <c r="A23" s="689" t="s">
        <v>102</v>
      </c>
      <c r="B23" s="690" t="s">
        <v>169</v>
      </c>
      <c r="C23" s="691" t="s">
        <v>440</v>
      </c>
      <c r="D23" s="692" t="s">
        <v>38</v>
      </c>
      <c r="E23" s="692" t="s">
        <v>34</v>
      </c>
      <c r="F23" s="692">
        <v>34</v>
      </c>
      <c r="G23" s="693">
        <v>6</v>
      </c>
      <c r="H23" s="694">
        <v>1</v>
      </c>
      <c r="I23" s="695">
        <v>0</v>
      </c>
      <c r="J23" s="695">
        <v>5</v>
      </c>
      <c r="K23" s="695">
        <v>3</v>
      </c>
      <c r="L23" s="695">
        <v>0</v>
      </c>
      <c r="M23" s="695">
        <v>1</v>
      </c>
      <c r="N23" s="695">
        <v>2</v>
      </c>
      <c r="O23" s="695">
        <v>0</v>
      </c>
      <c r="P23" s="695">
        <v>0</v>
      </c>
      <c r="Q23" s="695">
        <v>0</v>
      </c>
      <c r="R23" s="695">
        <v>0</v>
      </c>
      <c r="S23" s="696">
        <v>1110</v>
      </c>
      <c r="T23" s="697" t="s">
        <v>740</v>
      </c>
      <c r="U23" s="698" t="s">
        <v>841</v>
      </c>
      <c r="V23" s="696" t="s">
        <v>510</v>
      </c>
      <c r="W23" s="696" t="s">
        <v>710</v>
      </c>
      <c r="X23" s="699" t="s">
        <v>842</v>
      </c>
      <c r="Y23" s="696">
        <v>1</v>
      </c>
      <c r="Z23" s="696">
        <v>1</v>
      </c>
      <c r="AA23" s="696">
        <v>0</v>
      </c>
      <c r="AB23" s="700">
        <v>0</v>
      </c>
      <c r="AC23" s="696">
        <v>0</v>
      </c>
      <c r="AD23" s="696">
        <v>0</v>
      </c>
      <c r="AE23" s="696">
        <v>0</v>
      </c>
      <c r="AF23" s="700">
        <v>0</v>
      </c>
      <c r="AG23" s="696">
        <v>1</v>
      </c>
      <c r="AH23" s="696">
        <v>1</v>
      </c>
      <c r="AI23" s="696">
        <v>0</v>
      </c>
      <c r="AJ23" s="700">
        <v>0</v>
      </c>
    </row>
    <row r="24" spans="1:36" ht="15" customHeight="1" thickBot="1" x14ac:dyDescent="0.3">
      <c r="A24" s="251" t="s">
        <v>103</v>
      </c>
      <c r="B24" s="252" t="s">
        <v>96</v>
      </c>
      <c r="C24" s="253" t="s">
        <v>230</v>
      </c>
      <c r="D24" s="269" t="s">
        <v>38</v>
      </c>
      <c r="E24" s="269" t="s">
        <v>36</v>
      </c>
      <c r="F24" s="269">
        <v>18</v>
      </c>
      <c r="G24" s="275">
        <v>27</v>
      </c>
      <c r="H24" s="268">
        <v>0</v>
      </c>
      <c r="I24" s="267">
        <v>0</v>
      </c>
      <c r="J24" s="269">
        <v>2</v>
      </c>
      <c r="K24" s="267">
        <v>1</v>
      </c>
      <c r="L24" s="267">
        <v>0</v>
      </c>
      <c r="M24" s="267">
        <v>2</v>
      </c>
      <c r="N24" s="267">
        <v>0</v>
      </c>
      <c r="O24" s="267">
        <v>0</v>
      </c>
      <c r="P24" s="267">
        <v>0</v>
      </c>
      <c r="Q24" s="267">
        <v>0</v>
      </c>
      <c r="R24" s="267">
        <v>3</v>
      </c>
      <c r="S24" s="270">
        <v>5051</v>
      </c>
      <c r="T24" s="655" t="s">
        <v>446</v>
      </c>
      <c r="U24" s="271" t="s">
        <v>851</v>
      </c>
      <c r="V24" s="272" t="s">
        <v>510</v>
      </c>
      <c r="W24" s="272" t="s">
        <v>527</v>
      </c>
      <c r="X24" s="273" t="s">
        <v>852</v>
      </c>
      <c r="Y24" s="272">
        <v>1</v>
      </c>
      <c r="Z24" s="272">
        <v>0</v>
      </c>
      <c r="AA24" s="272">
        <v>0</v>
      </c>
      <c r="AB24" s="274">
        <v>1</v>
      </c>
      <c r="AC24" s="272">
        <v>0</v>
      </c>
      <c r="AD24" s="272">
        <v>0</v>
      </c>
      <c r="AE24" s="272">
        <v>0</v>
      </c>
      <c r="AF24" s="274">
        <v>0</v>
      </c>
      <c r="AG24" s="272">
        <v>1</v>
      </c>
      <c r="AH24" s="272">
        <v>0</v>
      </c>
      <c r="AI24" s="272">
        <v>0</v>
      </c>
      <c r="AJ24" s="274">
        <v>1</v>
      </c>
    </row>
    <row r="25" spans="1:36" ht="15" customHeight="1" thickBot="1" x14ac:dyDescent="0.3">
      <c r="A25" s="248" t="s">
        <v>111</v>
      </c>
      <c r="B25" s="249" t="s">
        <v>96</v>
      </c>
      <c r="C25" s="250" t="s">
        <v>66</v>
      </c>
      <c r="D25" s="283" t="s">
        <v>90</v>
      </c>
      <c r="E25" s="283" t="s">
        <v>36</v>
      </c>
      <c r="F25" s="283">
        <v>13</v>
      </c>
      <c r="G25" s="284">
        <v>31</v>
      </c>
      <c r="H25" s="277">
        <v>0</v>
      </c>
      <c r="I25" s="276">
        <v>0</v>
      </c>
      <c r="J25" s="276">
        <v>1</v>
      </c>
      <c r="K25" s="276">
        <v>1</v>
      </c>
      <c r="L25" s="276">
        <v>0</v>
      </c>
      <c r="M25" s="276">
        <v>2</v>
      </c>
      <c r="N25" s="276">
        <v>1</v>
      </c>
      <c r="O25" s="276">
        <v>0</v>
      </c>
      <c r="P25" s="276">
        <v>1</v>
      </c>
      <c r="Q25" s="276">
        <v>0</v>
      </c>
      <c r="R25" s="276">
        <v>5</v>
      </c>
      <c r="S25" s="278">
        <v>4764</v>
      </c>
      <c r="T25" s="650" t="s">
        <v>868</v>
      </c>
      <c r="U25" s="279" t="s">
        <v>627</v>
      </c>
      <c r="V25" s="278" t="s">
        <v>510</v>
      </c>
      <c r="W25" s="278" t="s">
        <v>869</v>
      </c>
      <c r="X25" s="280" t="s">
        <v>376</v>
      </c>
      <c r="Y25" s="278">
        <v>1</v>
      </c>
      <c r="Z25" s="278">
        <v>0</v>
      </c>
      <c r="AA25" s="278">
        <v>0</v>
      </c>
      <c r="AB25" s="281">
        <v>1</v>
      </c>
      <c r="AC25" s="278">
        <v>1</v>
      </c>
      <c r="AD25" s="278">
        <v>0</v>
      </c>
      <c r="AE25" s="278">
        <v>0</v>
      </c>
      <c r="AF25" s="281">
        <v>1</v>
      </c>
      <c r="AG25" s="278">
        <v>0</v>
      </c>
      <c r="AH25" s="278">
        <v>0</v>
      </c>
      <c r="AI25" s="278">
        <v>0</v>
      </c>
      <c r="AJ25" s="281">
        <v>0</v>
      </c>
    </row>
    <row r="26" spans="1:36" ht="15" customHeight="1" thickBot="1" x14ac:dyDescent="0.3">
      <c r="A26" s="256" t="s">
        <v>106</v>
      </c>
      <c r="B26" s="255" t="s">
        <v>54</v>
      </c>
      <c r="C26" s="247" t="s">
        <v>27</v>
      </c>
      <c r="D26" s="257" t="s">
        <v>38</v>
      </c>
      <c r="E26" s="257" t="s">
        <v>36</v>
      </c>
      <c r="F26" s="257">
        <v>9</v>
      </c>
      <c r="G26" s="258">
        <v>15</v>
      </c>
      <c r="H26" s="259">
        <v>0</v>
      </c>
      <c r="I26" s="260">
        <v>1</v>
      </c>
      <c r="J26" s="260">
        <v>0</v>
      </c>
      <c r="K26" s="260">
        <v>0</v>
      </c>
      <c r="L26" s="260">
        <v>0</v>
      </c>
      <c r="M26" s="260">
        <v>3</v>
      </c>
      <c r="N26" s="260">
        <v>2</v>
      </c>
      <c r="O26" s="260">
        <v>0</v>
      </c>
      <c r="P26" s="260">
        <v>0</v>
      </c>
      <c r="Q26" s="260">
        <v>0</v>
      </c>
      <c r="R26" s="260">
        <v>2</v>
      </c>
      <c r="S26" s="261">
        <v>13362</v>
      </c>
      <c r="T26" s="516" t="s">
        <v>731</v>
      </c>
      <c r="U26" s="263" t="s">
        <v>353</v>
      </c>
      <c r="V26" s="261" t="s">
        <v>339</v>
      </c>
      <c r="W26" s="261" t="s">
        <v>390</v>
      </c>
      <c r="X26" s="264" t="s">
        <v>369</v>
      </c>
      <c r="Y26" s="261">
        <v>1</v>
      </c>
      <c r="Z26" s="261">
        <v>0</v>
      </c>
      <c r="AA26" s="261">
        <v>0</v>
      </c>
      <c r="AB26" s="168">
        <v>1</v>
      </c>
      <c r="AC26" s="261">
        <v>0</v>
      </c>
      <c r="AD26" s="261">
        <v>0</v>
      </c>
      <c r="AE26" s="261">
        <v>0</v>
      </c>
      <c r="AF26" s="168">
        <v>0</v>
      </c>
      <c r="AG26" s="261">
        <v>1</v>
      </c>
      <c r="AH26" s="261">
        <v>0</v>
      </c>
      <c r="AI26" s="261">
        <v>0</v>
      </c>
      <c r="AJ26" s="168">
        <v>1</v>
      </c>
    </row>
    <row r="27" spans="1:36" ht="15" customHeight="1" thickBot="1" x14ac:dyDescent="0.3">
      <c r="A27" s="239" t="s">
        <v>781</v>
      </c>
      <c r="B27" s="240" t="s">
        <v>54</v>
      </c>
      <c r="C27" s="122" t="s">
        <v>28</v>
      </c>
      <c r="D27" s="123" t="s">
        <v>90</v>
      </c>
      <c r="E27" s="123" t="s">
        <v>36</v>
      </c>
      <c r="F27" s="123">
        <v>6</v>
      </c>
      <c r="G27" s="241">
        <v>12</v>
      </c>
      <c r="H27" s="244">
        <v>0</v>
      </c>
      <c r="I27" s="242">
        <v>1</v>
      </c>
      <c r="J27" s="242">
        <v>0</v>
      </c>
      <c r="K27" s="242">
        <v>0</v>
      </c>
      <c r="L27" s="242">
        <v>0</v>
      </c>
      <c r="M27" s="242">
        <v>2</v>
      </c>
      <c r="N27" s="242">
        <v>1</v>
      </c>
      <c r="O27" s="242">
        <v>0</v>
      </c>
      <c r="P27" s="242">
        <v>0</v>
      </c>
      <c r="Q27" s="242">
        <v>0</v>
      </c>
      <c r="R27" s="242">
        <v>0</v>
      </c>
      <c r="S27" s="282">
        <v>8404</v>
      </c>
      <c r="T27" s="514" t="s">
        <v>674</v>
      </c>
      <c r="U27" s="245" t="s">
        <v>338</v>
      </c>
      <c r="V27" s="243" t="s">
        <v>354</v>
      </c>
      <c r="W27" s="243" t="s">
        <v>340</v>
      </c>
      <c r="X27" s="169" t="s">
        <v>369</v>
      </c>
      <c r="Y27" s="243">
        <v>1</v>
      </c>
      <c r="Z27" s="243">
        <v>0</v>
      </c>
      <c r="AA27" s="243">
        <v>0</v>
      </c>
      <c r="AB27" s="167">
        <v>1</v>
      </c>
      <c r="AC27" s="243">
        <v>1</v>
      </c>
      <c r="AD27" s="243">
        <v>0</v>
      </c>
      <c r="AE27" s="243">
        <v>0</v>
      </c>
      <c r="AF27" s="167">
        <v>1</v>
      </c>
      <c r="AG27" s="243">
        <v>0</v>
      </c>
      <c r="AH27" s="243">
        <v>0</v>
      </c>
      <c r="AI27" s="243">
        <v>0</v>
      </c>
      <c r="AJ27" s="167">
        <v>0</v>
      </c>
    </row>
    <row r="28" spans="1:36" ht="15" customHeight="1" thickBot="1" x14ac:dyDescent="0.3">
      <c r="A28" s="256" t="s">
        <v>97</v>
      </c>
      <c r="B28" s="255" t="s">
        <v>54</v>
      </c>
      <c r="C28" s="247" t="s">
        <v>190</v>
      </c>
      <c r="D28" s="257" t="s">
        <v>38</v>
      </c>
      <c r="E28" s="257" t="s">
        <v>34</v>
      </c>
      <c r="F28" s="257">
        <v>50</v>
      </c>
      <c r="G28" s="258">
        <v>12</v>
      </c>
      <c r="H28" s="259">
        <v>1</v>
      </c>
      <c r="I28" s="260">
        <v>0</v>
      </c>
      <c r="J28" s="260">
        <v>8</v>
      </c>
      <c r="K28" s="260">
        <v>5</v>
      </c>
      <c r="L28" s="260">
        <v>0</v>
      </c>
      <c r="M28" s="260">
        <v>0</v>
      </c>
      <c r="N28" s="260">
        <v>1</v>
      </c>
      <c r="O28" s="260">
        <v>0</v>
      </c>
      <c r="P28" s="260">
        <v>0</v>
      </c>
      <c r="Q28" s="260">
        <v>0</v>
      </c>
      <c r="R28" s="260">
        <v>2</v>
      </c>
      <c r="S28" s="261">
        <v>3593</v>
      </c>
      <c r="T28" s="590" t="s">
        <v>728</v>
      </c>
      <c r="U28" s="263" t="s">
        <v>386</v>
      </c>
      <c r="V28" s="261" t="s">
        <v>354</v>
      </c>
      <c r="W28" s="261" t="s">
        <v>387</v>
      </c>
      <c r="X28" s="264" t="s">
        <v>686</v>
      </c>
      <c r="Y28" s="261">
        <v>1</v>
      </c>
      <c r="Z28" s="261">
        <v>1</v>
      </c>
      <c r="AA28" s="261">
        <v>0</v>
      </c>
      <c r="AB28" s="168">
        <v>0</v>
      </c>
      <c r="AC28" s="261">
        <v>0</v>
      </c>
      <c r="AD28" s="261">
        <v>0</v>
      </c>
      <c r="AE28" s="261">
        <v>0</v>
      </c>
      <c r="AF28" s="168">
        <v>0</v>
      </c>
      <c r="AG28" s="261">
        <v>1</v>
      </c>
      <c r="AH28" s="261">
        <v>1</v>
      </c>
      <c r="AI28" s="261">
        <v>0</v>
      </c>
      <c r="AJ28" s="168">
        <v>0</v>
      </c>
    </row>
    <row r="29" spans="1:36" ht="15" customHeight="1" thickBot="1" x14ac:dyDescent="0.3">
      <c r="A29" s="256" t="s">
        <v>157</v>
      </c>
      <c r="B29" s="255" t="s">
        <v>54</v>
      </c>
      <c r="C29" s="247" t="s">
        <v>10</v>
      </c>
      <c r="D29" s="257" t="s">
        <v>38</v>
      </c>
      <c r="E29" s="257" t="s">
        <v>36</v>
      </c>
      <c r="F29" s="257">
        <v>20</v>
      </c>
      <c r="G29" s="258">
        <v>26</v>
      </c>
      <c r="H29" s="259">
        <v>0</v>
      </c>
      <c r="I29" s="260">
        <v>1</v>
      </c>
      <c r="J29" s="260">
        <v>2</v>
      </c>
      <c r="K29" s="260">
        <v>2</v>
      </c>
      <c r="L29" s="260">
        <v>0</v>
      </c>
      <c r="M29" s="260">
        <v>2</v>
      </c>
      <c r="N29" s="260">
        <v>0</v>
      </c>
      <c r="O29" s="260">
        <v>0</v>
      </c>
      <c r="P29" s="260">
        <v>0</v>
      </c>
      <c r="Q29" s="260">
        <v>0</v>
      </c>
      <c r="R29" s="260">
        <v>2</v>
      </c>
      <c r="S29" s="261">
        <v>14800</v>
      </c>
      <c r="T29" s="669" t="s">
        <v>947</v>
      </c>
      <c r="U29" s="263" t="s">
        <v>345</v>
      </c>
      <c r="V29" s="261" t="s">
        <v>341</v>
      </c>
      <c r="W29" s="261" t="s">
        <v>338</v>
      </c>
      <c r="X29" s="264" t="s">
        <v>360</v>
      </c>
      <c r="Y29" s="261">
        <v>1</v>
      </c>
      <c r="Z29" s="261">
        <v>0</v>
      </c>
      <c r="AA29" s="261">
        <v>0</v>
      </c>
      <c r="AB29" s="168">
        <v>1</v>
      </c>
      <c r="AC29" s="261">
        <v>0</v>
      </c>
      <c r="AD29" s="261">
        <v>0</v>
      </c>
      <c r="AE29" s="261">
        <v>0</v>
      </c>
      <c r="AF29" s="168">
        <v>0</v>
      </c>
      <c r="AG29" s="261">
        <v>1</v>
      </c>
      <c r="AH29" s="261">
        <v>0</v>
      </c>
      <c r="AI29" s="261">
        <v>0</v>
      </c>
      <c r="AJ29" s="168">
        <v>1</v>
      </c>
    </row>
    <row r="30" spans="1:36" ht="15" customHeight="1" thickBot="1" x14ac:dyDescent="0.3">
      <c r="A30" s="239" t="s">
        <v>159</v>
      </c>
      <c r="B30" s="240" t="s">
        <v>54</v>
      </c>
      <c r="C30" s="122" t="s">
        <v>66</v>
      </c>
      <c r="D30" s="123" t="s">
        <v>90</v>
      </c>
      <c r="E30" s="123" t="s">
        <v>34</v>
      </c>
      <c r="F30" s="123">
        <v>22</v>
      </c>
      <c r="G30" s="241">
        <v>21</v>
      </c>
      <c r="H30" s="244">
        <v>0</v>
      </c>
      <c r="I30" s="242">
        <v>0</v>
      </c>
      <c r="J30" s="123">
        <v>3</v>
      </c>
      <c r="K30" s="242">
        <v>2</v>
      </c>
      <c r="L30" s="242">
        <v>0</v>
      </c>
      <c r="M30" s="242">
        <v>1</v>
      </c>
      <c r="N30" s="242">
        <v>3</v>
      </c>
      <c r="O30" s="242">
        <v>0</v>
      </c>
      <c r="P30" s="242">
        <v>0</v>
      </c>
      <c r="Q30" s="242">
        <v>1</v>
      </c>
      <c r="R30" s="242">
        <v>2</v>
      </c>
      <c r="S30" s="243">
        <v>15731</v>
      </c>
      <c r="T30" s="592" t="s">
        <v>455</v>
      </c>
      <c r="U30" s="245" t="s">
        <v>367</v>
      </c>
      <c r="V30" s="243" t="s">
        <v>341</v>
      </c>
      <c r="W30" s="243" t="s">
        <v>390</v>
      </c>
      <c r="X30" s="169" t="s">
        <v>370</v>
      </c>
      <c r="Y30" s="243">
        <v>1</v>
      </c>
      <c r="Z30" s="243">
        <v>1</v>
      </c>
      <c r="AA30" s="243">
        <v>0</v>
      </c>
      <c r="AB30" s="167">
        <v>0</v>
      </c>
      <c r="AC30" s="243">
        <v>1</v>
      </c>
      <c r="AD30" s="243">
        <v>1</v>
      </c>
      <c r="AE30" s="243">
        <v>0</v>
      </c>
      <c r="AF30" s="167">
        <v>0</v>
      </c>
      <c r="AG30" s="243">
        <v>0</v>
      </c>
      <c r="AH30" s="243">
        <v>0</v>
      </c>
      <c r="AI30" s="243">
        <v>0</v>
      </c>
      <c r="AJ30" s="167">
        <v>0</v>
      </c>
    </row>
    <row r="31" spans="1:36" ht="15" customHeight="1" thickBot="1" x14ac:dyDescent="0.3">
      <c r="A31" s="677" t="s">
        <v>974</v>
      </c>
      <c r="B31" s="678" t="s">
        <v>170</v>
      </c>
      <c r="C31" s="679" t="s">
        <v>247</v>
      </c>
      <c r="D31" s="680" t="s">
        <v>90</v>
      </c>
      <c r="E31" s="680" t="s">
        <v>36</v>
      </c>
      <c r="F31" s="680">
        <v>18</v>
      </c>
      <c r="G31" s="681">
        <v>23</v>
      </c>
      <c r="H31" s="682" t="s">
        <v>85</v>
      </c>
      <c r="I31" s="683" t="s">
        <v>85</v>
      </c>
      <c r="J31" s="683">
        <v>2</v>
      </c>
      <c r="K31" s="683">
        <v>1</v>
      </c>
      <c r="L31" s="683">
        <v>0</v>
      </c>
      <c r="M31" s="683">
        <v>2</v>
      </c>
      <c r="N31" s="683">
        <v>0</v>
      </c>
      <c r="O31" s="683">
        <v>0</v>
      </c>
      <c r="P31" s="683" t="s">
        <v>85</v>
      </c>
      <c r="Q31" s="683" t="s">
        <v>85</v>
      </c>
      <c r="R31" s="683">
        <v>2</v>
      </c>
      <c r="S31" s="684">
        <v>4728</v>
      </c>
      <c r="T31" s="763" t="s">
        <v>988</v>
      </c>
      <c r="U31" s="686" t="s">
        <v>597</v>
      </c>
      <c r="V31" s="684" t="s">
        <v>745</v>
      </c>
      <c r="W31" s="684" t="s">
        <v>541</v>
      </c>
      <c r="X31" s="687" t="s">
        <v>558</v>
      </c>
      <c r="Y31" s="684">
        <v>1</v>
      </c>
      <c r="Z31" s="684">
        <v>0</v>
      </c>
      <c r="AA31" s="684">
        <v>0</v>
      </c>
      <c r="AB31" s="688">
        <v>1</v>
      </c>
      <c r="AC31" s="684">
        <v>1</v>
      </c>
      <c r="AD31" s="684">
        <v>0</v>
      </c>
      <c r="AE31" s="684">
        <v>0</v>
      </c>
      <c r="AF31" s="688">
        <v>1</v>
      </c>
      <c r="AG31" s="684">
        <v>0</v>
      </c>
      <c r="AH31" s="684">
        <v>0</v>
      </c>
      <c r="AI31" s="684">
        <v>0</v>
      </c>
      <c r="AJ31" s="688">
        <v>0</v>
      </c>
    </row>
    <row r="32" spans="1:36" ht="15" customHeight="1" thickBot="1" x14ac:dyDescent="0.3">
      <c r="A32" s="239" t="s">
        <v>198</v>
      </c>
      <c r="B32" s="240" t="s">
        <v>54</v>
      </c>
      <c r="C32" s="122" t="s">
        <v>29</v>
      </c>
      <c r="D32" s="123" t="s">
        <v>90</v>
      </c>
      <c r="E32" s="123" t="s">
        <v>34</v>
      </c>
      <c r="F32" s="123">
        <v>25</v>
      </c>
      <c r="G32" s="241">
        <v>23</v>
      </c>
      <c r="H32" s="244">
        <v>0</v>
      </c>
      <c r="I32" s="242">
        <v>0</v>
      </c>
      <c r="J32" s="242">
        <v>3</v>
      </c>
      <c r="K32" s="242">
        <v>2</v>
      </c>
      <c r="L32" s="242">
        <v>0</v>
      </c>
      <c r="M32" s="242">
        <v>2</v>
      </c>
      <c r="N32" s="123">
        <v>3</v>
      </c>
      <c r="O32" s="242">
        <v>0</v>
      </c>
      <c r="P32" s="242">
        <v>0</v>
      </c>
      <c r="Q32" s="242">
        <v>1</v>
      </c>
      <c r="R32" s="242">
        <v>3</v>
      </c>
      <c r="S32" s="118">
        <v>5575</v>
      </c>
      <c r="T32" s="592" t="s">
        <v>552</v>
      </c>
      <c r="U32" s="245" t="s">
        <v>609</v>
      </c>
      <c r="V32" s="243" t="s">
        <v>341</v>
      </c>
      <c r="W32" s="243" t="s">
        <v>363</v>
      </c>
      <c r="X32" s="169" t="s">
        <v>387</v>
      </c>
      <c r="Y32" s="243">
        <v>1</v>
      </c>
      <c r="Z32" s="243">
        <v>1</v>
      </c>
      <c r="AA32" s="243">
        <v>0</v>
      </c>
      <c r="AB32" s="167">
        <v>0</v>
      </c>
      <c r="AC32" s="243">
        <v>1</v>
      </c>
      <c r="AD32" s="243">
        <v>1</v>
      </c>
      <c r="AE32" s="243">
        <v>0</v>
      </c>
      <c r="AF32" s="167">
        <v>0</v>
      </c>
      <c r="AG32" s="243">
        <v>0</v>
      </c>
      <c r="AH32" s="243">
        <v>0</v>
      </c>
      <c r="AI32" s="243">
        <v>0</v>
      </c>
      <c r="AJ32" s="167">
        <v>0</v>
      </c>
    </row>
    <row r="33" spans="1:36" ht="15" customHeight="1" thickBot="1" x14ac:dyDescent="0.3">
      <c r="A33" s="378" t="s">
        <v>901</v>
      </c>
      <c r="B33" s="379" t="s">
        <v>54</v>
      </c>
      <c r="C33" s="372" t="s">
        <v>24</v>
      </c>
      <c r="D33" s="380" t="s">
        <v>38</v>
      </c>
      <c r="E33" s="380" t="s">
        <v>36</v>
      </c>
      <c r="F33" s="380">
        <v>18</v>
      </c>
      <c r="G33" s="381">
        <v>43</v>
      </c>
      <c r="H33" s="382">
        <v>0</v>
      </c>
      <c r="I33" s="383">
        <v>0</v>
      </c>
      <c r="J33" s="383">
        <v>2</v>
      </c>
      <c r="K33" s="383">
        <v>1</v>
      </c>
      <c r="L33" s="383">
        <v>0</v>
      </c>
      <c r="M33" s="383">
        <v>2</v>
      </c>
      <c r="N33" s="383">
        <v>2</v>
      </c>
      <c r="O33" s="383">
        <v>0</v>
      </c>
      <c r="P33" s="383">
        <v>1</v>
      </c>
      <c r="Q33" s="383">
        <v>0</v>
      </c>
      <c r="R33" s="383">
        <v>5</v>
      </c>
      <c r="S33" s="261">
        <v>13349</v>
      </c>
      <c r="T33" s="662" t="s">
        <v>1004</v>
      </c>
      <c r="U33" s="263" t="s">
        <v>360</v>
      </c>
      <c r="V33" s="261" t="s">
        <v>375</v>
      </c>
      <c r="W33" s="261" t="s">
        <v>387</v>
      </c>
      <c r="X33" s="264" t="s">
        <v>390</v>
      </c>
      <c r="Y33" s="261">
        <v>1</v>
      </c>
      <c r="Z33" s="384">
        <v>0</v>
      </c>
      <c r="AA33" s="384">
        <v>0</v>
      </c>
      <c r="AB33" s="387">
        <v>1</v>
      </c>
      <c r="AC33" s="384">
        <v>0</v>
      </c>
      <c r="AD33" s="384">
        <v>0</v>
      </c>
      <c r="AE33" s="384">
        <v>0</v>
      </c>
      <c r="AF33" s="387">
        <v>0</v>
      </c>
      <c r="AG33" s="384">
        <v>1</v>
      </c>
      <c r="AH33" s="384">
        <v>0</v>
      </c>
      <c r="AI33" s="384">
        <v>0</v>
      </c>
      <c r="AJ33" s="387">
        <v>1</v>
      </c>
    </row>
    <row r="34" spans="1:36" ht="15" customHeight="1" thickBot="1" x14ac:dyDescent="0.3">
      <c r="A34" s="256" t="s">
        <v>164</v>
      </c>
      <c r="B34" s="255" t="s">
        <v>54</v>
      </c>
      <c r="C34" s="247" t="s">
        <v>26</v>
      </c>
      <c r="D34" s="257" t="s">
        <v>38</v>
      </c>
      <c r="E34" s="257" t="s">
        <v>36</v>
      </c>
      <c r="F34" s="257">
        <v>13</v>
      </c>
      <c r="G34" s="258">
        <v>35</v>
      </c>
      <c r="H34" s="259">
        <v>0</v>
      </c>
      <c r="I34" s="260">
        <v>0</v>
      </c>
      <c r="J34" s="260">
        <v>2</v>
      </c>
      <c r="K34" s="260">
        <v>0</v>
      </c>
      <c r="L34" s="260">
        <v>0</v>
      </c>
      <c r="M34" s="260">
        <v>1</v>
      </c>
      <c r="N34" s="260">
        <v>2</v>
      </c>
      <c r="O34" s="260">
        <v>0</v>
      </c>
      <c r="P34" s="260">
        <v>0</v>
      </c>
      <c r="Q34" s="260">
        <v>0</v>
      </c>
      <c r="R34" s="260">
        <v>3</v>
      </c>
      <c r="S34" s="265">
        <v>12973</v>
      </c>
      <c r="T34" s="516" t="s">
        <v>817</v>
      </c>
      <c r="U34" s="263" t="s">
        <v>614</v>
      </c>
      <c r="V34" s="261" t="s">
        <v>348</v>
      </c>
      <c r="W34" s="261" t="s">
        <v>370</v>
      </c>
      <c r="X34" s="264" t="s">
        <v>376</v>
      </c>
      <c r="Y34" s="261">
        <v>1</v>
      </c>
      <c r="Z34" s="261">
        <v>0</v>
      </c>
      <c r="AA34" s="261">
        <v>0</v>
      </c>
      <c r="AB34" s="168">
        <v>1</v>
      </c>
      <c r="AC34" s="261">
        <v>0</v>
      </c>
      <c r="AD34" s="261">
        <v>0</v>
      </c>
      <c r="AE34" s="261">
        <v>0</v>
      </c>
      <c r="AF34" s="168">
        <v>0</v>
      </c>
      <c r="AG34" s="261">
        <v>1</v>
      </c>
      <c r="AH34" s="261">
        <v>0</v>
      </c>
      <c r="AI34" s="261">
        <v>0</v>
      </c>
      <c r="AJ34" s="168">
        <v>1</v>
      </c>
    </row>
    <row r="35" spans="1:36" ht="15" customHeight="1" thickBot="1" x14ac:dyDescent="0.3">
      <c r="A35" s="239" t="s">
        <v>148</v>
      </c>
      <c r="B35" s="240" t="s">
        <v>54</v>
      </c>
      <c r="C35" s="122" t="s">
        <v>189</v>
      </c>
      <c r="D35" s="123" t="s">
        <v>90</v>
      </c>
      <c r="E35" s="123" t="s">
        <v>35</v>
      </c>
      <c r="F35" s="123">
        <v>40</v>
      </c>
      <c r="G35" s="241">
        <v>40</v>
      </c>
      <c r="H35" s="244">
        <v>1</v>
      </c>
      <c r="I35" s="242">
        <v>0</v>
      </c>
      <c r="J35" s="242">
        <v>5</v>
      </c>
      <c r="K35" s="242">
        <v>3</v>
      </c>
      <c r="L35" s="242">
        <v>0</v>
      </c>
      <c r="M35" s="242">
        <v>3</v>
      </c>
      <c r="N35" s="242">
        <v>0</v>
      </c>
      <c r="O35" s="242">
        <v>0</v>
      </c>
      <c r="P35" s="242">
        <v>1</v>
      </c>
      <c r="Q35" s="242">
        <v>0</v>
      </c>
      <c r="R35" s="242">
        <v>5</v>
      </c>
      <c r="S35" s="285">
        <v>9295</v>
      </c>
      <c r="T35" s="806" t="s">
        <v>1042</v>
      </c>
      <c r="U35" s="286" t="s">
        <v>345</v>
      </c>
      <c r="V35" s="287" t="s">
        <v>361</v>
      </c>
      <c r="W35" s="287" t="s">
        <v>485</v>
      </c>
      <c r="X35" s="288" t="s">
        <v>370</v>
      </c>
      <c r="Y35" s="243">
        <v>1</v>
      </c>
      <c r="Z35" s="243">
        <v>0</v>
      </c>
      <c r="AA35" s="243">
        <v>1</v>
      </c>
      <c r="AB35" s="167">
        <v>0</v>
      </c>
      <c r="AC35" s="243">
        <v>1</v>
      </c>
      <c r="AD35" s="243">
        <v>0</v>
      </c>
      <c r="AE35" s="243">
        <v>1</v>
      </c>
      <c r="AF35" s="167">
        <v>0</v>
      </c>
      <c r="AG35" s="243">
        <v>0</v>
      </c>
      <c r="AH35" s="243">
        <v>0</v>
      </c>
      <c r="AI35" s="243">
        <v>0</v>
      </c>
      <c r="AJ35" s="167">
        <v>0</v>
      </c>
    </row>
    <row r="36" spans="1:36" ht="15" customHeight="1" thickBot="1" x14ac:dyDescent="0.3">
      <c r="A36" s="66"/>
      <c r="B36" s="67"/>
      <c r="C36" s="885" t="s">
        <v>173</v>
      </c>
      <c r="D36" s="886"/>
      <c r="E36" s="887"/>
      <c r="F36" s="291">
        <f t="shared" ref="F36:R36" si="0">SUM(F3+F4+F5+F6+F7+F8+F13+F14+F15+F18+F19+F20+F21+F26+F27+F28+F29+F30+F32+F33+F34+F35)</f>
        <v>442</v>
      </c>
      <c r="G36" s="291">
        <f t="shared" si="0"/>
        <v>578</v>
      </c>
      <c r="H36" s="291">
        <f t="shared" si="0"/>
        <v>4</v>
      </c>
      <c r="I36" s="291">
        <f t="shared" si="0"/>
        <v>6</v>
      </c>
      <c r="J36" s="291">
        <f t="shared" si="0"/>
        <v>46</v>
      </c>
      <c r="K36" s="291">
        <f t="shared" si="0"/>
        <v>31</v>
      </c>
      <c r="L36" s="291">
        <f t="shared" si="0"/>
        <v>1</v>
      </c>
      <c r="M36" s="291">
        <f t="shared" si="0"/>
        <v>49</v>
      </c>
      <c r="N36" s="291">
        <f t="shared" si="0"/>
        <v>22</v>
      </c>
      <c r="O36" s="291">
        <f t="shared" si="0"/>
        <v>1</v>
      </c>
      <c r="P36" s="291">
        <f t="shared" si="0"/>
        <v>5</v>
      </c>
      <c r="Q36" s="291">
        <f t="shared" si="0"/>
        <v>5</v>
      </c>
      <c r="R36" s="291">
        <f t="shared" si="0"/>
        <v>57</v>
      </c>
      <c r="S36" s="68"/>
      <c r="T36" s="68"/>
      <c r="U36" s="68"/>
      <c r="V36" s="68"/>
      <c r="W36" s="68"/>
      <c r="X36" s="310" t="s">
        <v>173</v>
      </c>
      <c r="Y36" s="291">
        <f t="shared" ref="Y36:AJ36" si="1">SUM(Y3+Y4+Y5+Y6+Y7+Y8+Y13+Y14+Y15+Y18+Y19+Y20+Y21+Y26+Y27+Y28+Y29+Y30+Y32+Y33+Y34+Y35)</f>
        <v>22</v>
      </c>
      <c r="Z36" s="291">
        <f t="shared" si="1"/>
        <v>7</v>
      </c>
      <c r="AA36" s="291">
        <f t="shared" si="1"/>
        <v>1</v>
      </c>
      <c r="AB36" s="291">
        <f t="shared" si="1"/>
        <v>14</v>
      </c>
      <c r="AC36" s="121">
        <f t="shared" si="1"/>
        <v>11</v>
      </c>
      <c r="AD36" s="121">
        <f t="shared" si="1"/>
        <v>4</v>
      </c>
      <c r="AE36" s="121">
        <f t="shared" si="1"/>
        <v>1</v>
      </c>
      <c r="AF36" s="121">
        <f t="shared" si="1"/>
        <v>6</v>
      </c>
      <c r="AG36" s="289">
        <f t="shared" si="1"/>
        <v>11</v>
      </c>
      <c r="AH36" s="289">
        <f t="shared" si="1"/>
        <v>3</v>
      </c>
      <c r="AI36" s="289">
        <f t="shared" si="1"/>
        <v>0</v>
      </c>
      <c r="AJ36" s="289">
        <f t="shared" si="1"/>
        <v>8</v>
      </c>
    </row>
    <row r="37" spans="1:36" ht="15" customHeight="1" thickBot="1" x14ac:dyDescent="0.3">
      <c r="A37" s="68"/>
      <c r="B37" s="68"/>
      <c r="C37" s="911" t="s">
        <v>175</v>
      </c>
      <c r="D37" s="912"/>
      <c r="E37" s="913"/>
      <c r="F37" s="633">
        <f t="shared" ref="F37:R37" si="2">SUM(F9+F10+F16+F17+F22+F23)</f>
        <v>220</v>
      </c>
      <c r="G37" s="633">
        <f t="shared" si="2"/>
        <v>123</v>
      </c>
      <c r="H37" s="633">
        <f t="shared" si="2"/>
        <v>4</v>
      </c>
      <c r="I37" s="633">
        <f t="shared" si="2"/>
        <v>0</v>
      </c>
      <c r="J37" s="633">
        <f t="shared" si="2"/>
        <v>30</v>
      </c>
      <c r="K37" s="633">
        <f t="shared" si="2"/>
        <v>20</v>
      </c>
      <c r="L37" s="633">
        <f t="shared" si="2"/>
        <v>0</v>
      </c>
      <c r="M37" s="633">
        <f t="shared" si="2"/>
        <v>10</v>
      </c>
      <c r="N37" s="633">
        <f t="shared" si="2"/>
        <v>5</v>
      </c>
      <c r="O37" s="633">
        <f t="shared" si="2"/>
        <v>1</v>
      </c>
      <c r="P37" s="633">
        <f t="shared" si="2"/>
        <v>1</v>
      </c>
      <c r="Q37" s="633">
        <f t="shared" si="2"/>
        <v>1</v>
      </c>
      <c r="R37" s="633">
        <f t="shared" si="2"/>
        <v>11</v>
      </c>
      <c r="S37" s="634"/>
      <c r="T37" s="634"/>
      <c r="U37" s="634"/>
      <c r="V37" s="634"/>
      <c r="W37" s="635"/>
      <c r="X37" s="636" t="s">
        <v>175</v>
      </c>
      <c r="Y37" s="637">
        <f t="shared" ref="Y37:AJ37" si="3">SUM(Y9+Y10+Y16+Y17+Y22+Y23)</f>
        <v>6</v>
      </c>
      <c r="Z37" s="633">
        <f t="shared" si="3"/>
        <v>5</v>
      </c>
      <c r="AA37" s="633">
        <f t="shared" si="3"/>
        <v>0</v>
      </c>
      <c r="AB37" s="633">
        <f t="shared" si="3"/>
        <v>1</v>
      </c>
      <c r="AC37" s="638">
        <f t="shared" si="3"/>
        <v>3</v>
      </c>
      <c r="AD37" s="638">
        <f t="shared" si="3"/>
        <v>3</v>
      </c>
      <c r="AE37" s="638">
        <f t="shared" si="3"/>
        <v>0</v>
      </c>
      <c r="AF37" s="638">
        <f t="shared" si="3"/>
        <v>1</v>
      </c>
      <c r="AG37" s="639">
        <f t="shared" si="3"/>
        <v>2</v>
      </c>
      <c r="AH37" s="639">
        <f t="shared" si="3"/>
        <v>2</v>
      </c>
      <c r="AI37" s="639">
        <f t="shared" si="3"/>
        <v>0</v>
      </c>
      <c r="AJ37" s="639">
        <f t="shared" si="3"/>
        <v>1</v>
      </c>
    </row>
    <row r="38" spans="1:36" ht="15" customHeight="1" thickBot="1" x14ac:dyDescent="0.3">
      <c r="A38" s="68"/>
      <c r="B38" s="68"/>
      <c r="C38" s="911" t="s">
        <v>176</v>
      </c>
      <c r="D38" s="912"/>
      <c r="E38" s="913"/>
      <c r="F38" s="633">
        <f>SUM(F31)</f>
        <v>18</v>
      </c>
      <c r="G38" s="633">
        <f>SUM(G31)</f>
        <v>23</v>
      </c>
      <c r="H38" s="633" t="s">
        <v>85</v>
      </c>
      <c r="I38" s="633" t="s">
        <v>85</v>
      </c>
      <c r="J38" s="633">
        <f t="shared" ref="J38:O38" si="4">SUM(J31)</f>
        <v>2</v>
      </c>
      <c r="K38" s="633">
        <f t="shared" si="4"/>
        <v>1</v>
      </c>
      <c r="L38" s="633">
        <f t="shared" si="4"/>
        <v>0</v>
      </c>
      <c r="M38" s="633">
        <f t="shared" si="4"/>
        <v>2</v>
      </c>
      <c r="N38" s="633">
        <f t="shared" si="4"/>
        <v>0</v>
      </c>
      <c r="O38" s="633">
        <f t="shared" si="4"/>
        <v>0</v>
      </c>
      <c r="P38" s="633" t="s">
        <v>85</v>
      </c>
      <c r="Q38" s="633" t="s">
        <v>85</v>
      </c>
      <c r="R38" s="633">
        <f>SUM(R31)</f>
        <v>2</v>
      </c>
      <c r="S38" s="634"/>
      <c r="T38" s="634"/>
      <c r="U38" s="634"/>
      <c r="V38" s="634"/>
      <c r="W38" s="635"/>
      <c r="X38" s="636" t="s">
        <v>176</v>
      </c>
      <c r="Y38" s="633">
        <f t="shared" ref="Y38:AJ38" si="5">SUM(Y31)</f>
        <v>1</v>
      </c>
      <c r="Z38" s="633">
        <f t="shared" si="5"/>
        <v>0</v>
      </c>
      <c r="AA38" s="633">
        <f t="shared" si="5"/>
        <v>0</v>
      </c>
      <c r="AB38" s="633">
        <f t="shared" si="5"/>
        <v>1</v>
      </c>
      <c r="AC38" s="638">
        <f t="shared" si="5"/>
        <v>1</v>
      </c>
      <c r="AD38" s="638">
        <f t="shared" si="5"/>
        <v>0</v>
      </c>
      <c r="AE38" s="638">
        <f t="shared" si="5"/>
        <v>0</v>
      </c>
      <c r="AF38" s="638">
        <f t="shared" si="5"/>
        <v>1</v>
      </c>
      <c r="AG38" s="639">
        <f t="shared" si="5"/>
        <v>0</v>
      </c>
      <c r="AH38" s="639">
        <f t="shared" si="5"/>
        <v>0</v>
      </c>
      <c r="AI38" s="639">
        <f t="shared" si="5"/>
        <v>0</v>
      </c>
      <c r="AJ38" s="639">
        <f t="shared" si="5"/>
        <v>0</v>
      </c>
    </row>
    <row r="39" spans="1:36" ht="15" customHeight="1" thickBot="1" x14ac:dyDescent="0.3">
      <c r="A39" s="68"/>
      <c r="B39" s="68"/>
      <c r="C39" s="891" t="s">
        <v>168</v>
      </c>
      <c r="D39" s="892"/>
      <c r="E39" s="893"/>
      <c r="F39" s="319">
        <f t="shared" ref="F39:R39" si="6">SUM(F11+F12+F24+F25)</f>
        <v>69</v>
      </c>
      <c r="G39" s="319">
        <f t="shared" si="6"/>
        <v>118</v>
      </c>
      <c r="H39" s="319">
        <f t="shared" si="6"/>
        <v>0</v>
      </c>
      <c r="I39" s="319">
        <f t="shared" si="6"/>
        <v>1</v>
      </c>
      <c r="J39" s="319">
        <f t="shared" si="6"/>
        <v>5</v>
      </c>
      <c r="K39" s="319">
        <f t="shared" si="6"/>
        <v>4</v>
      </c>
      <c r="L39" s="319">
        <f t="shared" si="6"/>
        <v>0</v>
      </c>
      <c r="M39" s="319">
        <f t="shared" si="6"/>
        <v>12</v>
      </c>
      <c r="N39" s="319">
        <f t="shared" si="6"/>
        <v>2</v>
      </c>
      <c r="O39" s="319">
        <f t="shared" si="6"/>
        <v>0</v>
      </c>
      <c r="P39" s="319">
        <f t="shared" si="6"/>
        <v>2</v>
      </c>
      <c r="Q39" s="319">
        <f t="shared" si="6"/>
        <v>0</v>
      </c>
      <c r="R39" s="319">
        <f t="shared" si="6"/>
        <v>14</v>
      </c>
      <c r="S39" s="321"/>
      <c r="T39" s="321"/>
      <c r="U39" s="321"/>
      <c r="V39" s="321"/>
      <c r="W39" s="329"/>
      <c r="X39" s="322" t="s">
        <v>168</v>
      </c>
      <c r="Y39" s="320">
        <f t="shared" ref="Y39:AJ39" si="7">SUM(Y11+Y12+Y24+Y25)</f>
        <v>4</v>
      </c>
      <c r="Z39" s="319">
        <f t="shared" si="7"/>
        <v>0</v>
      </c>
      <c r="AA39" s="319">
        <f t="shared" si="7"/>
        <v>0</v>
      </c>
      <c r="AB39" s="319">
        <f t="shared" si="7"/>
        <v>4</v>
      </c>
      <c r="AC39" s="324">
        <f t="shared" si="7"/>
        <v>2</v>
      </c>
      <c r="AD39" s="324">
        <f t="shared" si="7"/>
        <v>0</v>
      </c>
      <c r="AE39" s="324">
        <f t="shared" si="7"/>
        <v>0</v>
      </c>
      <c r="AF39" s="324">
        <f t="shared" si="7"/>
        <v>2</v>
      </c>
      <c r="AG39" s="323">
        <f t="shared" si="7"/>
        <v>2</v>
      </c>
      <c r="AH39" s="323">
        <f t="shared" si="7"/>
        <v>0</v>
      </c>
      <c r="AI39" s="323">
        <f t="shared" si="7"/>
        <v>0</v>
      </c>
      <c r="AJ39" s="323">
        <f t="shared" si="7"/>
        <v>2</v>
      </c>
    </row>
    <row r="40" spans="1:36" ht="15.75" thickBot="1" x14ac:dyDescent="0.3">
      <c r="A40" s="68"/>
      <c r="B40" s="68"/>
      <c r="C40" s="312" t="s">
        <v>166</v>
      </c>
      <c r="D40" s="325"/>
      <c r="E40" s="326"/>
      <c r="F40" s="306">
        <v>0</v>
      </c>
      <c r="G40" s="306">
        <v>0</v>
      </c>
      <c r="H40" s="305">
        <v>0</v>
      </c>
      <c r="I40" s="305">
        <v>0</v>
      </c>
      <c r="J40" s="306">
        <v>0</v>
      </c>
      <c r="K40" s="306">
        <v>0</v>
      </c>
      <c r="L40" s="306">
        <v>0</v>
      </c>
      <c r="M40" s="306">
        <v>0</v>
      </c>
      <c r="N40" s="306">
        <v>0</v>
      </c>
      <c r="O40" s="306">
        <v>0</v>
      </c>
      <c r="P40" s="306">
        <v>0</v>
      </c>
      <c r="Q40" s="306">
        <v>0</v>
      </c>
      <c r="R40" s="306">
        <v>0</v>
      </c>
      <c r="S40" s="68"/>
      <c r="T40" s="68"/>
      <c r="U40" s="68"/>
      <c r="V40" s="68"/>
      <c r="W40" s="330"/>
      <c r="X40" s="311" t="s">
        <v>166</v>
      </c>
      <c r="Y40" s="305">
        <v>0</v>
      </c>
      <c r="Z40" s="306">
        <v>0</v>
      </c>
      <c r="AA40" s="306">
        <v>0</v>
      </c>
      <c r="AB40" s="306">
        <v>0</v>
      </c>
      <c r="AC40" s="301">
        <v>0</v>
      </c>
      <c r="AD40" s="300">
        <v>0</v>
      </c>
      <c r="AE40" s="300">
        <v>0</v>
      </c>
      <c r="AF40" s="300">
        <v>0</v>
      </c>
      <c r="AG40" s="307">
        <v>0</v>
      </c>
      <c r="AH40" s="308">
        <v>0</v>
      </c>
      <c r="AI40" s="308">
        <v>0</v>
      </c>
      <c r="AJ40" s="308">
        <v>0</v>
      </c>
    </row>
    <row r="41" spans="1:36" ht="15.75" thickBot="1" x14ac:dyDescent="0.3">
      <c r="C41" s="882" t="s">
        <v>70</v>
      </c>
      <c r="D41" s="883"/>
      <c r="E41" s="884"/>
      <c r="F41" s="293">
        <f t="shared" ref="F41:R41" si="8">SUM(F3:F35)</f>
        <v>749</v>
      </c>
      <c r="G41" s="293">
        <f t="shared" si="8"/>
        <v>842</v>
      </c>
      <c r="H41" s="292">
        <f t="shared" si="8"/>
        <v>8</v>
      </c>
      <c r="I41" s="292">
        <f t="shared" si="8"/>
        <v>7</v>
      </c>
      <c r="J41" s="293">
        <f t="shared" si="8"/>
        <v>83</v>
      </c>
      <c r="K41" s="293">
        <f t="shared" si="8"/>
        <v>56</v>
      </c>
      <c r="L41" s="293">
        <f t="shared" si="8"/>
        <v>1</v>
      </c>
      <c r="M41" s="293">
        <f t="shared" si="8"/>
        <v>73</v>
      </c>
      <c r="N41" s="293">
        <f t="shared" si="8"/>
        <v>29</v>
      </c>
      <c r="O41" s="293">
        <f t="shared" si="8"/>
        <v>2</v>
      </c>
      <c r="P41" s="293">
        <f t="shared" si="8"/>
        <v>8</v>
      </c>
      <c r="Q41" s="293">
        <f t="shared" si="8"/>
        <v>6</v>
      </c>
      <c r="R41" s="293">
        <f t="shared" si="8"/>
        <v>84</v>
      </c>
      <c r="S41" s="68"/>
      <c r="T41" s="68"/>
      <c r="U41" s="68"/>
      <c r="V41" s="68"/>
      <c r="W41" s="331"/>
      <c r="X41" s="309" t="s">
        <v>70</v>
      </c>
      <c r="Y41" s="292">
        <f t="shared" ref="Y41:AJ41" si="9">SUM(Y3:Y35)</f>
        <v>33</v>
      </c>
      <c r="Z41" s="293">
        <f t="shared" si="9"/>
        <v>12</v>
      </c>
      <c r="AA41" s="293">
        <f t="shared" si="9"/>
        <v>1</v>
      </c>
      <c r="AB41" s="293">
        <f t="shared" si="9"/>
        <v>20</v>
      </c>
      <c r="AC41" s="198">
        <f t="shared" si="9"/>
        <v>17</v>
      </c>
      <c r="AD41" s="390">
        <f t="shared" si="9"/>
        <v>7</v>
      </c>
      <c r="AE41" s="390">
        <f t="shared" si="9"/>
        <v>1</v>
      </c>
      <c r="AF41" s="390">
        <f t="shared" si="9"/>
        <v>10</v>
      </c>
      <c r="AG41" s="290">
        <f t="shared" si="9"/>
        <v>15</v>
      </c>
      <c r="AH41" s="133">
        <f t="shared" si="9"/>
        <v>5</v>
      </c>
      <c r="AI41" s="133">
        <f t="shared" si="9"/>
        <v>0</v>
      </c>
      <c r="AJ41" s="133">
        <f t="shared" si="9"/>
        <v>11</v>
      </c>
    </row>
    <row r="42" spans="1:36" x14ac:dyDescent="0.25">
      <c r="A42" s="68" t="s">
        <v>630</v>
      </c>
    </row>
    <row r="43" spans="1:36" x14ac:dyDescent="0.25">
      <c r="A43" s="470" t="s">
        <v>253</v>
      </c>
    </row>
  </sheetData>
  <mergeCells count="11">
    <mergeCell ref="C39:E39"/>
    <mergeCell ref="C41:E41"/>
    <mergeCell ref="A1:D1"/>
    <mergeCell ref="E1:G1"/>
    <mergeCell ref="C37:E37"/>
    <mergeCell ref="C38:E38"/>
    <mergeCell ref="H1:I1"/>
    <mergeCell ref="J1:M1"/>
    <mergeCell ref="N1:O1"/>
    <mergeCell ref="P1:R1"/>
    <mergeCell ref="C36:E3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S59"/>
  <sheetViews>
    <sheetView workbookViewId="0">
      <pane ySplit="2" topLeftCell="A15" activePane="bottomLeft" state="frozen"/>
      <selection pane="bottomLeft" activeCell="S34" sqref="S34:X34"/>
    </sheetView>
  </sheetViews>
  <sheetFormatPr defaultRowHeight="15" customHeight="1" x14ac:dyDescent="0.25"/>
  <cols>
    <col min="1" max="1" width="7.7109375" customWidth="1"/>
    <col min="2" max="2" width="5.7109375" customWidth="1"/>
    <col min="3" max="3" width="14.140625" customWidth="1"/>
    <col min="4" max="6" width="3.7109375" customWidth="1"/>
    <col min="7" max="7" width="4.7109375" customWidth="1"/>
    <col min="8" max="18" width="3.7109375" customWidth="1"/>
    <col min="19" max="20" width="5.7109375" customWidth="1"/>
    <col min="21" max="21" width="22.140625" bestFit="1" customWidth="1"/>
    <col min="22" max="22" width="20.42578125" bestFit="1" customWidth="1"/>
    <col min="23" max="24" width="20.42578125" customWidth="1"/>
    <col min="25" max="36" width="3.7109375" customWidth="1"/>
    <col min="38" max="38" width="13.5703125" bestFit="1" customWidth="1"/>
    <col min="40" max="40" width="13.5703125" bestFit="1" customWidth="1"/>
    <col min="42" max="42" width="13.5703125" bestFit="1" customWidth="1"/>
    <col min="44" max="44" width="13.5703125" bestFit="1" customWidth="1"/>
  </cols>
  <sheetData>
    <row r="1" spans="1:45" ht="15" customHeight="1" thickBot="1" x14ac:dyDescent="0.3">
      <c r="A1" s="960" t="s">
        <v>187</v>
      </c>
      <c r="B1" s="961"/>
      <c r="C1" s="961"/>
      <c r="D1" s="962"/>
      <c r="E1" s="963" t="s">
        <v>77</v>
      </c>
      <c r="F1" s="964"/>
      <c r="G1" s="965"/>
      <c r="H1" s="963" t="s">
        <v>76</v>
      </c>
      <c r="I1" s="965"/>
      <c r="J1" s="957" t="s">
        <v>43</v>
      </c>
      <c r="K1" s="958"/>
      <c r="L1" s="958"/>
      <c r="M1" s="959"/>
      <c r="N1" s="957" t="s">
        <v>44</v>
      </c>
      <c r="O1" s="959"/>
      <c r="P1" s="957" t="s">
        <v>79</v>
      </c>
      <c r="Q1" s="958"/>
      <c r="R1" s="959"/>
      <c r="S1" s="563" t="s">
        <v>45</v>
      </c>
      <c r="T1" s="563" t="s">
        <v>46</v>
      </c>
      <c r="U1" s="564" t="s">
        <v>47</v>
      </c>
      <c r="V1" s="563" t="s">
        <v>48</v>
      </c>
      <c r="W1" s="565" t="s">
        <v>151</v>
      </c>
      <c r="X1" s="566" t="s">
        <v>152</v>
      </c>
      <c r="Y1" s="567" t="s">
        <v>71</v>
      </c>
      <c r="Z1" s="568"/>
      <c r="AA1" s="568"/>
      <c r="AB1" s="568"/>
      <c r="AC1" s="564" t="s">
        <v>72</v>
      </c>
      <c r="AD1" s="566"/>
      <c r="AE1" s="566"/>
      <c r="AF1" s="569"/>
      <c r="AG1" s="564" t="s">
        <v>73</v>
      </c>
      <c r="AH1" s="566"/>
      <c r="AI1" s="566"/>
      <c r="AJ1" s="569"/>
    </row>
    <row r="2" spans="1:45" ht="15" customHeight="1" thickBot="1" x14ac:dyDescent="0.3">
      <c r="A2" s="570" t="s">
        <v>69</v>
      </c>
      <c r="B2" s="571" t="s">
        <v>68</v>
      </c>
      <c r="C2" s="572" t="s">
        <v>113</v>
      </c>
      <c r="D2" s="572" t="s">
        <v>78</v>
      </c>
      <c r="E2" s="573" t="s">
        <v>53</v>
      </c>
      <c r="F2" s="573" t="s">
        <v>37</v>
      </c>
      <c r="G2" s="573" t="s">
        <v>38</v>
      </c>
      <c r="H2" s="574" t="s">
        <v>74</v>
      </c>
      <c r="I2" s="575" t="s">
        <v>75</v>
      </c>
      <c r="J2" s="575" t="s">
        <v>49</v>
      </c>
      <c r="K2" s="575" t="s">
        <v>50</v>
      </c>
      <c r="L2" s="575" t="s">
        <v>35</v>
      </c>
      <c r="M2" s="575" t="s">
        <v>51</v>
      </c>
      <c r="N2" s="575" t="s">
        <v>52</v>
      </c>
      <c r="O2" s="575" t="s">
        <v>53</v>
      </c>
      <c r="P2" s="575" t="s">
        <v>74</v>
      </c>
      <c r="Q2" s="575" t="s">
        <v>75</v>
      </c>
      <c r="R2" s="575" t="s">
        <v>49</v>
      </c>
      <c r="S2" s="576"/>
      <c r="T2" s="577"/>
      <c r="U2" s="578"/>
      <c r="V2" s="576"/>
      <c r="W2" s="579"/>
      <c r="X2" s="579"/>
      <c r="Y2" s="563" t="s">
        <v>33</v>
      </c>
      <c r="Z2" s="563" t="s">
        <v>34</v>
      </c>
      <c r="AA2" s="563" t="s">
        <v>35</v>
      </c>
      <c r="AB2" s="563" t="s">
        <v>36</v>
      </c>
      <c r="AC2" s="563" t="s">
        <v>33</v>
      </c>
      <c r="AD2" s="563" t="s">
        <v>34</v>
      </c>
      <c r="AE2" s="563" t="s">
        <v>35</v>
      </c>
      <c r="AF2" s="563" t="s">
        <v>36</v>
      </c>
      <c r="AG2" s="563" t="s">
        <v>33</v>
      </c>
      <c r="AH2" s="563" t="s">
        <v>34</v>
      </c>
      <c r="AI2" s="563" t="s">
        <v>35</v>
      </c>
      <c r="AJ2" s="563" t="s">
        <v>36</v>
      </c>
    </row>
    <row r="3" spans="1:45" ht="15" customHeight="1" thickBot="1" x14ac:dyDescent="0.3">
      <c r="A3" s="369" t="s">
        <v>191</v>
      </c>
      <c r="B3" s="240" t="s">
        <v>54</v>
      </c>
      <c r="C3" s="122" t="s">
        <v>30</v>
      </c>
      <c r="D3" s="123" t="s">
        <v>90</v>
      </c>
      <c r="E3" s="123" t="s">
        <v>36</v>
      </c>
      <c r="F3" s="123">
        <v>0</v>
      </c>
      <c r="G3" s="241">
        <v>52</v>
      </c>
      <c r="H3" s="244">
        <v>0</v>
      </c>
      <c r="I3" s="242">
        <v>0</v>
      </c>
      <c r="J3" s="242">
        <v>0</v>
      </c>
      <c r="K3" s="242">
        <v>0</v>
      </c>
      <c r="L3" s="242">
        <v>0</v>
      </c>
      <c r="M3" s="242">
        <v>0</v>
      </c>
      <c r="N3" s="242">
        <v>1</v>
      </c>
      <c r="O3" s="242">
        <v>0</v>
      </c>
      <c r="P3" s="242">
        <v>1</v>
      </c>
      <c r="Q3" s="242">
        <v>0</v>
      </c>
      <c r="R3" s="242">
        <v>7</v>
      </c>
      <c r="S3" s="243">
        <v>2776</v>
      </c>
      <c r="T3" s="514" t="s">
        <v>373</v>
      </c>
      <c r="U3" s="245" t="s">
        <v>374</v>
      </c>
      <c r="V3" s="243" t="s">
        <v>375</v>
      </c>
      <c r="W3" s="243" t="s">
        <v>376</v>
      </c>
      <c r="X3" s="169" t="s">
        <v>377</v>
      </c>
      <c r="Y3" s="243">
        <v>1</v>
      </c>
      <c r="Z3" s="243">
        <v>0</v>
      </c>
      <c r="AA3" s="243">
        <v>0</v>
      </c>
      <c r="AB3" s="167">
        <v>1</v>
      </c>
      <c r="AC3" s="243">
        <v>1</v>
      </c>
      <c r="AD3" s="243">
        <v>0</v>
      </c>
      <c r="AE3" s="243">
        <v>0</v>
      </c>
      <c r="AF3" s="167">
        <v>1</v>
      </c>
      <c r="AG3" s="243">
        <v>0</v>
      </c>
      <c r="AH3" s="243">
        <v>0</v>
      </c>
      <c r="AI3" s="243">
        <v>0</v>
      </c>
      <c r="AJ3" s="167">
        <v>0</v>
      </c>
    </row>
    <row r="4" spans="1:45" ht="15" customHeight="1" thickBot="1" x14ac:dyDescent="0.3">
      <c r="A4" s="256" t="s">
        <v>80</v>
      </c>
      <c r="B4" s="255" t="s">
        <v>54</v>
      </c>
      <c r="C4" s="247" t="s">
        <v>24</v>
      </c>
      <c r="D4" s="257" t="s">
        <v>38</v>
      </c>
      <c r="E4" s="257" t="s">
        <v>36</v>
      </c>
      <c r="F4" s="257">
        <v>26</v>
      </c>
      <c r="G4" s="258">
        <v>53</v>
      </c>
      <c r="H4" s="259">
        <v>1</v>
      </c>
      <c r="I4" s="260">
        <v>0</v>
      </c>
      <c r="J4" s="260">
        <v>4</v>
      </c>
      <c r="K4" s="257">
        <v>3</v>
      </c>
      <c r="L4" s="260">
        <v>0</v>
      </c>
      <c r="M4" s="257">
        <v>0</v>
      </c>
      <c r="N4" s="260">
        <v>0</v>
      </c>
      <c r="O4" s="260">
        <v>0</v>
      </c>
      <c r="P4" s="260">
        <v>1</v>
      </c>
      <c r="Q4" s="257">
        <v>0</v>
      </c>
      <c r="R4" s="260">
        <v>7</v>
      </c>
      <c r="S4" s="261">
        <v>12755</v>
      </c>
      <c r="T4" s="262" t="s">
        <v>424</v>
      </c>
      <c r="U4" s="263" t="s">
        <v>386</v>
      </c>
      <c r="V4" s="261" t="s">
        <v>346</v>
      </c>
      <c r="W4" s="261" t="s">
        <v>387</v>
      </c>
      <c r="X4" s="264" t="s">
        <v>376</v>
      </c>
      <c r="Y4" s="261">
        <v>1</v>
      </c>
      <c r="Z4" s="261">
        <v>0</v>
      </c>
      <c r="AA4" s="261">
        <v>0</v>
      </c>
      <c r="AB4" s="168">
        <v>1</v>
      </c>
      <c r="AC4" s="261">
        <v>0</v>
      </c>
      <c r="AD4" s="261">
        <v>0</v>
      </c>
      <c r="AE4" s="261">
        <v>0</v>
      </c>
      <c r="AF4" s="168">
        <v>0</v>
      </c>
      <c r="AG4" s="261">
        <v>1</v>
      </c>
      <c r="AH4" s="261">
        <v>0</v>
      </c>
      <c r="AI4" s="261">
        <v>0</v>
      </c>
      <c r="AJ4" s="168">
        <v>1</v>
      </c>
    </row>
    <row r="5" spans="1:45" ht="15" customHeight="1" thickBot="1" x14ac:dyDescent="0.3">
      <c r="A5" s="256" t="s">
        <v>108</v>
      </c>
      <c r="B5" s="255" t="s">
        <v>54</v>
      </c>
      <c r="C5" s="247" t="s">
        <v>29</v>
      </c>
      <c r="D5" s="257" t="s">
        <v>38</v>
      </c>
      <c r="E5" s="257" t="s">
        <v>36</v>
      </c>
      <c r="F5" s="257">
        <v>8</v>
      </c>
      <c r="G5" s="258">
        <v>46</v>
      </c>
      <c r="H5" s="265">
        <v>0</v>
      </c>
      <c r="I5" s="258">
        <v>0</v>
      </c>
      <c r="J5" s="260">
        <v>1</v>
      </c>
      <c r="K5" s="260">
        <v>0</v>
      </c>
      <c r="L5" s="260">
        <v>0</v>
      </c>
      <c r="M5" s="260">
        <v>1</v>
      </c>
      <c r="N5" s="260">
        <v>1</v>
      </c>
      <c r="O5" s="260">
        <v>0</v>
      </c>
      <c r="P5" s="257">
        <v>1</v>
      </c>
      <c r="Q5" s="260">
        <v>0</v>
      </c>
      <c r="R5" s="257">
        <v>6</v>
      </c>
      <c r="S5" s="261">
        <v>4953</v>
      </c>
      <c r="T5" s="516" t="s">
        <v>423</v>
      </c>
      <c r="U5" s="263" t="s">
        <v>353</v>
      </c>
      <c r="V5" s="261" t="s">
        <v>339</v>
      </c>
      <c r="W5" s="261" t="s">
        <v>355</v>
      </c>
      <c r="X5" s="264" t="s">
        <v>356</v>
      </c>
      <c r="Y5" s="261">
        <v>1</v>
      </c>
      <c r="Z5" s="261">
        <v>0</v>
      </c>
      <c r="AA5" s="261">
        <v>0</v>
      </c>
      <c r="AB5" s="168">
        <v>1</v>
      </c>
      <c r="AC5" s="261">
        <v>0</v>
      </c>
      <c r="AD5" s="261">
        <v>0</v>
      </c>
      <c r="AE5" s="261">
        <v>0</v>
      </c>
      <c r="AF5" s="168">
        <v>0</v>
      </c>
      <c r="AG5" s="261">
        <v>1</v>
      </c>
      <c r="AH5" s="261">
        <v>0</v>
      </c>
      <c r="AI5" s="261">
        <v>0</v>
      </c>
      <c r="AJ5" s="168">
        <v>1</v>
      </c>
    </row>
    <row r="6" spans="1:45" ht="15" customHeight="1" thickBot="1" x14ac:dyDescent="0.3">
      <c r="A6" s="239" t="s">
        <v>202</v>
      </c>
      <c r="B6" s="240" t="s">
        <v>54</v>
      </c>
      <c r="C6" s="122" t="s">
        <v>26</v>
      </c>
      <c r="D6" s="123" t="s">
        <v>90</v>
      </c>
      <c r="E6" s="123" t="s">
        <v>36</v>
      </c>
      <c r="F6" s="123">
        <v>10</v>
      </c>
      <c r="G6" s="241">
        <v>46</v>
      </c>
      <c r="H6" s="241">
        <v>0</v>
      </c>
      <c r="I6" s="242">
        <v>0</v>
      </c>
      <c r="J6" s="123">
        <v>1</v>
      </c>
      <c r="K6" s="123">
        <v>1</v>
      </c>
      <c r="L6" s="242">
        <v>0</v>
      </c>
      <c r="M6" s="242">
        <v>1</v>
      </c>
      <c r="N6" s="242">
        <v>2</v>
      </c>
      <c r="O6" s="242">
        <v>0</v>
      </c>
      <c r="P6" s="242">
        <v>1</v>
      </c>
      <c r="Q6" s="123">
        <v>0</v>
      </c>
      <c r="R6" s="242">
        <v>6</v>
      </c>
      <c r="S6" s="243">
        <v>3531</v>
      </c>
      <c r="T6" s="514" t="s">
        <v>442</v>
      </c>
      <c r="U6" s="245" t="s">
        <v>360</v>
      </c>
      <c r="V6" s="243" t="s">
        <v>339</v>
      </c>
      <c r="W6" s="243" t="s">
        <v>340</v>
      </c>
      <c r="X6" s="169" t="s">
        <v>387</v>
      </c>
      <c r="Y6" s="243">
        <v>1</v>
      </c>
      <c r="Z6" s="243">
        <v>0</v>
      </c>
      <c r="AA6" s="243">
        <v>0</v>
      </c>
      <c r="AB6" s="167">
        <v>1</v>
      </c>
      <c r="AC6" s="243">
        <v>1</v>
      </c>
      <c r="AD6" s="243">
        <v>0</v>
      </c>
      <c r="AE6" s="243">
        <v>0</v>
      </c>
      <c r="AF6" s="167">
        <v>1</v>
      </c>
      <c r="AG6" s="243">
        <v>0</v>
      </c>
      <c r="AH6" s="243">
        <v>0</v>
      </c>
      <c r="AI6" s="243">
        <v>0</v>
      </c>
      <c r="AJ6" s="167">
        <v>0</v>
      </c>
    </row>
    <row r="7" spans="1:45" ht="15" customHeight="1" thickBot="1" x14ac:dyDescent="0.3">
      <c r="A7" s="256" t="s">
        <v>92</v>
      </c>
      <c r="B7" s="255" t="s">
        <v>54</v>
      </c>
      <c r="C7" s="247" t="s">
        <v>10</v>
      </c>
      <c r="D7" s="257" t="s">
        <v>38</v>
      </c>
      <c r="E7" s="257" t="s">
        <v>36</v>
      </c>
      <c r="F7" s="257">
        <v>0</v>
      </c>
      <c r="G7" s="258">
        <v>52</v>
      </c>
      <c r="H7" s="259">
        <v>0</v>
      </c>
      <c r="I7" s="257">
        <v>0</v>
      </c>
      <c r="J7" s="260">
        <v>0</v>
      </c>
      <c r="K7" s="260">
        <v>0</v>
      </c>
      <c r="L7" s="260">
        <v>0</v>
      </c>
      <c r="M7" s="260">
        <v>0</v>
      </c>
      <c r="N7" s="260">
        <v>2</v>
      </c>
      <c r="O7" s="260">
        <v>0</v>
      </c>
      <c r="P7" s="260">
        <v>1</v>
      </c>
      <c r="Q7" s="260">
        <v>0</v>
      </c>
      <c r="R7" s="260">
        <v>7</v>
      </c>
      <c r="S7" s="261">
        <v>13657</v>
      </c>
      <c r="T7" s="516" t="s">
        <v>373</v>
      </c>
      <c r="U7" s="263" t="s">
        <v>374</v>
      </c>
      <c r="V7" s="261" t="s">
        <v>346</v>
      </c>
      <c r="W7" s="261" t="s">
        <v>390</v>
      </c>
      <c r="X7" s="264" t="s">
        <v>362</v>
      </c>
      <c r="Y7" s="261">
        <v>1</v>
      </c>
      <c r="Z7" s="261">
        <v>0</v>
      </c>
      <c r="AA7" s="261">
        <v>0</v>
      </c>
      <c r="AB7" s="168">
        <v>1</v>
      </c>
      <c r="AC7" s="261">
        <v>0</v>
      </c>
      <c r="AD7" s="261">
        <v>0</v>
      </c>
      <c r="AE7" s="261">
        <v>0</v>
      </c>
      <c r="AF7" s="168">
        <v>0</v>
      </c>
      <c r="AG7" s="261">
        <v>1</v>
      </c>
      <c r="AH7" s="261">
        <v>0</v>
      </c>
      <c r="AI7" s="261">
        <v>0</v>
      </c>
      <c r="AJ7" s="168">
        <v>1</v>
      </c>
    </row>
    <row r="8" spans="1:45" ht="15" customHeight="1" thickBot="1" x14ac:dyDescent="0.3">
      <c r="A8" s="239" t="s">
        <v>105</v>
      </c>
      <c r="B8" s="240" t="s">
        <v>54</v>
      </c>
      <c r="C8" s="122" t="s">
        <v>66</v>
      </c>
      <c r="D8" s="123" t="s">
        <v>90</v>
      </c>
      <c r="E8" s="123" t="s">
        <v>36</v>
      </c>
      <c r="F8" s="123">
        <v>3</v>
      </c>
      <c r="G8" s="241">
        <v>23</v>
      </c>
      <c r="H8" s="244">
        <v>0</v>
      </c>
      <c r="I8" s="123">
        <v>0</v>
      </c>
      <c r="J8" s="242">
        <v>0</v>
      </c>
      <c r="K8" s="242">
        <v>0</v>
      </c>
      <c r="L8" s="242">
        <v>0</v>
      </c>
      <c r="M8" s="242">
        <v>1</v>
      </c>
      <c r="N8" s="242">
        <v>0</v>
      </c>
      <c r="O8" s="242">
        <v>0</v>
      </c>
      <c r="P8" s="242">
        <v>0</v>
      </c>
      <c r="Q8" s="242">
        <v>0</v>
      </c>
      <c r="R8" s="242">
        <v>3</v>
      </c>
      <c r="S8" s="243">
        <v>2154</v>
      </c>
      <c r="T8" s="517" t="s">
        <v>481</v>
      </c>
      <c r="U8" s="245" t="s">
        <v>338</v>
      </c>
      <c r="V8" s="243" t="s">
        <v>399</v>
      </c>
      <c r="W8" s="243" t="s">
        <v>341</v>
      </c>
      <c r="X8" s="169" t="s">
        <v>363</v>
      </c>
      <c r="Y8" s="243">
        <v>1</v>
      </c>
      <c r="Z8" s="243">
        <v>0</v>
      </c>
      <c r="AA8" s="243">
        <v>0</v>
      </c>
      <c r="AB8" s="167">
        <v>1</v>
      </c>
      <c r="AC8" s="243">
        <v>1</v>
      </c>
      <c r="AD8" s="243">
        <v>0</v>
      </c>
      <c r="AE8" s="243">
        <v>0</v>
      </c>
      <c r="AF8" s="167">
        <v>1</v>
      </c>
      <c r="AG8" s="243">
        <v>0</v>
      </c>
      <c r="AH8" s="243">
        <v>0</v>
      </c>
      <c r="AI8" s="243">
        <v>0</v>
      </c>
      <c r="AJ8" s="167">
        <v>0</v>
      </c>
    </row>
    <row r="9" spans="1:45" ht="15" customHeight="1" thickBot="1" x14ac:dyDescent="0.3">
      <c r="A9" s="689" t="s">
        <v>107</v>
      </c>
      <c r="B9" s="690" t="s">
        <v>169</v>
      </c>
      <c r="C9" s="704" t="s">
        <v>237</v>
      </c>
      <c r="D9" s="692" t="s">
        <v>38</v>
      </c>
      <c r="E9" s="692" t="s">
        <v>36</v>
      </c>
      <c r="F9" s="692">
        <v>18</v>
      </c>
      <c r="G9" s="693">
        <v>28</v>
      </c>
      <c r="H9" s="694">
        <v>0</v>
      </c>
      <c r="I9" s="695">
        <v>0</v>
      </c>
      <c r="J9" s="695">
        <v>2</v>
      </c>
      <c r="K9" s="695">
        <v>1</v>
      </c>
      <c r="L9" s="695">
        <v>0</v>
      </c>
      <c r="M9" s="695">
        <v>2</v>
      </c>
      <c r="N9" s="695">
        <v>3</v>
      </c>
      <c r="O9" s="695">
        <v>0</v>
      </c>
      <c r="P9" s="695">
        <v>1</v>
      </c>
      <c r="Q9" s="692">
        <v>0</v>
      </c>
      <c r="R9" s="695">
        <v>4</v>
      </c>
      <c r="S9" s="696">
        <v>8455</v>
      </c>
      <c r="T9" s="702" t="s">
        <v>506</v>
      </c>
      <c r="U9" s="698" t="s">
        <v>507</v>
      </c>
      <c r="V9" s="696" t="s">
        <v>510</v>
      </c>
      <c r="W9" s="696" t="s">
        <v>508</v>
      </c>
      <c r="X9" s="699" t="s">
        <v>509</v>
      </c>
      <c r="Y9" s="696">
        <v>1</v>
      </c>
      <c r="Z9" s="696">
        <v>0</v>
      </c>
      <c r="AA9" s="696">
        <v>0</v>
      </c>
      <c r="AB9" s="700">
        <v>1</v>
      </c>
      <c r="AC9" s="696">
        <v>0</v>
      </c>
      <c r="AD9" s="696">
        <v>0</v>
      </c>
      <c r="AE9" s="696">
        <v>0</v>
      </c>
      <c r="AF9" s="700">
        <v>0</v>
      </c>
      <c r="AG9" s="696">
        <v>1</v>
      </c>
      <c r="AH9" s="696">
        <v>0</v>
      </c>
      <c r="AI9" s="696">
        <v>0</v>
      </c>
      <c r="AJ9" s="700">
        <v>1</v>
      </c>
    </row>
    <row r="10" spans="1:45" ht="15" customHeight="1" thickBot="1" x14ac:dyDescent="0.3">
      <c r="A10" s="677" t="s">
        <v>240</v>
      </c>
      <c r="B10" s="678" t="s">
        <v>169</v>
      </c>
      <c r="C10" s="679" t="s">
        <v>239</v>
      </c>
      <c r="D10" s="680" t="s">
        <v>90</v>
      </c>
      <c r="E10" s="680" t="s">
        <v>36</v>
      </c>
      <c r="F10" s="680">
        <v>20</v>
      </c>
      <c r="G10" s="681">
        <v>52</v>
      </c>
      <c r="H10" s="682">
        <v>0</v>
      </c>
      <c r="I10" s="683">
        <v>0</v>
      </c>
      <c r="J10" s="683">
        <v>2</v>
      </c>
      <c r="K10" s="683">
        <v>2</v>
      </c>
      <c r="L10" s="683">
        <v>0</v>
      </c>
      <c r="M10" s="683">
        <v>2</v>
      </c>
      <c r="N10" s="683">
        <v>0</v>
      </c>
      <c r="O10" s="683">
        <v>0</v>
      </c>
      <c r="P10" s="683">
        <v>1</v>
      </c>
      <c r="Q10" s="680">
        <v>0</v>
      </c>
      <c r="R10" s="683">
        <v>7</v>
      </c>
      <c r="S10" s="684">
        <v>3575</v>
      </c>
      <c r="T10" s="703" t="s">
        <v>584</v>
      </c>
      <c r="U10" s="686" t="s">
        <v>585</v>
      </c>
      <c r="V10" s="684" t="s">
        <v>588</v>
      </c>
      <c r="W10" s="684" t="s">
        <v>586</v>
      </c>
      <c r="X10" s="684" t="s">
        <v>587</v>
      </c>
      <c r="Y10" s="684">
        <v>1</v>
      </c>
      <c r="Z10" s="684">
        <v>0</v>
      </c>
      <c r="AA10" s="684">
        <v>0</v>
      </c>
      <c r="AB10" s="688">
        <v>1</v>
      </c>
      <c r="AC10" s="684">
        <v>1</v>
      </c>
      <c r="AD10" s="684">
        <v>0</v>
      </c>
      <c r="AE10" s="684">
        <v>0</v>
      </c>
      <c r="AF10" s="688">
        <v>1</v>
      </c>
      <c r="AG10" s="684">
        <v>0</v>
      </c>
      <c r="AH10" s="684">
        <v>0</v>
      </c>
      <c r="AI10" s="684">
        <v>0</v>
      </c>
      <c r="AJ10" s="688">
        <v>0</v>
      </c>
    </row>
    <row r="11" spans="1:45" ht="15" customHeight="1" thickBot="1" x14ac:dyDescent="0.3">
      <c r="A11" s="251" t="s">
        <v>94</v>
      </c>
      <c r="B11" s="252" t="s">
        <v>96</v>
      </c>
      <c r="C11" s="253" t="s">
        <v>24</v>
      </c>
      <c r="D11" s="269" t="s">
        <v>38</v>
      </c>
      <c r="E11" s="269" t="s">
        <v>36</v>
      </c>
      <c r="F11" s="269">
        <v>7</v>
      </c>
      <c r="G11" s="275">
        <v>47</v>
      </c>
      <c r="H11" s="268">
        <v>0</v>
      </c>
      <c r="I11" s="267">
        <v>0</v>
      </c>
      <c r="J11" s="267">
        <v>1</v>
      </c>
      <c r="K11" s="267">
        <v>1</v>
      </c>
      <c r="L11" s="267">
        <v>0</v>
      </c>
      <c r="M11" s="267">
        <v>0</v>
      </c>
      <c r="N11" s="267">
        <v>0</v>
      </c>
      <c r="O11" s="267">
        <v>0</v>
      </c>
      <c r="P11" s="267">
        <v>1</v>
      </c>
      <c r="Q11" s="269">
        <v>0</v>
      </c>
      <c r="R11" s="267">
        <v>7</v>
      </c>
      <c r="S11" s="294">
        <v>13300</v>
      </c>
      <c r="T11" s="295" t="s">
        <v>607</v>
      </c>
      <c r="U11" s="296" t="s">
        <v>606</v>
      </c>
      <c r="V11" s="297" t="s">
        <v>510</v>
      </c>
      <c r="W11" s="297" t="s">
        <v>356</v>
      </c>
      <c r="X11" s="272" t="s">
        <v>341</v>
      </c>
      <c r="Y11" s="272">
        <v>1</v>
      </c>
      <c r="Z11" s="272">
        <v>0</v>
      </c>
      <c r="AA11" s="272">
        <v>0</v>
      </c>
      <c r="AB11" s="274">
        <v>1</v>
      </c>
      <c r="AC11" s="272">
        <v>0</v>
      </c>
      <c r="AD11" s="272">
        <v>0</v>
      </c>
      <c r="AE11" s="272">
        <v>0</v>
      </c>
      <c r="AF11" s="274">
        <v>0</v>
      </c>
      <c r="AG11" s="272">
        <v>1</v>
      </c>
      <c r="AH11" s="272">
        <v>0</v>
      </c>
      <c r="AI11" s="272">
        <v>0</v>
      </c>
      <c r="AJ11" s="274">
        <v>1</v>
      </c>
    </row>
    <row r="12" spans="1:45" ht="15" customHeight="1" thickBot="1" x14ac:dyDescent="0.3">
      <c r="A12" s="248" t="s">
        <v>251</v>
      </c>
      <c r="B12" s="249" t="s">
        <v>96</v>
      </c>
      <c r="C12" s="250" t="s">
        <v>26</v>
      </c>
      <c r="D12" s="283" t="s">
        <v>90</v>
      </c>
      <c r="E12" s="283" t="s">
        <v>36</v>
      </c>
      <c r="F12" s="283">
        <v>9</v>
      </c>
      <c r="G12" s="284">
        <v>18</v>
      </c>
      <c r="H12" s="277">
        <v>0</v>
      </c>
      <c r="I12" s="276">
        <v>0</v>
      </c>
      <c r="J12" s="276">
        <v>0</v>
      </c>
      <c r="K12" s="276">
        <v>0</v>
      </c>
      <c r="L12" s="276">
        <v>0</v>
      </c>
      <c r="M12" s="276">
        <v>3</v>
      </c>
      <c r="N12" s="276">
        <v>2</v>
      </c>
      <c r="O12" s="276">
        <v>0</v>
      </c>
      <c r="P12" s="276">
        <v>0</v>
      </c>
      <c r="Q12" s="283">
        <v>0</v>
      </c>
      <c r="R12" s="276">
        <v>0</v>
      </c>
      <c r="S12" s="278">
        <v>2906</v>
      </c>
      <c r="T12" s="650" t="s">
        <v>594</v>
      </c>
      <c r="U12" s="279" t="s">
        <v>569</v>
      </c>
      <c r="V12" s="278" t="s">
        <v>510</v>
      </c>
      <c r="W12" s="278" t="s">
        <v>363</v>
      </c>
      <c r="X12" s="280" t="s">
        <v>355</v>
      </c>
      <c r="Y12" s="278">
        <v>1</v>
      </c>
      <c r="Z12" s="278">
        <v>0</v>
      </c>
      <c r="AA12" s="278">
        <v>0</v>
      </c>
      <c r="AB12" s="281">
        <v>1</v>
      </c>
      <c r="AC12" s="278">
        <v>1</v>
      </c>
      <c r="AD12" s="278">
        <v>0</v>
      </c>
      <c r="AE12" s="278">
        <v>0</v>
      </c>
      <c r="AF12" s="281">
        <v>1</v>
      </c>
      <c r="AG12" s="278">
        <v>0</v>
      </c>
      <c r="AH12" s="278">
        <v>0</v>
      </c>
      <c r="AI12" s="278">
        <v>0</v>
      </c>
      <c r="AJ12" s="281">
        <v>0</v>
      </c>
      <c r="AL12" s="622" t="s">
        <v>501</v>
      </c>
    </row>
    <row r="13" spans="1:45" ht="15" customHeight="1" thickBot="1" x14ac:dyDescent="0.3">
      <c r="A13" s="256" t="s">
        <v>214</v>
      </c>
      <c r="B13" s="255" t="s">
        <v>54</v>
      </c>
      <c r="C13" s="247" t="s">
        <v>189</v>
      </c>
      <c r="D13" s="257" t="s">
        <v>380</v>
      </c>
      <c r="E13" s="257" t="s">
        <v>36</v>
      </c>
      <c r="F13" s="257">
        <v>7</v>
      </c>
      <c r="G13" s="258">
        <v>71</v>
      </c>
      <c r="H13" s="259">
        <v>0</v>
      </c>
      <c r="I13" s="260">
        <v>0</v>
      </c>
      <c r="J13" s="260">
        <v>1</v>
      </c>
      <c r="K13" s="260">
        <v>1</v>
      </c>
      <c r="L13" s="260">
        <v>0</v>
      </c>
      <c r="M13" s="260">
        <v>0</v>
      </c>
      <c r="N13" s="260">
        <v>0</v>
      </c>
      <c r="O13" s="260">
        <v>0</v>
      </c>
      <c r="P13" s="260">
        <v>1</v>
      </c>
      <c r="Q13" s="257">
        <v>0</v>
      </c>
      <c r="R13" s="260">
        <v>11</v>
      </c>
      <c r="S13" s="261">
        <v>5842</v>
      </c>
      <c r="T13" s="516" t="s">
        <v>647</v>
      </c>
      <c r="U13" s="263" t="s">
        <v>652</v>
      </c>
      <c r="V13" s="261" t="s">
        <v>354</v>
      </c>
      <c r="W13" s="261" t="s">
        <v>377</v>
      </c>
      <c r="X13" s="264" t="s">
        <v>340</v>
      </c>
      <c r="Y13" s="261">
        <v>1</v>
      </c>
      <c r="Z13" s="261">
        <v>0</v>
      </c>
      <c r="AA13" s="261">
        <v>0</v>
      </c>
      <c r="AB13" s="168">
        <v>1</v>
      </c>
      <c r="AC13" s="261">
        <v>0</v>
      </c>
      <c r="AD13" s="261">
        <v>0</v>
      </c>
      <c r="AE13" s="261">
        <v>0</v>
      </c>
      <c r="AF13" s="168">
        <v>0</v>
      </c>
      <c r="AG13" s="261">
        <v>1</v>
      </c>
      <c r="AH13" s="261">
        <v>0</v>
      </c>
      <c r="AI13" s="261">
        <v>0</v>
      </c>
      <c r="AJ13" s="168">
        <v>1</v>
      </c>
    </row>
    <row r="14" spans="1:45" ht="15" customHeight="1" thickBot="1" x14ac:dyDescent="0.3">
      <c r="A14" s="239" t="s">
        <v>207</v>
      </c>
      <c r="B14" s="240" t="s">
        <v>54</v>
      </c>
      <c r="C14" s="122" t="s">
        <v>28</v>
      </c>
      <c r="D14" s="123" t="s">
        <v>90</v>
      </c>
      <c r="E14" s="123" t="s">
        <v>36</v>
      </c>
      <c r="F14" s="123">
        <v>5</v>
      </c>
      <c r="G14" s="241">
        <v>26</v>
      </c>
      <c r="H14" s="241">
        <v>0</v>
      </c>
      <c r="I14" s="242">
        <v>0</v>
      </c>
      <c r="J14" s="242">
        <v>1</v>
      </c>
      <c r="K14" s="242">
        <v>0</v>
      </c>
      <c r="L14" s="242">
        <v>0</v>
      </c>
      <c r="M14" s="242">
        <v>0</v>
      </c>
      <c r="N14" s="242">
        <v>0</v>
      </c>
      <c r="O14" s="242">
        <v>0</v>
      </c>
      <c r="P14" s="242">
        <v>1</v>
      </c>
      <c r="Q14" s="123">
        <v>0</v>
      </c>
      <c r="R14" s="242">
        <v>4</v>
      </c>
      <c r="S14" s="243">
        <v>3249</v>
      </c>
      <c r="T14" s="514" t="s">
        <v>664</v>
      </c>
      <c r="U14" s="245" t="s">
        <v>374</v>
      </c>
      <c r="V14" s="243" t="s">
        <v>361</v>
      </c>
      <c r="W14" s="243" t="s">
        <v>348</v>
      </c>
      <c r="X14" s="169" t="s">
        <v>445</v>
      </c>
      <c r="Y14" s="243">
        <v>1</v>
      </c>
      <c r="Z14" s="243">
        <v>0</v>
      </c>
      <c r="AA14" s="243">
        <v>0</v>
      </c>
      <c r="AB14" s="167">
        <v>1</v>
      </c>
      <c r="AC14" s="243">
        <v>1</v>
      </c>
      <c r="AD14" s="243">
        <v>0</v>
      </c>
      <c r="AE14" s="243">
        <v>0</v>
      </c>
      <c r="AF14" s="167">
        <v>1</v>
      </c>
      <c r="AG14" s="243">
        <v>0</v>
      </c>
      <c r="AH14" s="243">
        <v>0</v>
      </c>
      <c r="AI14" s="243">
        <v>0</v>
      </c>
      <c r="AJ14" s="167">
        <v>0</v>
      </c>
      <c r="AL14" s="966" t="s">
        <v>505</v>
      </c>
      <c r="AM14" s="967"/>
      <c r="AN14" s="968" t="s">
        <v>502</v>
      </c>
      <c r="AO14" s="969"/>
      <c r="AP14" s="970" t="s">
        <v>503</v>
      </c>
      <c r="AQ14" s="971"/>
      <c r="AR14" s="972" t="s">
        <v>504</v>
      </c>
      <c r="AS14" s="973"/>
    </row>
    <row r="15" spans="1:45" ht="15" customHeight="1" thickBot="1" x14ac:dyDescent="0.3">
      <c r="A15" s="239" t="s">
        <v>215</v>
      </c>
      <c r="B15" s="240" t="s">
        <v>54</v>
      </c>
      <c r="C15" s="122" t="s">
        <v>27</v>
      </c>
      <c r="D15" s="123" t="s">
        <v>90</v>
      </c>
      <c r="E15" s="123" t="s">
        <v>36</v>
      </c>
      <c r="F15" s="123">
        <v>14</v>
      </c>
      <c r="G15" s="241">
        <v>43</v>
      </c>
      <c r="H15" s="244">
        <v>0</v>
      </c>
      <c r="I15" s="242">
        <v>0</v>
      </c>
      <c r="J15" s="242">
        <v>2</v>
      </c>
      <c r="K15" s="242">
        <v>2</v>
      </c>
      <c r="L15" s="242">
        <v>0</v>
      </c>
      <c r="M15" s="242">
        <v>0</v>
      </c>
      <c r="N15" s="123">
        <v>1</v>
      </c>
      <c r="O15" s="242">
        <v>0</v>
      </c>
      <c r="P15" s="242">
        <v>1</v>
      </c>
      <c r="Q15" s="123">
        <v>0</v>
      </c>
      <c r="R15" s="242">
        <v>7</v>
      </c>
      <c r="S15" s="661">
        <v>4357</v>
      </c>
      <c r="T15" s="514" t="s">
        <v>683</v>
      </c>
      <c r="U15" s="245" t="s">
        <v>452</v>
      </c>
      <c r="V15" s="243" t="s">
        <v>346</v>
      </c>
      <c r="W15" s="243" t="s">
        <v>356</v>
      </c>
      <c r="X15" s="169" t="s">
        <v>362</v>
      </c>
      <c r="Y15" s="243">
        <v>1</v>
      </c>
      <c r="Z15" s="243">
        <v>0</v>
      </c>
      <c r="AA15" s="243">
        <v>0</v>
      </c>
      <c r="AB15" s="167">
        <v>1</v>
      </c>
      <c r="AC15" s="243">
        <v>1</v>
      </c>
      <c r="AD15" s="243">
        <v>0</v>
      </c>
      <c r="AE15" s="243">
        <v>0</v>
      </c>
      <c r="AF15" s="167">
        <v>1</v>
      </c>
      <c r="AG15" s="243">
        <v>0</v>
      </c>
      <c r="AH15" s="243">
        <v>0</v>
      </c>
      <c r="AI15" s="243">
        <v>0</v>
      </c>
      <c r="AJ15" s="167">
        <v>0</v>
      </c>
      <c r="AL15" s="625" t="s">
        <v>497</v>
      </c>
      <c r="AM15" s="626">
        <v>0</v>
      </c>
      <c r="AN15" s="627" t="s">
        <v>497</v>
      </c>
      <c r="AO15" s="628">
        <v>0</v>
      </c>
      <c r="AP15" s="629" t="s">
        <v>497</v>
      </c>
      <c r="AQ15" s="630">
        <f>SUM(6+Y9+Y10+Y16+Y17+Y22+Y23)</f>
        <v>12</v>
      </c>
      <c r="AR15" s="631" t="s">
        <v>497</v>
      </c>
      <c r="AS15" s="632">
        <f>SUM(AM15+AQ15)</f>
        <v>12</v>
      </c>
    </row>
    <row r="16" spans="1:45" ht="15" customHeight="1" thickBot="1" x14ac:dyDescent="0.3">
      <c r="A16" s="689" t="s">
        <v>155</v>
      </c>
      <c r="B16" s="690" t="s">
        <v>169</v>
      </c>
      <c r="C16" s="691" t="s">
        <v>247</v>
      </c>
      <c r="D16" s="692" t="s">
        <v>38</v>
      </c>
      <c r="E16" s="692" t="s">
        <v>36</v>
      </c>
      <c r="F16" s="692">
        <v>13</v>
      </c>
      <c r="G16" s="693">
        <v>25</v>
      </c>
      <c r="H16" s="694">
        <v>0</v>
      </c>
      <c r="I16" s="695">
        <v>0</v>
      </c>
      <c r="J16" s="695">
        <v>1</v>
      </c>
      <c r="K16" s="695">
        <v>1</v>
      </c>
      <c r="L16" s="695">
        <v>0</v>
      </c>
      <c r="M16" s="695">
        <v>2</v>
      </c>
      <c r="N16" s="695">
        <v>1</v>
      </c>
      <c r="O16" s="695">
        <v>0</v>
      </c>
      <c r="P16" s="695">
        <v>0</v>
      </c>
      <c r="Q16" s="692">
        <v>0</v>
      </c>
      <c r="R16" s="695">
        <v>3</v>
      </c>
      <c r="S16" s="701">
        <v>3212</v>
      </c>
      <c r="T16" s="697" t="s">
        <v>446</v>
      </c>
      <c r="U16" s="698" t="s">
        <v>746</v>
      </c>
      <c r="V16" s="696" t="s">
        <v>510</v>
      </c>
      <c r="W16" s="696" t="s">
        <v>515</v>
      </c>
      <c r="X16" s="699" t="s">
        <v>542</v>
      </c>
      <c r="Y16" s="696">
        <v>1</v>
      </c>
      <c r="Z16" s="696">
        <v>0</v>
      </c>
      <c r="AA16" s="696">
        <v>0</v>
      </c>
      <c r="AB16" s="700">
        <v>1</v>
      </c>
      <c r="AC16" s="696">
        <v>0</v>
      </c>
      <c r="AD16" s="696">
        <v>0</v>
      </c>
      <c r="AE16" s="696">
        <v>0</v>
      </c>
      <c r="AF16" s="700">
        <v>0</v>
      </c>
      <c r="AG16" s="696">
        <v>1</v>
      </c>
      <c r="AH16" s="696">
        <v>0</v>
      </c>
      <c r="AI16" s="696">
        <v>0</v>
      </c>
      <c r="AJ16" s="700">
        <v>1</v>
      </c>
      <c r="AL16" s="625" t="s">
        <v>1</v>
      </c>
      <c r="AM16" s="626">
        <v>0</v>
      </c>
      <c r="AN16" s="627" t="s">
        <v>1</v>
      </c>
      <c r="AO16" s="628">
        <v>0</v>
      </c>
      <c r="AP16" s="629" t="s">
        <v>1</v>
      </c>
      <c r="AQ16" s="630">
        <f>SUM(3+Z9+Z10+Z16+Z17+Z22+Z23)</f>
        <v>3</v>
      </c>
      <c r="AR16" s="631" t="s">
        <v>1</v>
      </c>
      <c r="AS16" s="632">
        <f t="shared" ref="AS16:AS22" si="0">SUM(AM16+AQ16)</f>
        <v>3</v>
      </c>
    </row>
    <row r="17" spans="1:45" ht="15" customHeight="1" thickBot="1" x14ac:dyDescent="0.3">
      <c r="A17" s="677" t="s">
        <v>748</v>
      </c>
      <c r="B17" s="678" t="s">
        <v>169</v>
      </c>
      <c r="C17" s="679" t="s">
        <v>247</v>
      </c>
      <c r="D17" s="680" t="s">
        <v>90</v>
      </c>
      <c r="E17" s="680" t="s">
        <v>36</v>
      </c>
      <c r="F17" s="680">
        <v>6</v>
      </c>
      <c r="G17" s="681">
        <v>24</v>
      </c>
      <c r="H17" s="682">
        <v>0</v>
      </c>
      <c r="I17" s="683">
        <v>0</v>
      </c>
      <c r="J17" s="683">
        <v>0</v>
      </c>
      <c r="K17" s="683">
        <v>0</v>
      </c>
      <c r="L17" s="683">
        <v>0</v>
      </c>
      <c r="M17" s="683">
        <v>2</v>
      </c>
      <c r="N17" s="683">
        <v>2</v>
      </c>
      <c r="O17" s="683">
        <v>0</v>
      </c>
      <c r="P17" s="683">
        <v>0</v>
      </c>
      <c r="Q17" s="683">
        <v>0</v>
      </c>
      <c r="R17" s="683">
        <v>2</v>
      </c>
      <c r="S17" s="684">
        <v>3258</v>
      </c>
      <c r="T17" s="703" t="s">
        <v>674</v>
      </c>
      <c r="U17" s="686" t="s">
        <v>589</v>
      </c>
      <c r="V17" s="684" t="s">
        <v>510</v>
      </c>
      <c r="W17" s="684" t="s">
        <v>598</v>
      </c>
      <c r="X17" s="687" t="s">
        <v>747</v>
      </c>
      <c r="Y17" s="684">
        <v>1</v>
      </c>
      <c r="Z17" s="684">
        <v>0</v>
      </c>
      <c r="AA17" s="684">
        <v>0</v>
      </c>
      <c r="AB17" s="688">
        <v>1</v>
      </c>
      <c r="AC17" s="684">
        <v>1</v>
      </c>
      <c r="AD17" s="684">
        <v>0</v>
      </c>
      <c r="AE17" s="684">
        <v>0</v>
      </c>
      <c r="AF17" s="688">
        <v>1</v>
      </c>
      <c r="AG17" s="684">
        <v>0</v>
      </c>
      <c r="AH17" s="684">
        <v>0</v>
      </c>
      <c r="AI17" s="684">
        <v>0</v>
      </c>
      <c r="AJ17" s="688">
        <v>0</v>
      </c>
      <c r="AL17" s="625" t="s">
        <v>498</v>
      </c>
      <c r="AM17" s="626">
        <v>0</v>
      </c>
      <c r="AN17" s="627" t="s">
        <v>498</v>
      </c>
      <c r="AO17" s="628">
        <v>0</v>
      </c>
      <c r="AP17" s="629" t="s">
        <v>498</v>
      </c>
      <c r="AQ17" s="630">
        <f>SUM(0+AA9+AA10+AA16+AA17+AA22+AA23)</f>
        <v>0</v>
      </c>
      <c r="AR17" s="631" t="s">
        <v>498</v>
      </c>
      <c r="AS17" s="632">
        <f t="shared" si="0"/>
        <v>0</v>
      </c>
    </row>
    <row r="18" spans="1:45" ht="15" customHeight="1" thickBot="1" x14ac:dyDescent="0.3">
      <c r="A18" s="256" t="s">
        <v>104</v>
      </c>
      <c r="B18" s="255" t="s">
        <v>54</v>
      </c>
      <c r="C18" s="247" t="s">
        <v>21</v>
      </c>
      <c r="D18" s="257" t="s">
        <v>38</v>
      </c>
      <c r="E18" s="257" t="s">
        <v>36</v>
      </c>
      <c r="F18" s="257">
        <v>7</v>
      </c>
      <c r="G18" s="258">
        <v>78</v>
      </c>
      <c r="H18" s="259">
        <v>0</v>
      </c>
      <c r="I18" s="260">
        <v>0</v>
      </c>
      <c r="J18" s="260">
        <v>1</v>
      </c>
      <c r="K18" s="260">
        <v>1</v>
      </c>
      <c r="L18" s="260">
        <v>0</v>
      </c>
      <c r="M18" s="260">
        <v>0</v>
      </c>
      <c r="N18" s="260">
        <v>2</v>
      </c>
      <c r="O18" s="260">
        <v>0</v>
      </c>
      <c r="P18" s="260">
        <v>1</v>
      </c>
      <c r="Q18" s="260">
        <v>0</v>
      </c>
      <c r="R18" s="260">
        <v>11</v>
      </c>
      <c r="S18" s="261">
        <v>8037</v>
      </c>
      <c r="T18" s="516" t="s">
        <v>729</v>
      </c>
      <c r="U18" s="263" t="s">
        <v>485</v>
      </c>
      <c r="V18" s="261" t="s">
        <v>368</v>
      </c>
      <c r="W18" s="261" t="s">
        <v>376</v>
      </c>
      <c r="X18" s="264" t="s">
        <v>445</v>
      </c>
      <c r="Y18" s="261">
        <v>1</v>
      </c>
      <c r="Z18" s="261">
        <v>0</v>
      </c>
      <c r="AA18" s="261">
        <v>0</v>
      </c>
      <c r="AB18" s="168">
        <v>1</v>
      </c>
      <c r="AC18" s="261">
        <v>0</v>
      </c>
      <c r="AD18" s="261">
        <v>0</v>
      </c>
      <c r="AE18" s="261">
        <v>0</v>
      </c>
      <c r="AF18" s="168">
        <v>0</v>
      </c>
      <c r="AG18" s="261">
        <v>1</v>
      </c>
      <c r="AH18" s="261">
        <v>0</v>
      </c>
      <c r="AI18" s="261">
        <v>0</v>
      </c>
      <c r="AJ18" s="168">
        <v>1</v>
      </c>
      <c r="AL18" s="625" t="s">
        <v>2</v>
      </c>
      <c r="AM18" s="626">
        <v>0</v>
      </c>
      <c r="AN18" s="627" t="s">
        <v>2</v>
      </c>
      <c r="AO18" s="628">
        <v>0</v>
      </c>
      <c r="AP18" s="629" t="s">
        <v>2</v>
      </c>
      <c r="AQ18" s="630">
        <f>SUM(3+AB9+AB10+AB16+AB17+AB22+AB23)</f>
        <v>9</v>
      </c>
      <c r="AR18" s="631" t="s">
        <v>2</v>
      </c>
      <c r="AS18" s="632">
        <f t="shared" si="0"/>
        <v>9</v>
      </c>
    </row>
    <row r="19" spans="1:45" ht="15" customHeight="1" thickBot="1" x14ac:dyDescent="0.3">
      <c r="A19" s="256" t="s">
        <v>212</v>
      </c>
      <c r="B19" s="255" t="s">
        <v>54</v>
      </c>
      <c r="C19" s="247" t="s">
        <v>13</v>
      </c>
      <c r="D19" s="257" t="s">
        <v>38</v>
      </c>
      <c r="E19" s="257" t="s">
        <v>36</v>
      </c>
      <c r="F19" s="257">
        <v>9</v>
      </c>
      <c r="G19" s="258">
        <v>24</v>
      </c>
      <c r="H19" s="259">
        <v>0</v>
      </c>
      <c r="I19" s="260">
        <v>0</v>
      </c>
      <c r="J19" s="260">
        <v>0</v>
      </c>
      <c r="K19" s="260">
        <v>0</v>
      </c>
      <c r="L19" s="260">
        <v>0</v>
      </c>
      <c r="M19" s="260">
        <v>3</v>
      </c>
      <c r="N19" s="260">
        <v>0</v>
      </c>
      <c r="O19" s="260">
        <v>1</v>
      </c>
      <c r="P19" s="260">
        <v>0</v>
      </c>
      <c r="Q19" s="260">
        <v>0</v>
      </c>
      <c r="R19" s="260">
        <v>3</v>
      </c>
      <c r="S19" s="261">
        <v>17097</v>
      </c>
      <c r="T19" s="516" t="s">
        <v>758</v>
      </c>
      <c r="U19" s="263" t="s">
        <v>367</v>
      </c>
      <c r="V19" s="261" t="s">
        <v>354</v>
      </c>
      <c r="W19" s="261" t="s">
        <v>363</v>
      </c>
      <c r="X19" s="264" t="s">
        <v>377</v>
      </c>
      <c r="Y19" s="261">
        <v>1</v>
      </c>
      <c r="Z19" s="261">
        <v>0</v>
      </c>
      <c r="AA19" s="261">
        <v>0</v>
      </c>
      <c r="AB19" s="168">
        <v>1</v>
      </c>
      <c r="AC19" s="261">
        <v>0</v>
      </c>
      <c r="AD19" s="261">
        <v>0</v>
      </c>
      <c r="AE19" s="261">
        <v>0</v>
      </c>
      <c r="AF19" s="168">
        <v>0</v>
      </c>
      <c r="AG19" s="261">
        <v>1</v>
      </c>
      <c r="AH19" s="261">
        <v>0</v>
      </c>
      <c r="AI19" s="261">
        <v>0</v>
      </c>
      <c r="AJ19" s="168">
        <v>1</v>
      </c>
      <c r="AL19" s="625" t="s">
        <v>499</v>
      </c>
      <c r="AM19" s="626">
        <v>0</v>
      </c>
      <c r="AN19" s="627" t="s">
        <v>499</v>
      </c>
      <c r="AO19" s="628">
        <v>0</v>
      </c>
      <c r="AP19" s="629" t="s">
        <v>499</v>
      </c>
      <c r="AQ19" s="630">
        <f>SUM(171+F9+F10+F16+F17+F22+F23)</f>
        <v>243</v>
      </c>
      <c r="AR19" s="631" t="s">
        <v>499</v>
      </c>
      <c r="AS19" s="632">
        <f t="shared" si="0"/>
        <v>243</v>
      </c>
    </row>
    <row r="20" spans="1:45" ht="15" customHeight="1" thickBot="1" x14ac:dyDescent="0.3">
      <c r="A20" s="239" t="s">
        <v>216</v>
      </c>
      <c r="B20" s="240" t="s">
        <v>54</v>
      </c>
      <c r="C20" s="122" t="s">
        <v>10</v>
      </c>
      <c r="D20" s="123" t="s">
        <v>90</v>
      </c>
      <c r="E20" s="123" t="s">
        <v>36</v>
      </c>
      <c r="F20" s="123">
        <v>13</v>
      </c>
      <c r="G20" s="241">
        <v>24</v>
      </c>
      <c r="H20" s="244">
        <v>0</v>
      </c>
      <c r="I20" s="242">
        <v>0</v>
      </c>
      <c r="J20" s="242">
        <v>1</v>
      </c>
      <c r="K20" s="242">
        <v>1</v>
      </c>
      <c r="L20" s="242">
        <v>0</v>
      </c>
      <c r="M20" s="242">
        <v>2</v>
      </c>
      <c r="N20" s="242">
        <v>0</v>
      </c>
      <c r="O20" s="242">
        <v>0</v>
      </c>
      <c r="P20" s="242">
        <v>1</v>
      </c>
      <c r="Q20" s="242">
        <v>0</v>
      </c>
      <c r="R20" s="242">
        <v>4</v>
      </c>
      <c r="S20" s="243">
        <v>3034</v>
      </c>
      <c r="T20" s="514" t="s">
        <v>442</v>
      </c>
      <c r="U20" s="245" t="s">
        <v>345</v>
      </c>
      <c r="V20" s="243" t="s">
        <v>393</v>
      </c>
      <c r="W20" s="243" t="s">
        <v>363</v>
      </c>
      <c r="X20" s="169" t="s">
        <v>686</v>
      </c>
      <c r="Y20" s="243">
        <v>1</v>
      </c>
      <c r="Z20" s="243">
        <v>0</v>
      </c>
      <c r="AA20" s="243">
        <v>0</v>
      </c>
      <c r="AB20" s="167">
        <v>1</v>
      </c>
      <c r="AC20" s="243">
        <v>1</v>
      </c>
      <c r="AD20" s="243">
        <v>0</v>
      </c>
      <c r="AE20" s="243">
        <v>0</v>
      </c>
      <c r="AF20" s="167">
        <v>1</v>
      </c>
      <c r="AG20" s="243">
        <v>0</v>
      </c>
      <c r="AH20" s="243">
        <v>0</v>
      </c>
      <c r="AI20" s="243">
        <v>0</v>
      </c>
      <c r="AJ20" s="167">
        <v>0</v>
      </c>
      <c r="AL20" s="625" t="s">
        <v>500</v>
      </c>
      <c r="AM20" s="626">
        <v>0</v>
      </c>
      <c r="AN20" s="627" t="s">
        <v>500</v>
      </c>
      <c r="AO20" s="628">
        <v>0</v>
      </c>
      <c r="AP20" s="629" t="s">
        <v>500</v>
      </c>
      <c r="AQ20" s="640">
        <f>SUM(170+G9+G10+G16+G17+G22+G23)</f>
        <v>342</v>
      </c>
      <c r="AR20" s="631" t="s">
        <v>500</v>
      </c>
      <c r="AS20" s="632">
        <f t="shared" si="0"/>
        <v>342</v>
      </c>
    </row>
    <row r="21" spans="1:45" ht="15" customHeight="1" thickBot="1" x14ac:dyDescent="0.3">
      <c r="A21" s="256" t="s">
        <v>200</v>
      </c>
      <c r="B21" s="255" t="s">
        <v>54</v>
      </c>
      <c r="C21" s="247" t="s">
        <v>66</v>
      </c>
      <c r="D21" s="257" t="s">
        <v>38</v>
      </c>
      <c r="E21" s="257" t="s">
        <v>36</v>
      </c>
      <c r="F21" s="257">
        <v>7</v>
      </c>
      <c r="G21" s="258">
        <v>38</v>
      </c>
      <c r="H21" s="259">
        <v>0</v>
      </c>
      <c r="I21" s="260">
        <v>0</v>
      </c>
      <c r="J21" s="260">
        <v>1</v>
      </c>
      <c r="K21" s="260">
        <v>1</v>
      </c>
      <c r="L21" s="260">
        <v>0</v>
      </c>
      <c r="M21" s="260">
        <v>0</v>
      </c>
      <c r="N21" s="260">
        <v>0</v>
      </c>
      <c r="O21" s="260">
        <v>0</v>
      </c>
      <c r="P21" s="260">
        <v>1</v>
      </c>
      <c r="Q21" s="260">
        <v>0</v>
      </c>
      <c r="R21" s="260">
        <v>6</v>
      </c>
      <c r="S21" s="261">
        <v>5048</v>
      </c>
      <c r="T21" s="516" t="s">
        <v>816</v>
      </c>
      <c r="U21" s="263" t="s">
        <v>338</v>
      </c>
      <c r="V21" s="261" t="s">
        <v>361</v>
      </c>
      <c r="W21" s="261" t="s">
        <v>376</v>
      </c>
      <c r="X21" s="264" t="s">
        <v>362</v>
      </c>
      <c r="Y21" s="261">
        <v>1</v>
      </c>
      <c r="Z21" s="261">
        <v>0</v>
      </c>
      <c r="AA21" s="261">
        <v>0</v>
      </c>
      <c r="AB21" s="168">
        <v>1</v>
      </c>
      <c r="AC21" s="261">
        <v>0</v>
      </c>
      <c r="AD21" s="261">
        <v>0</v>
      </c>
      <c r="AE21" s="261">
        <v>0</v>
      </c>
      <c r="AF21" s="168">
        <v>0</v>
      </c>
      <c r="AG21" s="261">
        <v>1</v>
      </c>
      <c r="AH21" s="261">
        <v>0</v>
      </c>
      <c r="AI21" s="261">
        <v>0</v>
      </c>
      <c r="AJ21" s="168">
        <v>1</v>
      </c>
      <c r="AL21" s="625" t="s">
        <v>81</v>
      </c>
      <c r="AM21" s="626">
        <v>0</v>
      </c>
      <c r="AN21" s="627" t="s">
        <v>81</v>
      </c>
      <c r="AO21" s="628">
        <v>0</v>
      </c>
      <c r="AP21" s="629" t="s">
        <v>81</v>
      </c>
      <c r="AQ21" s="630">
        <f>SUM(20+J9+J10+J16+J17+J22+J23)</f>
        <v>27</v>
      </c>
      <c r="AR21" s="631" t="s">
        <v>81</v>
      </c>
      <c r="AS21" s="632">
        <f t="shared" si="0"/>
        <v>27</v>
      </c>
    </row>
    <row r="22" spans="1:45" ht="15" customHeight="1" thickBot="1" x14ac:dyDescent="0.3">
      <c r="A22" s="689" t="s">
        <v>783</v>
      </c>
      <c r="B22" s="690" t="s">
        <v>169</v>
      </c>
      <c r="C22" s="691" t="s">
        <v>239</v>
      </c>
      <c r="D22" s="692" t="s">
        <v>38</v>
      </c>
      <c r="E22" s="692" t="s">
        <v>36</v>
      </c>
      <c r="F22" s="692">
        <v>3</v>
      </c>
      <c r="G22" s="693">
        <v>26</v>
      </c>
      <c r="H22" s="694">
        <v>0</v>
      </c>
      <c r="I22" s="695">
        <v>0</v>
      </c>
      <c r="J22" s="695">
        <v>0</v>
      </c>
      <c r="K22" s="695">
        <v>0</v>
      </c>
      <c r="L22" s="695">
        <v>0</v>
      </c>
      <c r="M22" s="695">
        <v>2</v>
      </c>
      <c r="N22" s="692">
        <v>1</v>
      </c>
      <c r="O22" s="695">
        <v>0</v>
      </c>
      <c r="P22" s="695">
        <v>1</v>
      </c>
      <c r="Q22" s="695">
        <v>0</v>
      </c>
      <c r="R22" s="695">
        <v>4</v>
      </c>
      <c r="S22" s="696">
        <v>2800</v>
      </c>
      <c r="T22" s="705" t="s">
        <v>364</v>
      </c>
      <c r="U22" s="698" t="s">
        <v>561</v>
      </c>
      <c r="V22" s="696" t="s">
        <v>844</v>
      </c>
      <c r="W22" s="696" t="s">
        <v>845</v>
      </c>
      <c r="X22" s="699" t="s">
        <v>753</v>
      </c>
      <c r="Y22" s="696">
        <v>1</v>
      </c>
      <c r="Z22" s="696">
        <v>0</v>
      </c>
      <c r="AA22" s="696">
        <v>0</v>
      </c>
      <c r="AB22" s="700">
        <v>1</v>
      </c>
      <c r="AC22" s="696">
        <v>0</v>
      </c>
      <c r="AD22" s="696">
        <v>0</v>
      </c>
      <c r="AE22" s="696">
        <v>0</v>
      </c>
      <c r="AF22" s="700">
        <v>0</v>
      </c>
      <c r="AG22" s="696">
        <v>1</v>
      </c>
      <c r="AH22" s="696">
        <v>0</v>
      </c>
      <c r="AI22" s="696">
        <v>0</v>
      </c>
      <c r="AJ22" s="700">
        <v>1</v>
      </c>
      <c r="AL22" s="625" t="s">
        <v>83</v>
      </c>
      <c r="AM22" s="626">
        <v>0</v>
      </c>
      <c r="AN22" s="627" t="s">
        <v>83</v>
      </c>
      <c r="AO22" s="628">
        <v>0</v>
      </c>
      <c r="AP22" s="629" t="s">
        <v>83</v>
      </c>
      <c r="AQ22" s="630">
        <f>SUM(24+R9+R10+R16+R17+R22+R23)</f>
        <v>47</v>
      </c>
      <c r="AR22" s="631" t="s">
        <v>83</v>
      </c>
      <c r="AS22" s="632">
        <f t="shared" si="0"/>
        <v>47</v>
      </c>
    </row>
    <row r="23" spans="1:45" ht="15" customHeight="1" thickBot="1" x14ac:dyDescent="0.3">
      <c r="A23" s="677" t="s">
        <v>785</v>
      </c>
      <c r="B23" s="678" t="s">
        <v>169</v>
      </c>
      <c r="C23" s="679" t="s">
        <v>237</v>
      </c>
      <c r="D23" s="680" t="s">
        <v>90</v>
      </c>
      <c r="E23" s="680" t="s">
        <v>36</v>
      </c>
      <c r="F23" s="680">
        <v>12</v>
      </c>
      <c r="G23" s="681">
        <v>17</v>
      </c>
      <c r="H23" s="682">
        <v>0</v>
      </c>
      <c r="I23" s="683">
        <v>1</v>
      </c>
      <c r="J23" s="683">
        <v>2</v>
      </c>
      <c r="K23" s="683">
        <v>1</v>
      </c>
      <c r="L23" s="683">
        <v>0</v>
      </c>
      <c r="M23" s="683">
        <v>0</v>
      </c>
      <c r="N23" s="683">
        <v>0</v>
      </c>
      <c r="O23" s="683">
        <v>0</v>
      </c>
      <c r="P23" s="683">
        <v>0</v>
      </c>
      <c r="Q23" s="683">
        <v>0</v>
      </c>
      <c r="R23" s="683">
        <v>3</v>
      </c>
      <c r="S23" s="684">
        <v>3221</v>
      </c>
      <c r="T23" s="703" t="s">
        <v>466</v>
      </c>
      <c r="U23" s="686" t="s">
        <v>581</v>
      </c>
      <c r="V23" s="684" t="s">
        <v>510</v>
      </c>
      <c r="W23" s="684" t="s">
        <v>582</v>
      </c>
      <c r="X23" s="687" t="s">
        <v>583</v>
      </c>
      <c r="Y23" s="684">
        <v>1</v>
      </c>
      <c r="Z23" s="684">
        <v>0</v>
      </c>
      <c r="AA23" s="684">
        <v>0</v>
      </c>
      <c r="AB23" s="688">
        <v>1</v>
      </c>
      <c r="AC23" s="684">
        <v>1</v>
      </c>
      <c r="AD23" s="684">
        <v>0</v>
      </c>
      <c r="AE23" s="684">
        <v>0</v>
      </c>
      <c r="AF23" s="688">
        <v>1</v>
      </c>
      <c r="AG23" s="684">
        <v>0</v>
      </c>
      <c r="AH23" s="684">
        <v>0</v>
      </c>
      <c r="AI23" s="684">
        <v>0</v>
      </c>
      <c r="AJ23" s="688">
        <v>0</v>
      </c>
    </row>
    <row r="24" spans="1:45" ht="15" customHeight="1" thickBot="1" x14ac:dyDescent="0.3">
      <c r="A24" s="248" t="s">
        <v>103</v>
      </c>
      <c r="B24" s="249" t="s">
        <v>96</v>
      </c>
      <c r="C24" s="250" t="s">
        <v>21</v>
      </c>
      <c r="D24" s="283" t="s">
        <v>90</v>
      </c>
      <c r="E24" s="283" t="s">
        <v>36</v>
      </c>
      <c r="F24" s="283">
        <v>15</v>
      </c>
      <c r="G24" s="284">
        <v>20</v>
      </c>
      <c r="H24" s="277">
        <v>0</v>
      </c>
      <c r="I24" s="276">
        <v>1</v>
      </c>
      <c r="J24" s="283">
        <v>2</v>
      </c>
      <c r="K24" s="276">
        <v>1</v>
      </c>
      <c r="L24" s="276">
        <v>1</v>
      </c>
      <c r="M24" s="276">
        <v>0</v>
      </c>
      <c r="N24" s="276">
        <v>0</v>
      </c>
      <c r="O24" s="276">
        <v>0</v>
      </c>
      <c r="P24" s="276">
        <v>0</v>
      </c>
      <c r="Q24" s="276">
        <v>0</v>
      </c>
      <c r="R24" s="276">
        <v>2</v>
      </c>
      <c r="S24" s="442">
        <v>3272</v>
      </c>
      <c r="T24" s="650" t="s">
        <v>731</v>
      </c>
      <c r="U24" s="279" t="s">
        <v>606</v>
      </c>
      <c r="V24" s="278" t="s">
        <v>510</v>
      </c>
      <c r="W24" s="278" t="s">
        <v>604</v>
      </c>
      <c r="X24" s="280" t="s">
        <v>376</v>
      </c>
      <c r="Y24" s="278">
        <v>1</v>
      </c>
      <c r="Z24" s="278">
        <v>0</v>
      </c>
      <c r="AA24" s="278">
        <v>0</v>
      </c>
      <c r="AB24" s="281">
        <v>1</v>
      </c>
      <c r="AC24" s="278">
        <v>1</v>
      </c>
      <c r="AD24" s="278">
        <v>0</v>
      </c>
      <c r="AE24" s="278">
        <v>0</v>
      </c>
      <c r="AF24" s="281">
        <v>1</v>
      </c>
      <c r="AG24" s="278">
        <v>0</v>
      </c>
      <c r="AH24" s="278">
        <v>0</v>
      </c>
      <c r="AI24" s="278">
        <v>0</v>
      </c>
      <c r="AJ24" s="281">
        <v>0</v>
      </c>
    </row>
    <row r="25" spans="1:45" ht="15" customHeight="1" thickBot="1" x14ac:dyDescent="0.3">
      <c r="A25" s="251" t="s">
        <v>111</v>
      </c>
      <c r="B25" s="252" t="s">
        <v>96</v>
      </c>
      <c r="C25" s="253" t="s">
        <v>242</v>
      </c>
      <c r="D25" s="269" t="s">
        <v>38</v>
      </c>
      <c r="E25" s="269" t="s">
        <v>36</v>
      </c>
      <c r="F25" s="269">
        <v>13</v>
      </c>
      <c r="G25" s="275">
        <v>17</v>
      </c>
      <c r="H25" s="268">
        <v>0</v>
      </c>
      <c r="I25" s="267">
        <v>1</v>
      </c>
      <c r="J25" s="267">
        <v>1</v>
      </c>
      <c r="K25" s="267">
        <v>1</v>
      </c>
      <c r="L25" s="267">
        <v>0</v>
      </c>
      <c r="M25" s="267">
        <v>2</v>
      </c>
      <c r="N25" s="267">
        <v>2</v>
      </c>
      <c r="O25" s="267">
        <v>0</v>
      </c>
      <c r="P25" s="267">
        <v>0</v>
      </c>
      <c r="Q25" s="267">
        <v>0</v>
      </c>
      <c r="R25" s="267">
        <v>2</v>
      </c>
      <c r="S25" s="272">
        <v>4340</v>
      </c>
      <c r="T25" s="655" t="s">
        <v>625</v>
      </c>
      <c r="U25" s="271" t="s">
        <v>871</v>
      </c>
      <c r="V25" s="272" t="s">
        <v>510</v>
      </c>
      <c r="W25" s="272" t="s">
        <v>568</v>
      </c>
      <c r="X25" s="273" t="s">
        <v>872</v>
      </c>
      <c r="Y25" s="272">
        <v>1</v>
      </c>
      <c r="Z25" s="272">
        <v>0</v>
      </c>
      <c r="AA25" s="272">
        <v>0</v>
      </c>
      <c r="AB25" s="274">
        <v>1</v>
      </c>
      <c r="AC25" s="272">
        <v>0</v>
      </c>
      <c r="AD25" s="272">
        <v>0</v>
      </c>
      <c r="AE25" s="272">
        <v>0</v>
      </c>
      <c r="AF25" s="274">
        <v>0</v>
      </c>
      <c r="AG25" s="272">
        <v>1</v>
      </c>
      <c r="AH25" s="272">
        <v>0</v>
      </c>
      <c r="AI25" s="272">
        <v>0</v>
      </c>
      <c r="AJ25" s="274">
        <v>1</v>
      </c>
    </row>
    <row r="26" spans="1:45" ht="15" customHeight="1" thickBot="1" x14ac:dyDescent="0.3">
      <c r="A26" s="239" t="s">
        <v>196</v>
      </c>
      <c r="B26" s="240" t="s">
        <v>54</v>
      </c>
      <c r="C26" s="122" t="s">
        <v>29</v>
      </c>
      <c r="D26" s="123" t="s">
        <v>90</v>
      </c>
      <c r="E26" s="123" t="s">
        <v>36</v>
      </c>
      <c r="F26" s="123">
        <v>12</v>
      </c>
      <c r="G26" s="241">
        <v>52</v>
      </c>
      <c r="H26" s="244">
        <v>0</v>
      </c>
      <c r="I26" s="242">
        <v>0</v>
      </c>
      <c r="J26" s="242">
        <v>2</v>
      </c>
      <c r="K26" s="242">
        <v>1</v>
      </c>
      <c r="L26" s="242">
        <v>0</v>
      </c>
      <c r="M26" s="242">
        <v>0</v>
      </c>
      <c r="N26" s="242">
        <v>0</v>
      </c>
      <c r="O26" s="242">
        <v>0</v>
      </c>
      <c r="P26" s="242">
        <v>1</v>
      </c>
      <c r="Q26" s="242">
        <v>0</v>
      </c>
      <c r="R26" s="242">
        <v>8</v>
      </c>
      <c r="S26" s="243">
        <v>2811</v>
      </c>
      <c r="T26" s="514" t="s">
        <v>882</v>
      </c>
      <c r="U26" s="245" t="s">
        <v>452</v>
      </c>
      <c r="V26" s="243" t="s">
        <v>393</v>
      </c>
      <c r="W26" s="243" t="s">
        <v>624</v>
      </c>
      <c r="X26" s="169" t="s">
        <v>356</v>
      </c>
      <c r="Y26" s="243">
        <v>1</v>
      </c>
      <c r="Z26" s="243">
        <v>0</v>
      </c>
      <c r="AA26" s="243">
        <v>0</v>
      </c>
      <c r="AB26" s="167">
        <v>1</v>
      </c>
      <c r="AC26" s="243">
        <v>1</v>
      </c>
      <c r="AD26" s="243">
        <v>0</v>
      </c>
      <c r="AE26" s="243">
        <v>0</v>
      </c>
      <c r="AF26" s="167">
        <v>1</v>
      </c>
      <c r="AG26" s="243">
        <v>0</v>
      </c>
      <c r="AH26" s="243">
        <v>0</v>
      </c>
      <c r="AI26" s="243">
        <v>0</v>
      </c>
      <c r="AJ26" s="167">
        <v>0</v>
      </c>
    </row>
    <row r="27" spans="1:45" ht="15" customHeight="1" thickBot="1" x14ac:dyDescent="0.3">
      <c r="A27" s="256" t="s">
        <v>156</v>
      </c>
      <c r="B27" s="255" t="s">
        <v>54</v>
      </c>
      <c r="C27" s="247" t="s">
        <v>26</v>
      </c>
      <c r="D27" s="257" t="s">
        <v>38</v>
      </c>
      <c r="E27" s="257" t="s">
        <v>36</v>
      </c>
      <c r="F27" s="257">
        <v>10</v>
      </c>
      <c r="G27" s="258">
        <v>48</v>
      </c>
      <c r="H27" s="259">
        <v>0</v>
      </c>
      <c r="I27" s="260">
        <v>0</v>
      </c>
      <c r="J27" s="260">
        <v>1</v>
      </c>
      <c r="K27" s="260">
        <v>1</v>
      </c>
      <c r="L27" s="260">
        <v>0</v>
      </c>
      <c r="M27" s="260">
        <v>1</v>
      </c>
      <c r="N27" s="260">
        <v>1</v>
      </c>
      <c r="O27" s="260">
        <v>0</v>
      </c>
      <c r="P27" s="260">
        <v>1</v>
      </c>
      <c r="Q27" s="260">
        <v>0</v>
      </c>
      <c r="R27" s="260">
        <v>6</v>
      </c>
      <c r="S27" s="373">
        <v>12940</v>
      </c>
      <c r="T27" s="516" t="s">
        <v>894</v>
      </c>
      <c r="U27" s="263" t="s">
        <v>485</v>
      </c>
      <c r="V27" s="261" t="s">
        <v>361</v>
      </c>
      <c r="W27" s="261" t="s">
        <v>363</v>
      </c>
      <c r="X27" s="264" t="s">
        <v>370</v>
      </c>
      <c r="Y27" s="261">
        <v>1</v>
      </c>
      <c r="Z27" s="261">
        <v>0</v>
      </c>
      <c r="AA27" s="261">
        <v>0</v>
      </c>
      <c r="AB27" s="168">
        <v>1</v>
      </c>
      <c r="AC27" s="261">
        <v>0</v>
      </c>
      <c r="AD27" s="261">
        <v>0</v>
      </c>
      <c r="AE27" s="261">
        <v>0</v>
      </c>
      <c r="AF27" s="168">
        <v>0</v>
      </c>
      <c r="AG27" s="261">
        <v>1</v>
      </c>
      <c r="AH27" s="261">
        <v>0</v>
      </c>
      <c r="AI27" s="261">
        <v>0</v>
      </c>
      <c r="AJ27" s="168">
        <v>1</v>
      </c>
    </row>
    <row r="28" spans="1:45" ht="15" customHeight="1" thickBot="1" x14ac:dyDescent="0.3">
      <c r="A28" s="239" t="s">
        <v>97</v>
      </c>
      <c r="B28" s="240" t="s">
        <v>54</v>
      </c>
      <c r="C28" s="122" t="s">
        <v>13</v>
      </c>
      <c r="D28" s="123" t="s">
        <v>90</v>
      </c>
      <c r="E28" s="123" t="s">
        <v>36</v>
      </c>
      <c r="F28" s="123">
        <v>12</v>
      </c>
      <c r="G28" s="241">
        <v>50</v>
      </c>
      <c r="H28" s="244">
        <v>0</v>
      </c>
      <c r="I28" s="242">
        <v>0</v>
      </c>
      <c r="J28" s="242">
        <v>2</v>
      </c>
      <c r="K28" s="242">
        <v>1</v>
      </c>
      <c r="L28" s="242">
        <v>0</v>
      </c>
      <c r="M28" s="242">
        <v>0</v>
      </c>
      <c r="N28" s="242">
        <v>0</v>
      </c>
      <c r="O28" s="242">
        <v>0</v>
      </c>
      <c r="P28" s="242">
        <v>1</v>
      </c>
      <c r="Q28" s="242">
        <v>0</v>
      </c>
      <c r="R28" s="242">
        <v>8</v>
      </c>
      <c r="S28" s="243">
        <v>3593</v>
      </c>
      <c r="T28" s="514" t="s">
        <v>729</v>
      </c>
      <c r="U28" s="245" t="s">
        <v>386</v>
      </c>
      <c r="V28" s="243" t="s">
        <v>354</v>
      </c>
      <c r="W28" s="243" t="s">
        <v>387</v>
      </c>
      <c r="X28" s="169" t="s">
        <v>686</v>
      </c>
      <c r="Y28" s="243">
        <v>1</v>
      </c>
      <c r="Z28" s="243">
        <v>0</v>
      </c>
      <c r="AA28" s="243">
        <v>0</v>
      </c>
      <c r="AB28" s="167">
        <v>1</v>
      </c>
      <c r="AC28" s="243">
        <v>1</v>
      </c>
      <c r="AD28" s="243">
        <v>0</v>
      </c>
      <c r="AE28" s="243">
        <v>0</v>
      </c>
      <c r="AF28" s="167">
        <v>1</v>
      </c>
      <c r="AG28" s="243">
        <v>0</v>
      </c>
      <c r="AH28" s="243">
        <v>0</v>
      </c>
      <c r="AI28" s="243">
        <v>0</v>
      </c>
      <c r="AJ28" s="167">
        <v>0</v>
      </c>
    </row>
    <row r="29" spans="1:45" ht="15" customHeight="1" thickBot="1" x14ac:dyDescent="0.3">
      <c r="A29" s="256" t="s">
        <v>157</v>
      </c>
      <c r="B29" s="255" t="s">
        <v>54</v>
      </c>
      <c r="C29" s="247" t="s">
        <v>30</v>
      </c>
      <c r="D29" s="257" t="s">
        <v>38</v>
      </c>
      <c r="E29" s="257" t="s">
        <v>36</v>
      </c>
      <c r="F29" s="257">
        <v>19</v>
      </c>
      <c r="G29" s="258">
        <v>74</v>
      </c>
      <c r="H29" s="259">
        <v>0</v>
      </c>
      <c r="I29" s="260">
        <v>0</v>
      </c>
      <c r="J29" s="260">
        <v>3</v>
      </c>
      <c r="K29" s="260">
        <v>2</v>
      </c>
      <c r="L29" s="260">
        <v>0</v>
      </c>
      <c r="M29" s="260">
        <v>0</v>
      </c>
      <c r="N29" s="260">
        <v>0</v>
      </c>
      <c r="O29" s="260">
        <v>0</v>
      </c>
      <c r="P29" s="260">
        <v>1</v>
      </c>
      <c r="Q29" s="260">
        <v>0</v>
      </c>
      <c r="R29" s="260">
        <v>10</v>
      </c>
      <c r="S29" s="261">
        <v>8721</v>
      </c>
      <c r="T29" s="262" t="s">
        <v>941</v>
      </c>
      <c r="U29" s="263" t="s">
        <v>614</v>
      </c>
      <c r="V29" s="261" t="s">
        <v>399</v>
      </c>
      <c r="W29" s="261" t="s">
        <v>356</v>
      </c>
      <c r="X29" s="264" t="s">
        <v>370</v>
      </c>
      <c r="Y29" s="261">
        <v>1</v>
      </c>
      <c r="Z29" s="261">
        <v>0</v>
      </c>
      <c r="AA29" s="261">
        <v>0</v>
      </c>
      <c r="AB29" s="168">
        <v>1</v>
      </c>
      <c r="AC29" s="261">
        <v>0</v>
      </c>
      <c r="AD29" s="261">
        <v>0</v>
      </c>
      <c r="AE29" s="261">
        <v>0</v>
      </c>
      <c r="AF29" s="168">
        <v>0</v>
      </c>
      <c r="AG29" s="261">
        <v>1</v>
      </c>
      <c r="AH29" s="261">
        <v>0</v>
      </c>
      <c r="AI29" s="261">
        <v>0</v>
      </c>
      <c r="AJ29" s="168">
        <v>1</v>
      </c>
    </row>
    <row r="30" spans="1:45" ht="15" customHeight="1" thickBot="1" x14ac:dyDescent="0.3">
      <c r="A30" s="239" t="s">
        <v>197</v>
      </c>
      <c r="B30" s="240" t="s">
        <v>54</v>
      </c>
      <c r="C30" s="122" t="s">
        <v>24</v>
      </c>
      <c r="D30" s="123" t="s">
        <v>90</v>
      </c>
      <c r="E30" s="123" t="s">
        <v>36</v>
      </c>
      <c r="F30" s="123">
        <v>14</v>
      </c>
      <c r="G30" s="241">
        <v>29</v>
      </c>
      <c r="H30" s="244">
        <v>0</v>
      </c>
      <c r="I30" s="242">
        <v>0</v>
      </c>
      <c r="J30" s="123">
        <v>2</v>
      </c>
      <c r="K30" s="242">
        <v>2</v>
      </c>
      <c r="L30" s="242">
        <v>0</v>
      </c>
      <c r="M30" s="242">
        <v>0</v>
      </c>
      <c r="N30" s="242">
        <v>2</v>
      </c>
      <c r="O30" s="242">
        <v>0</v>
      </c>
      <c r="P30" s="242">
        <v>1</v>
      </c>
      <c r="Q30" s="242">
        <v>0</v>
      </c>
      <c r="R30" s="242">
        <v>5</v>
      </c>
      <c r="S30" s="243">
        <v>3354</v>
      </c>
      <c r="T30" s="514" t="s">
        <v>643</v>
      </c>
      <c r="U30" s="245" t="s">
        <v>652</v>
      </c>
      <c r="V30" s="243" t="s">
        <v>354</v>
      </c>
      <c r="W30" s="243" t="s">
        <v>356</v>
      </c>
      <c r="X30" s="169" t="s">
        <v>347</v>
      </c>
      <c r="Y30" s="243">
        <v>1</v>
      </c>
      <c r="Z30" s="243">
        <v>0</v>
      </c>
      <c r="AA30" s="243">
        <v>0</v>
      </c>
      <c r="AB30" s="167">
        <v>1</v>
      </c>
      <c r="AC30" s="243">
        <v>1</v>
      </c>
      <c r="AD30" s="243">
        <v>0</v>
      </c>
      <c r="AE30" s="243">
        <v>0</v>
      </c>
      <c r="AF30" s="167">
        <v>1</v>
      </c>
      <c r="AG30" s="243">
        <v>0</v>
      </c>
      <c r="AH30" s="243">
        <v>0</v>
      </c>
      <c r="AI30" s="243">
        <v>0</v>
      </c>
      <c r="AJ30" s="167">
        <v>0</v>
      </c>
    </row>
    <row r="31" spans="1:45" ht="15" customHeight="1" thickBot="1" x14ac:dyDescent="0.3">
      <c r="A31" s="239" t="s">
        <v>198</v>
      </c>
      <c r="B31" s="240" t="s">
        <v>54</v>
      </c>
      <c r="C31" s="122" t="s">
        <v>189</v>
      </c>
      <c r="D31" s="123" t="s">
        <v>90</v>
      </c>
      <c r="E31" s="123" t="s">
        <v>36</v>
      </c>
      <c r="F31" s="123">
        <v>13</v>
      </c>
      <c r="G31" s="241">
        <v>40</v>
      </c>
      <c r="H31" s="244">
        <v>0</v>
      </c>
      <c r="I31" s="242">
        <v>0</v>
      </c>
      <c r="J31" s="242">
        <v>2</v>
      </c>
      <c r="K31" s="242">
        <v>0</v>
      </c>
      <c r="L31" s="242">
        <v>0</v>
      </c>
      <c r="M31" s="242">
        <v>1</v>
      </c>
      <c r="N31" s="123">
        <v>1</v>
      </c>
      <c r="O31" s="242">
        <v>0</v>
      </c>
      <c r="P31" s="242">
        <v>1</v>
      </c>
      <c r="Q31" s="242">
        <v>0</v>
      </c>
      <c r="R31" s="242">
        <v>6</v>
      </c>
      <c r="S31" s="243">
        <v>4015</v>
      </c>
      <c r="T31" s="514" t="s">
        <v>664</v>
      </c>
      <c r="U31" s="245" t="s">
        <v>367</v>
      </c>
      <c r="V31" s="243" t="s">
        <v>375</v>
      </c>
      <c r="W31" s="243" t="s">
        <v>340</v>
      </c>
      <c r="X31" s="169" t="s">
        <v>356</v>
      </c>
      <c r="Y31" s="243">
        <v>1</v>
      </c>
      <c r="Z31" s="243">
        <v>0</v>
      </c>
      <c r="AA31" s="243">
        <v>0</v>
      </c>
      <c r="AB31" s="167">
        <v>1</v>
      </c>
      <c r="AC31" s="243">
        <v>1</v>
      </c>
      <c r="AD31" s="243">
        <v>0</v>
      </c>
      <c r="AE31" s="243">
        <v>0</v>
      </c>
      <c r="AF31" s="167">
        <v>1</v>
      </c>
      <c r="AG31" s="243">
        <v>0</v>
      </c>
      <c r="AH31" s="243">
        <v>0</v>
      </c>
      <c r="AI31" s="243">
        <v>0</v>
      </c>
      <c r="AJ31" s="167">
        <v>0</v>
      </c>
    </row>
    <row r="32" spans="1:45" ht="15" customHeight="1" thickBot="1" x14ac:dyDescent="0.3">
      <c r="A32" s="256" t="s">
        <v>145</v>
      </c>
      <c r="B32" s="255" t="s">
        <v>54</v>
      </c>
      <c r="C32" s="247" t="s">
        <v>28</v>
      </c>
      <c r="D32" s="257" t="s">
        <v>38</v>
      </c>
      <c r="E32" s="257" t="s">
        <v>36</v>
      </c>
      <c r="F32" s="257">
        <v>17</v>
      </c>
      <c r="G32" s="258">
        <v>38</v>
      </c>
      <c r="H32" s="259">
        <v>0</v>
      </c>
      <c r="I32" s="260">
        <v>0</v>
      </c>
      <c r="J32" s="260">
        <v>2</v>
      </c>
      <c r="K32" s="260">
        <v>2</v>
      </c>
      <c r="L32" s="260">
        <v>0</v>
      </c>
      <c r="M32" s="260">
        <v>1</v>
      </c>
      <c r="N32" s="260">
        <v>0</v>
      </c>
      <c r="O32" s="260">
        <v>1</v>
      </c>
      <c r="P32" s="260">
        <v>1</v>
      </c>
      <c r="Q32" s="260">
        <v>0</v>
      </c>
      <c r="R32" s="260">
        <v>6</v>
      </c>
      <c r="S32" s="261">
        <v>23016</v>
      </c>
      <c r="T32" s="590" t="s">
        <v>642</v>
      </c>
      <c r="U32" s="263" t="s">
        <v>452</v>
      </c>
      <c r="V32" s="261" t="s">
        <v>361</v>
      </c>
      <c r="W32" s="261" t="s">
        <v>445</v>
      </c>
      <c r="X32" s="264" t="s">
        <v>363</v>
      </c>
      <c r="Y32" s="261">
        <v>1</v>
      </c>
      <c r="Z32" s="261">
        <v>0</v>
      </c>
      <c r="AA32" s="261">
        <v>0</v>
      </c>
      <c r="AB32" s="168">
        <v>1</v>
      </c>
      <c r="AC32" s="261">
        <v>0</v>
      </c>
      <c r="AD32" s="261">
        <v>0</v>
      </c>
      <c r="AE32" s="261">
        <v>0</v>
      </c>
      <c r="AF32" s="168">
        <v>0</v>
      </c>
      <c r="AG32" s="261">
        <v>1</v>
      </c>
      <c r="AH32" s="261">
        <v>0</v>
      </c>
      <c r="AI32" s="261">
        <v>0</v>
      </c>
      <c r="AJ32" s="168">
        <v>1</v>
      </c>
    </row>
    <row r="33" spans="1:36" ht="15" customHeight="1" thickBot="1" x14ac:dyDescent="0.3">
      <c r="A33" s="256" t="s">
        <v>164</v>
      </c>
      <c r="B33" s="255" t="s">
        <v>54</v>
      </c>
      <c r="C33" s="247" t="s">
        <v>27</v>
      </c>
      <c r="D33" s="257" t="s">
        <v>38</v>
      </c>
      <c r="E33" s="257" t="s">
        <v>36</v>
      </c>
      <c r="F33" s="257">
        <v>0</v>
      </c>
      <c r="G33" s="258">
        <v>46</v>
      </c>
      <c r="H33" s="259">
        <v>0</v>
      </c>
      <c r="I33" s="260">
        <v>0</v>
      </c>
      <c r="J33" s="260">
        <v>0</v>
      </c>
      <c r="K33" s="260">
        <v>0</v>
      </c>
      <c r="L33" s="260">
        <v>0</v>
      </c>
      <c r="M33" s="260">
        <v>0</v>
      </c>
      <c r="N33" s="260">
        <v>1</v>
      </c>
      <c r="O33" s="260">
        <v>0</v>
      </c>
      <c r="P33" s="260">
        <v>1</v>
      </c>
      <c r="Q33" s="260">
        <v>0</v>
      </c>
      <c r="R33" s="260">
        <v>6</v>
      </c>
      <c r="S33" s="265">
        <v>13362</v>
      </c>
      <c r="T33" s="516" t="s">
        <v>373</v>
      </c>
      <c r="U33" s="263" t="s">
        <v>353</v>
      </c>
      <c r="V33" s="261" t="s">
        <v>341</v>
      </c>
      <c r="W33" s="261" t="s">
        <v>991</v>
      </c>
      <c r="X33" s="264" t="s">
        <v>601</v>
      </c>
      <c r="Y33" s="261">
        <v>1</v>
      </c>
      <c r="Z33" s="261">
        <v>0</v>
      </c>
      <c r="AA33" s="261">
        <v>0</v>
      </c>
      <c r="AB33" s="168">
        <v>1</v>
      </c>
      <c r="AC33" s="261">
        <v>0</v>
      </c>
      <c r="AD33" s="261">
        <v>0</v>
      </c>
      <c r="AE33" s="261">
        <v>0</v>
      </c>
      <c r="AF33" s="168">
        <v>0</v>
      </c>
      <c r="AG33" s="261">
        <v>1</v>
      </c>
      <c r="AH33" s="261">
        <v>0</v>
      </c>
      <c r="AI33" s="261">
        <v>0</v>
      </c>
      <c r="AJ33" s="168">
        <v>1</v>
      </c>
    </row>
    <row r="34" spans="1:36" ht="15" customHeight="1" thickBot="1" x14ac:dyDescent="0.3">
      <c r="A34" s="239" t="s">
        <v>148</v>
      </c>
      <c r="B34" s="240" t="s">
        <v>54</v>
      </c>
      <c r="C34" s="122" t="s">
        <v>21</v>
      </c>
      <c r="D34" s="123" t="s">
        <v>90</v>
      </c>
      <c r="E34" s="123" t="s">
        <v>36</v>
      </c>
      <c r="F34" s="123">
        <v>17</v>
      </c>
      <c r="G34" s="241">
        <v>68</v>
      </c>
      <c r="H34" s="244">
        <v>0</v>
      </c>
      <c r="I34" s="242">
        <v>0</v>
      </c>
      <c r="J34" s="242">
        <v>2</v>
      </c>
      <c r="K34" s="242">
        <v>2</v>
      </c>
      <c r="L34" s="242">
        <v>0</v>
      </c>
      <c r="M34" s="242">
        <v>1</v>
      </c>
      <c r="N34" s="242">
        <v>1</v>
      </c>
      <c r="O34" s="242">
        <v>0</v>
      </c>
      <c r="P34" s="242">
        <v>1</v>
      </c>
      <c r="Q34" s="242">
        <v>0</v>
      </c>
      <c r="R34" s="242">
        <v>10</v>
      </c>
      <c r="S34" s="285">
        <v>3633</v>
      </c>
      <c r="T34" s="524" t="s">
        <v>948</v>
      </c>
      <c r="U34" s="286" t="s">
        <v>360</v>
      </c>
      <c r="V34" s="287" t="s">
        <v>346</v>
      </c>
      <c r="W34" s="287" t="s">
        <v>624</v>
      </c>
      <c r="X34" s="288" t="s">
        <v>363</v>
      </c>
      <c r="Y34" s="243">
        <v>1</v>
      </c>
      <c r="Z34" s="243">
        <v>0</v>
      </c>
      <c r="AA34" s="243">
        <v>0</v>
      </c>
      <c r="AB34" s="167">
        <v>1</v>
      </c>
      <c r="AC34" s="243">
        <v>1</v>
      </c>
      <c r="AD34" s="243">
        <v>0</v>
      </c>
      <c r="AE34" s="243">
        <v>0</v>
      </c>
      <c r="AF34" s="167">
        <v>1</v>
      </c>
      <c r="AG34" s="243">
        <v>0</v>
      </c>
      <c r="AH34" s="243">
        <v>0</v>
      </c>
      <c r="AI34" s="243">
        <v>0</v>
      </c>
      <c r="AJ34" s="167">
        <v>0</v>
      </c>
    </row>
    <row r="35" spans="1:36" ht="15" customHeight="1" thickBot="1" x14ac:dyDescent="0.3">
      <c r="A35" s="66"/>
      <c r="B35" s="67"/>
      <c r="C35" s="885" t="s">
        <v>173</v>
      </c>
      <c r="D35" s="886"/>
      <c r="E35" s="887"/>
      <c r="F35" s="291">
        <f t="shared" ref="F35:R35" si="1">SUM(F3+F4+F5+F6+F7+F8+F13+F14+F15+F18+F19+F20+F21+F26+F27+F28+F29+F30+F31+F32+F33+F34)</f>
        <v>223</v>
      </c>
      <c r="G35" s="291">
        <f t="shared" si="1"/>
        <v>1021</v>
      </c>
      <c r="H35" s="291">
        <f t="shared" si="1"/>
        <v>1</v>
      </c>
      <c r="I35" s="291">
        <f t="shared" si="1"/>
        <v>0</v>
      </c>
      <c r="J35" s="291">
        <f t="shared" si="1"/>
        <v>29</v>
      </c>
      <c r="K35" s="291">
        <f t="shared" si="1"/>
        <v>21</v>
      </c>
      <c r="L35" s="291">
        <f t="shared" si="1"/>
        <v>0</v>
      </c>
      <c r="M35" s="291">
        <f t="shared" si="1"/>
        <v>12</v>
      </c>
      <c r="N35" s="291">
        <f t="shared" si="1"/>
        <v>15</v>
      </c>
      <c r="O35" s="291">
        <f t="shared" si="1"/>
        <v>2</v>
      </c>
      <c r="P35" s="291">
        <f t="shared" si="1"/>
        <v>20</v>
      </c>
      <c r="Q35" s="291">
        <f t="shared" si="1"/>
        <v>0</v>
      </c>
      <c r="R35" s="291">
        <f t="shared" si="1"/>
        <v>147</v>
      </c>
      <c r="S35" s="68"/>
      <c r="T35" s="68"/>
      <c r="U35" s="68"/>
      <c r="V35" s="68"/>
      <c r="W35" s="68"/>
      <c r="X35" s="310" t="s">
        <v>173</v>
      </c>
      <c r="Y35" s="291">
        <f t="shared" ref="Y35:AJ35" si="2">SUM(Y3+Y4+Y5+Y6+Y7+Y8+Y13+Y14+Y15+Y18+Y19+Y20+Y21+Y26+Y27+Y28+Y29+Y30+Y31+Y32+Y33+Y34)</f>
        <v>22</v>
      </c>
      <c r="Z35" s="291">
        <f t="shared" si="2"/>
        <v>0</v>
      </c>
      <c r="AA35" s="291">
        <f t="shared" si="2"/>
        <v>0</v>
      </c>
      <c r="AB35" s="291">
        <f t="shared" si="2"/>
        <v>22</v>
      </c>
      <c r="AC35" s="121">
        <f t="shared" si="2"/>
        <v>11</v>
      </c>
      <c r="AD35" s="121">
        <f t="shared" si="2"/>
        <v>0</v>
      </c>
      <c r="AE35" s="121">
        <f t="shared" si="2"/>
        <v>0</v>
      </c>
      <c r="AF35" s="121">
        <f t="shared" si="2"/>
        <v>11</v>
      </c>
      <c r="AG35" s="289">
        <f t="shared" si="2"/>
        <v>11</v>
      </c>
      <c r="AH35" s="289">
        <f t="shared" si="2"/>
        <v>0</v>
      </c>
      <c r="AI35" s="289">
        <f t="shared" si="2"/>
        <v>0</v>
      </c>
      <c r="AJ35" s="289">
        <f t="shared" si="2"/>
        <v>11</v>
      </c>
    </row>
    <row r="36" spans="1:36" ht="15" customHeight="1" thickBot="1" x14ac:dyDescent="0.3">
      <c r="A36" s="68"/>
      <c r="B36" s="68"/>
      <c r="C36" s="911" t="s">
        <v>175</v>
      </c>
      <c r="D36" s="912"/>
      <c r="E36" s="913"/>
      <c r="F36" s="633">
        <f t="shared" ref="F36:R36" si="3">SUM(F9+F10+F16+F17+F22+F23)</f>
        <v>72</v>
      </c>
      <c r="G36" s="633">
        <f t="shared" si="3"/>
        <v>172</v>
      </c>
      <c r="H36" s="633">
        <f t="shared" si="3"/>
        <v>0</v>
      </c>
      <c r="I36" s="633">
        <f t="shared" si="3"/>
        <v>1</v>
      </c>
      <c r="J36" s="633">
        <f t="shared" si="3"/>
        <v>7</v>
      </c>
      <c r="K36" s="633">
        <f t="shared" si="3"/>
        <v>5</v>
      </c>
      <c r="L36" s="633">
        <f t="shared" si="3"/>
        <v>0</v>
      </c>
      <c r="M36" s="633">
        <f t="shared" si="3"/>
        <v>10</v>
      </c>
      <c r="N36" s="633">
        <f t="shared" si="3"/>
        <v>7</v>
      </c>
      <c r="O36" s="633">
        <f t="shared" si="3"/>
        <v>0</v>
      </c>
      <c r="P36" s="633">
        <f t="shared" si="3"/>
        <v>3</v>
      </c>
      <c r="Q36" s="633">
        <f t="shared" si="3"/>
        <v>0</v>
      </c>
      <c r="R36" s="633">
        <f t="shared" si="3"/>
        <v>23</v>
      </c>
      <c r="S36" s="634"/>
      <c r="T36" s="634"/>
      <c r="U36" s="634"/>
      <c r="V36" s="634"/>
      <c r="W36" s="635"/>
      <c r="X36" s="636" t="s">
        <v>175</v>
      </c>
      <c r="Y36" s="637">
        <f t="shared" ref="Y36:AJ36" si="4">SUM(Y9+Y10+Y16+Y17+Y22+Y23)</f>
        <v>6</v>
      </c>
      <c r="Z36" s="633">
        <f t="shared" si="4"/>
        <v>0</v>
      </c>
      <c r="AA36" s="633">
        <f t="shared" si="4"/>
        <v>0</v>
      </c>
      <c r="AB36" s="633">
        <f t="shared" si="4"/>
        <v>6</v>
      </c>
      <c r="AC36" s="638">
        <f t="shared" si="4"/>
        <v>3</v>
      </c>
      <c r="AD36" s="638">
        <f t="shared" si="4"/>
        <v>0</v>
      </c>
      <c r="AE36" s="638">
        <f t="shared" si="4"/>
        <v>0</v>
      </c>
      <c r="AF36" s="638">
        <f t="shared" si="4"/>
        <v>3</v>
      </c>
      <c r="AG36" s="639">
        <f t="shared" si="4"/>
        <v>3</v>
      </c>
      <c r="AH36" s="639">
        <f t="shared" si="4"/>
        <v>0</v>
      </c>
      <c r="AI36" s="639">
        <f t="shared" si="4"/>
        <v>0</v>
      </c>
      <c r="AJ36" s="639">
        <f t="shared" si="4"/>
        <v>3</v>
      </c>
    </row>
    <row r="37" spans="1:36" ht="15" customHeight="1" thickBot="1" x14ac:dyDescent="0.3">
      <c r="A37" s="68"/>
      <c r="B37" s="68"/>
      <c r="C37" s="891" t="s">
        <v>168</v>
      </c>
      <c r="D37" s="892"/>
      <c r="E37" s="893"/>
      <c r="F37" s="319">
        <f t="shared" ref="F37:R37" si="5">SUM(F11+F12+F24+F25)</f>
        <v>44</v>
      </c>
      <c r="G37" s="319">
        <f t="shared" si="5"/>
        <v>102</v>
      </c>
      <c r="H37" s="319">
        <f t="shared" si="5"/>
        <v>0</v>
      </c>
      <c r="I37" s="319">
        <f t="shared" si="5"/>
        <v>2</v>
      </c>
      <c r="J37" s="319">
        <f t="shared" si="5"/>
        <v>4</v>
      </c>
      <c r="K37" s="319">
        <f t="shared" si="5"/>
        <v>3</v>
      </c>
      <c r="L37" s="319">
        <f t="shared" si="5"/>
        <v>1</v>
      </c>
      <c r="M37" s="319">
        <f t="shared" si="5"/>
        <v>5</v>
      </c>
      <c r="N37" s="319">
        <f t="shared" si="5"/>
        <v>4</v>
      </c>
      <c r="O37" s="319">
        <f t="shared" si="5"/>
        <v>0</v>
      </c>
      <c r="P37" s="319">
        <f t="shared" si="5"/>
        <v>1</v>
      </c>
      <c r="Q37" s="319">
        <f t="shared" si="5"/>
        <v>0</v>
      </c>
      <c r="R37" s="319">
        <f t="shared" si="5"/>
        <v>11</v>
      </c>
      <c r="S37" s="321"/>
      <c r="T37" s="321"/>
      <c r="U37" s="321"/>
      <c r="V37" s="321"/>
      <c r="W37" s="329"/>
      <c r="X37" s="322" t="s">
        <v>168</v>
      </c>
      <c r="Y37" s="320">
        <f t="shared" ref="Y37:AJ37" si="6">SUM(Y11+Y12+Y24+Y25)</f>
        <v>4</v>
      </c>
      <c r="Z37" s="319">
        <f t="shared" si="6"/>
        <v>0</v>
      </c>
      <c r="AA37" s="319">
        <f t="shared" si="6"/>
        <v>0</v>
      </c>
      <c r="AB37" s="319">
        <f t="shared" si="6"/>
        <v>4</v>
      </c>
      <c r="AC37" s="324">
        <f t="shared" si="6"/>
        <v>2</v>
      </c>
      <c r="AD37" s="324">
        <f t="shared" si="6"/>
        <v>0</v>
      </c>
      <c r="AE37" s="324">
        <f t="shared" si="6"/>
        <v>0</v>
      </c>
      <c r="AF37" s="324">
        <f t="shared" si="6"/>
        <v>2</v>
      </c>
      <c r="AG37" s="323">
        <f t="shared" si="6"/>
        <v>2</v>
      </c>
      <c r="AH37" s="323">
        <f t="shared" si="6"/>
        <v>0</v>
      </c>
      <c r="AI37" s="323">
        <f t="shared" si="6"/>
        <v>0</v>
      </c>
      <c r="AJ37" s="323">
        <f t="shared" si="6"/>
        <v>2</v>
      </c>
    </row>
    <row r="38" spans="1:36" ht="15" customHeight="1" thickBot="1" x14ac:dyDescent="0.3">
      <c r="A38" s="68"/>
      <c r="B38" s="68"/>
      <c r="C38" s="458" t="s">
        <v>166</v>
      </c>
      <c r="D38" s="459"/>
      <c r="E38" s="460"/>
      <c r="F38" s="461">
        <v>0</v>
      </c>
      <c r="G38" s="461">
        <v>0</v>
      </c>
      <c r="H38" s="465">
        <v>0</v>
      </c>
      <c r="I38" s="465">
        <v>0</v>
      </c>
      <c r="J38" s="461">
        <v>0</v>
      </c>
      <c r="K38" s="461">
        <v>0</v>
      </c>
      <c r="L38" s="461">
        <v>0</v>
      </c>
      <c r="M38" s="461">
        <v>0</v>
      </c>
      <c r="N38" s="461">
        <v>0</v>
      </c>
      <c r="O38" s="461">
        <v>0</v>
      </c>
      <c r="P38" s="461">
        <v>0</v>
      </c>
      <c r="Q38" s="461">
        <v>0</v>
      </c>
      <c r="R38" s="461">
        <v>0</v>
      </c>
      <c r="S38" s="462"/>
      <c r="T38" s="462"/>
      <c r="U38" s="462"/>
      <c r="V38" s="462"/>
      <c r="W38" s="463"/>
      <c r="X38" s="464" t="s">
        <v>166</v>
      </c>
      <c r="Y38" s="465">
        <v>0</v>
      </c>
      <c r="Z38" s="461">
        <v>0</v>
      </c>
      <c r="AA38" s="461">
        <v>0</v>
      </c>
      <c r="AB38" s="461">
        <v>0</v>
      </c>
      <c r="AC38" s="468">
        <v>0</v>
      </c>
      <c r="AD38" s="469">
        <v>0</v>
      </c>
      <c r="AE38" s="469">
        <v>0</v>
      </c>
      <c r="AF38" s="469">
        <v>0</v>
      </c>
      <c r="AG38" s="466">
        <v>0</v>
      </c>
      <c r="AH38" s="467">
        <v>0</v>
      </c>
      <c r="AI38" s="467">
        <v>0</v>
      </c>
      <c r="AJ38" s="467">
        <v>0</v>
      </c>
    </row>
    <row r="39" spans="1:36" ht="15" customHeight="1" thickBot="1" x14ac:dyDescent="0.3">
      <c r="A39" s="68"/>
      <c r="B39" s="68"/>
      <c r="C39" s="882" t="s">
        <v>70</v>
      </c>
      <c r="D39" s="883"/>
      <c r="E39" s="884"/>
      <c r="F39" s="293">
        <f t="shared" ref="F39:R39" si="7">SUM(F3:F34)</f>
        <v>339</v>
      </c>
      <c r="G39" s="293">
        <f t="shared" si="7"/>
        <v>1295</v>
      </c>
      <c r="H39" s="292">
        <f t="shared" si="7"/>
        <v>1</v>
      </c>
      <c r="I39" s="292">
        <f t="shared" si="7"/>
        <v>3</v>
      </c>
      <c r="J39" s="293">
        <f t="shared" si="7"/>
        <v>40</v>
      </c>
      <c r="K39" s="293">
        <f t="shared" si="7"/>
        <v>29</v>
      </c>
      <c r="L39" s="293">
        <f t="shared" si="7"/>
        <v>1</v>
      </c>
      <c r="M39" s="293">
        <f t="shared" si="7"/>
        <v>27</v>
      </c>
      <c r="N39" s="293">
        <f t="shared" si="7"/>
        <v>26</v>
      </c>
      <c r="O39" s="293">
        <f t="shared" si="7"/>
        <v>2</v>
      </c>
      <c r="P39" s="293">
        <f t="shared" si="7"/>
        <v>24</v>
      </c>
      <c r="Q39" s="293">
        <f t="shared" si="7"/>
        <v>0</v>
      </c>
      <c r="R39" s="293">
        <f t="shared" si="7"/>
        <v>181</v>
      </c>
      <c r="S39" s="68"/>
      <c r="T39" s="68"/>
      <c r="U39" s="68"/>
      <c r="V39" s="68"/>
      <c r="W39" s="331"/>
      <c r="X39" s="309" t="s">
        <v>70</v>
      </c>
      <c r="Y39" s="292">
        <f t="shared" ref="Y39:AJ39" si="8">SUM(Y3:Y34)</f>
        <v>32</v>
      </c>
      <c r="Z39" s="293">
        <f t="shared" si="8"/>
        <v>0</v>
      </c>
      <c r="AA39" s="293">
        <f t="shared" si="8"/>
        <v>0</v>
      </c>
      <c r="AB39" s="293">
        <f t="shared" si="8"/>
        <v>32</v>
      </c>
      <c r="AC39" s="198">
        <f t="shared" si="8"/>
        <v>16</v>
      </c>
      <c r="AD39" s="390">
        <f t="shared" si="8"/>
        <v>0</v>
      </c>
      <c r="AE39" s="390">
        <f t="shared" si="8"/>
        <v>0</v>
      </c>
      <c r="AF39" s="390">
        <f t="shared" si="8"/>
        <v>16</v>
      </c>
      <c r="AG39" s="290">
        <f t="shared" si="8"/>
        <v>16</v>
      </c>
      <c r="AH39" s="133">
        <f t="shared" si="8"/>
        <v>0</v>
      </c>
      <c r="AI39" s="133">
        <f t="shared" si="8"/>
        <v>0</v>
      </c>
      <c r="AJ39" s="133">
        <f t="shared" si="8"/>
        <v>16</v>
      </c>
    </row>
    <row r="40" spans="1:36" ht="15" customHeight="1" x14ac:dyDescent="0.25">
      <c r="A40" s="68" t="s">
        <v>846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</row>
    <row r="41" spans="1:36" ht="15" customHeight="1" x14ac:dyDescent="0.25">
      <c r="A41" s="470" t="s">
        <v>253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</row>
    <row r="42" spans="1:36" ht="15" customHeight="1" x14ac:dyDescent="0.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</row>
    <row r="43" spans="1:36" ht="15" customHeight="1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</row>
    <row r="44" spans="1:36" ht="15" customHeight="1" x14ac:dyDescent="0.25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</row>
    <row r="45" spans="1:36" ht="15" customHeight="1" x14ac:dyDescent="0.25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</row>
    <row r="46" spans="1:36" ht="15" customHeight="1" x14ac:dyDescent="0.25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</row>
    <row r="47" spans="1:36" ht="15" customHeight="1" x14ac:dyDescent="0.25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</row>
    <row r="48" spans="1:36" ht="15" customHeight="1" x14ac:dyDescent="0.2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</row>
    <row r="49" spans="1:36" ht="15" customHeight="1" x14ac:dyDescent="0.25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</row>
    <row r="50" spans="1:36" ht="15" customHeight="1" x14ac:dyDescent="0.2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</row>
    <row r="51" spans="1:36" ht="15" customHeight="1" x14ac:dyDescent="0.25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</row>
    <row r="52" spans="1:36" ht="15" customHeight="1" x14ac:dyDescent="0.2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</row>
    <row r="53" spans="1:36" ht="15" customHeight="1" x14ac:dyDescent="0.25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</row>
    <row r="54" spans="1:36" ht="15" customHeight="1" x14ac:dyDescent="0.25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</row>
    <row r="55" spans="1:36" ht="15" customHeight="1" x14ac:dyDescent="0.25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</row>
    <row r="56" spans="1:36" ht="15" customHeight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</row>
    <row r="57" spans="1:36" ht="15" customHeight="1" x14ac:dyDescent="0.25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</row>
    <row r="58" spans="1:36" ht="15" customHeight="1" x14ac:dyDescent="0.25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</row>
    <row r="59" spans="1:36" ht="15" customHeight="1" x14ac:dyDescent="0.25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</row>
  </sheetData>
  <mergeCells count="14">
    <mergeCell ref="AL14:AM14"/>
    <mergeCell ref="AN14:AO14"/>
    <mergeCell ref="AP14:AQ14"/>
    <mergeCell ref="AR14:AS14"/>
    <mergeCell ref="C37:E37"/>
    <mergeCell ref="J1:M1"/>
    <mergeCell ref="N1:O1"/>
    <mergeCell ref="P1:R1"/>
    <mergeCell ref="C35:E35"/>
    <mergeCell ref="C39:E39"/>
    <mergeCell ref="A1:D1"/>
    <mergeCell ref="E1:G1"/>
    <mergeCell ref="C36:E36"/>
    <mergeCell ref="H1:I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43"/>
  <sheetViews>
    <sheetView workbookViewId="0">
      <pane ySplit="2" topLeftCell="A15" activePane="bottomLeft" state="frozen"/>
      <selection pane="bottomLeft" activeCell="K31" sqref="K31"/>
    </sheetView>
  </sheetViews>
  <sheetFormatPr defaultRowHeight="15" x14ac:dyDescent="0.25"/>
  <cols>
    <col min="1" max="1" width="7.7109375" customWidth="1"/>
    <col min="2" max="2" width="5.7109375" customWidth="1"/>
    <col min="3" max="3" width="14.140625" customWidth="1"/>
    <col min="4" max="6" width="3.7109375" customWidth="1"/>
    <col min="7" max="7" width="4.140625" customWidth="1"/>
    <col min="8" max="18" width="3.7109375" customWidth="1"/>
    <col min="19" max="20" width="5.7109375" customWidth="1"/>
    <col min="21" max="21" width="22.140625" bestFit="1" customWidth="1"/>
    <col min="22" max="22" width="18" bestFit="1" customWidth="1"/>
    <col min="23" max="23" width="21.140625" customWidth="1"/>
    <col min="24" max="24" width="20.42578125" customWidth="1"/>
    <col min="25" max="36" width="3.7109375" customWidth="1"/>
  </cols>
  <sheetData>
    <row r="1" spans="1:36" ht="15" customHeight="1" thickBot="1" x14ac:dyDescent="0.3">
      <c r="A1" s="979" t="s">
        <v>183</v>
      </c>
      <c r="B1" s="980"/>
      <c r="C1" s="980"/>
      <c r="D1" s="981"/>
      <c r="E1" s="974" t="s">
        <v>77</v>
      </c>
      <c r="F1" s="982"/>
      <c r="G1" s="975"/>
      <c r="H1" s="974" t="s">
        <v>76</v>
      </c>
      <c r="I1" s="975"/>
      <c r="J1" s="976" t="s">
        <v>43</v>
      </c>
      <c r="K1" s="977"/>
      <c r="L1" s="977"/>
      <c r="M1" s="978"/>
      <c r="N1" s="976" t="s">
        <v>44</v>
      </c>
      <c r="O1" s="978"/>
      <c r="P1" s="976" t="s">
        <v>79</v>
      </c>
      <c r="Q1" s="977"/>
      <c r="R1" s="978"/>
      <c r="S1" s="44" t="s">
        <v>45</v>
      </c>
      <c r="T1" s="44" t="s">
        <v>46</v>
      </c>
      <c r="U1" s="39" t="s">
        <v>47</v>
      </c>
      <c r="V1" s="44" t="s">
        <v>48</v>
      </c>
      <c r="W1" s="194" t="s">
        <v>151</v>
      </c>
      <c r="X1" s="194" t="s">
        <v>152</v>
      </c>
      <c r="Y1" s="37" t="s">
        <v>71</v>
      </c>
      <c r="Z1" s="38"/>
      <c r="AA1" s="38"/>
      <c r="AB1" s="38"/>
      <c r="AC1" s="39" t="s">
        <v>72</v>
      </c>
      <c r="AD1" s="35"/>
      <c r="AE1" s="35"/>
      <c r="AF1" s="36"/>
      <c r="AG1" s="39" t="s">
        <v>73</v>
      </c>
      <c r="AH1" s="35"/>
      <c r="AI1" s="35"/>
      <c r="AJ1" s="35"/>
    </row>
    <row r="2" spans="1:36" ht="15" customHeight="1" thickBot="1" x14ac:dyDescent="0.3">
      <c r="A2" s="195" t="s">
        <v>69</v>
      </c>
      <c r="B2" s="196" t="s">
        <v>68</v>
      </c>
      <c r="C2" s="197" t="s">
        <v>67</v>
      </c>
      <c r="D2" s="197" t="s">
        <v>78</v>
      </c>
      <c r="E2" s="198" t="s">
        <v>53</v>
      </c>
      <c r="F2" s="198" t="s">
        <v>37</v>
      </c>
      <c r="G2" s="198" t="s">
        <v>38</v>
      </c>
      <c r="H2" s="199" t="s">
        <v>74</v>
      </c>
      <c r="I2" s="200" t="s">
        <v>75</v>
      </c>
      <c r="J2" s="200" t="s">
        <v>49</v>
      </c>
      <c r="K2" s="200" t="s">
        <v>50</v>
      </c>
      <c r="L2" s="200" t="s">
        <v>35</v>
      </c>
      <c r="M2" s="200" t="s">
        <v>51</v>
      </c>
      <c r="N2" s="200" t="s">
        <v>52</v>
      </c>
      <c r="O2" s="200" t="s">
        <v>53</v>
      </c>
      <c r="P2" s="200" t="s">
        <v>74</v>
      </c>
      <c r="Q2" s="200" t="s">
        <v>75</v>
      </c>
      <c r="R2" s="200" t="s">
        <v>49</v>
      </c>
      <c r="S2" s="40"/>
      <c r="T2" s="41"/>
      <c r="U2" s="42"/>
      <c r="V2" s="40"/>
      <c r="W2" s="43"/>
      <c r="X2" s="43"/>
      <c r="Y2" s="44" t="s">
        <v>33</v>
      </c>
      <c r="Z2" s="44" t="s">
        <v>34</v>
      </c>
      <c r="AA2" s="44" t="s">
        <v>35</v>
      </c>
      <c r="AB2" s="44" t="s">
        <v>36</v>
      </c>
      <c r="AC2" s="44" t="s">
        <v>33</v>
      </c>
      <c r="AD2" s="44" t="s">
        <v>34</v>
      </c>
      <c r="AE2" s="44" t="s">
        <v>35</v>
      </c>
      <c r="AF2" s="44" t="s">
        <v>36</v>
      </c>
      <c r="AG2" s="44" t="s">
        <v>33</v>
      </c>
      <c r="AH2" s="44" t="s">
        <v>34</v>
      </c>
      <c r="AI2" s="44" t="s">
        <v>35</v>
      </c>
      <c r="AJ2" s="44" t="s">
        <v>36</v>
      </c>
    </row>
    <row r="3" spans="1:36" ht="15" customHeight="1" thickBot="1" x14ac:dyDescent="0.3">
      <c r="A3" s="254" t="s">
        <v>89</v>
      </c>
      <c r="B3" s="255" t="s">
        <v>54</v>
      </c>
      <c r="C3" s="247" t="s">
        <v>28</v>
      </c>
      <c r="D3" s="257" t="s">
        <v>38</v>
      </c>
      <c r="E3" s="257" t="s">
        <v>36</v>
      </c>
      <c r="F3" s="257">
        <v>17</v>
      </c>
      <c r="G3" s="258">
        <v>36</v>
      </c>
      <c r="H3" s="259">
        <v>0</v>
      </c>
      <c r="I3" s="260">
        <v>0</v>
      </c>
      <c r="J3" s="260">
        <v>2</v>
      </c>
      <c r="K3" s="260">
        <v>2</v>
      </c>
      <c r="L3" s="260">
        <v>0</v>
      </c>
      <c r="M3" s="260">
        <v>1</v>
      </c>
      <c r="N3" s="260">
        <v>0</v>
      </c>
      <c r="O3" s="260">
        <v>0</v>
      </c>
      <c r="P3" s="260">
        <v>1</v>
      </c>
      <c r="Q3" s="260">
        <v>0</v>
      </c>
      <c r="R3" s="260">
        <v>4</v>
      </c>
      <c r="S3" s="261">
        <v>22639</v>
      </c>
      <c r="T3" s="516" t="s">
        <v>364</v>
      </c>
      <c r="U3" s="263" t="s">
        <v>360</v>
      </c>
      <c r="V3" s="261" t="s">
        <v>361</v>
      </c>
      <c r="W3" s="261" t="s">
        <v>362</v>
      </c>
      <c r="X3" s="264" t="s">
        <v>363</v>
      </c>
      <c r="Y3" s="261">
        <v>1</v>
      </c>
      <c r="Z3" s="261">
        <v>0</v>
      </c>
      <c r="AA3" s="261">
        <v>0</v>
      </c>
      <c r="AB3" s="168">
        <v>1</v>
      </c>
      <c r="AC3" s="261">
        <v>0</v>
      </c>
      <c r="AD3" s="261">
        <v>0</v>
      </c>
      <c r="AE3" s="261">
        <v>0</v>
      </c>
      <c r="AF3" s="168">
        <v>0</v>
      </c>
      <c r="AG3" s="261">
        <v>1</v>
      </c>
      <c r="AH3" s="261">
        <v>0</v>
      </c>
      <c r="AI3" s="261">
        <v>0</v>
      </c>
      <c r="AJ3" s="168">
        <v>1</v>
      </c>
    </row>
    <row r="4" spans="1:36" ht="15" customHeight="1" thickBot="1" x14ac:dyDescent="0.3">
      <c r="A4" s="239" t="s">
        <v>210</v>
      </c>
      <c r="B4" s="240" t="s">
        <v>54</v>
      </c>
      <c r="C4" s="122" t="s">
        <v>91</v>
      </c>
      <c r="D4" s="123" t="s">
        <v>90</v>
      </c>
      <c r="E4" s="123" t="s">
        <v>36</v>
      </c>
      <c r="F4" s="123">
        <v>18</v>
      </c>
      <c r="G4" s="241">
        <v>20</v>
      </c>
      <c r="H4" s="244">
        <v>0</v>
      </c>
      <c r="I4" s="242">
        <v>1</v>
      </c>
      <c r="J4" s="242">
        <v>3</v>
      </c>
      <c r="K4" s="123">
        <v>0</v>
      </c>
      <c r="L4" s="242">
        <v>0</v>
      </c>
      <c r="M4" s="123">
        <v>1</v>
      </c>
      <c r="N4" s="242">
        <v>0</v>
      </c>
      <c r="O4" s="242">
        <v>0</v>
      </c>
      <c r="P4" s="242">
        <v>0</v>
      </c>
      <c r="Q4" s="123">
        <v>0</v>
      </c>
      <c r="R4" s="242">
        <v>2</v>
      </c>
      <c r="S4" s="243">
        <v>5888</v>
      </c>
      <c r="T4" s="517" t="s">
        <v>401</v>
      </c>
      <c r="U4" s="245" t="s">
        <v>353</v>
      </c>
      <c r="V4" s="243" t="s">
        <v>339</v>
      </c>
      <c r="W4" s="243" t="s">
        <v>355</v>
      </c>
      <c r="X4" s="169" t="s">
        <v>356</v>
      </c>
      <c r="Y4" s="243">
        <v>1</v>
      </c>
      <c r="Z4" s="243">
        <v>0</v>
      </c>
      <c r="AA4" s="243">
        <v>0</v>
      </c>
      <c r="AB4" s="167">
        <v>1</v>
      </c>
      <c r="AC4" s="243">
        <v>1</v>
      </c>
      <c r="AD4" s="243">
        <v>0</v>
      </c>
      <c r="AE4" s="243">
        <v>0</v>
      </c>
      <c r="AF4" s="167">
        <v>1</v>
      </c>
      <c r="AG4" s="243">
        <v>0</v>
      </c>
      <c r="AH4" s="243">
        <v>0</v>
      </c>
      <c r="AI4" s="243">
        <v>0</v>
      </c>
      <c r="AJ4" s="167">
        <v>0</v>
      </c>
    </row>
    <row r="5" spans="1:36" ht="15" customHeight="1" thickBot="1" x14ac:dyDescent="0.3">
      <c r="A5" s="239" t="s">
        <v>217</v>
      </c>
      <c r="B5" s="240" t="s">
        <v>54</v>
      </c>
      <c r="C5" s="122" t="s">
        <v>27</v>
      </c>
      <c r="D5" s="123" t="s">
        <v>90</v>
      </c>
      <c r="E5" s="123" t="s">
        <v>36</v>
      </c>
      <c r="F5" s="123">
        <v>10</v>
      </c>
      <c r="G5" s="241">
        <v>35</v>
      </c>
      <c r="H5" s="368">
        <v>0</v>
      </c>
      <c r="I5" s="241">
        <v>0</v>
      </c>
      <c r="J5" s="242">
        <v>1</v>
      </c>
      <c r="K5" s="242">
        <v>1</v>
      </c>
      <c r="L5" s="242">
        <v>0</v>
      </c>
      <c r="M5" s="242">
        <v>1</v>
      </c>
      <c r="N5" s="242">
        <v>1</v>
      </c>
      <c r="O5" s="242">
        <v>0</v>
      </c>
      <c r="P5" s="123">
        <v>1</v>
      </c>
      <c r="Q5" s="242">
        <v>0</v>
      </c>
      <c r="R5" s="123">
        <v>4</v>
      </c>
      <c r="S5" s="243">
        <v>5057</v>
      </c>
      <c r="T5" s="514" t="s">
        <v>435</v>
      </c>
      <c r="U5" s="245" t="s">
        <v>367</v>
      </c>
      <c r="V5" s="243" t="s">
        <v>346</v>
      </c>
      <c r="W5" s="243" t="s">
        <v>341</v>
      </c>
      <c r="X5" s="169" t="s">
        <v>369</v>
      </c>
      <c r="Y5" s="243">
        <v>1</v>
      </c>
      <c r="Z5" s="243">
        <v>0</v>
      </c>
      <c r="AA5" s="243">
        <v>0</v>
      </c>
      <c r="AB5" s="167">
        <v>1</v>
      </c>
      <c r="AC5" s="243">
        <v>1</v>
      </c>
      <c r="AD5" s="243">
        <v>0</v>
      </c>
      <c r="AE5" s="243">
        <v>0</v>
      </c>
      <c r="AF5" s="167">
        <v>1</v>
      </c>
      <c r="AG5" s="243">
        <v>0</v>
      </c>
      <c r="AH5" s="243">
        <v>0</v>
      </c>
      <c r="AI5" s="243">
        <v>0</v>
      </c>
      <c r="AJ5" s="167">
        <v>0</v>
      </c>
    </row>
    <row r="6" spans="1:36" ht="15" customHeight="1" thickBot="1" x14ac:dyDescent="0.3">
      <c r="A6" s="256" t="s">
        <v>193</v>
      </c>
      <c r="B6" s="255" t="s">
        <v>54</v>
      </c>
      <c r="C6" s="247" t="s">
        <v>189</v>
      </c>
      <c r="D6" s="257" t="s">
        <v>380</v>
      </c>
      <c r="E6" s="257" t="s">
        <v>36</v>
      </c>
      <c r="F6" s="257">
        <v>18</v>
      </c>
      <c r="G6" s="258">
        <v>35</v>
      </c>
      <c r="H6" s="258">
        <v>0</v>
      </c>
      <c r="I6" s="260">
        <v>0</v>
      </c>
      <c r="J6" s="257">
        <v>2</v>
      </c>
      <c r="K6" s="257">
        <v>1</v>
      </c>
      <c r="L6" s="260">
        <v>0</v>
      </c>
      <c r="M6" s="260">
        <v>2</v>
      </c>
      <c r="N6" s="260">
        <v>0</v>
      </c>
      <c r="O6" s="260">
        <v>0</v>
      </c>
      <c r="P6" s="260">
        <v>1</v>
      </c>
      <c r="Q6" s="257">
        <v>0</v>
      </c>
      <c r="R6" s="260">
        <v>4</v>
      </c>
      <c r="S6" s="261">
        <v>5568</v>
      </c>
      <c r="T6" s="516" t="s">
        <v>459</v>
      </c>
      <c r="U6" s="263" t="s">
        <v>374</v>
      </c>
      <c r="V6" s="261" t="s">
        <v>361</v>
      </c>
      <c r="W6" s="261" t="s">
        <v>341</v>
      </c>
      <c r="X6" s="264" t="s">
        <v>370</v>
      </c>
      <c r="Y6" s="261">
        <v>1</v>
      </c>
      <c r="Z6" s="261">
        <v>0</v>
      </c>
      <c r="AA6" s="261">
        <v>0</v>
      </c>
      <c r="AB6" s="168">
        <v>1</v>
      </c>
      <c r="AC6" s="261">
        <v>0</v>
      </c>
      <c r="AD6" s="261">
        <v>0</v>
      </c>
      <c r="AE6" s="261">
        <v>0</v>
      </c>
      <c r="AF6" s="168">
        <v>0</v>
      </c>
      <c r="AG6" s="261">
        <v>1</v>
      </c>
      <c r="AH6" s="261">
        <v>0</v>
      </c>
      <c r="AI6" s="261">
        <v>0</v>
      </c>
      <c r="AJ6" s="168">
        <v>1</v>
      </c>
    </row>
    <row r="7" spans="1:36" ht="15" customHeight="1" thickBot="1" x14ac:dyDescent="0.3">
      <c r="A7" s="239" t="s">
        <v>199</v>
      </c>
      <c r="B7" s="240" t="s">
        <v>54</v>
      </c>
      <c r="C7" s="122" t="s">
        <v>30</v>
      </c>
      <c r="D7" s="123" t="s">
        <v>90</v>
      </c>
      <c r="E7" s="123" t="s">
        <v>34</v>
      </c>
      <c r="F7" s="123">
        <v>29</v>
      </c>
      <c r="G7" s="241">
        <v>24</v>
      </c>
      <c r="H7" s="244">
        <v>0</v>
      </c>
      <c r="I7" s="123">
        <v>0</v>
      </c>
      <c r="J7" s="242">
        <v>3</v>
      </c>
      <c r="K7" s="242">
        <v>1</v>
      </c>
      <c r="L7" s="242">
        <v>0</v>
      </c>
      <c r="M7" s="242">
        <v>4</v>
      </c>
      <c r="N7" s="242">
        <v>0</v>
      </c>
      <c r="O7" s="242">
        <v>0</v>
      </c>
      <c r="P7" s="242">
        <v>0</v>
      </c>
      <c r="Q7" s="242">
        <v>1</v>
      </c>
      <c r="R7" s="242">
        <v>3</v>
      </c>
      <c r="S7" s="243">
        <v>4216</v>
      </c>
      <c r="T7" s="514" t="s">
        <v>471</v>
      </c>
      <c r="U7" s="245" t="s">
        <v>452</v>
      </c>
      <c r="V7" s="243" t="s">
        <v>361</v>
      </c>
      <c r="W7" s="243" t="s">
        <v>377</v>
      </c>
      <c r="X7" s="169" t="s">
        <v>340</v>
      </c>
      <c r="Y7" s="243">
        <v>1</v>
      </c>
      <c r="Z7" s="243">
        <v>1</v>
      </c>
      <c r="AA7" s="243">
        <v>0</v>
      </c>
      <c r="AB7" s="167">
        <v>0</v>
      </c>
      <c r="AC7" s="243">
        <v>1</v>
      </c>
      <c r="AD7" s="243">
        <v>1</v>
      </c>
      <c r="AE7" s="243">
        <v>0</v>
      </c>
      <c r="AF7" s="167">
        <v>0</v>
      </c>
      <c r="AG7" s="243">
        <v>0</v>
      </c>
      <c r="AH7" s="243">
        <v>0</v>
      </c>
      <c r="AI7" s="243">
        <v>0</v>
      </c>
      <c r="AJ7" s="167">
        <v>0</v>
      </c>
    </row>
    <row r="8" spans="1:36" ht="15" customHeight="1" thickBot="1" x14ac:dyDescent="0.3">
      <c r="A8" s="256" t="s">
        <v>105</v>
      </c>
      <c r="B8" s="255" t="s">
        <v>54</v>
      </c>
      <c r="C8" s="247" t="s">
        <v>190</v>
      </c>
      <c r="D8" s="257" t="s">
        <v>38</v>
      </c>
      <c r="E8" s="257" t="s">
        <v>34</v>
      </c>
      <c r="F8" s="257">
        <v>23</v>
      </c>
      <c r="G8" s="258">
        <v>3</v>
      </c>
      <c r="H8" s="259">
        <v>0</v>
      </c>
      <c r="I8" s="257">
        <v>0</v>
      </c>
      <c r="J8" s="260">
        <v>3</v>
      </c>
      <c r="K8" s="260">
        <v>1</v>
      </c>
      <c r="L8" s="260">
        <v>0</v>
      </c>
      <c r="M8" s="260">
        <v>2</v>
      </c>
      <c r="N8" s="260">
        <v>1</v>
      </c>
      <c r="O8" s="260">
        <v>0</v>
      </c>
      <c r="P8" s="260">
        <v>0</v>
      </c>
      <c r="Q8" s="260">
        <v>0</v>
      </c>
      <c r="R8" s="260">
        <v>0</v>
      </c>
      <c r="S8" s="261">
        <v>2154</v>
      </c>
      <c r="T8" s="590" t="s">
        <v>482</v>
      </c>
      <c r="U8" s="263" t="s">
        <v>338</v>
      </c>
      <c r="V8" s="261" t="s">
        <v>399</v>
      </c>
      <c r="W8" s="261" t="s">
        <v>341</v>
      </c>
      <c r="X8" s="264" t="s">
        <v>363</v>
      </c>
      <c r="Y8" s="261">
        <v>1</v>
      </c>
      <c r="Z8" s="261">
        <v>1</v>
      </c>
      <c r="AA8" s="261">
        <v>0</v>
      </c>
      <c r="AB8" s="168">
        <v>0</v>
      </c>
      <c r="AC8" s="261">
        <v>0</v>
      </c>
      <c r="AD8" s="261">
        <v>0</v>
      </c>
      <c r="AE8" s="261">
        <v>0</v>
      </c>
      <c r="AF8" s="168">
        <v>0</v>
      </c>
      <c r="AG8" s="261">
        <v>1</v>
      </c>
      <c r="AH8" s="261">
        <v>1</v>
      </c>
      <c r="AI8" s="261">
        <v>0</v>
      </c>
      <c r="AJ8" s="168">
        <v>0</v>
      </c>
    </row>
    <row r="9" spans="1:36" ht="15" customHeight="1" thickBot="1" x14ac:dyDescent="0.3">
      <c r="A9" s="677" t="s">
        <v>236</v>
      </c>
      <c r="B9" s="678" t="s">
        <v>169</v>
      </c>
      <c r="C9" s="679" t="s">
        <v>441</v>
      </c>
      <c r="D9" s="680" t="s">
        <v>90</v>
      </c>
      <c r="E9" s="680" t="s">
        <v>34</v>
      </c>
      <c r="F9" s="680">
        <v>43</v>
      </c>
      <c r="G9" s="681">
        <v>19</v>
      </c>
      <c r="H9" s="682">
        <v>1</v>
      </c>
      <c r="I9" s="683">
        <v>0</v>
      </c>
      <c r="J9" s="683">
        <v>7</v>
      </c>
      <c r="K9" s="683">
        <v>4</v>
      </c>
      <c r="L9" s="683">
        <v>0</v>
      </c>
      <c r="M9" s="683">
        <v>0</v>
      </c>
      <c r="N9" s="683">
        <v>1</v>
      </c>
      <c r="O9" s="683">
        <v>0</v>
      </c>
      <c r="P9" s="683">
        <v>0</v>
      </c>
      <c r="Q9" s="680">
        <v>0</v>
      </c>
      <c r="R9" s="683">
        <v>3</v>
      </c>
      <c r="S9" s="684">
        <v>3053</v>
      </c>
      <c r="T9" s="685" t="s">
        <v>572</v>
      </c>
      <c r="U9" s="686" t="s">
        <v>575</v>
      </c>
      <c r="V9" s="684" t="s">
        <v>510</v>
      </c>
      <c r="W9" s="684" t="s">
        <v>573</v>
      </c>
      <c r="X9" s="687" t="s">
        <v>574</v>
      </c>
      <c r="Y9" s="684">
        <v>1</v>
      </c>
      <c r="Z9" s="684">
        <v>1</v>
      </c>
      <c r="AA9" s="684">
        <v>0</v>
      </c>
      <c r="AB9" s="688">
        <v>0</v>
      </c>
      <c r="AC9" s="684">
        <v>1</v>
      </c>
      <c r="AD9" s="684">
        <v>1</v>
      </c>
      <c r="AE9" s="684">
        <v>0</v>
      </c>
      <c r="AF9" s="688">
        <v>0</v>
      </c>
      <c r="AG9" s="684">
        <v>0</v>
      </c>
      <c r="AH9" s="684">
        <v>0</v>
      </c>
      <c r="AI9" s="684">
        <v>0</v>
      </c>
      <c r="AJ9" s="688">
        <v>0</v>
      </c>
    </row>
    <row r="10" spans="1:36" ht="15" customHeight="1" thickBot="1" x14ac:dyDescent="0.3">
      <c r="A10" s="689" t="s">
        <v>228</v>
      </c>
      <c r="B10" s="690" t="s">
        <v>169</v>
      </c>
      <c r="C10" s="691" t="s">
        <v>242</v>
      </c>
      <c r="D10" s="692" t="s">
        <v>38</v>
      </c>
      <c r="E10" s="692" t="s">
        <v>34</v>
      </c>
      <c r="F10" s="692">
        <v>30</v>
      </c>
      <c r="G10" s="693">
        <v>26</v>
      </c>
      <c r="H10" s="694">
        <v>0</v>
      </c>
      <c r="I10" s="695">
        <v>0</v>
      </c>
      <c r="J10" s="695">
        <v>3</v>
      </c>
      <c r="K10" s="695">
        <v>3</v>
      </c>
      <c r="L10" s="695">
        <v>0</v>
      </c>
      <c r="M10" s="695">
        <v>3</v>
      </c>
      <c r="N10" s="695">
        <v>1</v>
      </c>
      <c r="O10" s="695">
        <v>0</v>
      </c>
      <c r="P10" s="695">
        <v>0</v>
      </c>
      <c r="Q10" s="692">
        <v>1</v>
      </c>
      <c r="R10" s="695">
        <v>3</v>
      </c>
      <c r="S10" s="696">
        <v>6119</v>
      </c>
      <c r="T10" s="705" t="s">
        <v>611</v>
      </c>
      <c r="U10" s="698" t="s">
        <v>589</v>
      </c>
      <c r="V10" s="696" t="s">
        <v>510</v>
      </c>
      <c r="W10" s="696" t="s">
        <v>590</v>
      </c>
      <c r="X10" s="699" t="s">
        <v>591</v>
      </c>
      <c r="Y10" s="696">
        <v>1</v>
      </c>
      <c r="Z10" s="696">
        <v>1</v>
      </c>
      <c r="AA10" s="696">
        <v>0</v>
      </c>
      <c r="AB10" s="700">
        <v>0</v>
      </c>
      <c r="AC10" s="696">
        <v>0</v>
      </c>
      <c r="AD10" s="696">
        <v>0</v>
      </c>
      <c r="AE10" s="696">
        <v>0</v>
      </c>
      <c r="AF10" s="700">
        <v>0</v>
      </c>
      <c r="AG10" s="696">
        <v>1</v>
      </c>
      <c r="AH10" s="696">
        <v>1</v>
      </c>
      <c r="AI10" s="696">
        <v>0</v>
      </c>
      <c r="AJ10" s="700">
        <v>0</v>
      </c>
    </row>
    <row r="11" spans="1:36" ht="15" customHeight="1" thickBot="1" x14ac:dyDescent="0.3">
      <c r="A11" s="388" t="s">
        <v>94</v>
      </c>
      <c r="B11" s="252" t="s">
        <v>96</v>
      </c>
      <c r="C11" s="253" t="s">
        <v>27</v>
      </c>
      <c r="D11" s="269" t="s">
        <v>38</v>
      </c>
      <c r="E11" s="269" t="s">
        <v>36</v>
      </c>
      <c r="F11" s="269">
        <v>23</v>
      </c>
      <c r="G11" s="275">
        <v>37</v>
      </c>
      <c r="H11" s="268">
        <v>0</v>
      </c>
      <c r="I11" s="267">
        <v>0</v>
      </c>
      <c r="J11" s="267">
        <v>2</v>
      </c>
      <c r="K11" s="267">
        <v>2</v>
      </c>
      <c r="L11" s="267">
        <v>0</v>
      </c>
      <c r="M11" s="267">
        <v>3</v>
      </c>
      <c r="N11" s="267">
        <v>1</v>
      </c>
      <c r="O11" s="267">
        <v>0</v>
      </c>
      <c r="P11" s="267">
        <v>1</v>
      </c>
      <c r="Q11" s="269">
        <v>0</v>
      </c>
      <c r="R11" s="267">
        <v>5</v>
      </c>
      <c r="S11" s="294">
        <v>13362</v>
      </c>
      <c r="T11" s="646" t="s">
        <v>480</v>
      </c>
      <c r="U11" s="296" t="s">
        <v>600</v>
      </c>
      <c r="V11" s="297" t="s">
        <v>510</v>
      </c>
      <c r="W11" s="272" t="s">
        <v>571</v>
      </c>
      <c r="X11" s="273" t="s">
        <v>445</v>
      </c>
      <c r="Y11" s="272">
        <v>1</v>
      </c>
      <c r="Z11" s="272">
        <v>0</v>
      </c>
      <c r="AA11" s="272">
        <v>0</v>
      </c>
      <c r="AB11" s="274">
        <v>1</v>
      </c>
      <c r="AC11" s="272">
        <v>0</v>
      </c>
      <c r="AD11" s="272">
        <v>0</v>
      </c>
      <c r="AE11" s="272">
        <v>0</v>
      </c>
      <c r="AF11" s="274">
        <v>0</v>
      </c>
      <c r="AG11" s="272">
        <v>1</v>
      </c>
      <c r="AH11" s="272">
        <v>0</v>
      </c>
      <c r="AI11" s="272">
        <v>0</v>
      </c>
      <c r="AJ11" s="274">
        <v>1</v>
      </c>
    </row>
    <row r="12" spans="1:36" ht="15" customHeight="1" thickBot="1" x14ac:dyDescent="0.3">
      <c r="A12" s="248" t="s">
        <v>95</v>
      </c>
      <c r="B12" s="249" t="s">
        <v>96</v>
      </c>
      <c r="C12" s="250" t="s">
        <v>245</v>
      </c>
      <c r="D12" s="283" t="s">
        <v>90</v>
      </c>
      <c r="E12" s="283" t="s">
        <v>36</v>
      </c>
      <c r="F12" s="283">
        <v>21</v>
      </c>
      <c r="G12" s="284">
        <v>22</v>
      </c>
      <c r="H12" s="277">
        <v>0</v>
      </c>
      <c r="I12" s="276">
        <v>1</v>
      </c>
      <c r="J12" s="276">
        <v>3</v>
      </c>
      <c r="K12" s="276">
        <v>3</v>
      </c>
      <c r="L12" s="276">
        <v>0</v>
      </c>
      <c r="M12" s="276">
        <v>0</v>
      </c>
      <c r="N12" s="276">
        <v>1</v>
      </c>
      <c r="O12" s="276">
        <v>0</v>
      </c>
      <c r="P12" s="276">
        <v>0</v>
      </c>
      <c r="Q12" s="283">
        <v>0</v>
      </c>
      <c r="R12" s="276">
        <v>3</v>
      </c>
      <c r="S12" s="278">
        <v>3536</v>
      </c>
      <c r="T12" s="649" t="s">
        <v>612</v>
      </c>
      <c r="U12" s="279" t="s">
        <v>613</v>
      </c>
      <c r="V12" s="278" t="s">
        <v>510</v>
      </c>
      <c r="W12" s="278" t="s">
        <v>614</v>
      </c>
      <c r="X12" s="280" t="s">
        <v>348</v>
      </c>
      <c r="Y12" s="278">
        <v>1</v>
      </c>
      <c r="Z12" s="278">
        <v>0</v>
      </c>
      <c r="AA12" s="278">
        <v>0</v>
      </c>
      <c r="AB12" s="281">
        <v>1</v>
      </c>
      <c r="AC12" s="278">
        <v>1</v>
      </c>
      <c r="AD12" s="278">
        <v>0</v>
      </c>
      <c r="AE12" s="278">
        <v>0</v>
      </c>
      <c r="AF12" s="281">
        <v>1</v>
      </c>
      <c r="AG12" s="278">
        <v>0</v>
      </c>
      <c r="AH12" s="278">
        <v>0</v>
      </c>
      <c r="AI12" s="278">
        <v>0</v>
      </c>
      <c r="AJ12" s="281">
        <v>0</v>
      </c>
    </row>
    <row r="13" spans="1:36" ht="15" customHeight="1" thickBot="1" x14ac:dyDescent="0.3">
      <c r="A13" s="256" t="s">
        <v>109</v>
      </c>
      <c r="B13" s="255" t="s">
        <v>54</v>
      </c>
      <c r="C13" s="247" t="s">
        <v>24</v>
      </c>
      <c r="D13" s="257" t="s">
        <v>38</v>
      </c>
      <c r="E13" s="257" t="s">
        <v>36</v>
      </c>
      <c r="F13" s="257">
        <v>14</v>
      </c>
      <c r="G13" s="258">
        <v>23</v>
      </c>
      <c r="H13" s="259">
        <v>0</v>
      </c>
      <c r="I13" s="260">
        <v>0</v>
      </c>
      <c r="J13" s="260">
        <v>2</v>
      </c>
      <c r="K13" s="260">
        <v>2</v>
      </c>
      <c r="L13" s="260">
        <v>0</v>
      </c>
      <c r="M13" s="260">
        <v>0</v>
      </c>
      <c r="N13" s="260">
        <v>1</v>
      </c>
      <c r="O13" s="260">
        <v>0</v>
      </c>
      <c r="P13" s="260">
        <v>0</v>
      </c>
      <c r="Q13" s="257">
        <v>0</v>
      </c>
      <c r="R13" s="260">
        <v>2</v>
      </c>
      <c r="S13" s="261">
        <v>12877</v>
      </c>
      <c r="T13" s="262" t="s">
        <v>643</v>
      </c>
      <c r="U13" s="263" t="s">
        <v>485</v>
      </c>
      <c r="V13" s="261" t="s">
        <v>463</v>
      </c>
      <c r="W13" s="261" t="s">
        <v>370</v>
      </c>
      <c r="X13" s="264" t="s">
        <v>445</v>
      </c>
      <c r="Y13" s="261">
        <v>1</v>
      </c>
      <c r="Z13" s="261">
        <v>0</v>
      </c>
      <c r="AA13" s="261">
        <v>0</v>
      </c>
      <c r="AB13" s="168">
        <v>1</v>
      </c>
      <c r="AC13" s="261">
        <v>0</v>
      </c>
      <c r="AD13" s="261">
        <v>0</v>
      </c>
      <c r="AE13" s="261">
        <v>0</v>
      </c>
      <c r="AF13" s="168">
        <v>0</v>
      </c>
      <c r="AG13" s="261">
        <v>1</v>
      </c>
      <c r="AH13" s="261">
        <v>0</v>
      </c>
      <c r="AI13" s="261">
        <v>0</v>
      </c>
      <c r="AJ13" s="168">
        <v>1</v>
      </c>
    </row>
    <row r="14" spans="1:36" ht="15" customHeight="1" thickBot="1" x14ac:dyDescent="0.3">
      <c r="A14" s="239" t="s">
        <v>203</v>
      </c>
      <c r="B14" s="240" t="s">
        <v>54</v>
      </c>
      <c r="C14" s="122" t="s">
        <v>26</v>
      </c>
      <c r="D14" s="123" t="s">
        <v>90</v>
      </c>
      <c r="E14" s="123" t="s">
        <v>34</v>
      </c>
      <c r="F14" s="123">
        <v>20</v>
      </c>
      <c r="G14" s="241">
        <v>10</v>
      </c>
      <c r="H14" s="241">
        <v>0</v>
      </c>
      <c r="I14" s="242">
        <v>0</v>
      </c>
      <c r="J14" s="242">
        <v>1</v>
      </c>
      <c r="K14" s="242">
        <v>0</v>
      </c>
      <c r="L14" s="242">
        <v>0</v>
      </c>
      <c r="M14" s="242">
        <v>5</v>
      </c>
      <c r="N14" s="242">
        <v>1</v>
      </c>
      <c r="O14" s="242">
        <v>0</v>
      </c>
      <c r="P14" s="242">
        <v>0</v>
      </c>
      <c r="Q14" s="123">
        <v>0</v>
      </c>
      <c r="R14" s="242">
        <v>1</v>
      </c>
      <c r="S14" s="243">
        <v>6512</v>
      </c>
      <c r="T14" s="592" t="s">
        <v>655</v>
      </c>
      <c r="U14" s="245" t="s">
        <v>452</v>
      </c>
      <c r="V14" s="243" t="s">
        <v>346</v>
      </c>
      <c r="W14" s="243" t="s">
        <v>369</v>
      </c>
      <c r="X14" s="169" t="s">
        <v>362</v>
      </c>
      <c r="Y14" s="243">
        <v>1</v>
      </c>
      <c r="Z14" s="243">
        <v>1</v>
      </c>
      <c r="AA14" s="243">
        <v>0</v>
      </c>
      <c r="AB14" s="167">
        <v>0</v>
      </c>
      <c r="AC14" s="243">
        <v>1</v>
      </c>
      <c r="AD14" s="243">
        <v>1</v>
      </c>
      <c r="AE14" s="243">
        <v>0</v>
      </c>
      <c r="AF14" s="167">
        <v>0</v>
      </c>
      <c r="AG14" s="243">
        <v>0</v>
      </c>
      <c r="AH14" s="243">
        <v>0</v>
      </c>
      <c r="AI14" s="243">
        <v>0</v>
      </c>
      <c r="AJ14" s="167">
        <v>0</v>
      </c>
    </row>
    <row r="15" spans="1:36" ht="15" customHeight="1" thickBot="1" x14ac:dyDescent="0.3">
      <c r="A15" s="239" t="s">
        <v>215</v>
      </c>
      <c r="B15" s="240" t="s">
        <v>54</v>
      </c>
      <c r="C15" s="122" t="s">
        <v>29</v>
      </c>
      <c r="D15" s="123" t="s">
        <v>90</v>
      </c>
      <c r="E15" s="123" t="s">
        <v>36</v>
      </c>
      <c r="F15" s="123">
        <v>13</v>
      </c>
      <c r="G15" s="241">
        <v>18</v>
      </c>
      <c r="H15" s="244">
        <v>0</v>
      </c>
      <c r="I15" s="242">
        <v>1</v>
      </c>
      <c r="J15" s="242">
        <v>1</v>
      </c>
      <c r="K15" s="242">
        <v>1</v>
      </c>
      <c r="L15" s="242">
        <v>0</v>
      </c>
      <c r="M15" s="242">
        <v>2</v>
      </c>
      <c r="N15" s="123">
        <v>0</v>
      </c>
      <c r="O15" s="242">
        <v>0</v>
      </c>
      <c r="P15" s="242">
        <v>0</v>
      </c>
      <c r="Q15" s="123">
        <v>0</v>
      </c>
      <c r="R15" s="242">
        <v>2</v>
      </c>
      <c r="S15" s="243">
        <v>5572</v>
      </c>
      <c r="T15" s="592" t="s">
        <v>685</v>
      </c>
      <c r="U15" s="245" t="s">
        <v>374</v>
      </c>
      <c r="V15" s="243" t="s">
        <v>368</v>
      </c>
      <c r="W15" s="243" t="s">
        <v>686</v>
      </c>
      <c r="X15" s="169" t="s">
        <v>387</v>
      </c>
      <c r="Y15" s="243">
        <v>1</v>
      </c>
      <c r="Z15" s="243">
        <v>0</v>
      </c>
      <c r="AA15" s="243">
        <v>0</v>
      </c>
      <c r="AB15" s="167">
        <v>1</v>
      </c>
      <c r="AC15" s="243">
        <v>1</v>
      </c>
      <c r="AD15" s="243">
        <v>0</v>
      </c>
      <c r="AE15" s="243">
        <v>0</v>
      </c>
      <c r="AF15" s="167">
        <v>1</v>
      </c>
      <c r="AG15" s="243">
        <v>0</v>
      </c>
      <c r="AH15" s="243">
        <v>0</v>
      </c>
      <c r="AI15" s="243">
        <v>0</v>
      </c>
      <c r="AJ15" s="167">
        <v>0</v>
      </c>
    </row>
    <row r="16" spans="1:36" ht="15" customHeight="1" thickBot="1" x14ac:dyDescent="0.3">
      <c r="A16" s="677" t="s">
        <v>155</v>
      </c>
      <c r="B16" s="678" t="s">
        <v>169</v>
      </c>
      <c r="C16" s="679" t="s">
        <v>775</v>
      </c>
      <c r="D16" s="680" t="s">
        <v>90</v>
      </c>
      <c r="E16" s="680" t="s">
        <v>34</v>
      </c>
      <c r="F16" s="680">
        <v>30</v>
      </c>
      <c r="G16" s="681">
        <v>23</v>
      </c>
      <c r="H16" s="682">
        <v>1</v>
      </c>
      <c r="I16" s="683">
        <v>0</v>
      </c>
      <c r="J16" s="683">
        <v>4</v>
      </c>
      <c r="K16" s="683">
        <v>2</v>
      </c>
      <c r="L16" s="683">
        <v>0</v>
      </c>
      <c r="M16" s="683">
        <v>2</v>
      </c>
      <c r="N16" s="683">
        <v>0</v>
      </c>
      <c r="O16" s="683">
        <v>0</v>
      </c>
      <c r="P16" s="683">
        <v>0</v>
      </c>
      <c r="Q16" s="680">
        <v>0</v>
      </c>
      <c r="R16" s="683">
        <v>2</v>
      </c>
      <c r="S16" s="684">
        <v>4089</v>
      </c>
      <c r="T16" s="685" t="s">
        <v>749</v>
      </c>
      <c r="U16" s="686" t="s">
        <v>548</v>
      </c>
      <c r="V16" s="684" t="s">
        <v>510</v>
      </c>
      <c r="W16" s="684" t="s">
        <v>596</v>
      </c>
      <c r="X16" s="687" t="s">
        <v>551</v>
      </c>
      <c r="Y16" s="684">
        <v>1</v>
      </c>
      <c r="Z16" s="684">
        <v>1</v>
      </c>
      <c r="AA16" s="684">
        <v>0</v>
      </c>
      <c r="AB16" s="688">
        <v>0</v>
      </c>
      <c r="AC16" s="684">
        <v>1</v>
      </c>
      <c r="AD16" s="684">
        <v>1</v>
      </c>
      <c r="AE16" s="684">
        <v>0</v>
      </c>
      <c r="AF16" s="688">
        <v>0</v>
      </c>
      <c r="AG16" s="684">
        <v>0</v>
      </c>
      <c r="AH16" s="684">
        <v>0</v>
      </c>
      <c r="AI16" s="684">
        <v>0</v>
      </c>
      <c r="AJ16" s="688">
        <v>0</v>
      </c>
    </row>
    <row r="17" spans="1:36" ht="15" customHeight="1" thickBot="1" x14ac:dyDescent="0.3">
      <c r="A17" s="689" t="s">
        <v>750</v>
      </c>
      <c r="B17" s="690" t="s">
        <v>169</v>
      </c>
      <c r="C17" s="691" t="s">
        <v>775</v>
      </c>
      <c r="D17" s="692" t="s">
        <v>38</v>
      </c>
      <c r="E17" s="692" t="s">
        <v>36</v>
      </c>
      <c r="F17" s="692">
        <v>24</v>
      </c>
      <c r="G17" s="693">
        <v>31</v>
      </c>
      <c r="H17" s="694">
        <v>0</v>
      </c>
      <c r="I17" s="695">
        <v>1</v>
      </c>
      <c r="J17" s="695">
        <v>3</v>
      </c>
      <c r="K17" s="695">
        <v>3</v>
      </c>
      <c r="L17" s="695">
        <v>0</v>
      </c>
      <c r="M17" s="695">
        <v>1</v>
      </c>
      <c r="N17" s="695">
        <v>1</v>
      </c>
      <c r="O17" s="695">
        <v>0</v>
      </c>
      <c r="P17" s="695">
        <v>1</v>
      </c>
      <c r="Q17" s="695">
        <v>0</v>
      </c>
      <c r="R17" s="695">
        <v>5</v>
      </c>
      <c r="S17" s="696">
        <v>8500</v>
      </c>
      <c r="T17" s="705" t="s">
        <v>751</v>
      </c>
      <c r="U17" s="698" t="s">
        <v>752</v>
      </c>
      <c r="V17" s="696" t="s">
        <v>560</v>
      </c>
      <c r="W17" s="696" t="s">
        <v>753</v>
      </c>
      <c r="X17" s="699" t="s">
        <v>754</v>
      </c>
      <c r="Y17" s="696">
        <v>1</v>
      </c>
      <c r="Z17" s="696">
        <v>0</v>
      </c>
      <c r="AA17" s="696">
        <v>0</v>
      </c>
      <c r="AB17" s="700">
        <v>1</v>
      </c>
      <c r="AC17" s="696">
        <v>0</v>
      </c>
      <c r="AD17" s="696">
        <v>0</v>
      </c>
      <c r="AE17" s="696">
        <v>0</v>
      </c>
      <c r="AF17" s="700">
        <v>0</v>
      </c>
      <c r="AG17" s="696">
        <v>1</v>
      </c>
      <c r="AH17" s="696">
        <v>0</v>
      </c>
      <c r="AI17" s="696">
        <v>0</v>
      </c>
      <c r="AJ17" s="700">
        <v>1</v>
      </c>
    </row>
    <row r="18" spans="1:36" ht="15" customHeight="1" thickBot="1" x14ac:dyDescent="0.3">
      <c r="A18" s="256" t="s">
        <v>104</v>
      </c>
      <c r="B18" s="255" t="s">
        <v>54</v>
      </c>
      <c r="C18" s="247" t="s">
        <v>10</v>
      </c>
      <c r="D18" s="257" t="s">
        <v>38</v>
      </c>
      <c r="E18" s="257" t="s">
        <v>36</v>
      </c>
      <c r="F18" s="257">
        <v>7</v>
      </c>
      <c r="G18" s="258">
        <v>15</v>
      </c>
      <c r="H18" s="259">
        <v>0</v>
      </c>
      <c r="I18" s="260">
        <v>0</v>
      </c>
      <c r="J18" s="260">
        <v>1</v>
      </c>
      <c r="K18" s="260">
        <v>1</v>
      </c>
      <c r="L18" s="260">
        <v>0</v>
      </c>
      <c r="M18" s="260">
        <v>0</v>
      </c>
      <c r="N18" s="260">
        <v>0</v>
      </c>
      <c r="O18" s="260">
        <v>0</v>
      </c>
      <c r="P18" s="260">
        <v>0</v>
      </c>
      <c r="Q18" s="260">
        <v>0</v>
      </c>
      <c r="R18" s="260">
        <v>0</v>
      </c>
      <c r="S18" s="261">
        <v>13660</v>
      </c>
      <c r="T18" s="590" t="s">
        <v>732</v>
      </c>
      <c r="U18" s="263" t="s">
        <v>419</v>
      </c>
      <c r="V18" s="261" t="s">
        <v>361</v>
      </c>
      <c r="W18" s="261" t="s">
        <v>387</v>
      </c>
      <c r="X18" s="264" t="s">
        <v>355</v>
      </c>
      <c r="Y18" s="261">
        <v>1</v>
      </c>
      <c r="Z18" s="261">
        <v>0</v>
      </c>
      <c r="AA18" s="261">
        <v>0</v>
      </c>
      <c r="AB18" s="168">
        <v>1</v>
      </c>
      <c r="AC18" s="261">
        <v>0</v>
      </c>
      <c r="AD18" s="261">
        <v>0</v>
      </c>
      <c r="AE18" s="261">
        <v>0</v>
      </c>
      <c r="AF18" s="168">
        <v>0</v>
      </c>
      <c r="AG18" s="261">
        <v>1</v>
      </c>
      <c r="AH18" s="261">
        <v>0</v>
      </c>
      <c r="AI18" s="261">
        <v>0</v>
      </c>
      <c r="AJ18" s="168">
        <v>1</v>
      </c>
    </row>
    <row r="19" spans="1:36" ht="15" customHeight="1" thickBot="1" x14ac:dyDescent="0.3">
      <c r="A19" s="239" t="s">
        <v>98</v>
      </c>
      <c r="B19" s="240" t="s">
        <v>54</v>
      </c>
      <c r="C19" s="122" t="s">
        <v>21</v>
      </c>
      <c r="D19" s="123" t="s">
        <v>90</v>
      </c>
      <c r="E19" s="123" t="s">
        <v>36</v>
      </c>
      <c r="F19" s="123">
        <v>23</v>
      </c>
      <c r="G19" s="241">
        <v>25</v>
      </c>
      <c r="H19" s="244">
        <v>0</v>
      </c>
      <c r="I19" s="242">
        <v>1</v>
      </c>
      <c r="J19" s="242">
        <v>3</v>
      </c>
      <c r="K19" s="242">
        <v>1</v>
      </c>
      <c r="L19" s="242">
        <v>0</v>
      </c>
      <c r="M19" s="242">
        <v>2</v>
      </c>
      <c r="N19" s="242">
        <v>0</v>
      </c>
      <c r="O19" s="242">
        <v>0</v>
      </c>
      <c r="P19" s="242">
        <v>0</v>
      </c>
      <c r="Q19" s="242">
        <v>0</v>
      </c>
      <c r="R19" s="242">
        <v>3</v>
      </c>
      <c r="S19" s="661">
        <v>9192</v>
      </c>
      <c r="T19" s="514" t="s">
        <v>758</v>
      </c>
      <c r="U19" s="245" t="s">
        <v>360</v>
      </c>
      <c r="V19" s="243" t="s">
        <v>346</v>
      </c>
      <c r="W19" s="243" t="s">
        <v>348</v>
      </c>
      <c r="X19" s="169" t="s">
        <v>613</v>
      </c>
      <c r="Y19" s="243">
        <v>1</v>
      </c>
      <c r="Z19" s="243">
        <v>0</v>
      </c>
      <c r="AA19" s="243">
        <v>0</v>
      </c>
      <c r="AB19" s="167">
        <v>1</v>
      </c>
      <c r="AC19" s="243">
        <v>1</v>
      </c>
      <c r="AD19" s="243">
        <v>0</v>
      </c>
      <c r="AE19" s="243">
        <v>0</v>
      </c>
      <c r="AF19" s="167">
        <v>1</v>
      </c>
      <c r="AG19" s="243">
        <v>0</v>
      </c>
      <c r="AH19" s="243">
        <v>0</v>
      </c>
      <c r="AI19" s="243">
        <v>0</v>
      </c>
      <c r="AJ19" s="167">
        <v>0</v>
      </c>
    </row>
    <row r="20" spans="1:36" ht="15" customHeight="1" thickBot="1" x14ac:dyDescent="0.3">
      <c r="A20" s="256" t="s">
        <v>786</v>
      </c>
      <c r="B20" s="255" t="s">
        <v>54</v>
      </c>
      <c r="C20" s="247" t="s">
        <v>27</v>
      </c>
      <c r="D20" s="257" t="s">
        <v>38</v>
      </c>
      <c r="E20" s="257" t="s">
        <v>36</v>
      </c>
      <c r="F20" s="257">
        <v>31</v>
      </c>
      <c r="G20" s="258">
        <v>39</v>
      </c>
      <c r="H20" s="259">
        <v>1</v>
      </c>
      <c r="I20" s="260">
        <v>0</v>
      </c>
      <c r="J20" s="260">
        <v>4</v>
      </c>
      <c r="K20" s="260">
        <v>4</v>
      </c>
      <c r="L20" s="260">
        <v>0</v>
      </c>
      <c r="M20" s="260">
        <v>1</v>
      </c>
      <c r="N20" s="260">
        <v>1</v>
      </c>
      <c r="O20" s="260">
        <v>0</v>
      </c>
      <c r="P20" s="260">
        <v>1</v>
      </c>
      <c r="Q20" s="260">
        <v>0</v>
      </c>
      <c r="R20" s="260">
        <v>5</v>
      </c>
      <c r="S20" s="261">
        <v>13362</v>
      </c>
      <c r="T20" s="516" t="s">
        <v>453</v>
      </c>
      <c r="U20" s="263" t="s">
        <v>485</v>
      </c>
      <c r="V20" s="261" t="s">
        <v>354</v>
      </c>
      <c r="W20" s="261" t="s">
        <v>355</v>
      </c>
      <c r="X20" s="264" t="s">
        <v>613</v>
      </c>
      <c r="Y20" s="261">
        <v>1</v>
      </c>
      <c r="Z20" s="261">
        <v>0</v>
      </c>
      <c r="AA20" s="261">
        <v>0</v>
      </c>
      <c r="AB20" s="168">
        <v>1</v>
      </c>
      <c r="AC20" s="261">
        <v>0</v>
      </c>
      <c r="AD20" s="261">
        <v>0</v>
      </c>
      <c r="AE20" s="261">
        <v>0</v>
      </c>
      <c r="AF20" s="168">
        <v>0</v>
      </c>
      <c r="AG20" s="261">
        <v>1</v>
      </c>
      <c r="AH20" s="261">
        <v>0</v>
      </c>
      <c r="AI20" s="261">
        <v>0</v>
      </c>
      <c r="AJ20" s="168">
        <v>1</v>
      </c>
    </row>
    <row r="21" spans="1:36" ht="15" customHeight="1" thickBot="1" x14ac:dyDescent="0.3">
      <c r="A21" s="239" t="s">
        <v>200</v>
      </c>
      <c r="B21" s="240" t="s">
        <v>54</v>
      </c>
      <c r="C21" s="122" t="s">
        <v>190</v>
      </c>
      <c r="D21" s="123" t="s">
        <v>90</v>
      </c>
      <c r="E21" s="123" t="s">
        <v>34</v>
      </c>
      <c r="F21" s="123">
        <v>38</v>
      </c>
      <c r="G21" s="241">
        <v>7</v>
      </c>
      <c r="H21" s="244">
        <v>1</v>
      </c>
      <c r="I21" s="242">
        <v>0</v>
      </c>
      <c r="J21" s="242">
        <v>6</v>
      </c>
      <c r="K21" s="242">
        <v>4</v>
      </c>
      <c r="L21" s="242">
        <v>0</v>
      </c>
      <c r="M21" s="242">
        <v>0</v>
      </c>
      <c r="N21" s="242">
        <v>0</v>
      </c>
      <c r="O21" s="242">
        <v>0</v>
      </c>
      <c r="P21" s="242">
        <v>0</v>
      </c>
      <c r="Q21" s="242">
        <v>0</v>
      </c>
      <c r="R21" s="242">
        <v>1</v>
      </c>
      <c r="S21" s="243">
        <v>5048</v>
      </c>
      <c r="T21" s="592" t="s">
        <v>815</v>
      </c>
      <c r="U21" s="245" t="s">
        <v>338</v>
      </c>
      <c r="V21" s="243" t="s">
        <v>361</v>
      </c>
      <c r="W21" s="243" t="s">
        <v>376</v>
      </c>
      <c r="X21" s="169" t="s">
        <v>362</v>
      </c>
      <c r="Y21" s="243">
        <v>1</v>
      </c>
      <c r="Z21" s="243">
        <v>1</v>
      </c>
      <c r="AA21" s="243">
        <v>0</v>
      </c>
      <c r="AB21" s="167">
        <v>0</v>
      </c>
      <c r="AC21" s="243">
        <v>1</v>
      </c>
      <c r="AD21" s="243">
        <v>1</v>
      </c>
      <c r="AE21" s="243">
        <v>0</v>
      </c>
      <c r="AF21" s="167">
        <v>0</v>
      </c>
      <c r="AG21" s="243">
        <v>0</v>
      </c>
      <c r="AH21" s="243">
        <v>0</v>
      </c>
      <c r="AI21" s="243">
        <v>0</v>
      </c>
      <c r="AJ21" s="167">
        <v>0</v>
      </c>
    </row>
    <row r="22" spans="1:36" ht="15" customHeight="1" thickBot="1" x14ac:dyDescent="0.3">
      <c r="A22" s="677" t="s">
        <v>101</v>
      </c>
      <c r="B22" s="678" t="s">
        <v>169</v>
      </c>
      <c r="C22" s="679" t="s">
        <v>242</v>
      </c>
      <c r="D22" s="680" t="s">
        <v>90</v>
      </c>
      <c r="E22" s="680" t="s">
        <v>36</v>
      </c>
      <c r="F22" s="680">
        <v>29</v>
      </c>
      <c r="G22" s="681">
        <v>40</v>
      </c>
      <c r="H22" s="682">
        <v>1</v>
      </c>
      <c r="I22" s="683">
        <v>0</v>
      </c>
      <c r="J22" s="683">
        <v>4</v>
      </c>
      <c r="K22" s="683">
        <v>3</v>
      </c>
      <c r="L22" s="683">
        <v>0</v>
      </c>
      <c r="M22" s="683">
        <v>1</v>
      </c>
      <c r="N22" s="680">
        <v>1</v>
      </c>
      <c r="O22" s="683">
        <v>0</v>
      </c>
      <c r="P22" s="683">
        <v>1</v>
      </c>
      <c r="Q22" s="683">
        <v>0</v>
      </c>
      <c r="R22" s="683">
        <v>6</v>
      </c>
      <c r="S22" s="684">
        <v>3280</v>
      </c>
      <c r="T22" s="703" t="s">
        <v>847</v>
      </c>
      <c r="U22" s="686" t="s">
        <v>517</v>
      </c>
      <c r="V22" s="684" t="s">
        <v>520</v>
      </c>
      <c r="W22" s="684" t="s">
        <v>848</v>
      </c>
      <c r="X22" s="687" t="s">
        <v>691</v>
      </c>
      <c r="Y22" s="684">
        <v>1</v>
      </c>
      <c r="Z22" s="684">
        <v>0</v>
      </c>
      <c r="AA22" s="684">
        <v>0</v>
      </c>
      <c r="AB22" s="688">
        <v>1</v>
      </c>
      <c r="AC22" s="684">
        <v>1</v>
      </c>
      <c r="AD22" s="684">
        <v>0</v>
      </c>
      <c r="AE22" s="684">
        <v>0</v>
      </c>
      <c r="AF22" s="688">
        <v>1</v>
      </c>
      <c r="AG22" s="684">
        <v>0</v>
      </c>
      <c r="AH22" s="684">
        <v>0</v>
      </c>
      <c r="AI22" s="684">
        <v>0</v>
      </c>
      <c r="AJ22" s="688">
        <v>0</v>
      </c>
    </row>
    <row r="23" spans="1:36" ht="15" customHeight="1" thickBot="1" x14ac:dyDescent="0.3">
      <c r="A23" s="689" t="s">
        <v>102</v>
      </c>
      <c r="B23" s="690" t="s">
        <v>169</v>
      </c>
      <c r="C23" s="691" t="s">
        <v>441</v>
      </c>
      <c r="D23" s="692" t="s">
        <v>629</v>
      </c>
      <c r="E23" s="692" t="s">
        <v>34</v>
      </c>
      <c r="F23" s="692">
        <v>52</v>
      </c>
      <c r="G23" s="693">
        <v>10</v>
      </c>
      <c r="H23" s="694">
        <v>1</v>
      </c>
      <c r="I23" s="695">
        <v>0</v>
      </c>
      <c r="J23" s="695">
        <v>8</v>
      </c>
      <c r="K23" s="695">
        <v>6</v>
      </c>
      <c r="L23" s="695">
        <v>0</v>
      </c>
      <c r="M23" s="695">
        <v>0</v>
      </c>
      <c r="N23" s="695">
        <v>0</v>
      </c>
      <c r="O23" s="695">
        <v>0</v>
      </c>
      <c r="P23" s="695">
        <v>0</v>
      </c>
      <c r="Q23" s="695">
        <v>0</v>
      </c>
      <c r="R23" s="695">
        <v>1</v>
      </c>
      <c r="S23" s="696">
        <v>500</v>
      </c>
      <c r="T23" s="697" t="s">
        <v>850</v>
      </c>
      <c r="U23" s="698" t="s">
        <v>737</v>
      </c>
      <c r="V23" s="696" t="s">
        <v>510</v>
      </c>
      <c r="W23" s="696" t="s">
        <v>530</v>
      </c>
      <c r="X23" s="696" t="s">
        <v>695</v>
      </c>
      <c r="Y23" s="696">
        <v>1</v>
      </c>
      <c r="Z23" s="696">
        <v>1</v>
      </c>
      <c r="AA23" s="696">
        <v>0</v>
      </c>
      <c r="AB23" s="700">
        <v>0</v>
      </c>
      <c r="AC23" s="696">
        <v>0</v>
      </c>
      <c r="AD23" s="696">
        <v>0</v>
      </c>
      <c r="AE23" s="696">
        <v>0</v>
      </c>
      <c r="AF23" s="700">
        <v>0</v>
      </c>
      <c r="AG23" s="696">
        <v>1</v>
      </c>
      <c r="AH23" s="696">
        <v>1</v>
      </c>
      <c r="AI23" s="696">
        <v>0</v>
      </c>
      <c r="AJ23" s="700">
        <v>0</v>
      </c>
    </row>
    <row r="24" spans="1:36" ht="15" customHeight="1" thickBot="1" x14ac:dyDescent="0.3">
      <c r="A24" s="248" t="s">
        <v>249</v>
      </c>
      <c r="B24" s="249" t="s">
        <v>96</v>
      </c>
      <c r="C24" s="250" t="s">
        <v>29</v>
      </c>
      <c r="D24" s="283" t="s">
        <v>90</v>
      </c>
      <c r="E24" s="283" t="s">
        <v>34</v>
      </c>
      <c r="F24" s="283">
        <v>39</v>
      </c>
      <c r="G24" s="284">
        <v>19</v>
      </c>
      <c r="H24" s="277">
        <v>1</v>
      </c>
      <c r="I24" s="276">
        <v>0</v>
      </c>
      <c r="J24" s="283">
        <v>5</v>
      </c>
      <c r="K24" s="276">
        <v>4</v>
      </c>
      <c r="L24" s="276">
        <v>0</v>
      </c>
      <c r="M24" s="276">
        <v>2</v>
      </c>
      <c r="N24" s="276">
        <v>1</v>
      </c>
      <c r="O24" s="276">
        <v>0</v>
      </c>
      <c r="P24" s="276">
        <v>0</v>
      </c>
      <c r="Q24" s="276">
        <v>0</v>
      </c>
      <c r="R24" s="276">
        <v>1</v>
      </c>
      <c r="S24" s="442">
        <v>2857</v>
      </c>
      <c r="T24" s="649" t="s">
        <v>858</v>
      </c>
      <c r="U24" s="279" t="s">
        <v>569</v>
      </c>
      <c r="V24" s="278" t="s">
        <v>510</v>
      </c>
      <c r="W24" s="278" t="s">
        <v>348</v>
      </c>
      <c r="X24" s="280" t="s">
        <v>377</v>
      </c>
      <c r="Y24" s="278">
        <v>1</v>
      </c>
      <c r="Z24" s="278">
        <v>1</v>
      </c>
      <c r="AA24" s="278">
        <v>0</v>
      </c>
      <c r="AB24" s="281">
        <v>0</v>
      </c>
      <c r="AC24" s="278">
        <v>1</v>
      </c>
      <c r="AD24" s="278">
        <v>1</v>
      </c>
      <c r="AE24" s="278">
        <v>0</v>
      </c>
      <c r="AF24" s="281">
        <v>0</v>
      </c>
      <c r="AG24" s="278">
        <v>0</v>
      </c>
      <c r="AH24" s="278">
        <v>0</v>
      </c>
      <c r="AI24" s="278">
        <v>0</v>
      </c>
      <c r="AJ24" s="281">
        <v>0</v>
      </c>
    </row>
    <row r="25" spans="1:36" ht="15" customHeight="1" thickBot="1" x14ac:dyDescent="0.3">
      <c r="A25" s="251" t="s">
        <v>111</v>
      </c>
      <c r="B25" s="252" t="s">
        <v>96</v>
      </c>
      <c r="C25" s="253" t="s">
        <v>13</v>
      </c>
      <c r="D25" s="269" t="s">
        <v>38</v>
      </c>
      <c r="E25" s="269" t="s">
        <v>34</v>
      </c>
      <c r="F25" s="269">
        <v>31</v>
      </c>
      <c r="G25" s="275">
        <v>13</v>
      </c>
      <c r="H25" s="268">
        <v>1</v>
      </c>
      <c r="I25" s="267">
        <v>0</v>
      </c>
      <c r="J25" s="267">
        <v>5</v>
      </c>
      <c r="K25" s="267">
        <v>3</v>
      </c>
      <c r="L25" s="267">
        <v>0</v>
      </c>
      <c r="M25" s="267">
        <v>0</v>
      </c>
      <c r="N25" s="267">
        <v>0</v>
      </c>
      <c r="O25" s="267">
        <v>0</v>
      </c>
      <c r="P25" s="267">
        <v>0</v>
      </c>
      <c r="Q25" s="267">
        <v>0</v>
      </c>
      <c r="R25" s="267">
        <v>1</v>
      </c>
      <c r="S25" s="272">
        <v>4764</v>
      </c>
      <c r="T25" s="655" t="s">
        <v>870</v>
      </c>
      <c r="U25" s="271" t="s">
        <v>627</v>
      </c>
      <c r="V25" s="272" t="s">
        <v>510</v>
      </c>
      <c r="W25" s="272" t="s">
        <v>869</v>
      </c>
      <c r="X25" s="273" t="s">
        <v>376</v>
      </c>
      <c r="Y25" s="272">
        <v>1</v>
      </c>
      <c r="Z25" s="272">
        <v>1</v>
      </c>
      <c r="AA25" s="272">
        <v>0</v>
      </c>
      <c r="AB25" s="274">
        <v>0</v>
      </c>
      <c r="AC25" s="272">
        <v>0</v>
      </c>
      <c r="AD25" s="272">
        <v>0</v>
      </c>
      <c r="AE25" s="272">
        <v>0</v>
      </c>
      <c r="AF25" s="274">
        <v>0</v>
      </c>
      <c r="AG25" s="272">
        <v>1</v>
      </c>
      <c r="AH25" s="272">
        <v>1</v>
      </c>
      <c r="AI25" s="272">
        <v>0</v>
      </c>
      <c r="AJ25" s="274">
        <v>0</v>
      </c>
    </row>
    <row r="26" spans="1:36" ht="15" customHeight="1" thickBot="1" x14ac:dyDescent="0.3">
      <c r="A26" s="256" t="s">
        <v>106</v>
      </c>
      <c r="B26" s="255" t="s">
        <v>54</v>
      </c>
      <c r="C26" s="247" t="s">
        <v>30</v>
      </c>
      <c r="D26" s="257" t="s">
        <v>38</v>
      </c>
      <c r="E26" s="257" t="s">
        <v>36</v>
      </c>
      <c r="F26" s="257">
        <v>17</v>
      </c>
      <c r="G26" s="258">
        <v>46</v>
      </c>
      <c r="H26" s="259">
        <v>0</v>
      </c>
      <c r="I26" s="260">
        <v>0</v>
      </c>
      <c r="J26" s="260">
        <v>2</v>
      </c>
      <c r="K26" s="260">
        <v>2</v>
      </c>
      <c r="L26" s="260">
        <v>0</v>
      </c>
      <c r="M26" s="260">
        <v>1</v>
      </c>
      <c r="N26" s="260">
        <v>0</v>
      </c>
      <c r="O26" s="260">
        <v>0</v>
      </c>
      <c r="P26" s="260">
        <v>1</v>
      </c>
      <c r="Q26" s="260">
        <v>0</v>
      </c>
      <c r="R26" s="260">
        <v>6</v>
      </c>
      <c r="S26" s="261">
        <v>7218</v>
      </c>
      <c r="T26" s="262" t="s">
        <v>881</v>
      </c>
      <c r="U26" s="263" t="s">
        <v>880</v>
      </c>
      <c r="V26" s="261" t="s">
        <v>368</v>
      </c>
      <c r="W26" s="261" t="s">
        <v>355</v>
      </c>
      <c r="X26" s="264" t="s">
        <v>686</v>
      </c>
      <c r="Y26" s="261">
        <v>1</v>
      </c>
      <c r="Z26" s="261">
        <v>0</v>
      </c>
      <c r="AA26" s="261">
        <v>0</v>
      </c>
      <c r="AB26" s="168">
        <v>1</v>
      </c>
      <c r="AC26" s="261">
        <v>0</v>
      </c>
      <c r="AD26" s="261">
        <v>0</v>
      </c>
      <c r="AE26" s="261">
        <v>0</v>
      </c>
      <c r="AF26" s="168">
        <v>0</v>
      </c>
      <c r="AG26" s="261">
        <v>1</v>
      </c>
      <c r="AH26" s="261">
        <v>0</v>
      </c>
      <c r="AI26" s="261">
        <v>0</v>
      </c>
      <c r="AJ26" s="168">
        <v>1</v>
      </c>
    </row>
    <row r="27" spans="1:36" ht="15" customHeight="1" thickBot="1" x14ac:dyDescent="0.3">
      <c r="A27" s="239" t="s">
        <v>218</v>
      </c>
      <c r="B27" s="240" t="s">
        <v>54</v>
      </c>
      <c r="C27" s="122" t="s">
        <v>189</v>
      </c>
      <c r="D27" s="123" t="s">
        <v>90</v>
      </c>
      <c r="E27" s="123" t="s">
        <v>35</v>
      </c>
      <c r="F27" s="123">
        <v>23</v>
      </c>
      <c r="G27" s="241">
        <v>23</v>
      </c>
      <c r="H27" s="244">
        <v>0</v>
      </c>
      <c r="I27" s="242">
        <v>0</v>
      </c>
      <c r="J27" s="242">
        <v>3</v>
      </c>
      <c r="K27" s="242">
        <v>1</v>
      </c>
      <c r="L27" s="242">
        <v>0</v>
      </c>
      <c r="M27" s="242">
        <v>2</v>
      </c>
      <c r="N27" s="242">
        <v>0</v>
      </c>
      <c r="O27" s="242">
        <v>0</v>
      </c>
      <c r="P27" s="242">
        <v>0</v>
      </c>
      <c r="Q27" s="242">
        <v>0</v>
      </c>
      <c r="R27" s="242">
        <v>3</v>
      </c>
      <c r="S27" s="282">
        <v>7547</v>
      </c>
      <c r="T27" s="514" t="s">
        <v>807</v>
      </c>
      <c r="U27" s="245" t="s">
        <v>345</v>
      </c>
      <c r="V27" s="243" t="s">
        <v>339</v>
      </c>
      <c r="W27" s="243" t="s">
        <v>452</v>
      </c>
      <c r="X27" s="169" t="s">
        <v>362</v>
      </c>
      <c r="Y27" s="243">
        <v>1</v>
      </c>
      <c r="Z27" s="243">
        <v>0</v>
      </c>
      <c r="AA27" s="243">
        <v>1</v>
      </c>
      <c r="AB27" s="167">
        <v>0</v>
      </c>
      <c r="AC27" s="243">
        <v>1</v>
      </c>
      <c r="AD27" s="243">
        <v>0</v>
      </c>
      <c r="AE27" s="243">
        <v>1</v>
      </c>
      <c r="AF27" s="167">
        <v>0</v>
      </c>
      <c r="AG27" s="243">
        <v>0</v>
      </c>
      <c r="AH27" s="243">
        <v>0</v>
      </c>
      <c r="AI27" s="243">
        <v>0</v>
      </c>
      <c r="AJ27" s="167">
        <v>0</v>
      </c>
    </row>
    <row r="28" spans="1:36" ht="15" customHeight="1" thickBot="1" x14ac:dyDescent="0.3">
      <c r="A28" s="256" t="s">
        <v>97</v>
      </c>
      <c r="B28" s="255" t="s">
        <v>54</v>
      </c>
      <c r="C28" s="247" t="s">
        <v>21</v>
      </c>
      <c r="D28" s="257" t="s">
        <v>38</v>
      </c>
      <c r="E28" s="257" t="s">
        <v>36</v>
      </c>
      <c r="F28" s="257">
        <v>17</v>
      </c>
      <c r="G28" s="258">
        <v>22</v>
      </c>
      <c r="H28" s="259">
        <v>0</v>
      </c>
      <c r="I28" s="260">
        <v>1</v>
      </c>
      <c r="J28" s="260">
        <v>3</v>
      </c>
      <c r="K28" s="260">
        <v>1</v>
      </c>
      <c r="L28" s="260">
        <v>0</v>
      </c>
      <c r="M28" s="260">
        <v>0</v>
      </c>
      <c r="N28" s="260">
        <v>0</v>
      </c>
      <c r="O28" s="260">
        <v>0</v>
      </c>
      <c r="P28" s="260">
        <v>0</v>
      </c>
      <c r="Q28" s="260">
        <v>0</v>
      </c>
      <c r="R28" s="260">
        <v>1</v>
      </c>
      <c r="S28" s="261">
        <v>7473</v>
      </c>
      <c r="T28" s="516" t="s">
        <v>547</v>
      </c>
      <c r="U28" s="263" t="s">
        <v>353</v>
      </c>
      <c r="V28" s="261" t="s">
        <v>346</v>
      </c>
      <c r="W28" s="261" t="s">
        <v>356</v>
      </c>
      <c r="X28" s="264" t="s">
        <v>348</v>
      </c>
      <c r="Y28" s="261">
        <v>1</v>
      </c>
      <c r="Z28" s="261">
        <v>0</v>
      </c>
      <c r="AA28" s="261">
        <v>0</v>
      </c>
      <c r="AB28" s="168">
        <v>1</v>
      </c>
      <c r="AC28" s="261">
        <v>0</v>
      </c>
      <c r="AD28" s="261">
        <v>0</v>
      </c>
      <c r="AE28" s="261">
        <v>0</v>
      </c>
      <c r="AF28" s="168">
        <v>0</v>
      </c>
      <c r="AG28" s="261">
        <v>1</v>
      </c>
      <c r="AH28" s="261">
        <v>0</v>
      </c>
      <c r="AI28" s="261">
        <v>0</v>
      </c>
      <c r="AJ28" s="168">
        <v>1</v>
      </c>
    </row>
    <row r="29" spans="1:36" ht="15" customHeight="1" thickBot="1" x14ac:dyDescent="0.3">
      <c r="A29" s="239" t="s">
        <v>208</v>
      </c>
      <c r="B29" s="240" t="s">
        <v>54</v>
      </c>
      <c r="C29" s="122" t="s">
        <v>28</v>
      </c>
      <c r="D29" s="123" t="s">
        <v>90</v>
      </c>
      <c r="E29" s="123" t="s">
        <v>36</v>
      </c>
      <c r="F29" s="123">
        <v>12</v>
      </c>
      <c r="G29" s="241">
        <v>16</v>
      </c>
      <c r="H29" s="244">
        <v>0</v>
      </c>
      <c r="I29" s="242">
        <v>1</v>
      </c>
      <c r="J29" s="242">
        <v>2</v>
      </c>
      <c r="K29" s="242">
        <v>1</v>
      </c>
      <c r="L29" s="242">
        <v>0</v>
      </c>
      <c r="M29" s="242">
        <v>0</v>
      </c>
      <c r="N29" s="242">
        <v>0</v>
      </c>
      <c r="O29" s="242">
        <v>0</v>
      </c>
      <c r="P29" s="242">
        <v>0</v>
      </c>
      <c r="Q29" s="242">
        <v>0</v>
      </c>
      <c r="R29" s="242">
        <v>1</v>
      </c>
      <c r="S29" s="243">
        <v>9019</v>
      </c>
      <c r="T29" s="592" t="s">
        <v>645</v>
      </c>
      <c r="U29" s="245" t="s">
        <v>360</v>
      </c>
      <c r="V29" s="243" t="s">
        <v>346</v>
      </c>
      <c r="W29" s="243" t="s">
        <v>600</v>
      </c>
      <c r="X29" s="169" t="s">
        <v>377</v>
      </c>
      <c r="Y29" s="243">
        <v>1</v>
      </c>
      <c r="Z29" s="243">
        <v>0</v>
      </c>
      <c r="AA29" s="243">
        <v>0</v>
      </c>
      <c r="AB29" s="167">
        <v>1</v>
      </c>
      <c r="AC29" s="243">
        <v>1</v>
      </c>
      <c r="AD29" s="243">
        <v>0</v>
      </c>
      <c r="AE29" s="243">
        <v>0</v>
      </c>
      <c r="AF29" s="167">
        <v>1</v>
      </c>
      <c r="AG29" s="243">
        <v>0</v>
      </c>
      <c r="AH29" s="243">
        <v>0</v>
      </c>
      <c r="AI29" s="243">
        <v>0</v>
      </c>
      <c r="AJ29" s="167">
        <v>0</v>
      </c>
    </row>
    <row r="30" spans="1:36" ht="15" customHeight="1" thickBot="1" x14ac:dyDescent="0.3">
      <c r="A30" s="256" t="s">
        <v>159</v>
      </c>
      <c r="B30" s="255" t="s">
        <v>54</v>
      </c>
      <c r="C30" s="247" t="s">
        <v>91</v>
      </c>
      <c r="D30" s="257" t="s">
        <v>38</v>
      </c>
      <c r="E30" s="257" t="s">
        <v>36</v>
      </c>
      <c r="F30" s="257">
        <v>21</v>
      </c>
      <c r="G30" s="258">
        <v>22</v>
      </c>
      <c r="H30" s="259">
        <v>0</v>
      </c>
      <c r="I30" s="260">
        <v>1</v>
      </c>
      <c r="J30" s="257">
        <v>2</v>
      </c>
      <c r="K30" s="260">
        <v>1</v>
      </c>
      <c r="L30" s="260">
        <v>0</v>
      </c>
      <c r="M30" s="260">
        <v>3</v>
      </c>
      <c r="N30" s="260">
        <v>1</v>
      </c>
      <c r="O30" s="260">
        <v>0</v>
      </c>
      <c r="P30" s="260">
        <v>0</v>
      </c>
      <c r="Q30" s="260">
        <v>0</v>
      </c>
      <c r="R30" s="260">
        <v>3</v>
      </c>
      <c r="S30" s="261">
        <v>15731</v>
      </c>
      <c r="T30" s="516" t="s">
        <v>456</v>
      </c>
      <c r="U30" s="263" t="s">
        <v>367</v>
      </c>
      <c r="V30" s="261" t="s">
        <v>341</v>
      </c>
      <c r="W30" s="261" t="s">
        <v>390</v>
      </c>
      <c r="X30" s="264" t="s">
        <v>370</v>
      </c>
      <c r="Y30" s="261">
        <v>1</v>
      </c>
      <c r="Z30" s="261">
        <v>0</v>
      </c>
      <c r="AA30" s="261">
        <v>0</v>
      </c>
      <c r="AB30" s="168">
        <v>1</v>
      </c>
      <c r="AC30" s="261">
        <v>0</v>
      </c>
      <c r="AD30" s="261">
        <v>0</v>
      </c>
      <c r="AE30" s="261">
        <v>0</v>
      </c>
      <c r="AF30" s="168">
        <v>0</v>
      </c>
      <c r="AG30" s="261">
        <v>1</v>
      </c>
      <c r="AH30" s="261">
        <v>0</v>
      </c>
      <c r="AI30" s="261">
        <v>0</v>
      </c>
      <c r="AJ30" s="168">
        <v>1</v>
      </c>
    </row>
    <row r="31" spans="1:36" ht="15" customHeight="1" thickBot="1" x14ac:dyDescent="0.3">
      <c r="A31" s="689" t="s">
        <v>144</v>
      </c>
      <c r="B31" s="690" t="s">
        <v>170</v>
      </c>
      <c r="C31" s="691" t="s">
        <v>30</v>
      </c>
      <c r="D31" s="692" t="s">
        <v>38</v>
      </c>
      <c r="E31" s="692" t="s">
        <v>36</v>
      </c>
      <c r="F31" s="692">
        <v>13</v>
      </c>
      <c r="G31" s="693">
        <v>48</v>
      </c>
      <c r="H31" s="694" t="s">
        <v>85</v>
      </c>
      <c r="I31" s="695" t="s">
        <v>85</v>
      </c>
      <c r="J31" s="695">
        <v>1</v>
      </c>
      <c r="K31" s="695">
        <v>1</v>
      </c>
      <c r="L31" s="695">
        <v>0</v>
      </c>
      <c r="M31" s="695">
        <v>2</v>
      </c>
      <c r="N31" s="695">
        <v>1</v>
      </c>
      <c r="O31" s="695">
        <v>0</v>
      </c>
      <c r="P31" s="695" t="s">
        <v>85</v>
      </c>
      <c r="Q31" s="695" t="s">
        <v>85</v>
      </c>
      <c r="R31" s="695">
        <v>6</v>
      </c>
      <c r="S31" s="696">
        <v>10022</v>
      </c>
      <c r="T31" s="705" t="s">
        <v>389</v>
      </c>
      <c r="U31" s="698" t="s">
        <v>548</v>
      </c>
      <c r="V31" s="696" t="s">
        <v>588</v>
      </c>
      <c r="W31" s="696" t="s">
        <v>741</v>
      </c>
      <c r="X31" s="699" t="s">
        <v>508</v>
      </c>
      <c r="Y31" s="696">
        <v>1</v>
      </c>
      <c r="Z31" s="696">
        <v>0</v>
      </c>
      <c r="AA31" s="696">
        <v>0</v>
      </c>
      <c r="AB31" s="700">
        <v>1</v>
      </c>
      <c r="AC31" s="696">
        <v>0</v>
      </c>
      <c r="AD31" s="696">
        <v>0</v>
      </c>
      <c r="AE31" s="696">
        <v>0</v>
      </c>
      <c r="AF31" s="700">
        <v>0</v>
      </c>
      <c r="AG31" s="696">
        <v>1</v>
      </c>
      <c r="AH31" s="696">
        <v>0</v>
      </c>
      <c r="AI31" s="696">
        <v>0</v>
      </c>
      <c r="AJ31" s="700">
        <v>1</v>
      </c>
    </row>
    <row r="32" spans="1:36" ht="15" customHeight="1" thickBot="1" x14ac:dyDescent="0.3">
      <c r="A32" s="239" t="s">
        <v>900</v>
      </c>
      <c r="B32" s="240" t="s">
        <v>54</v>
      </c>
      <c r="C32" s="122" t="s">
        <v>24</v>
      </c>
      <c r="D32" s="123" t="s">
        <v>90</v>
      </c>
      <c r="E32" s="123" t="s">
        <v>36</v>
      </c>
      <c r="F32" s="123">
        <v>19</v>
      </c>
      <c r="G32" s="241">
        <v>29</v>
      </c>
      <c r="H32" s="244">
        <v>0</v>
      </c>
      <c r="I32" s="242">
        <v>0</v>
      </c>
      <c r="J32" s="242">
        <v>1</v>
      </c>
      <c r="K32" s="242">
        <v>1</v>
      </c>
      <c r="L32" s="242">
        <v>0</v>
      </c>
      <c r="M32" s="242">
        <v>4</v>
      </c>
      <c r="N32" s="123">
        <v>0</v>
      </c>
      <c r="O32" s="242">
        <v>0</v>
      </c>
      <c r="P32" s="242">
        <v>1</v>
      </c>
      <c r="Q32" s="242">
        <v>0</v>
      </c>
      <c r="R32" s="242">
        <v>4</v>
      </c>
      <c r="S32" s="118">
        <v>7492</v>
      </c>
      <c r="T32" s="514" t="s">
        <v>947</v>
      </c>
      <c r="U32" s="245" t="s">
        <v>345</v>
      </c>
      <c r="V32" s="243" t="s">
        <v>346</v>
      </c>
      <c r="W32" s="243" t="s">
        <v>600</v>
      </c>
      <c r="X32" s="169" t="s">
        <v>369</v>
      </c>
      <c r="Y32" s="243">
        <v>1</v>
      </c>
      <c r="Z32" s="243">
        <v>0</v>
      </c>
      <c r="AA32" s="243">
        <v>0</v>
      </c>
      <c r="AB32" s="167">
        <v>1</v>
      </c>
      <c r="AC32" s="243">
        <v>1</v>
      </c>
      <c r="AD32" s="243">
        <v>0</v>
      </c>
      <c r="AE32" s="243">
        <v>0</v>
      </c>
      <c r="AF32" s="167">
        <v>1</v>
      </c>
      <c r="AG32" s="243">
        <v>0</v>
      </c>
      <c r="AH32" s="243">
        <v>0</v>
      </c>
      <c r="AI32" s="243">
        <v>0</v>
      </c>
      <c r="AJ32" s="167">
        <v>0</v>
      </c>
    </row>
    <row r="33" spans="1:36" ht="15" customHeight="1" thickBot="1" x14ac:dyDescent="0.3">
      <c r="A33" s="256" t="s">
        <v>145</v>
      </c>
      <c r="B33" s="255" t="s">
        <v>54</v>
      </c>
      <c r="C33" s="247" t="s">
        <v>26</v>
      </c>
      <c r="D33" s="257" t="s">
        <v>38</v>
      </c>
      <c r="E33" s="257" t="s">
        <v>36</v>
      </c>
      <c r="F33" s="257">
        <v>40</v>
      </c>
      <c r="G33" s="258">
        <v>42</v>
      </c>
      <c r="H33" s="259">
        <v>1</v>
      </c>
      <c r="I33" s="260">
        <v>1</v>
      </c>
      <c r="J33" s="260">
        <v>4</v>
      </c>
      <c r="K33" s="260">
        <v>4</v>
      </c>
      <c r="L33" s="260">
        <v>0</v>
      </c>
      <c r="M33" s="260">
        <v>4</v>
      </c>
      <c r="N33" s="260">
        <v>0</v>
      </c>
      <c r="O33" s="260">
        <v>0</v>
      </c>
      <c r="P33" s="260">
        <v>1</v>
      </c>
      <c r="Q33" s="260">
        <v>0</v>
      </c>
      <c r="R33" s="260">
        <v>5</v>
      </c>
      <c r="S33" s="261">
        <v>12515</v>
      </c>
      <c r="T33" s="590" t="s">
        <v>1005</v>
      </c>
      <c r="U33" s="263" t="s">
        <v>485</v>
      </c>
      <c r="V33" s="261" t="s">
        <v>368</v>
      </c>
      <c r="W33" s="261" t="s">
        <v>362</v>
      </c>
      <c r="X33" s="264" t="s">
        <v>991</v>
      </c>
      <c r="Y33" s="261">
        <v>1</v>
      </c>
      <c r="Z33" s="261">
        <v>0</v>
      </c>
      <c r="AA33" s="261">
        <v>0</v>
      </c>
      <c r="AB33" s="168">
        <v>1</v>
      </c>
      <c r="AC33" s="261">
        <v>0</v>
      </c>
      <c r="AD33" s="261">
        <v>0</v>
      </c>
      <c r="AE33" s="261">
        <v>0</v>
      </c>
      <c r="AF33" s="168">
        <v>0</v>
      </c>
      <c r="AG33" s="261">
        <v>1</v>
      </c>
      <c r="AH33" s="261">
        <v>0</v>
      </c>
      <c r="AI33" s="261">
        <v>0</v>
      </c>
      <c r="AJ33" s="168">
        <v>1</v>
      </c>
    </row>
    <row r="34" spans="1:36" ht="15" customHeight="1" thickBot="1" x14ac:dyDescent="0.3">
      <c r="A34" s="256" t="s">
        <v>164</v>
      </c>
      <c r="B34" s="255" t="s">
        <v>54</v>
      </c>
      <c r="C34" s="247" t="s">
        <v>29</v>
      </c>
      <c r="D34" s="257" t="s">
        <v>38</v>
      </c>
      <c r="E34" s="257" t="s">
        <v>36</v>
      </c>
      <c r="F34" s="257">
        <v>28</v>
      </c>
      <c r="G34" s="258">
        <v>34</v>
      </c>
      <c r="H34" s="259">
        <v>0</v>
      </c>
      <c r="I34" s="260">
        <v>1</v>
      </c>
      <c r="J34" s="260">
        <v>3</v>
      </c>
      <c r="K34" s="260">
        <v>2</v>
      </c>
      <c r="L34" s="260">
        <v>0</v>
      </c>
      <c r="M34" s="260">
        <v>3</v>
      </c>
      <c r="N34" s="260">
        <v>0</v>
      </c>
      <c r="O34" s="260">
        <v>0</v>
      </c>
      <c r="P34" s="260">
        <v>1</v>
      </c>
      <c r="Q34" s="260">
        <v>0</v>
      </c>
      <c r="R34" s="260">
        <v>5</v>
      </c>
      <c r="S34" s="775">
        <v>7058</v>
      </c>
      <c r="T34" s="516" t="s">
        <v>1018</v>
      </c>
      <c r="U34" s="263" t="s">
        <v>419</v>
      </c>
      <c r="V34" s="261" t="s">
        <v>375</v>
      </c>
      <c r="W34" s="261" t="s">
        <v>347</v>
      </c>
      <c r="X34" s="264" t="s">
        <v>600</v>
      </c>
      <c r="Y34" s="261">
        <v>1</v>
      </c>
      <c r="Z34" s="261">
        <v>0</v>
      </c>
      <c r="AA34" s="261">
        <v>0</v>
      </c>
      <c r="AB34" s="168">
        <v>1</v>
      </c>
      <c r="AC34" s="261">
        <v>0</v>
      </c>
      <c r="AD34" s="261">
        <v>0</v>
      </c>
      <c r="AE34" s="261">
        <v>0</v>
      </c>
      <c r="AF34" s="168">
        <v>0</v>
      </c>
      <c r="AG34" s="261">
        <v>1</v>
      </c>
      <c r="AH34" s="261">
        <v>0</v>
      </c>
      <c r="AI34" s="261">
        <v>0</v>
      </c>
      <c r="AJ34" s="168">
        <v>1</v>
      </c>
    </row>
    <row r="35" spans="1:36" ht="15" customHeight="1" thickBot="1" x14ac:dyDescent="0.3">
      <c r="A35" s="239" t="s">
        <v>148</v>
      </c>
      <c r="B35" s="240" t="s">
        <v>54</v>
      </c>
      <c r="C35" s="122" t="s">
        <v>10</v>
      </c>
      <c r="D35" s="123" t="s">
        <v>90</v>
      </c>
      <c r="E35" s="123" t="s">
        <v>34</v>
      </c>
      <c r="F35" s="123">
        <v>37</v>
      </c>
      <c r="G35" s="241">
        <v>21</v>
      </c>
      <c r="H35" s="244">
        <v>1</v>
      </c>
      <c r="I35" s="242">
        <v>0</v>
      </c>
      <c r="J35" s="242">
        <v>5</v>
      </c>
      <c r="K35" s="242">
        <v>3</v>
      </c>
      <c r="L35" s="242">
        <v>0</v>
      </c>
      <c r="M35" s="242">
        <v>2</v>
      </c>
      <c r="N35" s="242">
        <v>0</v>
      </c>
      <c r="O35" s="242">
        <v>0</v>
      </c>
      <c r="P35" s="242">
        <v>0</v>
      </c>
      <c r="Q35" s="242">
        <v>0</v>
      </c>
      <c r="R35" s="242">
        <v>2</v>
      </c>
      <c r="S35" s="285">
        <v>7014</v>
      </c>
      <c r="T35" s="524" t="s">
        <v>895</v>
      </c>
      <c r="U35" s="286" t="s">
        <v>880</v>
      </c>
      <c r="V35" s="287" t="s">
        <v>354</v>
      </c>
      <c r="W35" s="287" t="s">
        <v>601</v>
      </c>
      <c r="X35" s="288" t="s">
        <v>348</v>
      </c>
      <c r="Y35" s="243">
        <v>1</v>
      </c>
      <c r="Z35" s="243">
        <v>1</v>
      </c>
      <c r="AA35" s="243">
        <v>0</v>
      </c>
      <c r="AB35" s="167">
        <v>0</v>
      </c>
      <c r="AC35" s="243">
        <v>1</v>
      </c>
      <c r="AD35" s="243">
        <v>1</v>
      </c>
      <c r="AE35" s="243">
        <v>0</v>
      </c>
      <c r="AF35" s="167">
        <v>0</v>
      </c>
      <c r="AG35" s="243">
        <v>0</v>
      </c>
      <c r="AH35" s="243">
        <v>0</v>
      </c>
      <c r="AI35" s="243">
        <v>0</v>
      </c>
      <c r="AJ35" s="167">
        <v>0</v>
      </c>
    </row>
    <row r="36" spans="1:36" ht="15" customHeight="1" thickBot="1" x14ac:dyDescent="0.3">
      <c r="A36" s="66"/>
      <c r="B36" s="67"/>
      <c r="C36" s="885" t="s">
        <v>173</v>
      </c>
      <c r="D36" s="886"/>
      <c r="E36" s="887"/>
      <c r="F36" s="291">
        <f t="shared" ref="F36:R36" si="0">SUM(F3+F4+F5+F6+F7+F8+F13+F14+F15+F18+F19+F20+F21+F26+F27+F28+F29+F30+F32+F33+F34+F35)</f>
        <v>475</v>
      </c>
      <c r="G36" s="291">
        <f t="shared" si="0"/>
        <v>545</v>
      </c>
      <c r="H36" s="291">
        <f t="shared" si="0"/>
        <v>4</v>
      </c>
      <c r="I36" s="291">
        <f t="shared" si="0"/>
        <v>8</v>
      </c>
      <c r="J36" s="291">
        <f t="shared" si="0"/>
        <v>57</v>
      </c>
      <c r="K36" s="291">
        <f t="shared" si="0"/>
        <v>35</v>
      </c>
      <c r="L36" s="291">
        <f t="shared" si="0"/>
        <v>0</v>
      </c>
      <c r="M36" s="291">
        <f t="shared" si="0"/>
        <v>40</v>
      </c>
      <c r="N36" s="291">
        <f t="shared" si="0"/>
        <v>6</v>
      </c>
      <c r="O36" s="291">
        <f t="shared" si="0"/>
        <v>0</v>
      </c>
      <c r="P36" s="291">
        <f t="shared" si="0"/>
        <v>8</v>
      </c>
      <c r="Q36" s="291">
        <f t="shared" si="0"/>
        <v>1</v>
      </c>
      <c r="R36" s="291">
        <f t="shared" si="0"/>
        <v>61</v>
      </c>
      <c r="S36" s="68"/>
      <c r="T36" s="68"/>
      <c r="U36" s="68"/>
      <c r="V36" s="68"/>
      <c r="W36" s="68"/>
      <c r="X36" s="310" t="s">
        <v>173</v>
      </c>
      <c r="Y36" s="291">
        <f t="shared" ref="Y36:AJ36" si="1">SUM(Y3+Y4+Y5+Y6+Y7+Y8+Y13+Y14+Y15+Y18+Y19+Y20+Y21+Y26+Y27+Y28+Y29+Y30+Y32+Y33+Y34+Y35)</f>
        <v>22</v>
      </c>
      <c r="Z36" s="291">
        <f t="shared" si="1"/>
        <v>5</v>
      </c>
      <c r="AA36" s="291">
        <f t="shared" si="1"/>
        <v>1</v>
      </c>
      <c r="AB36" s="291">
        <f t="shared" si="1"/>
        <v>16</v>
      </c>
      <c r="AC36" s="121">
        <f t="shared" si="1"/>
        <v>11</v>
      </c>
      <c r="AD36" s="121">
        <f t="shared" si="1"/>
        <v>4</v>
      </c>
      <c r="AE36" s="121">
        <f t="shared" si="1"/>
        <v>1</v>
      </c>
      <c r="AF36" s="121">
        <f t="shared" si="1"/>
        <v>6</v>
      </c>
      <c r="AG36" s="289">
        <f t="shared" si="1"/>
        <v>11</v>
      </c>
      <c r="AH36" s="289">
        <f t="shared" si="1"/>
        <v>1</v>
      </c>
      <c r="AI36" s="289">
        <f t="shared" si="1"/>
        <v>0</v>
      </c>
      <c r="AJ36" s="289">
        <f t="shared" si="1"/>
        <v>10</v>
      </c>
    </row>
    <row r="37" spans="1:36" ht="15" customHeight="1" thickBot="1" x14ac:dyDescent="0.3">
      <c r="A37" s="68"/>
      <c r="B37" s="68"/>
      <c r="C37" s="911" t="s">
        <v>175</v>
      </c>
      <c r="D37" s="912"/>
      <c r="E37" s="913"/>
      <c r="F37" s="633">
        <f t="shared" ref="F37:R37" si="2">SUM(F9+F10+F16+F17+F22+F23)</f>
        <v>208</v>
      </c>
      <c r="G37" s="633">
        <f t="shared" si="2"/>
        <v>149</v>
      </c>
      <c r="H37" s="633">
        <f t="shared" si="2"/>
        <v>4</v>
      </c>
      <c r="I37" s="633">
        <f t="shared" si="2"/>
        <v>1</v>
      </c>
      <c r="J37" s="633">
        <f t="shared" si="2"/>
        <v>29</v>
      </c>
      <c r="K37" s="633">
        <f t="shared" si="2"/>
        <v>21</v>
      </c>
      <c r="L37" s="633">
        <f t="shared" si="2"/>
        <v>0</v>
      </c>
      <c r="M37" s="633">
        <f t="shared" si="2"/>
        <v>7</v>
      </c>
      <c r="N37" s="633">
        <f t="shared" si="2"/>
        <v>4</v>
      </c>
      <c r="O37" s="633">
        <f t="shared" si="2"/>
        <v>0</v>
      </c>
      <c r="P37" s="633">
        <f t="shared" si="2"/>
        <v>2</v>
      </c>
      <c r="Q37" s="633">
        <f t="shared" si="2"/>
        <v>1</v>
      </c>
      <c r="R37" s="633">
        <f t="shared" si="2"/>
        <v>20</v>
      </c>
      <c r="S37" s="634"/>
      <c r="T37" s="634"/>
      <c r="U37" s="634"/>
      <c r="V37" s="634"/>
      <c r="W37" s="635"/>
      <c r="X37" s="636" t="s">
        <v>175</v>
      </c>
      <c r="Y37" s="637">
        <f t="shared" ref="Y37:AJ37" si="3">SUM(Y9+Y10+Y16+Y17+Y22+Y23)</f>
        <v>6</v>
      </c>
      <c r="Z37" s="633">
        <f t="shared" si="3"/>
        <v>4</v>
      </c>
      <c r="AA37" s="633">
        <f t="shared" si="3"/>
        <v>0</v>
      </c>
      <c r="AB37" s="633">
        <f t="shared" si="3"/>
        <v>2</v>
      </c>
      <c r="AC37" s="638">
        <f t="shared" si="3"/>
        <v>3</v>
      </c>
      <c r="AD37" s="638">
        <f t="shared" si="3"/>
        <v>2</v>
      </c>
      <c r="AE37" s="638">
        <f t="shared" si="3"/>
        <v>0</v>
      </c>
      <c r="AF37" s="638">
        <f t="shared" si="3"/>
        <v>1</v>
      </c>
      <c r="AG37" s="639">
        <f t="shared" si="3"/>
        <v>3</v>
      </c>
      <c r="AH37" s="639">
        <f t="shared" si="3"/>
        <v>2</v>
      </c>
      <c r="AI37" s="639">
        <f t="shared" si="3"/>
        <v>0</v>
      </c>
      <c r="AJ37" s="639">
        <f t="shared" si="3"/>
        <v>1</v>
      </c>
    </row>
    <row r="38" spans="1:36" ht="15" customHeight="1" thickBot="1" x14ac:dyDescent="0.3">
      <c r="A38" s="68"/>
      <c r="B38" s="68"/>
      <c r="C38" s="911" t="s">
        <v>176</v>
      </c>
      <c r="D38" s="912"/>
      <c r="E38" s="913"/>
      <c r="F38" s="633">
        <f>SUM(F31)</f>
        <v>13</v>
      </c>
      <c r="G38" s="633">
        <f>SUM(G31)</f>
        <v>48</v>
      </c>
      <c r="H38" s="633" t="s">
        <v>85</v>
      </c>
      <c r="I38" s="633" t="s">
        <v>85</v>
      </c>
      <c r="J38" s="633">
        <f t="shared" ref="J38:O38" si="4">SUM(J31)</f>
        <v>1</v>
      </c>
      <c r="K38" s="633">
        <f t="shared" si="4"/>
        <v>1</v>
      </c>
      <c r="L38" s="633">
        <f t="shared" si="4"/>
        <v>0</v>
      </c>
      <c r="M38" s="633">
        <f t="shared" si="4"/>
        <v>2</v>
      </c>
      <c r="N38" s="633">
        <f t="shared" si="4"/>
        <v>1</v>
      </c>
      <c r="O38" s="633">
        <f t="shared" si="4"/>
        <v>0</v>
      </c>
      <c r="P38" s="633" t="s">
        <v>85</v>
      </c>
      <c r="Q38" s="633" t="s">
        <v>85</v>
      </c>
      <c r="R38" s="633">
        <f>SUM(R31)</f>
        <v>6</v>
      </c>
      <c r="S38" s="634"/>
      <c r="T38" s="634"/>
      <c r="U38" s="634"/>
      <c r="V38" s="634"/>
      <c r="W38" s="635"/>
      <c r="X38" s="636" t="s">
        <v>176</v>
      </c>
      <c r="Y38" s="637">
        <f>SUM(Y31)</f>
        <v>1</v>
      </c>
      <c r="Z38" s="637">
        <f t="shared" ref="Z38:AJ38" si="5">SUM(Z31)</f>
        <v>0</v>
      </c>
      <c r="AA38" s="637">
        <f t="shared" si="5"/>
        <v>0</v>
      </c>
      <c r="AB38" s="637">
        <f t="shared" si="5"/>
        <v>1</v>
      </c>
      <c r="AC38" s="761">
        <f t="shared" si="5"/>
        <v>0</v>
      </c>
      <c r="AD38" s="761">
        <f t="shared" si="5"/>
        <v>0</v>
      </c>
      <c r="AE38" s="761">
        <f t="shared" si="5"/>
        <v>0</v>
      </c>
      <c r="AF38" s="761">
        <f t="shared" si="5"/>
        <v>0</v>
      </c>
      <c r="AG38" s="762">
        <f t="shared" si="5"/>
        <v>1</v>
      </c>
      <c r="AH38" s="762">
        <f t="shared" si="5"/>
        <v>0</v>
      </c>
      <c r="AI38" s="762">
        <f t="shared" si="5"/>
        <v>0</v>
      </c>
      <c r="AJ38" s="762">
        <f t="shared" si="5"/>
        <v>1</v>
      </c>
    </row>
    <row r="39" spans="1:36" ht="15" customHeight="1" thickBot="1" x14ac:dyDescent="0.3">
      <c r="A39" s="68"/>
      <c r="B39" s="68"/>
      <c r="C39" s="891" t="s">
        <v>168</v>
      </c>
      <c r="D39" s="892"/>
      <c r="E39" s="893"/>
      <c r="F39" s="319">
        <f t="shared" ref="F39:R39" si="6">SUM(F11+F12+F24+F25)</f>
        <v>114</v>
      </c>
      <c r="G39" s="319">
        <f t="shared" si="6"/>
        <v>91</v>
      </c>
      <c r="H39" s="319">
        <f t="shared" si="6"/>
        <v>2</v>
      </c>
      <c r="I39" s="319">
        <f t="shared" si="6"/>
        <v>1</v>
      </c>
      <c r="J39" s="319">
        <f t="shared" si="6"/>
        <v>15</v>
      </c>
      <c r="K39" s="319">
        <f t="shared" si="6"/>
        <v>12</v>
      </c>
      <c r="L39" s="319">
        <f t="shared" si="6"/>
        <v>0</v>
      </c>
      <c r="M39" s="319">
        <f t="shared" si="6"/>
        <v>5</v>
      </c>
      <c r="N39" s="319">
        <f t="shared" si="6"/>
        <v>3</v>
      </c>
      <c r="O39" s="319">
        <f t="shared" si="6"/>
        <v>0</v>
      </c>
      <c r="P39" s="319">
        <f t="shared" si="6"/>
        <v>1</v>
      </c>
      <c r="Q39" s="319">
        <f t="shared" si="6"/>
        <v>0</v>
      </c>
      <c r="R39" s="319">
        <f t="shared" si="6"/>
        <v>10</v>
      </c>
      <c r="S39" s="321"/>
      <c r="T39" s="321"/>
      <c r="U39" s="321"/>
      <c r="V39" s="321"/>
      <c r="W39" s="329"/>
      <c r="X39" s="322" t="s">
        <v>168</v>
      </c>
      <c r="Y39" s="320">
        <f t="shared" ref="Y39:AJ39" si="7">SUM(Y11+Y12+Y24+Y25)</f>
        <v>4</v>
      </c>
      <c r="Z39" s="319">
        <f t="shared" si="7"/>
        <v>2</v>
      </c>
      <c r="AA39" s="319">
        <f t="shared" si="7"/>
        <v>0</v>
      </c>
      <c r="AB39" s="319">
        <f t="shared" si="7"/>
        <v>2</v>
      </c>
      <c r="AC39" s="324">
        <f t="shared" si="7"/>
        <v>2</v>
      </c>
      <c r="AD39" s="324">
        <f t="shared" si="7"/>
        <v>1</v>
      </c>
      <c r="AE39" s="324">
        <f t="shared" si="7"/>
        <v>0</v>
      </c>
      <c r="AF39" s="324">
        <f t="shared" si="7"/>
        <v>1</v>
      </c>
      <c r="AG39" s="323">
        <f t="shared" si="7"/>
        <v>2</v>
      </c>
      <c r="AH39" s="323">
        <f t="shared" si="7"/>
        <v>1</v>
      </c>
      <c r="AI39" s="323">
        <f t="shared" si="7"/>
        <v>0</v>
      </c>
      <c r="AJ39" s="323">
        <f t="shared" si="7"/>
        <v>1</v>
      </c>
    </row>
    <row r="40" spans="1:36" ht="15.75" thickBot="1" x14ac:dyDescent="0.3">
      <c r="C40" s="458" t="s">
        <v>166</v>
      </c>
      <c r="D40" s="459"/>
      <c r="E40" s="460"/>
      <c r="F40" s="461">
        <v>0</v>
      </c>
      <c r="G40" s="461">
        <v>0</v>
      </c>
      <c r="H40" s="465">
        <v>0</v>
      </c>
      <c r="I40" s="465">
        <v>0</v>
      </c>
      <c r="J40" s="461">
        <v>0</v>
      </c>
      <c r="K40" s="461">
        <v>0</v>
      </c>
      <c r="L40" s="461">
        <v>0</v>
      </c>
      <c r="M40" s="461">
        <v>0</v>
      </c>
      <c r="N40" s="461">
        <v>0</v>
      </c>
      <c r="O40" s="461">
        <v>0</v>
      </c>
      <c r="P40" s="461">
        <v>0</v>
      </c>
      <c r="Q40" s="461">
        <v>0</v>
      </c>
      <c r="R40" s="461">
        <v>0</v>
      </c>
      <c r="S40" s="462"/>
      <c r="T40" s="462"/>
      <c r="U40" s="462"/>
      <c r="V40" s="462"/>
      <c r="W40" s="463"/>
      <c r="X40" s="464" t="s">
        <v>166</v>
      </c>
      <c r="Y40" s="465">
        <v>0</v>
      </c>
      <c r="Z40" s="461">
        <v>0</v>
      </c>
      <c r="AA40" s="461">
        <v>0</v>
      </c>
      <c r="AB40" s="461">
        <v>0</v>
      </c>
      <c r="AC40" s="468">
        <v>0</v>
      </c>
      <c r="AD40" s="469">
        <v>0</v>
      </c>
      <c r="AE40" s="469">
        <v>0</v>
      </c>
      <c r="AF40" s="469">
        <v>0</v>
      </c>
      <c r="AG40" s="466">
        <v>0</v>
      </c>
      <c r="AH40" s="467">
        <v>0</v>
      </c>
      <c r="AI40" s="467">
        <v>0</v>
      </c>
      <c r="AJ40" s="467">
        <v>0</v>
      </c>
    </row>
    <row r="41" spans="1:36" ht="15.75" thickBot="1" x14ac:dyDescent="0.3">
      <c r="C41" s="882" t="s">
        <v>70</v>
      </c>
      <c r="D41" s="883"/>
      <c r="E41" s="884"/>
      <c r="F41" s="293">
        <f t="shared" ref="F41:R41" si="8">SUM(F3:F35)</f>
        <v>810</v>
      </c>
      <c r="G41" s="293">
        <f t="shared" si="8"/>
        <v>833</v>
      </c>
      <c r="H41" s="292">
        <f t="shared" si="8"/>
        <v>10</v>
      </c>
      <c r="I41" s="292">
        <f t="shared" si="8"/>
        <v>10</v>
      </c>
      <c r="J41" s="293">
        <f t="shared" si="8"/>
        <v>102</v>
      </c>
      <c r="K41" s="293">
        <f t="shared" si="8"/>
        <v>69</v>
      </c>
      <c r="L41" s="293">
        <f t="shared" si="8"/>
        <v>0</v>
      </c>
      <c r="M41" s="293">
        <f t="shared" si="8"/>
        <v>54</v>
      </c>
      <c r="N41" s="293">
        <f t="shared" si="8"/>
        <v>14</v>
      </c>
      <c r="O41" s="293">
        <f t="shared" si="8"/>
        <v>0</v>
      </c>
      <c r="P41" s="293">
        <f t="shared" si="8"/>
        <v>11</v>
      </c>
      <c r="Q41" s="293">
        <f t="shared" si="8"/>
        <v>2</v>
      </c>
      <c r="R41" s="293">
        <f t="shared" si="8"/>
        <v>97</v>
      </c>
      <c r="S41" s="68"/>
      <c r="T41" s="68"/>
      <c r="U41" s="68"/>
      <c r="V41" s="68"/>
      <c r="W41" s="331"/>
      <c r="X41" s="309" t="s">
        <v>70</v>
      </c>
      <c r="Y41" s="292">
        <f t="shared" ref="Y41:AJ41" si="9">SUM(Y3:Y35)</f>
        <v>33</v>
      </c>
      <c r="Z41" s="293">
        <f t="shared" si="9"/>
        <v>11</v>
      </c>
      <c r="AA41" s="293">
        <f t="shared" si="9"/>
        <v>1</v>
      </c>
      <c r="AB41" s="293">
        <f t="shared" si="9"/>
        <v>21</v>
      </c>
      <c r="AC41" s="198">
        <f t="shared" si="9"/>
        <v>16</v>
      </c>
      <c r="AD41" s="390">
        <f t="shared" si="9"/>
        <v>7</v>
      </c>
      <c r="AE41" s="390">
        <f t="shared" si="9"/>
        <v>1</v>
      </c>
      <c r="AF41" s="390">
        <f t="shared" si="9"/>
        <v>8</v>
      </c>
      <c r="AG41" s="290">
        <f t="shared" si="9"/>
        <v>17</v>
      </c>
      <c r="AH41" s="133">
        <f t="shared" si="9"/>
        <v>4</v>
      </c>
      <c r="AI41" s="133">
        <f t="shared" si="9"/>
        <v>0</v>
      </c>
      <c r="AJ41" s="133">
        <f t="shared" si="9"/>
        <v>13</v>
      </c>
    </row>
    <row r="42" spans="1:36" x14ac:dyDescent="0.25">
      <c r="A42" t="s">
        <v>849</v>
      </c>
    </row>
    <row r="43" spans="1:36" x14ac:dyDescent="0.25">
      <c r="A43" s="470" t="s">
        <v>253</v>
      </c>
    </row>
  </sheetData>
  <mergeCells count="11">
    <mergeCell ref="C39:E39"/>
    <mergeCell ref="C41:E41"/>
    <mergeCell ref="A1:D1"/>
    <mergeCell ref="E1:G1"/>
    <mergeCell ref="C37:E37"/>
    <mergeCell ref="C38:E38"/>
    <mergeCell ref="H1:I1"/>
    <mergeCell ref="J1:M1"/>
    <mergeCell ref="N1:O1"/>
    <mergeCell ref="P1:R1"/>
    <mergeCell ref="C36:E3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47"/>
  <sheetViews>
    <sheetView workbookViewId="0">
      <pane ySplit="2" topLeftCell="A19" activePane="bottomLeft" state="frozen"/>
      <selection pane="bottomLeft" activeCell="O25" sqref="O25"/>
    </sheetView>
  </sheetViews>
  <sheetFormatPr defaultRowHeight="15" x14ac:dyDescent="0.25"/>
  <cols>
    <col min="1" max="1" width="7.7109375" customWidth="1"/>
    <col min="2" max="2" width="5.7109375" customWidth="1"/>
    <col min="3" max="3" width="14.140625" customWidth="1"/>
    <col min="4" max="18" width="3.7109375" customWidth="1"/>
    <col min="19" max="19" width="6.7109375" customWidth="1"/>
    <col min="20" max="20" width="5.7109375" customWidth="1"/>
    <col min="21" max="21" width="19.42578125" customWidth="1"/>
    <col min="22" max="22" width="22" bestFit="1" customWidth="1"/>
    <col min="23" max="23" width="21.140625" customWidth="1"/>
    <col min="24" max="24" width="20.42578125" customWidth="1"/>
    <col min="25" max="36" width="3.7109375" customWidth="1"/>
  </cols>
  <sheetData>
    <row r="1" spans="1:36" ht="15" customHeight="1" thickBot="1" x14ac:dyDescent="0.3">
      <c r="A1" s="988" t="s">
        <v>150</v>
      </c>
      <c r="B1" s="989"/>
      <c r="C1" s="989"/>
      <c r="D1" s="990"/>
      <c r="E1" s="983" t="s">
        <v>77</v>
      </c>
      <c r="F1" s="991"/>
      <c r="G1" s="984"/>
      <c r="H1" s="983" t="s">
        <v>76</v>
      </c>
      <c r="I1" s="984"/>
      <c r="J1" s="985" t="s">
        <v>43</v>
      </c>
      <c r="K1" s="986"/>
      <c r="L1" s="986"/>
      <c r="M1" s="987"/>
      <c r="N1" s="985" t="s">
        <v>44</v>
      </c>
      <c r="O1" s="987"/>
      <c r="P1" s="985" t="s">
        <v>79</v>
      </c>
      <c r="Q1" s="986"/>
      <c r="R1" s="987"/>
      <c r="S1" s="425" t="s">
        <v>45</v>
      </c>
      <c r="T1" s="425" t="s">
        <v>46</v>
      </c>
      <c r="U1" s="426" t="s">
        <v>47</v>
      </c>
      <c r="V1" s="425" t="s">
        <v>48</v>
      </c>
      <c r="W1" s="427" t="s">
        <v>151</v>
      </c>
      <c r="X1" s="427" t="s">
        <v>152</v>
      </c>
      <c r="Y1" s="428" t="s">
        <v>71</v>
      </c>
      <c r="Z1" s="429"/>
      <c r="AA1" s="429"/>
      <c r="AB1" s="429"/>
      <c r="AC1" s="426" t="s">
        <v>72</v>
      </c>
      <c r="AD1" s="430"/>
      <c r="AE1" s="430"/>
      <c r="AF1" s="431"/>
      <c r="AG1" s="426" t="s">
        <v>73</v>
      </c>
      <c r="AH1" s="430"/>
      <c r="AI1" s="430"/>
      <c r="AJ1" s="430"/>
    </row>
    <row r="2" spans="1:36" ht="15" customHeight="1" thickBot="1" x14ac:dyDescent="0.3">
      <c r="A2" s="432" t="s">
        <v>69</v>
      </c>
      <c r="B2" s="433" t="s">
        <v>68</v>
      </c>
      <c r="C2" s="434" t="s">
        <v>113</v>
      </c>
      <c r="D2" s="434" t="s">
        <v>78</v>
      </c>
      <c r="E2" s="435" t="s">
        <v>53</v>
      </c>
      <c r="F2" s="435" t="s">
        <v>37</v>
      </c>
      <c r="G2" s="435" t="s">
        <v>38</v>
      </c>
      <c r="H2" s="436" t="s">
        <v>49</v>
      </c>
      <c r="I2" s="436" t="s">
        <v>36</v>
      </c>
      <c r="J2" s="436" t="s">
        <v>49</v>
      </c>
      <c r="K2" s="436" t="s">
        <v>50</v>
      </c>
      <c r="L2" s="436" t="s">
        <v>35</v>
      </c>
      <c r="M2" s="436" t="s">
        <v>51</v>
      </c>
      <c r="N2" s="436" t="s">
        <v>52</v>
      </c>
      <c r="O2" s="436" t="s">
        <v>53</v>
      </c>
      <c r="P2" s="436" t="s">
        <v>74</v>
      </c>
      <c r="Q2" s="436" t="s">
        <v>75</v>
      </c>
      <c r="R2" s="436" t="s">
        <v>49</v>
      </c>
      <c r="S2" s="437"/>
      <c r="T2" s="438"/>
      <c r="U2" s="439"/>
      <c r="V2" s="437"/>
      <c r="W2" s="440"/>
      <c r="X2" s="440"/>
      <c r="Y2" s="425" t="s">
        <v>33</v>
      </c>
      <c r="Z2" s="425" t="s">
        <v>34</v>
      </c>
      <c r="AA2" s="425" t="s">
        <v>35</v>
      </c>
      <c r="AB2" s="425" t="s">
        <v>36</v>
      </c>
      <c r="AC2" s="425" t="s">
        <v>33</v>
      </c>
      <c r="AD2" s="425" t="s">
        <v>34</v>
      </c>
      <c r="AE2" s="425" t="s">
        <v>35</v>
      </c>
      <c r="AF2" s="425" t="s">
        <v>36</v>
      </c>
      <c r="AG2" s="425" t="s">
        <v>33</v>
      </c>
      <c r="AH2" s="425" t="s">
        <v>34</v>
      </c>
      <c r="AI2" s="425" t="s">
        <v>35</v>
      </c>
      <c r="AJ2" s="425" t="s">
        <v>36</v>
      </c>
    </row>
    <row r="3" spans="1:36" ht="15" customHeight="1" thickBot="1" x14ac:dyDescent="0.3">
      <c r="A3" s="369" t="s">
        <v>201</v>
      </c>
      <c r="B3" s="240" t="s">
        <v>54</v>
      </c>
      <c r="C3" s="122" t="s">
        <v>26</v>
      </c>
      <c r="D3" s="123" t="s">
        <v>90</v>
      </c>
      <c r="E3" s="123" t="s">
        <v>34</v>
      </c>
      <c r="F3" s="123">
        <v>53</v>
      </c>
      <c r="G3" s="241">
        <v>6</v>
      </c>
      <c r="H3" s="244">
        <v>1</v>
      </c>
      <c r="I3" s="242">
        <v>0</v>
      </c>
      <c r="J3" s="242">
        <v>8</v>
      </c>
      <c r="K3" s="242">
        <v>5</v>
      </c>
      <c r="L3" s="242">
        <v>0</v>
      </c>
      <c r="M3" s="242">
        <v>1</v>
      </c>
      <c r="N3" s="242">
        <v>0</v>
      </c>
      <c r="O3" s="242">
        <v>0</v>
      </c>
      <c r="P3" s="242">
        <v>0</v>
      </c>
      <c r="Q3" s="242">
        <v>0</v>
      </c>
      <c r="R3" s="242">
        <v>0</v>
      </c>
      <c r="S3" s="661">
        <v>13474</v>
      </c>
      <c r="T3" s="592" t="s">
        <v>337</v>
      </c>
      <c r="U3" s="245" t="s">
        <v>338</v>
      </c>
      <c r="V3" s="243" t="s">
        <v>339</v>
      </c>
      <c r="W3" s="243" t="s">
        <v>340</v>
      </c>
      <c r="X3" s="169" t="s">
        <v>341</v>
      </c>
      <c r="Y3" s="243">
        <v>1</v>
      </c>
      <c r="Z3" s="243">
        <v>1</v>
      </c>
      <c r="AA3" s="243">
        <v>0</v>
      </c>
      <c r="AB3" s="167">
        <v>0</v>
      </c>
      <c r="AC3" s="243">
        <v>1</v>
      </c>
      <c r="AD3" s="243">
        <v>1</v>
      </c>
      <c r="AE3" s="243">
        <v>0</v>
      </c>
      <c r="AF3" s="167">
        <v>0</v>
      </c>
      <c r="AG3" s="243">
        <v>0</v>
      </c>
      <c r="AH3" s="243">
        <v>0</v>
      </c>
      <c r="AI3" s="243">
        <v>0</v>
      </c>
      <c r="AJ3" s="167">
        <v>0</v>
      </c>
    </row>
    <row r="4" spans="1:36" ht="15" customHeight="1" thickBot="1" x14ac:dyDescent="0.3">
      <c r="A4" s="256" t="s">
        <v>210</v>
      </c>
      <c r="B4" s="255" t="s">
        <v>54</v>
      </c>
      <c r="C4" s="247" t="s">
        <v>189</v>
      </c>
      <c r="D4" s="257" t="s">
        <v>380</v>
      </c>
      <c r="E4" s="257" t="s">
        <v>36</v>
      </c>
      <c r="F4" s="257">
        <v>16</v>
      </c>
      <c r="G4" s="258">
        <v>20</v>
      </c>
      <c r="H4" s="259">
        <v>0</v>
      </c>
      <c r="I4" s="260">
        <v>1</v>
      </c>
      <c r="J4" s="260">
        <v>1</v>
      </c>
      <c r="K4" s="257">
        <v>1</v>
      </c>
      <c r="L4" s="260">
        <v>0</v>
      </c>
      <c r="M4" s="257">
        <v>3</v>
      </c>
      <c r="N4" s="260">
        <v>1</v>
      </c>
      <c r="O4" s="260">
        <v>0</v>
      </c>
      <c r="P4" s="260">
        <v>0</v>
      </c>
      <c r="Q4" s="257">
        <v>0</v>
      </c>
      <c r="R4" s="260">
        <v>2</v>
      </c>
      <c r="S4" s="384">
        <v>6374</v>
      </c>
      <c r="T4" s="525" t="s">
        <v>398</v>
      </c>
      <c r="U4" s="385" t="s">
        <v>360</v>
      </c>
      <c r="V4" s="384" t="s">
        <v>399</v>
      </c>
      <c r="W4" s="384" t="s">
        <v>362</v>
      </c>
      <c r="X4" s="386" t="s">
        <v>363</v>
      </c>
      <c r="Y4" s="261">
        <v>1</v>
      </c>
      <c r="Z4" s="261">
        <v>0</v>
      </c>
      <c r="AA4" s="261">
        <v>0</v>
      </c>
      <c r="AB4" s="168">
        <v>1</v>
      </c>
      <c r="AC4" s="261">
        <v>0</v>
      </c>
      <c r="AD4" s="261">
        <v>0</v>
      </c>
      <c r="AE4" s="261">
        <v>0</v>
      </c>
      <c r="AF4" s="168">
        <v>0</v>
      </c>
      <c r="AG4" s="261">
        <v>1</v>
      </c>
      <c r="AH4" s="261">
        <v>0</v>
      </c>
      <c r="AI4" s="261">
        <v>0</v>
      </c>
      <c r="AJ4" s="168">
        <v>1</v>
      </c>
    </row>
    <row r="5" spans="1:36" ht="15" customHeight="1" thickBot="1" x14ac:dyDescent="0.3">
      <c r="A5" s="256" t="s">
        <v>217</v>
      </c>
      <c r="B5" s="255" t="s">
        <v>54</v>
      </c>
      <c r="C5" s="247" t="s">
        <v>66</v>
      </c>
      <c r="D5" s="257" t="s">
        <v>38</v>
      </c>
      <c r="E5" s="257" t="s">
        <v>34</v>
      </c>
      <c r="F5" s="257">
        <v>35</v>
      </c>
      <c r="G5" s="258">
        <v>10</v>
      </c>
      <c r="H5" s="265">
        <v>1</v>
      </c>
      <c r="I5" s="258">
        <v>0</v>
      </c>
      <c r="J5" s="260">
        <v>4</v>
      </c>
      <c r="K5" s="260">
        <v>3</v>
      </c>
      <c r="L5" s="260">
        <v>0</v>
      </c>
      <c r="M5" s="260">
        <v>3</v>
      </c>
      <c r="N5" s="260">
        <v>0</v>
      </c>
      <c r="O5" s="260">
        <v>0</v>
      </c>
      <c r="P5" s="257">
        <v>0</v>
      </c>
      <c r="Q5" s="260">
        <v>0</v>
      </c>
      <c r="R5" s="257">
        <v>1</v>
      </c>
      <c r="S5" s="261">
        <v>5057</v>
      </c>
      <c r="T5" s="590" t="s">
        <v>436</v>
      </c>
      <c r="U5" s="263" t="s">
        <v>367</v>
      </c>
      <c r="V5" s="261" t="s">
        <v>346</v>
      </c>
      <c r="W5" s="261" t="s">
        <v>341</v>
      </c>
      <c r="X5" s="264" t="s">
        <v>369</v>
      </c>
      <c r="Y5" s="261">
        <v>1</v>
      </c>
      <c r="Z5" s="261">
        <v>1</v>
      </c>
      <c r="AA5" s="261">
        <v>0</v>
      </c>
      <c r="AB5" s="168">
        <v>0</v>
      </c>
      <c r="AC5" s="261">
        <v>0</v>
      </c>
      <c r="AD5" s="261">
        <v>0</v>
      </c>
      <c r="AE5" s="261">
        <v>0</v>
      </c>
      <c r="AF5" s="168">
        <v>0</v>
      </c>
      <c r="AG5" s="261">
        <v>1</v>
      </c>
      <c r="AH5" s="261">
        <v>1</v>
      </c>
      <c r="AI5" s="261">
        <v>0</v>
      </c>
      <c r="AJ5" s="168">
        <v>0</v>
      </c>
    </row>
    <row r="6" spans="1:36" ht="15" customHeight="1" thickBot="1" x14ac:dyDescent="0.3">
      <c r="A6" s="239" t="s">
        <v>114</v>
      </c>
      <c r="B6" s="240" t="s">
        <v>54</v>
      </c>
      <c r="C6" s="122" t="s">
        <v>24</v>
      </c>
      <c r="D6" s="123" t="s">
        <v>90</v>
      </c>
      <c r="E6" s="123" t="s">
        <v>34</v>
      </c>
      <c r="F6" s="123">
        <v>31</v>
      </c>
      <c r="G6" s="241">
        <v>24</v>
      </c>
      <c r="H6" s="241">
        <v>1</v>
      </c>
      <c r="I6" s="242">
        <v>0</v>
      </c>
      <c r="J6" s="123">
        <v>4</v>
      </c>
      <c r="K6" s="123">
        <v>4</v>
      </c>
      <c r="L6" s="242">
        <v>0</v>
      </c>
      <c r="M6" s="242">
        <v>1</v>
      </c>
      <c r="N6" s="242">
        <v>0</v>
      </c>
      <c r="O6" s="242">
        <v>0</v>
      </c>
      <c r="P6" s="242">
        <v>0</v>
      </c>
      <c r="Q6" s="123">
        <v>1</v>
      </c>
      <c r="R6" s="242">
        <v>3</v>
      </c>
      <c r="S6" s="243">
        <v>13365</v>
      </c>
      <c r="T6" s="592" t="s">
        <v>451</v>
      </c>
      <c r="U6" s="245" t="s">
        <v>452</v>
      </c>
      <c r="V6" s="243" t="s">
        <v>393</v>
      </c>
      <c r="W6" s="243" t="s">
        <v>362</v>
      </c>
      <c r="X6" s="169" t="s">
        <v>356</v>
      </c>
      <c r="Y6" s="243">
        <v>1</v>
      </c>
      <c r="Z6" s="243">
        <v>1</v>
      </c>
      <c r="AA6" s="243">
        <v>0</v>
      </c>
      <c r="AB6" s="167">
        <v>0</v>
      </c>
      <c r="AC6" s="243">
        <v>1</v>
      </c>
      <c r="AD6" s="243">
        <v>1</v>
      </c>
      <c r="AE6" s="243">
        <v>0</v>
      </c>
      <c r="AF6" s="167">
        <v>0</v>
      </c>
      <c r="AG6" s="243">
        <v>0</v>
      </c>
      <c r="AH6" s="243">
        <v>0</v>
      </c>
      <c r="AI6" s="243">
        <v>0</v>
      </c>
      <c r="AJ6" s="167">
        <v>0</v>
      </c>
    </row>
    <row r="7" spans="1:36" ht="15" customHeight="1" thickBot="1" x14ac:dyDescent="0.3">
      <c r="A7" s="256" t="s">
        <v>92</v>
      </c>
      <c r="B7" s="255" t="s">
        <v>54</v>
      </c>
      <c r="C7" s="247" t="s">
        <v>91</v>
      </c>
      <c r="D7" s="257" t="s">
        <v>38</v>
      </c>
      <c r="E7" s="257" t="s">
        <v>34</v>
      </c>
      <c r="F7" s="257">
        <v>19</v>
      </c>
      <c r="G7" s="258">
        <v>12</v>
      </c>
      <c r="H7" s="259">
        <v>0</v>
      </c>
      <c r="I7" s="257">
        <v>0</v>
      </c>
      <c r="J7" s="260">
        <v>1</v>
      </c>
      <c r="K7" s="260">
        <v>1</v>
      </c>
      <c r="L7" s="260">
        <v>0</v>
      </c>
      <c r="M7" s="260">
        <v>4</v>
      </c>
      <c r="N7" s="260">
        <v>0</v>
      </c>
      <c r="O7" s="260">
        <v>0</v>
      </c>
      <c r="P7" s="260">
        <v>0</v>
      </c>
      <c r="Q7" s="260">
        <v>1</v>
      </c>
      <c r="R7" s="260">
        <v>0</v>
      </c>
      <c r="S7" s="261">
        <v>6717</v>
      </c>
      <c r="T7" s="516" t="s">
        <v>466</v>
      </c>
      <c r="U7" s="263" t="s">
        <v>419</v>
      </c>
      <c r="V7" s="261" t="s">
        <v>393</v>
      </c>
      <c r="W7" s="261" t="s">
        <v>370</v>
      </c>
      <c r="X7" s="264" t="s">
        <v>356</v>
      </c>
      <c r="Y7" s="261">
        <v>1</v>
      </c>
      <c r="Z7" s="261">
        <v>1</v>
      </c>
      <c r="AA7" s="261">
        <v>0</v>
      </c>
      <c r="AB7" s="168">
        <v>0</v>
      </c>
      <c r="AC7" s="261">
        <v>0</v>
      </c>
      <c r="AD7" s="261">
        <v>0</v>
      </c>
      <c r="AE7" s="261">
        <v>0</v>
      </c>
      <c r="AF7" s="168">
        <v>0</v>
      </c>
      <c r="AG7" s="261">
        <v>1</v>
      </c>
      <c r="AH7" s="261">
        <v>1</v>
      </c>
      <c r="AI7" s="261">
        <v>0</v>
      </c>
      <c r="AJ7" s="168">
        <v>0</v>
      </c>
    </row>
    <row r="8" spans="1:36" ht="15" customHeight="1" thickBot="1" x14ac:dyDescent="0.3">
      <c r="A8" s="239" t="s">
        <v>105</v>
      </c>
      <c r="B8" s="240" t="s">
        <v>54</v>
      </c>
      <c r="C8" s="122" t="s">
        <v>29</v>
      </c>
      <c r="D8" s="123" t="s">
        <v>90</v>
      </c>
      <c r="E8" s="123" t="s">
        <v>34</v>
      </c>
      <c r="F8" s="123">
        <v>43</v>
      </c>
      <c r="G8" s="241">
        <v>10</v>
      </c>
      <c r="H8" s="244">
        <v>1</v>
      </c>
      <c r="I8" s="123">
        <v>0</v>
      </c>
      <c r="J8" s="242">
        <v>6</v>
      </c>
      <c r="K8" s="242">
        <v>5</v>
      </c>
      <c r="L8" s="242">
        <v>0</v>
      </c>
      <c r="M8" s="242">
        <v>1</v>
      </c>
      <c r="N8" s="242">
        <v>0</v>
      </c>
      <c r="O8" s="242">
        <v>0</v>
      </c>
      <c r="P8" s="242">
        <v>0</v>
      </c>
      <c r="Q8" s="242">
        <v>0</v>
      </c>
      <c r="R8" s="242">
        <v>1</v>
      </c>
      <c r="S8" s="243">
        <v>13362</v>
      </c>
      <c r="T8" s="592" t="s">
        <v>490</v>
      </c>
      <c r="U8" s="245" t="s">
        <v>353</v>
      </c>
      <c r="V8" s="243" t="s">
        <v>368</v>
      </c>
      <c r="W8" s="243" t="s">
        <v>369</v>
      </c>
      <c r="X8" s="169" t="s">
        <v>376</v>
      </c>
      <c r="Y8" s="243">
        <v>1</v>
      </c>
      <c r="Z8" s="243">
        <v>1</v>
      </c>
      <c r="AA8" s="243">
        <v>0</v>
      </c>
      <c r="AB8" s="167">
        <v>0</v>
      </c>
      <c r="AC8" s="243">
        <v>1</v>
      </c>
      <c r="AD8" s="243">
        <v>1</v>
      </c>
      <c r="AE8" s="243">
        <v>0</v>
      </c>
      <c r="AF8" s="167">
        <v>0</v>
      </c>
      <c r="AG8" s="243">
        <v>0</v>
      </c>
      <c r="AH8" s="243">
        <v>0</v>
      </c>
      <c r="AI8" s="243">
        <v>0</v>
      </c>
      <c r="AJ8" s="167">
        <v>0</v>
      </c>
    </row>
    <row r="9" spans="1:36" ht="15" customHeight="1" thickBot="1" x14ac:dyDescent="0.3">
      <c r="A9" s="391" t="s">
        <v>107</v>
      </c>
      <c r="B9" s="392" t="s">
        <v>161</v>
      </c>
      <c r="C9" s="393" t="s">
        <v>564</v>
      </c>
      <c r="D9" s="394" t="s">
        <v>38</v>
      </c>
      <c r="E9" s="394" t="s">
        <v>36</v>
      </c>
      <c r="F9" s="394">
        <v>11</v>
      </c>
      <c r="G9" s="395">
        <v>20</v>
      </c>
      <c r="H9" s="396">
        <v>0</v>
      </c>
      <c r="I9" s="397">
        <v>0</v>
      </c>
      <c r="J9" s="397">
        <v>1</v>
      </c>
      <c r="K9" s="397">
        <v>0</v>
      </c>
      <c r="L9" s="397">
        <v>0</v>
      </c>
      <c r="M9" s="397">
        <v>2</v>
      </c>
      <c r="N9" s="397">
        <v>0</v>
      </c>
      <c r="O9" s="397">
        <v>0</v>
      </c>
      <c r="P9" s="397">
        <v>0</v>
      </c>
      <c r="Q9" s="394">
        <v>0</v>
      </c>
      <c r="R9" s="397">
        <v>2</v>
      </c>
      <c r="S9" s="398">
        <v>9180</v>
      </c>
      <c r="T9" s="641" t="s">
        <v>563</v>
      </c>
      <c r="U9" s="399" t="s">
        <v>536</v>
      </c>
      <c r="V9" s="398" t="s">
        <v>560</v>
      </c>
      <c r="W9" s="398" t="s">
        <v>561</v>
      </c>
      <c r="X9" s="400" t="s">
        <v>562</v>
      </c>
      <c r="Y9" s="398">
        <v>1</v>
      </c>
      <c r="Z9" s="398">
        <v>0</v>
      </c>
      <c r="AA9" s="398">
        <v>0</v>
      </c>
      <c r="AB9" s="401">
        <v>1</v>
      </c>
      <c r="AC9" s="398">
        <v>0</v>
      </c>
      <c r="AD9" s="398">
        <v>0</v>
      </c>
      <c r="AE9" s="398">
        <v>0</v>
      </c>
      <c r="AF9" s="401">
        <v>0</v>
      </c>
      <c r="AG9" s="398">
        <v>1</v>
      </c>
      <c r="AH9" s="398">
        <v>0</v>
      </c>
      <c r="AI9" s="398">
        <v>0</v>
      </c>
      <c r="AJ9" s="401">
        <v>1</v>
      </c>
    </row>
    <row r="10" spans="1:36" ht="15" customHeight="1" thickBot="1" x14ac:dyDescent="0.3">
      <c r="A10" s="402" t="s">
        <v>93</v>
      </c>
      <c r="B10" s="403" t="s">
        <v>161</v>
      </c>
      <c r="C10" s="404" t="s">
        <v>229</v>
      </c>
      <c r="D10" s="405" t="s">
        <v>90</v>
      </c>
      <c r="E10" s="405" t="s">
        <v>34</v>
      </c>
      <c r="F10" s="405">
        <v>34</v>
      </c>
      <c r="G10" s="406">
        <v>6</v>
      </c>
      <c r="H10" s="407">
        <v>1</v>
      </c>
      <c r="I10" s="408">
        <v>0</v>
      </c>
      <c r="J10" s="408">
        <v>4</v>
      </c>
      <c r="K10" s="408">
        <v>4</v>
      </c>
      <c r="L10" s="408">
        <v>0</v>
      </c>
      <c r="M10" s="408">
        <v>2</v>
      </c>
      <c r="N10" s="408">
        <v>0</v>
      </c>
      <c r="O10" s="408">
        <v>0</v>
      </c>
      <c r="P10" s="408">
        <v>0</v>
      </c>
      <c r="Q10" s="405">
        <v>0</v>
      </c>
      <c r="R10" s="408">
        <v>0</v>
      </c>
      <c r="S10" s="409">
        <v>13362</v>
      </c>
      <c r="T10" s="642" t="s">
        <v>556</v>
      </c>
      <c r="U10" s="411" t="s">
        <v>522</v>
      </c>
      <c r="V10" s="409" t="s">
        <v>559</v>
      </c>
      <c r="W10" s="409" t="s">
        <v>557</v>
      </c>
      <c r="X10" s="412" t="s">
        <v>558</v>
      </c>
      <c r="Y10" s="409">
        <v>1</v>
      </c>
      <c r="Z10" s="409">
        <v>1</v>
      </c>
      <c r="AA10" s="409">
        <v>0</v>
      </c>
      <c r="AB10" s="413">
        <v>0</v>
      </c>
      <c r="AC10" s="409">
        <v>1</v>
      </c>
      <c r="AD10" s="409">
        <v>1</v>
      </c>
      <c r="AE10" s="409">
        <v>0</v>
      </c>
      <c r="AF10" s="413">
        <v>0</v>
      </c>
      <c r="AG10" s="409">
        <v>0</v>
      </c>
      <c r="AH10" s="409">
        <v>0</v>
      </c>
      <c r="AI10" s="409">
        <v>0</v>
      </c>
      <c r="AJ10" s="413">
        <v>0</v>
      </c>
    </row>
    <row r="11" spans="1:36" ht="15" customHeight="1" thickBot="1" x14ac:dyDescent="0.3">
      <c r="A11" s="248" t="s">
        <v>94</v>
      </c>
      <c r="B11" s="249" t="s">
        <v>96</v>
      </c>
      <c r="C11" s="250" t="s">
        <v>66</v>
      </c>
      <c r="D11" s="283" t="s">
        <v>90</v>
      </c>
      <c r="E11" s="283" t="s">
        <v>34</v>
      </c>
      <c r="F11" s="283">
        <v>37</v>
      </c>
      <c r="G11" s="284">
        <v>23</v>
      </c>
      <c r="H11" s="277">
        <v>1</v>
      </c>
      <c r="I11" s="276">
        <v>0</v>
      </c>
      <c r="J11" s="276">
        <v>5</v>
      </c>
      <c r="K11" s="276">
        <v>3</v>
      </c>
      <c r="L11" s="276">
        <v>0</v>
      </c>
      <c r="M11" s="276">
        <v>2</v>
      </c>
      <c r="N11" s="276">
        <v>0</v>
      </c>
      <c r="O11" s="276">
        <v>0</v>
      </c>
      <c r="P11" s="276">
        <v>0</v>
      </c>
      <c r="Q11" s="283">
        <v>0</v>
      </c>
      <c r="R11" s="276">
        <v>2</v>
      </c>
      <c r="S11" s="443">
        <v>13362</v>
      </c>
      <c r="T11" s="644" t="s">
        <v>480</v>
      </c>
      <c r="U11" s="444" t="s">
        <v>600</v>
      </c>
      <c r="V11" s="445" t="s">
        <v>510</v>
      </c>
      <c r="W11" s="278" t="s">
        <v>571</v>
      </c>
      <c r="X11" s="280" t="s">
        <v>445</v>
      </c>
      <c r="Y11" s="278">
        <v>1</v>
      </c>
      <c r="Z11" s="278">
        <v>1</v>
      </c>
      <c r="AA11" s="278">
        <v>0</v>
      </c>
      <c r="AB11" s="281">
        <v>0</v>
      </c>
      <c r="AC11" s="278">
        <v>1</v>
      </c>
      <c r="AD11" s="278">
        <v>1</v>
      </c>
      <c r="AE11" s="278">
        <v>0</v>
      </c>
      <c r="AF11" s="281">
        <v>0</v>
      </c>
      <c r="AG11" s="278">
        <v>0</v>
      </c>
      <c r="AH11" s="278">
        <v>0</v>
      </c>
      <c r="AI11" s="278">
        <v>0</v>
      </c>
      <c r="AJ11" s="281">
        <v>0</v>
      </c>
    </row>
    <row r="12" spans="1:36" ht="15" customHeight="1" thickBot="1" x14ac:dyDescent="0.3">
      <c r="A12" s="251" t="s">
        <v>615</v>
      </c>
      <c r="B12" s="252" t="s">
        <v>96</v>
      </c>
      <c r="C12" s="253" t="s">
        <v>230</v>
      </c>
      <c r="D12" s="269" t="s">
        <v>38</v>
      </c>
      <c r="E12" s="269" t="s">
        <v>34</v>
      </c>
      <c r="F12" s="269">
        <v>24</v>
      </c>
      <c r="G12" s="275">
        <v>7</v>
      </c>
      <c r="H12" s="268">
        <v>0</v>
      </c>
      <c r="I12" s="267">
        <v>0</v>
      </c>
      <c r="J12" s="267">
        <v>3</v>
      </c>
      <c r="K12" s="267">
        <v>3</v>
      </c>
      <c r="L12" s="267">
        <v>0</v>
      </c>
      <c r="M12" s="267">
        <v>1</v>
      </c>
      <c r="N12" s="267">
        <v>0</v>
      </c>
      <c r="O12" s="267">
        <v>0</v>
      </c>
      <c r="P12" s="267">
        <v>0</v>
      </c>
      <c r="Q12" s="269">
        <v>0</v>
      </c>
      <c r="R12" s="267">
        <v>1</v>
      </c>
      <c r="S12" s="272">
        <v>5564</v>
      </c>
      <c r="T12" s="651" t="s">
        <v>620</v>
      </c>
      <c r="U12" s="271" t="s">
        <v>621</v>
      </c>
      <c r="V12" s="272" t="s">
        <v>510</v>
      </c>
      <c r="W12" s="272" t="s">
        <v>554</v>
      </c>
      <c r="X12" s="273" t="s">
        <v>622</v>
      </c>
      <c r="Y12" s="272">
        <v>1</v>
      </c>
      <c r="Z12" s="272">
        <v>1</v>
      </c>
      <c r="AA12" s="272">
        <v>0</v>
      </c>
      <c r="AB12" s="274">
        <v>0</v>
      </c>
      <c r="AC12" s="272">
        <v>0</v>
      </c>
      <c r="AD12" s="272">
        <v>0</v>
      </c>
      <c r="AE12" s="272">
        <v>0</v>
      </c>
      <c r="AF12" s="274">
        <v>0</v>
      </c>
      <c r="AG12" s="272">
        <v>1</v>
      </c>
      <c r="AH12" s="272">
        <v>1</v>
      </c>
      <c r="AI12" s="272">
        <v>0</v>
      </c>
      <c r="AJ12" s="274">
        <v>0</v>
      </c>
    </row>
    <row r="13" spans="1:36" ht="15" customHeight="1" thickBot="1" x14ac:dyDescent="0.3">
      <c r="A13" s="239" t="s">
        <v>633</v>
      </c>
      <c r="B13" s="240" t="s">
        <v>54</v>
      </c>
      <c r="C13" s="122" t="s">
        <v>30</v>
      </c>
      <c r="D13" s="123" t="s">
        <v>90</v>
      </c>
      <c r="E13" s="123" t="s">
        <v>36</v>
      </c>
      <c r="F13" s="123">
        <v>18</v>
      </c>
      <c r="G13" s="241">
        <v>24</v>
      </c>
      <c r="H13" s="244">
        <v>0</v>
      </c>
      <c r="I13" s="242">
        <v>1</v>
      </c>
      <c r="J13" s="242">
        <v>2</v>
      </c>
      <c r="K13" s="242">
        <v>1</v>
      </c>
      <c r="L13" s="242">
        <v>0</v>
      </c>
      <c r="M13" s="242">
        <v>2</v>
      </c>
      <c r="N13" s="242">
        <v>0</v>
      </c>
      <c r="O13" s="242">
        <v>0</v>
      </c>
      <c r="P13" s="242">
        <v>0</v>
      </c>
      <c r="Q13" s="123">
        <v>0</v>
      </c>
      <c r="R13" s="242">
        <v>3</v>
      </c>
      <c r="S13" s="243">
        <v>13362</v>
      </c>
      <c r="T13" s="514" t="s">
        <v>635</v>
      </c>
      <c r="U13" s="245" t="s">
        <v>636</v>
      </c>
      <c r="V13" s="243" t="s">
        <v>393</v>
      </c>
      <c r="W13" s="243" t="s">
        <v>387</v>
      </c>
      <c r="X13" s="169" t="s">
        <v>348</v>
      </c>
      <c r="Y13" s="243">
        <v>1</v>
      </c>
      <c r="Z13" s="243">
        <v>0</v>
      </c>
      <c r="AA13" s="243">
        <v>0</v>
      </c>
      <c r="AB13" s="167">
        <v>1</v>
      </c>
      <c r="AC13" s="243">
        <v>1</v>
      </c>
      <c r="AD13" s="243">
        <v>0</v>
      </c>
      <c r="AE13" s="243">
        <v>0</v>
      </c>
      <c r="AF13" s="167">
        <v>1</v>
      </c>
      <c r="AG13" s="243">
        <v>0</v>
      </c>
      <c r="AH13" s="243">
        <v>0</v>
      </c>
      <c r="AI13" s="243">
        <v>0</v>
      </c>
      <c r="AJ13" s="167">
        <v>0</v>
      </c>
    </row>
    <row r="14" spans="1:36" ht="15" customHeight="1" thickBot="1" x14ac:dyDescent="0.3">
      <c r="A14" s="256" t="s">
        <v>207</v>
      </c>
      <c r="B14" s="255" t="s">
        <v>54</v>
      </c>
      <c r="C14" s="247" t="s">
        <v>21</v>
      </c>
      <c r="D14" s="257" t="s">
        <v>38</v>
      </c>
      <c r="E14" s="257" t="s">
        <v>34</v>
      </c>
      <c r="F14" s="257">
        <v>31</v>
      </c>
      <c r="G14" s="258">
        <v>24</v>
      </c>
      <c r="H14" s="258">
        <v>0</v>
      </c>
      <c r="I14" s="260">
        <v>0</v>
      </c>
      <c r="J14" s="260">
        <v>3</v>
      </c>
      <c r="K14" s="260">
        <v>2</v>
      </c>
      <c r="L14" s="260">
        <v>0</v>
      </c>
      <c r="M14" s="260">
        <v>4</v>
      </c>
      <c r="N14" s="260">
        <v>1</v>
      </c>
      <c r="O14" s="260">
        <v>0</v>
      </c>
      <c r="P14" s="260">
        <v>0</v>
      </c>
      <c r="Q14" s="257">
        <v>1</v>
      </c>
      <c r="R14" s="260">
        <v>3</v>
      </c>
      <c r="S14" s="261">
        <v>8314</v>
      </c>
      <c r="T14" s="590" t="s">
        <v>659</v>
      </c>
      <c r="U14" s="263" t="s">
        <v>419</v>
      </c>
      <c r="V14" s="261" t="s">
        <v>375</v>
      </c>
      <c r="W14" s="261" t="s">
        <v>355</v>
      </c>
      <c r="X14" s="264" t="s">
        <v>387</v>
      </c>
      <c r="Y14" s="261">
        <v>1</v>
      </c>
      <c r="Z14" s="261">
        <v>1</v>
      </c>
      <c r="AA14" s="261">
        <v>0</v>
      </c>
      <c r="AB14" s="168">
        <v>0</v>
      </c>
      <c r="AC14" s="261">
        <v>0</v>
      </c>
      <c r="AD14" s="261">
        <v>0</v>
      </c>
      <c r="AE14" s="261">
        <v>0</v>
      </c>
      <c r="AF14" s="168">
        <v>0</v>
      </c>
      <c r="AG14" s="261">
        <v>1</v>
      </c>
      <c r="AH14" s="261">
        <v>1</v>
      </c>
      <c r="AI14" s="261">
        <v>0</v>
      </c>
      <c r="AJ14" s="168">
        <v>0</v>
      </c>
    </row>
    <row r="15" spans="1:36" ht="15" customHeight="1" thickBot="1" x14ac:dyDescent="0.3">
      <c r="A15" s="256" t="s">
        <v>215</v>
      </c>
      <c r="B15" s="255" t="s">
        <v>54</v>
      </c>
      <c r="C15" s="247" t="s">
        <v>190</v>
      </c>
      <c r="D15" s="257" t="s">
        <v>38</v>
      </c>
      <c r="E15" s="257" t="s">
        <v>34</v>
      </c>
      <c r="F15" s="257">
        <v>43</v>
      </c>
      <c r="G15" s="258">
        <v>14</v>
      </c>
      <c r="H15" s="259">
        <v>1</v>
      </c>
      <c r="I15" s="260">
        <v>0</v>
      </c>
      <c r="J15" s="260">
        <v>7</v>
      </c>
      <c r="K15" s="260">
        <v>4</v>
      </c>
      <c r="L15" s="260">
        <v>0</v>
      </c>
      <c r="M15" s="260">
        <v>0</v>
      </c>
      <c r="N15" s="257">
        <v>1</v>
      </c>
      <c r="O15" s="260">
        <v>0</v>
      </c>
      <c r="P15" s="260">
        <v>0</v>
      </c>
      <c r="Q15" s="257">
        <v>0</v>
      </c>
      <c r="R15" s="260">
        <v>2</v>
      </c>
      <c r="S15" s="261">
        <v>4357</v>
      </c>
      <c r="T15" s="590" t="s">
        <v>684</v>
      </c>
      <c r="U15" s="263" t="s">
        <v>452</v>
      </c>
      <c r="V15" s="261" t="s">
        <v>346</v>
      </c>
      <c r="W15" s="261" t="s">
        <v>356</v>
      </c>
      <c r="X15" s="264" t="s">
        <v>362</v>
      </c>
      <c r="Y15" s="261">
        <v>1</v>
      </c>
      <c r="Z15" s="261">
        <v>1</v>
      </c>
      <c r="AA15" s="261">
        <v>0</v>
      </c>
      <c r="AB15" s="168">
        <v>0</v>
      </c>
      <c r="AC15" s="261">
        <v>0</v>
      </c>
      <c r="AD15" s="261">
        <v>0</v>
      </c>
      <c r="AE15" s="261">
        <v>0</v>
      </c>
      <c r="AF15" s="168">
        <v>0</v>
      </c>
      <c r="AG15" s="261">
        <v>1</v>
      </c>
      <c r="AH15" s="261">
        <v>1</v>
      </c>
      <c r="AI15" s="261">
        <v>0</v>
      </c>
      <c r="AJ15" s="168">
        <v>0</v>
      </c>
    </row>
    <row r="16" spans="1:36" ht="15" customHeight="1" thickBot="1" x14ac:dyDescent="0.3">
      <c r="A16" s="391" t="s">
        <v>155</v>
      </c>
      <c r="B16" s="392" t="s">
        <v>161</v>
      </c>
      <c r="C16" s="414" t="s">
        <v>233</v>
      </c>
      <c r="D16" s="394" t="s">
        <v>38</v>
      </c>
      <c r="E16" s="394" t="s">
        <v>34</v>
      </c>
      <c r="F16" s="394">
        <v>38</v>
      </c>
      <c r="G16" s="395">
        <v>15</v>
      </c>
      <c r="H16" s="396">
        <v>1</v>
      </c>
      <c r="I16" s="397">
        <v>0</v>
      </c>
      <c r="J16" s="397">
        <v>6</v>
      </c>
      <c r="K16" s="397">
        <v>4</v>
      </c>
      <c r="L16" s="397">
        <v>0</v>
      </c>
      <c r="M16" s="397">
        <v>0</v>
      </c>
      <c r="N16" s="397">
        <v>0</v>
      </c>
      <c r="O16" s="397">
        <v>0</v>
      </c>
      <c r="P16" s="397">
        <v>0</v>
      </c>
      <c r="Q16" s="394">
        <v>0</v>
      </c>
      <c r="R16" s="397">
        <v>2</v>
      </c>
      <c r="S16" s="415">
        <v>3786</v>
      </c>
      <c r="T16" s="643" t="s">
        <v>359</v>
      </c>
      <c r="U16" s="399" t="s">
        <v>576</v>
      </c>
      <c r="V16" s="398" t="s">
        <v>537</v>
      </c>
      <c r="W16" s="398" t="s">
        <v>518</v>
      </c>
      <c r="X16" s="400" t="s">
        <v>691</v>
      </c>
      <c r="Y16" s="398">
        <v>1</v>
      </c>
      <c r="Z16" s="398">
        <v>1</v>
      </c>
      <c r="AA16" s="398">
        <v>0</v>
      </c>
      <c r="AB16" s="401">
        <v>0</v>
      </c>
      <c r="AC16" s="398">
        <v>0</v>
      </c>
      <c r="AD16" s="398">
        <v>0</v>
      </c>
      <c r="AE16" s="398">
        <v>0</v>
      </c>
      <c r="AF16" s="401">
        <v>0</v>
      </c>
      <c r="AG16" s="398">
        <v>1</v>
      </c>
      <c r="AH16" s="398">
        <v>1</v>
      </c>
      <c r="AI16" s="398">
        <v>0</v>
      </c>
      <c r="AJ16" s="401">
        <v>0</v>
      </c>
    </row>
    <row r="17" spans="1:36" ht="15" customHeight="1" thickBot="1" x14ac:dyDescent="0.3">
      <c r="A17" s="402" t="s">
        <v>122</v>
      </c>
      <c r="B17" s="403" t="s">
        <v>161</v>
      </c>
      <c r="C17" s="404" t="s">
        <v>233</v>
      </c>
      <c r="D17" s="405" t="s">
        <v>90</v>
      </c>
      <c r="E17" s="405" t="s">
        <v>34</v>
      </c>
      <c r="F17" s="405">
        <v>67</v>
      </c>
      <c r="G17" s="406">
        <v>0</v>
      </c>
      <c r="H17" s="407">
        <v>1</v>
      </c>
      <c r="I17" s="408">
        <v>0</v>
      </c>
      <c r="J17" s="408">
        <v>11</v>
      </c>
      <c r="K17" s="408">
        <v>6</v>
      </c>
      <c r="L17" s="408">
        <v>0</v>
      </c>
      <c r="M17" s="408">
        <v>0</v>
      </c>
      <c r="N17" s="408">
        <v>0</v>
      </c>
      <c r="O17" s="408">
        <v>0</v>
      </c>
      <c r="P17" s="408">
        <v>0</v>
      </c>
      <c r="Q17" s="408">
        <v>0</v>
      </c>
      <c r="R17" s="408">
        <v>0</v>
      </c>
      <c r="S17" s="409">
        <v>13344</v>
      </c>
      <c r="T17" s="642" t="s">
        <v>707</v>
      </c>
      <c r="U17" s="411" t="s">
        <v>597</v>
      </c>
      <c r="V17" s="409" t="s">
        <v>513</v>
      </c>
      <c r="W17" s="409" t="s">
        <v>590</v>
      </c>
      <c r="X17" s="412" t="s">
        <v>708</v>
      </c>
      <c r="Y17" s="409">
        <v>1</v>
      </c>
      <c r="Z17" s="409">
        <v>1</v>
      </c>
      <c r="AA17" s="409">
        <v>0</v>
      </c>
      <c r="AB17" s="413">
        <v>0</v>
      </c>
      <c r="AC17" s="409">
        <v>1</v>
      </c>
      <c r="AD17" s="409">
        <v>1</v>
      </c>
      <c r="AE17" s="409">
        <v>0</v>
      </c>
      <c r="AF17" s="413">
        <v>0</v>
      </c>
      <c r="AG17" s="409">
        <v>0</v>
      </c>
      <c r="AH17" s="409">
        <v>0</v>
      </c>
      <c r="AI17" s="409">
        <v>0</v>
      </c>
      <c r="AJ17" s="413">
        <v>0</v>
      </c>
    </row>
    <row r="18" spans="1:36" ht="15" customHeight="1" thickBot="1" x14ac:dyDescent="0.3">
      <c r="A18" s="239" t="s">
        <v>104</v>
      </c>
      <c r="B18" s="240" t="s">
        <v>54</v>
      </c>
      <c r="C18" s="122" t="s">
        <v>28</v>
      </c>
      <c r="D18" s="123" t="s">
        <v>90</v>
      </c>
      <c r="E18" s="123" t="s">
        <v>34</v>
      </c>
      <c r="F18" s="123">
        <v>23</v>
      </c>
      <c r="G18" s="241">
        <v>19</v>
      </c>
      <c r="H18" s="244">
        <v>0</v>
      </c>
      <c r="I18" s="242">
        <v>0</v>
      </c>
      <c r="J18" s="242">
        <v>3</v>
      </c>
      <c r="K18" s="242">
        <v>1</v>
      </c>
      <c r="L18" s="242">
        <v>0</v>
      </c>
      <c r="M18" s="242">
        <v>2</v>
      </c>
      <c r="N18" s="242">
        <v>0</v>
      </c>
      <c r="O18" s="242">
        <v>1</v>
      </c>
      <c r="P18" s="242">
        <v>0</v>
      </c>
      <c r="Q18" s="242">
        <v>0</v>
      </c>
      <c r="R18" s="242">
        <v>3</v>
      </c>
      <c r="S18" s="243">
        <v>13362</v>
      </c>
      <c r="T18" s="517" t="s">
        <v>553</v>
      </c>
      <c r="U18" s="245" t="s">
        <v>345</v>
      </c>
      <c r="V18" s="243" t="s">
        <v>339</v>
      </c>
      <c r="W18" s="243" t="s">
        <v>356</v>
      </c>
      <c r="X18" s="169" t="s">
        <v>452</v>
      </c>
      <c r="Y18" s="243">
        <v>1</v>
      </c>
      <c r="Z18" s="243">
        <v>1</v>
      </c>
      <c r="AA18" s="243">
        <v>0</v>
      </c>
      <c r="AB18" s="167">
        <v>0</v>
      </c>
      <c r="AC18" s="243">
        <v>1</v>
      </c>
      <c r="AD18" s="243">
        <v>1</v>
      </c>
      <c r="AE18" s="243">
        <v>0</v>
      </c>
      <c r="AF18" s="167">
        <v>0</v>
      </c>
      <c r="AG18" s="243">
        <v>0</v>
      </c>
      <c r="AH18" s="243">
        <v>0</v>
      </c>
      <c r="AI18" s="243">
        <v>0</v>
      </c>
      <c r="AJ18" s="167">
        <v>0</v>
      </c>
    </row>
    <row r="19" spans="1:36" ht="15" customHeight="1" thickBot="1" x14ac:dyDescent="0.3">
      <c r="A19" s="256" t="s">
        <v>98</v>
      </c>
      <c r="B19" s="255" t="s">
        <v>54</v>
      </c>
      <c r="C19" s="247" t="s">
        <v>10</v>
      </c>
      <c r="D19" s="257" t="s">
        <v>629</v>
      </c>
      <c r="E19" s="257" t="s">
        <v>34</v>
      </c>
      <c r="F19" s="257">
        <v>30</v>
      </c>
      <c r="G19" s="258">
        <v>25</v>
      </c>
      <c r="H19" s="259">
        <v>0</v>
      </c>
      <c r="I19" s="260">
        <v>0</v>
      </c>
      <c r="J19" s="260">
        <v>3</v>
      </c>
      <c r="K19" s="260">
        <v>3</v>
      </c>
      <c r="L19" s="260">
        <v>0</v>
      </c>
      <c r="M19" s="260">
        <v>3</v>
      </c>
      <c r="N19" s="260">
        <v>1</v>
      </c>
      <c r="O19" s="260">
        <v>0</v>
      </c>
      <c r="P19" s="260">
        <v>0</v>
      </c>
      <c r="Q19" s="260">
        <v>1</v>
      </c>
      <c r="R19" s="260">
        <v>3</v>
      </c>
      <c r="S19" s="261">
        <v>82000</v>
      </c>
      <c r="T19" s="590" t="s">
        <v>765</v>
      </c>
      <c r="U19" s="263" t="s">
        <v>338</v>
      </c>
      <c r="V19" s="261" t="s">
        <v>339</v>
      </c>
      <c r="W19" s="261" t="s">
        <v>340</v>
      </c>
      <c r="X19" s="264" t="s">
        <v>390</v>
      </c>
      <c r="Y19" s="261">
        <v>1</v>
      </c>
      <c r="Z19" s="261">
        <v>1</v>
      </c>
      <c r="AA19" s="261">
        <v>0</v>
      </c>
      <c r="AB19" s="168">
        <v>0</v>
      </c>
      <c r="AC19" s="261">
        <v>0</v>
      </c>
      <c r="AD19" s="261">
        <v>0</v>
      </c>
      <c r="AE19" s="261">
        <v>0</v>
      </c>
      <c r="AF19" s="168">
        <v>0</v>
      </c>
      <c r="AG19" s="261">
        <v>1</v>
      </c>
      <c r="AH19" s="261">
        <v>1</v>
      </c>
      <c r="AI19" s="261">
        <v>0</v>
      </c>
      <c r="AJ19" s="168">
        <v>0</v>
      </c>
    </row>
    <row r="20" spans="1:36" ht="15" customHeight="1" thickBot="1" x14ac:dyDescent="0.3">
      <c r="A20" s="239" t="s">
        <v>786</v>
      </c>
      <c r="B20" s="240" t="s">
        <v>54</v>
      </c>
      <c r="C20" s="122" t="s">
        <v>66</v>
      </c>
      <c r="D20" s="123" t="s">
        <v>90</v>
      </c>
      <c r="E20" s="123" t="s">
        <v>34</v>
      </c>
      <c r="F20" s="123">
        <v>39</v>
      </c>
      <c r="G20" s="241">
        <v>31</v>
      </c>
      <c r="H20" s="244">
        <v>1</v>
      </c>
      <c r="I20" s="242">
        <v>0</v>
      </c>
      <c r="J20" s="242">
        <v>5</v>
      </c>
      <c r="K20" s="242">
        <v>4</v>
      </c>
      <c r="L20" s="242">
        <v>0</v>
      </c>
      <c r="M20" s="242">
        <v>2</v>
      </c>
      <c r="N20" s="242">
        <v>0</v>
      </c>
      <c r="O20" s="242">
        <v>0</v>
      </c>
      <c r="P20" s="242">
        <v>1</v>
      </c>
      <c r="Q20" s="242">
        <v>0</v>
      </c>
      <c r="R20" s="242">
        <v>4</v>
      </c>
      <c r="S20" s="243">
        <v>13362</v>
      </c>
      <c r="T20" s="592" t="s">
        <v>451</v>
      </c>
      <c r="U20" s="245" t="s">
        <v>485</v>
      </c>
      <c r="V20" s="243" t="s">
        <v>354</v>
      </c>
      <c r="W20" s="243" t="s">
        <v>355</v>
      </c>
      <c r="X20" s="169" t="s">
        <v>613</v>
      </c>
      <c r="Y20" s="243">
        <v>1</v>
      </c>
      <c r="Z20" s="243">
        <v>1</v>
      </c>
      <c r="AA20" s="243">
        <v>0</v>
      </c>
      <c r="AB20" s="167">
        <v>0</v>
      </c>
      <c r="AC20" s="243">
        <v>1</v>
      </c>
      <c r="AD20" s="243">
        <v>1</v>
      </c>
      <c r="AE20" s="243">
        <v>0</v>
      </c>
      <c r="AF20" s="167">
        <v>0</v>
      </c>
      <c r="AG20" s="243">
        <v>0</v>
      </c>
      <c r="AH20" s="243">
        <v>0</v>
      </c>
      <c r="AI20" s="243">
        <v>0</v>
      </c>
      <c r="AJ20" s="167">
        <v>0</v>
      </c>
    </row>
    <row r="21" spans="1:36" ht="15" customHeight="1" thickBot="1" x14ac:dyDescent="0.3">
      <c r="A21" s="256" t="s">
        <v>100</v>
      </c>
      <c r="B21" s="255" t="s">
        <v>54</v>
      </c>
      <c r="C21" s="247" t="s">
        <v>29</v>
      </c>
      <c r="D21" s="257" t="s">
        <v>38</v>
      </c>
      <c r="E21" s="257" t="s">
        <v>36</v>
      </c>
      <c r="F21" s="257">
        <v>7</v>
      </c>
      <c r="G21" s="258">
        <v>20</v>
      </c>
      <c r="H21" s="259">
        <v>0</v>
      </c>
      <c r="I21" s="260">
        <v>0</v>
      </c>
      <c r="J21" s="260">
        <v>1</v>
      </c>
      <c r="K21" s="260">
        <v>1</v>
      </c>
      <c r="L21" s="260">
        <v>0</v>
      </c>
      <c r="M21" s="260">
        <v>0</v>
      </c>
      <c r="N21" s="260">
        <v>2</v>
      </c>
      <c r="O21" s="260">
        <v>0</v>
      </c>
      <c r="P21" s="260">
        <v>0</v>
      </c>
      <c r="Q21" s="260">
        <v>0</v>
      </c>
      <c r="R21" s="260">
        <v>2</v>
      </c>
      <c r="S21" s="261">
        <v>8311</v>
      </c>
      <c r="T21" s="516" t="s">
        <v>809</v>
      </c>
      <c r="U21" s="263" t="s">
        <v>419</v>
      </c>
      <c r="V21" s="261" t="s">
        <v>346</v>
      </c>
      <c r="W21" s="261" t="s">
        <v>601</v>
      </c>
      <c r="X21" s="264" t="s">
        <v>347</v>
      </c>
      <c r="Y21" s="261">
        <v>1</v>
      </c>
      <c r="Z21" s="261">
        <v>0</v>
      </c>
      <c r="AA21" s="261">
        <v>0</v>
      </c>
      <c r="AB21" s="168">
        <v>1</v>
      </c>
      <c r="AC21" s="261">
        <v>0</v>
      </c>
      <c r="AD21" s="261">
        <v>0</v>
      </c>
      <c r="AE21" s="261">
        <v>0</v>
      </c>
      <c r="AF21" s="168">
        <v>0</v>
      </c>
      <c r="AG21" s="261">
        <v>1</v>
      </c>
      <c r="AH21" s="261">
        <v>0</v>
      </c>
      <c r="AI21" s="261">
        <v>0</v>
      </c>
      <c r="AJ21" s="168">
        <v>1</v>
      </c>
    </row>
    <row r="22" spans="1:36" ht="15" customHeight="1" thickBot="1" x14ac:dyDescent="0.3">
      <c r="A22" s="391" t="s">
        <v>776</v>
      </c>
      <c r="B22" s="392" t="s">
        <v>161</v>
      </c>
      <c r="C22" s="414" t="s">
        <v>229</v>
      </c>
      <c r="D22" s="394" t="s">
        <v>38</v>
      </c>
      <c r="E22" s="394" t="s">
        <v>34</v>
      </c>
      <c r="F22" s="394">
        <v>20</v>
      </c>
      <c r="G22" s="395">
        <v>9</v>
      </c>
      <c r="H22" s="396">
        <v>0</v>
      </c>
      <c r="I22" s="397">
        <v>0</v>
      </c>
      <c r="J22" s="397">
        <v>2</v>
      </c>
      <c r="K22" s="397">
        <v>2</v>
      </c>
      <c r="L22" s="397">
        <v>0</v>
      </c>
      <c r="M22" s="397">
        <v>2</v>
      </c>
      <c r="N22" s="394">
        <v>1</v>
      </c>
      <c r="O22" s="397">
        <v>0</v>
      </c>
      <c r="P22" s="397">
        <v>0</v>
      </c>
      <c r="Q22" s="397">
        <v>0</v>
      </c>
      <c r="R22" s="397">
        <v>0</v>
      </c>
      <c r="S22" s="398">
        <v>7308</v>
      </c>
      <c r="T22" s="643" t="s">
        <v>593</v>
      </c>
      <c r="U22" s="399" t="s">
        <v>512</v>
      </c>
      <c r="V22" s="398" t="s">
        <v>513</v>
      </c>
      <c r="W22" s="398" t="s">
        <v>590</v>
      </c>
      <c r="X22" s="400" t="s">
        <v>828</v>
      </c>
      <c r="Y22" s="398">
        <v>1</v>
      </c>
      <c r="Z22" s="398">
        <v>1</v>
      </c>
      <c r="AA22" s="398">
        <v>0</v>
      </c>
      <c r="AB22" s="401">
        <v>0</v>
      </c>
      <c r="AC22" s="398">
        <v>0</v>
      </c>
      <c r="AD22" s="398">
        <v>0</v>
      </c>
      <c r="AE22" s="398">
        <v>0</v>
      </c>
      <c r="AF22" s="401">
        <v>0</v>
      </c>
      <c r="AG22" s="398">
        <v>1</v>
      </c>
      <c r="AH22" s="398">
        <v>1</v>
      </c>
      <c r="AI22" s="398">
        <v>0</v>
      </c>
      <c r="AJ22" s="401">
        <v>0</v>
      </c>
    </row>
    <row r="23" spans="1:36" ht="15" customHeight="1" thickBot="1" x14ac:dyDescent="0.3">
      <c r="A23" s="402" t="s">
        <v>102</v>
      </c>
      <c r="B23" s="403" t="s">
        <v>161</v>
      </c>
      <c r="C23" s="404" t="s">
        <v>564</v>
      </c>
      <c r="D23" s="405" t="s">
        <v>90</v>
      </c>
      <c r="E23" s="405" t="s">
        <v>36</v>
      </c>
      <c r="F23" s="405">
        <v>8</v>
      </c>
      <c r="G23" s="406">
        <v>32</v>
      </c>
      <c r="H23" s="407">
        <v>0</v>
      </c>
      <c r="I23" s="408">
        <v>0</v>
      </c>
      <c r="J23" s="408">
        <v>1</v>
      </c>
      <c r="K23" s="408">
        <v>0</v>
      </c>
      <c r="L23" s="408">
        <v>0</v>
      </c>
      <c r="M23" s="408">
        <v>1</v>
      </c>
      <c r="N23" s="408">
        <v>1</v>
      </c>
      <c r="O23" s="408">
        <v>0</v>
      </c>
      <c r="P23" s="408">
        <v>1</v>
      </c>
      <c r="Q23" s="408">
        <v>0</v>
      </c>
      <c r="R23" s="408">
        <v>4</v>
      </c>
      <c r="S23" s="409">
        <v>13362</v>
      </c>
      <c r="T23" s="520" t="s">
        <v>791</v>
      </c>
      <c r="U23" s="411" t="s">
        <v>531</v>
      </c>
      <c r="V23" s="409" t="s">
        <v>533</v>
      </c>
      <c r="W23" s="409" t="s">
        <v>694</v>
      </c>
      <c r="X23" s="412" t="s">
        <v>700</v>
      </c>
      <c r="Y23" s="409">
        <v>1</v>
      </c>
      <c r="Z23" s="409">
        <v>0</v>
      </c>
      <c r="AA23" s="409">
        <v>0</v>
      </c>
      <c r="AB23" s="413">
        <v>1</v>
      </c>
      <c r="AC23" s="409">
        <v>1</v>
      </c>
      <c r="AD23" s="409">
        <v>0</v>
      </c>
      <c r="AE23" s="409">
        <v>0</v>
      </c>
      <c r="AF23" s="413">
        <v>1</v>
      </c>
      <c r="AG23" s="409">
        <v>0</v>
      </c>
      <c r="AH23" s="409">
        <v>0</v>
      </c>
      <c r="AI23" s="409">
        <v>0</v>
      </c>
      <c r="AJ23" s="413">
        <v>0</v>
      </c>
    </row>
    <row r="24" spans="1:36" ht="15" customHeight="1" thickBot="1" x14ac:dyDescent="0.3">
      <c r="A24" s="251" t="s">
        <v>103</v>
      </c>
      <c r="B24" s="252" t="s">
        <v>96</v>
      </c>
      <c r="C24" s="253" t="s">
        <v>28</v>
      </c>
      <c r="D24" s="269" t="s">
        <v>38</v>
      </c>
      <c r="E24" s="269" t="s">
        <v>36</v>
      </c>
      <c r="F24" s="269">
        <v>8</v>
      </c>
      <c r="G24" s="275">
        <v>17</v>
      </c>
      <c r="H24" s="268">
        <v>0</v>
      </c>
      <c r="I24" s="267">
        <v>0</v>
      </c>
      <c r="J24" s="269">
        <v>1</v>
      </c>
      <c r="K24" s="267">
        <v>0</v>
      </c>
      <c r="L24" s="267">
        <v>0</v>
      </c>
      <c r="M24" s="267">
        <v>1</v>
      </c>
      <c r="N24" s="267">
        <v>0</v>
      </c>
      <c r="O24" s="267">
        <v>0</v>
      </c>
      <c r="P24" s="267">
        <v>0</v>
      </c>
      <c r="Q24" s="267">
        <v>0</v>
      </c>
      <c r="R24" s="267">
        <v>2</v>
      </c>
      <c r="S24" s="270">
        <v>24000</v>
      </c>
      <c r="T24" s="651" t="s">
        <v>855</v>
      </c>
      <c r="U24" s="271" t="s">
        <v>531</v>
      </c>
      <c r="V24" s="272" t="s">
        <v>510</v>
      </c>
      <c r="W24" s="272" t="s">
        <v>854</v>
      </c>
      <c r="X24" s="273" t="s">
        <v>445</v>
      </c>
      <c r="Y24" s="272">
        <v>1</v>
      </c>
      <c r="Z24" s="272">
        <v>0</v>
      </c>
      <c r="AA24" s="272">
        <v>0</v>
      </c>
      <c r="AB24" s="274">
        <v>1</v>
      </c>
      <c r="AC24" s="272">
        <v>0</v>
      </c>
      <c r="AD24" s="272">
        <v>0</v>
      </c>
      <c r="AE24" s="272">
        <v>0</v>
      </c>
      <c r="AF24" s="274">
        <v>0</v>
      </c>
      <c r="AG24" s="272">
        <v>1</v>
      </c>
      <c r="AH24" s="272">
        <v>0</v>
      </c>
      <c r="AI24" s="272">
        <v>0</v>
      </c>
      <c r="AJ24" s="274">
        <v>1</v>
      </c>
    </row>
    <row r="25" spans="1:36" ht="15" customHeight="1" thickBot="1" x14ac:dyDescent="0.3">
      <c r="A25" s="248" t="s">
        <v>111</v>
      </c>
      <c r="B25" s="249" t="s">
        <v>96</v>
      </c>
      <c r="C25" s="250" t="s">
        <v>189</v>
      </c>
      <c r="D25" s="283" t="s">
        <v>90</v>
      </c>
      <c r="E25" s="283" t="s">
        <v>34</v>
      </c>
      <c r="F25" s="283">
        <v>29</v>
      </c>
      <c r="G25" s="284">
        <v>6</v>
      </c>
      <c r="H25" s="277">
        <v>1</v>
      </c>
      <c r="I25" s="276">
        <v>0</v>
      </c>
      <c r="J25" s="276">
        <v>4</v>
      </c>
      <c r="K25" s="276">
        <v>3</v>
      </c>
      <c r="L25" s="276">
        <v>0</v>
      </c>
      <c r="M25" s="276">
        <v>1</v>
      </c>
      <c r="N25" s="276">
        <v>0</v>
      </c>
      <c r="O25" s="276">
        <v>0</v>
      </c>
      <c r="P25" s="276">
        <v>0</v>
      </c>
      <c r="Q25" s="276">
        <v>0</v>
      </c>
      <c r="R25" s="276">
        <v>0</v>
      </c>
      <c r="S25" s="278">
        <v>13362</v>
      </c>
      <c r="T25" s="649" t="s">
        <v>391</v>
      </c>
      <c r="U25" s="279" t="s">
        <v>601</v>
      </c>
      <c r="V25" s="278" t="s">
        <v>510</v>
      </c>
      <c r="W25" s="278" t="s">
        <v>686</v>
      </c>
      <c r="X25" s="280" t="s">
        <v>347</v>
      </c>
      <c r="Y25" s="278">
        <v>1</v>
      </c>
      <c r="Z25" s="278">
        <v>1</v>
      </c>
      <c r="AA25" s="278">
        <v>0</v>
      </c>
      <c r="AB25" s="281">
        <v>0</v>
      </c>
      <c r="AC25" s="278">
        <v>1</v>
      </c>
      <c r="AD25" s="278">
        <v>1</v>
      </c>
      <c r="AE25" s="278">
        <v>0</v>
      </c>
      <c r="AF25" s="281">
        <v>0</v>
      </c>
      <c r="AG25" s="278">
        <v>0</v>
      </c>
      <c r="AH25" s="278">
        <v>0</v>
      </c>
      <c r="AI25" s="278">
        <v>0</v>
      </c>
      <c r="AJ25" s="281">
        <v>0</v>
      </c>
    </row>
    <row r="26" spans="1:36" ht="15" customHeight="1" thickBot="1" x14ac:dyDescent="0.3">
      <c r="A26" s="239" t="s">
        <v>779</v>
      </c>
      <c r="B26" s="240" t="s">
        <v>54</v>
      </c>
      <c r="C26" s="122" t="s">
        <v>91</v>
      </c>
      <c r="D26" s="123" t="s">
        <v>90</v>
      </c>
      <c r="E26" s="123" t="s">
        <v>34</v>
      </c>
      <c r="F26" s="123">
        <v>15</v>
      </c>
      <c r="G26" s="241">
        <v>9</v>
      </c>
      <c r="H26" s="244">
        <v>0</v>
      </c>
      <c r="I26" s="242">
        <v>0</v>
      </c>
      <c r="J26" s="242">
        <v>2</v>
      </c>
      <c r="K26" s="242">
        <v>1</v>
      </c>
      <c r="L26" s="242">
        <v>0</v>
      </c>
      <c r="M26" s="242">
        <v>1</v>
      </c>
      <c r="N26" s="242">
        <v>1</v>
      </c>
      <c r="O26" s="242">
        <v>0</v>
      </c>
      <c r="P26" s="242">
        <v>0</v>
      </c>
      <c r="Q26" s="242">
        <v>1</v>
      </c>
      <c r="R26" s="242">
        <v>0</v>
      </c>
      <c r="S26" s="243">
        <v>13362</v>
      </c>
      <c r="T26" s="592" t="s">
        <v>732</v>
      </c>
      <c r="U26" s="245" t="s">
        <v>353</v>
      </c>
      <c r="V26" s="243" t="s">
        <v>339</v>
      </c>
      <c r="W26" s="243" t="s">
        <v>390</v>
      </c>
      <c r="X26" s="169" t="s">
        <v>369</v>
      </c>
      <c r="Y26" s="243">
        <v>1</v>
      </c>
      <c r="Z26" s="243">
        <v>1</v>
      </c>
      <c r="AA26" s="243">
        <v>0</v>
      </c>
      <c r="AB26" s="167">
        <v>0</v>
      </c>
      <c r="AC26" s="243">
        <v>1</v>
      </c>
      <c r="AD26" s="243">
        <v>1</v>
      </c>
      <c r="AE26" s="243">
        <v>0</v>
      </c>
      <c r="AF26" s="167">
        <v>0</v>
      </c>
      <c r="AG26" s="243">
        <v>0</v>
      </c>
      <c r="AH26" s="243">
        <v>0</v>
      </c>
      <c r="AI26" s="243">
        <v>0</v>
      </c>
      <c r="AJ26" s="167">
        <v>0</v>
      </c>
    </row>
    <row r="27" spans="1:36" ht="15" customHeight="1" thickBot="1" x14ac:dyDescent="0.3">
      <c r="A27" s="256" t="s">
        <v>156</v>
      </c>
      <c r="B27" s="255" t="s">
        <v>54</v>
      </c>
      <c r="C27" s="247" t="s">
        <v>24</v>
      </c>
      <c r="D27" s="257" t="s">
        <v>38</v>
      </c>
      <c r="E27" s="257" t="s">
        <v>34</v>
      </c>
      <c r="F27" s="257">
        <v>21</v>
      </c>
      <c r="G27" s="258">
        <v>13</v>
      </c>
      <c r="H27" s="259">
        <v>0</v>
      </c>
      <c r="I27" s="260">
        <v>0</v>
      </c>
      <c r="J27" s="260">
        <v>2</v>
      </c>
      <c r="K27" s="260">
        <v>1</v>
      </c>
      <c r="L27" s="260">
        <v>0</v>
      </c>
      <c r="M27" s="260">
        <v>3</v>
      </c>
      <c r="N27" s="260">
        <v>1</v>
      </c>
      <c r="O27" s="260">
        <v>0</v>
      </c>
      <c r="P27" s="260">
        <v>0</v>
      </c>
      <c r="Q27" s="260">
        <v>0</v>
      </c>
      <c r="R27" s="260">
        <v>1</v>
      </c>
      <c r="S27" s="373">
        <v>13349</v>
      </c>
      <c r="T27" s="662" t="s">
        <v>443</v>
      </c>
      <c r="U27" s="263" t="s">
        <v>367</v>
      </c>
      <c r="V27" s="261" t="s">
        <v>368</v>
      </c>
      <c r="W27" s="261" t="s">
        <v>356</v>
      </c>
      <c r="X27" s="264" t="s">
        <v>348</v>
      </c>
      <c r="Y27" s="261">
        <v>1</v>
      </c>
      <c r="Z27" s="261">
        <v>1</v>
      </c>
      <c r="AA27" s="261">
        <v>0</v>
      </c>
      <c r="AB27" s="168">
        <v>0</v>
      </c>
      <c r="AC27" s="261">
        <v>0</v>
      </c>
      <c r="AD27" s="261">
        <v>0</v>
      </c>
      <c r="AE27" s="261">
        <v>0</v>
      </c>
      <c r="AF27" s="168">
        <v>0</v>
      </c>
      <c r="AG27" s="261">
        <v>1</v>
      </c>
      <c r="AH27" s="261">
        <v>1</v>
      </c>
      <c r="AI27" s="261">
        <v>0</v>
      </c>
      <c r="AJ27" s="168">
        <v>0</v>
      </c>
    </row>
    <row r="28" spans="1:36" ht="15" customHeight="1" thickBot="1" x14ac:dyDescent="0.3">
      <c r="A28" s="239" t="s">
        <v>782</v>
      </c>
      <c r="B28" s="240" t="s">
        <v>54</v>
      </c>
      <c r="C28" s="122" t="s">
        <v>10</v>
      </c>
      <c r="D28" s="123" t="s">
        <v>90</v>
      </c>
      <c r="E28" s="123" t="s">
        <v>34</v>
      </c>
      <c r="F28" s="123">
        <v>17</v>
      </c>
      <c r="G28" s="241">
        <v>13</v>
      </c>
      <c r="H28" s="244">
        <v>0</v>
      </c>
      <c r="I28" s="242">
        <v>0</v>
      </c>
      <c r="J28" s="242">
        <v>3</v>
      </c>
      <c r="K28" s="242">
        <v>1</v>
      </c>
      <c r="L28" s="242">
        <v>0</v>
      </c>
      <c r="M28" s="242">
        <v>0</v>
      </c>
      <c r="N28" s="242">
        <v>0</v>
      </c>
      <c r="O28" s="242">
        <v>0</v>
      </c>
      <c r="P28" s="242">
        <v>0</v>
      </c>
      <c r="Q28" s="242">
        <v>1</v>
      </c>
      <c r="R28" s="242">
        <v>1</v>
      </c>
      <c r="S28" s="243">
        <v>13362</v>
      </c>
      <c r="T28" s="592" t="s">
        <v>724</v>
      </c>
      <c r="U28" s="245" t="s">
        <v>452</v>
      </c>
      <c r="V28" s="243" t="s">
        <v>339</v>
      </c>
      <c r="W28" s="243" t="s">
        <v>907</v>
      </c>
      <c r="X28" s="169" t="s">
        <v>355</v>
      </c>
      <c r="Y28" s="243">
        <v>1</v>
      </c>
      <c r="Z28" s="243">
        <v>1</v>
      </c>
      <c r="AA28" s="243">
        <v>0</v>
      </c>
      <c r="AB28" s="167">
        <v>0</v>
      </c>
      <c r="AC28" s="243">
        <v>1</v>
      </c>
      <c r="AD28" s="243">
        <v>1</v>
      </c>
      <c r="AE28" s="243">
        <v>0</v>
      </c>
      <c r="AF28" s="167">
        <v>0</v>
      </c>
      <c r="AG28" s="243">
        <v>0</v>
      </c>
      <c r="AH28" s="243">
        <v>0</v>
      </c>
      <c r="AI28" s="243">
        <v>0</v>
      </c>
      <c r="AJ28" s="167">
        <v>0</v>
      </c>
    </row>
    <row r="29" spans="1:36" ht="15" customHeight="1" thickBot="1" x14ac:dyDescent="0.3">
      <c r="A29" s="256" t="s">
        <v>157</v>
      </c>
      <c r="B29" s="255" t="s">
        <v>54</v>
      </c>
      <c r="C29" s="247" t="s">
        <v>26</v>
      </c>
      <c r="D29" s="257" t="s">
        <v>38</v>
      </c>
      <c r="E29" s="257" t="s">
        <v>35</v>
      </c>
      <c r="F29" s="257">
        <v>33</v>
      </c>
      <c r="G29" s="258">
        <v>33</v>
      </c>
      <c r="H29" s="259">
        <v>0</v>
      </c>
      <c r="I29" s="260">
        <v>0</v>
      </c>
      <c r="J29" s="260">
        <v>3</v>
      </c>
      <c r="K29" s="260">
        <v>3</v>
      </c>
      <c r="L29" s="260">
        <v>0</v>
      </c>
      <c r="M29" s="260">
        <v>4</v>
      </c>
      <c r="N29" s="260">
        <v>1</v>
      </c>
      <c r="O29" s="260">
        <v>0</v>
      </c>
      <c r="P29" s="260">
        <v>0</v>
      </c>
      <c r="Q29" s="260">
        <v>0</v>
      </c>
      <c r="R29" s="260">
        <v>3</v>
      </c>
      <c r="S29" s="261">
        <v>14857</v>
      </c>
      <c r="T29" s="516" t="s">
        <v>944</v>
      </c>
      <c r="U29" s="263" t="s">
        <v>367</v>
      </c>
      <c r="V29" s="261" t="s">
        <v>361</v>
      </c>
      <c r="W29" s="261" t="s">
        <v>390</v>
      </c>
      <c r="X29" s="264" t="s">
        <v>369</v>
      </c>
      <c r="Y29" s="261">
        <v>1</v>
      </c>
      <c r="Z29" s="261">
        <v>0</v>
      </c>
      <c r="AA29" s="261">
        <v>1</v>
      </c>
      <c r="AB29" s="168">
        <v>0</v>
      </c>
      <c r="AC29" s="261">
        <v>0</v>
      </c>
      <c r="AD29" s="261">
        <v>0</v>
      </c>
      <c r="AE29" s="261">
        <v>0</v>
      </c>
      <c r="AF29" s="168">
        <v>0</v>
      </c>
      <c r="AG29" s="261">
        <v>1</v>
      </c>
      <c r="AH29" s="261">
        <v>0</v>
      </c>
      <c r="AI29" s="261">
        <v>1</v>
      </c>
      <c r="AJ29" s="168">
        <v>0</v>
      </c>
    </row>
    <row r="30" spans="1:36" ht="15" customHeight="1" thickBot="1" x14ac:dyDescent="0.3">
      <c r="A30" s="251" t="s">
        <v>158</v>
      </c>
      <c r="B30" s="252" t="s">
        <v>127</v>
      </c>
      <c r="C30" s="253" t="s">
        <v>21</v>
      </c>
      <c r="D30" s="269" t="s">
        <v>38</v>
      </c>
      <c r="E30" s="269" t="s">
        <v>36</v>
      </c>
      <c r="F30" s="269">
        <v>20</v>
      </c>
      <c r="G30" s="275">
        <v>24</v>
      </c>
      <c r="H30" s="268" t="s">
        <v>85</v>
      </c>
      <c r="I30" s="267" t="s">
        <v>85</v>
      </c>
      <c r="J30" s="267">
        <v>2</v>
      </c>
      <c r="K30" s="267">
        <v>2</v>
      </c>
      <c r="L30" s="267">
        <v>0</v>
      </c>
      <c r="M30" s="267">
        <v>2</v>
      </c>
      <c r="N30" s="267">
        <v>0</v>
      </c>
      <c r="O30" s="267">
        <v>0</v>
      </c>
      <c r="P30" s="267" t="s">
        <v>85</v>
      </c>
      <c r="Q30" s="267" t="s">
        <v>85</v>
      </c>
      <c r="R30" s="269">
        <v>2</v>
      </c>
      <c r="S30" s="272">
        <v>5036</v>
      </c>
      <c r="T30" s="655" t="s">
        <v>818</v>
      </c>
      <c r="U30" s="271" t="s">
        <v>374</v>
      </c>
      <c r="V30" s="272" t="s">
        <v>393</v>
      </c>
      <c r="W30" s="272" t="s">
        <v>377</v>
      </c>
      <c r="X30" s="273" t="s">
        <v>370</v>
      </c>
      <c r="Y30" s="272">
        <v>1</v>
      </c>
      <c r="Z30" s="272">
        <v>0</v>
      </c>
      <c r="AA30" s="272">
        <v>0</v>
      </c>
      <c r="AB30" s="274">
        <v>1</v>
      </c>
      <c r="AC30" s="272">
        <v>0</v>
      </c>
      <c r="AD30" s="272">
        <v>0</v>
      </c>
      <c r="AE30" s="272">
        <v>0</v>
      </c>
      <c r="AF30" s="274">
        <v>0</v>
      </c>
      <c r="AG30" s="272">
        <v>1</v>
      </c>
      <c r="AH30" s="272">
        <v>0</v>
      </c>
      <c r="AI30" s="272">
        <v>0</v>
      </c>
      <c r="AJ30" s="274">
        <v>1</v>
      </c>
    </row>
    <row r="31" spans="1:36" ht="15" customHeight="1" thickBot="1" x14ac:dyDescent="0.3">
      <c r="A31" s="239" t="s">
        <v>897</v>
      </c>
      <c r="B31" s="240" t="s">
        <v>54</v>
      </c>
      <c r="C31" s="122" t="s">
        <v>189</v>
      </c>
      <c r="D31" s="123" t="s">
        <v>90</v>
      </c>
      <c r="E31" s="123" t="s">
        <v>34</v>
      </c>
      <c r="F31" s="123">
        <v>52</v>
      </c>
      <c r="G31" s="241">
        <v>30</v>
      </c>
      <c r="H31" s="244">
        <v>1</v>
      </c>
      <c r="I31" s="242">
        <v>0</v>
      </c>
      <c r="J31" s="123">
        <v>7</v>
      </c>
      <c r="K31" s="242">
        <v>4</v>
      </c>
      <c r="L31" s="242">
        <v>0</v>
      </c>
      <c r="M31" s="242">
        <v>3</v>
      </c>
      <c r="N31" s="242">
        <v>0</v>
      </c>
      <c r="O31" s="242">
        <v>0</v>
      </c>
      <c r="P31" s="242">
        <v>0</v>
      </c>
      <c r="Q31" s="242">
        <v>0</v>
      </c>
      <c r="R31" s="242">
        <v>3</v>
      </c>
      <c r="S31" s="243">
        <v>13362</v>
      </c>
      <c r="T31" s="592" t="s">
        <v>959</v>
      </c>
      <c r="U31" s="245" t="s">
        <v>614</v>
      </c>
      <c r="V31" s="243" t="s">
        <v>368</v>
      </c>
      <c r="W31" s="243" t="s">
        <v>445</v>
      </c>
      <c r="X31" s="169" t="s">
        <v>363</v>
      </c>
      <c r="Y31" s="243">
        <v>1</v>
      </c>
      <c r="Z31" s="243">
        <v>1</v>
      </c>
      <c r="AA31" s="243">
        <v>0</v>
      </c>
      <c r="AB31" s="167">
        <v>0</v>
      </c>
      <c r="AC31" s="243">
        <v>1</v>
      </c>
      <c r="AD31" s="243">
        <v>1</v>
      </c>
      <c r="AE31" s="243">
        <v>0</v>
      </c>
      <c r="AF31" s="167">
        <v>0</v>
      </c>
      <c r="AG31" s="243">
        <v>0</v>
      </c>
      <c r="AH31" s="243">
        <v>0</v>
      </c>
      <c r="AI31" s="243">
        <v>0</v>
      </c>
      <c r="AJ31" s="167">
        <v>0</v>
      </c>
    </row>
    <row r="32" spans="1:36" ht="15" customHeight="1" thickBot="1" x14ac:dyDescent="0.3">
      <c r="A32" s="391" t="s">
        <v>144</v>
      </c>
      <c r="B32" s="392" t="s">
        <v>160</v>
      </c>
      <c r="C32" s="414" t="s">
        <v>224</v>
      </c>
      <c r="D32" s="394" t="s">
        <v>38</v>
      </c>
      <c r="E32" s="394" t="s">
        <v>36</v>
      </c>
      <c r="F32" s="394">
        <v>5</v>
      </c>
      <c r="G32" s="395">
        <v>37</v>
      </c>
      <c r="H32" s="396" t="s">
        <v>85</v>
      </c>
      <c r="I32" s="397" t="s">
        <v>85</v>
      </c>
      <c r="J32" s="397">
        <v>1</v>
      </c>
      <c r="K32" s="397">
        <v>0</v>
      </c>
      <c r="L32" s="397">
        <v>0</v>
      </c>
      <c r="M32" s="397">
        <v>0</v>
      </c>
      <c r="N32" s="397">
        <v>0</v>
      </c>
      <c r="O32" s="397">
        <v>0</v>
      </c>
      <c r="P32" s="397" t="s">
        <v>85</v>
      </c>
      <c r="Q32" s="397" t="s">
        <v>85</v>
      </c>
      <c r="R32" s="397">
        <v>4</v>
      </c>
      <c r="S32" s="398">
        <v>17730</v>
      </c>
      <c r="T32" s="523" t="s">
        <v>976</v>
      </c>
      <c r="U32" s="399" t="s">
        <v>517</v>
      </c>
      <c r="V32" s="398" t="s">
        <v>566</v>
      </c>
      <c r="W32" s="398" t="s">
        <v>527</v>
      </c>
      <c r="X32" s="400" t="s">
        <v>575</v>
      </c>
      <c r="Y32" s="398">
        <v>1</v>
      </c>
      <c r="Z32" s="398">
        <v>0</v>
      </c>
      <c r="AA32" s="398">
        <v>0</v>
      </c>
      <c r="AB32" s="401">
        <v>1</v>
      </c>
      <c r="AC32" s="398">
        <v>0</v>
      </c>
      <c r="AD32" s="398">
        <v>0</v>
      </c>
      <c r="AE32" s="398">
        <v>0</v>
      </c>
      <c r="AF32" s="401">
        <v>0</v>
      </c>
      <c r="AG32" s="398">
        <v>1</v>
      </c>
      <c r="AH32" s="398">
        <v>0</v>
      </c>
      <c r="AI32" s="398">
        <v>0</v>
      </c>
      <c r="AJ32" s="401">
        <v>1</v>
      </c>
    </row>
    <row r="33" spans="1:36" ht="15" customHeight="1" thickBot="1" x14ac:dyDescent="0.3">
      <c r="A33" s="256" t="s">
        <v>198</v>
      </c>
      <c r="B33" s="255" t="s">
        <v>54</v>
      </c>
      <c r="C33" s="247" t="s">
        <v>30</v>
      </c>
      <c r="D33" s="257" t="s">
        <v>38</v>
      </c>
      <c r="E33" s="257" t="s">
        <v>36</v>
      </c>
      <c r="F33" s="257">
        <v>10</v>
      </c>
      <c r="G33" s="258">
        <v>21</v>
      </c>
      <c r="H33" s="259">
        <v>0</v>
      </c>
      <c r="I33" s="260">
        <v>0</v>
      </c>
      <c r="J33" s="260">
        <v>2</v>
      </c>
      <c r="K33" s="260">
        <v>0</v>
      </c>
      <c r="L33" s="260">
        <v>0</v>
      </c>
      <c r="M33" s="260">
        <v>0</v>
      </c>
      <c r="N33" s="257">
        <v>3</v>
      </c>
      <c r="O33" s="260">
        <v>0</v>
      </c>
      <c r="P33" s="260">
        <v>0</v>
      </c>
      <c r="Q33" s="260">
        <v>0</v>
      </c>
      <c r="R33" s="260">
        <v>2</v>
      </c>
      <c r="S33" s="261">
        <v>12139</v>
      </c>
      <c r="T33" s="516" t="s">
        <v>985</v>
      </c>
      <c r="U33" s="263" t="s">
        <v>338</v>
      </c>
      <c r="V33" s="261" t="s">
        <v>399</v>
      </c>
      <c r="W33" s="261" t="s">
        <v>376</v>
      </c>
      <c r="X33" s="264" t="s">
        <v>347</v>
      </c>
      <c r="Y33" s="261">
        <v>1</v>
      </c>
      <c r="Z33" s="261">
        <v>0</v>
      </c>
      <c r="AA33" s="261">
        <v>0</v>
      </c>
      <c r="AB33" s="168">
        <v>1</v>
      </c>
      <c r="AC33" s="261">
        <v>0</v>
      </c>
      <c r="AD33" s="261">
        <v>0</v>
      </c>
      <c r="AE33" s="261">
        <v>0</v>
      </c>
      <c r="AF33" s="168">
        <v>0</v>
      </c>
      <c r="AG33" s="261">
        <v>1</v>
      </c>
      <c r="AH33" s="261">
        <v>0</v>
      </c>
      <c r="AI33" s="261">
        <v>0</v>
      </c>
      <c r="AJ33" s="168">
        <v>1</v>
      </c>
    </row>
    <row r="34" spans="1:36" ht="15" customHeight="1" thickBot="1" x14ac:dyDescent="0.3">
      <c r="A34" s="239" t="s">
        <v>145</v>
      </c>
      <c r="B34" s="240" t="s">
        <v>54</v>
      </c>
      <c r="C34" s="122" t="s">
        <v>21</v>
      </c>
      <c r="D34" s="123" t="s">
        <v>830</v>
      </c>
      <c r="E34" s="123" t="s">
        <v>34</v>
      </c>
      <c r="F34" s="123">
        <v>25</v>
      </c>
      <c r="G34" s="241">
        <v>20</v>
      </c>
      <c r="H34" s="244">
        <v>0</v>
      </c>
      <c r="I34" s="242">
        <v>0</v>
      </c>
      <c r="J34" s="242">
        <v>1</v>
      </c>
      <c r="K34" s="242">
        <v>1</v>
      </c>
      <c r="L34" s="242">
        <v>0</v>
      </c>
      <c r="M34" s="242">
        <v>6</v>
      </c>
      <c r="N34" s="242">
        <v>0</v>
      </c>
      <c r="O34" s="242">
        <v>0</v>
      </c>
      <c r="P34" s="242">
        <v>0</v>
      </c>
      <c r="Q34" s="242">
        <v>1</v>
      </c>
      <c r="R34" s="242">
        <v>2</v>
      </c>
      <c r="S34" s="661">
        <v>27411</v>
      </c>
      <c r="T34" s="514" t="s">
        <v>394</v>
      </c>
      <c r="U34" s="245" t="s">
        <v>367</v>
      </c>
      <c r="V34" s="243" t="s">
        <v>393</v>
      </c>
      <c r="W34" s="243" t="s">
        <v>345</v>
      </c>
      <c r="X34" s="169" t="s">
        <v>369</v>
      </c>
      <c r="Y34" s="243">
        <v>1</v>
      </c>
      <c r="Z34" s="243">
        <v>1</v>
      </c>
      <c r="AA34" s="243">
        <v>0</v>
      </c>
      <c r="AB34" s="167">
        <v>0</v>
      </c>
      <c r="AC34" s="243">
        <v>1</v>
      </c>
      <c r="AD34" s="243">
        <v>1</v>
      </c>
      <c r="AE34" s="243">
        <v>0</v>
      </c>
      <c r="AF34" s="167">
        <v>0</v>
      </c>
      <c r="AG34" s="243">
        <v>0</v>
      </c>
      <c r="AH34" s="243">
        <v>0</v>
      </c>
      <c r="AI34" s="243">
        <v>0</v>
      </c>
      <c r="AJ34" s="167">
        <v>0</v>
      </c>
    </row>
    <row r="35" spans="1:36" ht="15" customHeight="1" thickBot="1" x14ac:dyDescent="0.3">
      <c r="A35" s="239" t="s">
        <v>164</v>
      </c>
      <c r="B35" s="240" t="s">
        <v>54</v>
      </c>
      <c r="C35" s="122" t="s">
        <v>190</v>
      </c>
      <c r="D35" s="123" t="s">
        <v>90</v>
      </c>
      <c r="E35" s="123" t="s">
        <v>34</v>
      </c>
      <c r="F35" s="123">
        <v>46</v>
      </c>
      <c r="G35" s="241">
        <v>0</v>
      </c>
      <c r="H35" s="244">
        <v>1</v>
      </c>
      <c r="I35" s="242">
        <v>0</v>
      </c>
      <c r="J35" s="242">
        <v>6</v>
      </c>
      <c r="K35" s="242">
        <v>5</v>
      </c>
      <c r="L35" s="242">
        <v>0</v>
      </c>
      <c r="M35" s="242">
        <v>2</v>
      </c>
      <c r="N35" s="242">
        <v>0</v>
      </c>
      <c r="O35" s="242">
        <v>0</v>
      </c>
      <c r="P35" s="242">
        <v>0</v>
      </c>
      <c r="Q35" s="242">
        <v>0</v>
      </c>
      <c r="R35" s="242">
        <v>0</v>
      </c>
      <c r="S35" s="368">
        <v>13362</v>
      </c>
      <c r="T35" s="592" t="s">
        <v>378</v>
      </c>
      <c r="U35" s="245" t="s">
        <v>353</v>
      </c>
      <c r="V35" s="243" t="s">
        <v>341</v>
      </c>
      <c r="W35" s="243" t="s">
        <v>991</v>
      </c>
      <c r="X35" s="169" t="s">
        <v>601</v>
      </c>
      <c r="Y35" s="243">
        <v>1</v>
      </c>
      <c r="Z35" s="243">
        <v>1</v>
      </c>
      <c r="AA35" s="243">
        <v>0</v>
      </c>
      <c r="AB35" s="167">
        <v>0</v>
      </c>
      <c r="AC35" s="243">
        <v>1</v>
      </c>
      <c r="AD35" s="243">
        <v>1</v>
      </c>
      <c r="AE35" s="243">
        <v>0</v>
      </c>
      <c r="AF35" s="167">
        <v>0</v>
      </c>
      <c r="AG35" s="243">
        <v>0</v>
      </c>
      <c r="AH35" s="243">
        <v>0</v>
      </c>
      <c r="AI35" s="243">
        <v>0</v>
      </c>
      <c r="AJ35" s="167">
        <v>0</v>
      </c>
    </row>
    <row r="36" spans="1:36" ht="15" customHeight="1" thickBot="1" x14ac:dyDescent="0.3">
      <c r="A36" s="256" t="s">
        <v>148</v>
      </c>
      <c r="B36" s="255" t="s">
        <v>54</v>
      </c>
      <c r="C36" s="247" t="s">
        <v>28</v>
      </c>
      <c r="D36" s="257" t="s">
        <v>38</v>
      </c>
      <c r="E36" s="257" t="s">
        <v>36</v>
      </c>
      <c r="F36" s="257">
        <v>14</v>
      </c>
      <c r="G36" s="258">
        <v>22</v>
      </c>
      <c r="H36" s="259">
        <v>0</v>
      </c>
      <c r="I36" s="260">
        <v>0</v>
      </c>
      <c r="J36" s="260">
        <v>1</v>
      </c>
      <c r="K36" s="260">
        <v>0</v>
      </c>
      <c r="L36" s="260">
        <v>0</v>
      </c>
      <c r="M36" s="260">
        <v>3</v>
      </c>
      <c r="N36" s="260">
        <v>2</v>
      </c>
      <c r="O36" s="260">
        <v>0</v>
      </c>
      <c r="P36" s="260">
        <v>0</v>
      </c>
      <c r="Q36" s="260">
        <v>0</v>
      </c>
      <c r="R36" s="260">
        <v>2</v>
      </c>
      <c r="S36" s="374">
        <v>24000</v>
      </c>
      <c r="T36" s="804" t="s">
        <v>1040</v>
      </c>
      <c r="U36" s="375" t="s">
        <v>419</v>
      </c>
      <c r="V36" s="376" t="s">
        <v>393</v>
      </c>
      <c r="W36" s="376" t="s">
        <v>452</v>
      </c>
      <c r="X36" s="377" t="s">
        <v>356</v>
      </c>
      <c r="Y36" s="261">
        <v>1</v>
      </c>
      <c r="Z36" s="261">
        <v>0</v>
      </c>
      <c r="AA36" s="261">
        <v>0</v>
      </c>
      <c r="AB36" s="168">
        <v>1</v>
      </c>
      <c r="AC36" s="261">
        <v>0</v>
      </c>
      <c r="AD36" s="261">
        <v>0</v>
      </c>
      <c r="AE36" s="261">
        <v>0</v>
      </c>
      <c r="AF36" s="168">
        <v>0</v>
      </c>
      <c r="AG36" s="261">
        <v>1</v>
      </c>
      <c r="AH36" s="261">
        <v>0</v>
      </c>
      <c r="AI36" s="261">
        <v>0</v>
      </c>
      <c r="AJ36" s="168">
        <v>1</v>
      </c>
    </row>
    <row r="37" spans="1:36" ht="15" customHeight="1" thickBot="1" x14ac:dyDescent="0.3">
      <c r="A37" s="239" t="s">
        <v>143</v>
      </c>
      <c r="B37" s="240" t="s">
        <v>126</v>
      </c>
      <c r="C37" s="122" t="s">
        <v>21</v>
      </c>
      <c r="D37" s="123" t="s">
        <v>90</v>
      </c>
      <c r="E37" s="123" t="s">
        <v>36</v>
      </c>
      <c r="F37" s="123">
        <v>24</v>
      </c>
      <c r="G37" s="241">
        <v>29</v>
      </c>
      <c r="H37" s="244" t="s">
        <v>85</v>
      </c>
      <c r="I37" s="242" t="s">
        <v>85</v>
      </c>
      <c r="J37" s="242">
        <v>2</v>
      </c>
      <c r="K37" s="242">
        <v>1</v>
      </c>
      <c r="L37" s="242">
        <v>0</v>
      </c>
      <c r="M37" s="242">
        <v>4</v>
      </c>
      <c r="N37" s="242">
        <v>0</v>
      </c>
      <c r="O37" s="242">
        <v>0</v>
      </c>
      <c r="P37" s="242" t="s">
        <v>85</v>
      </c>
      <c r="Q37" s="242" t="s">
        <v>85</v>
      </c>
      <c r="R37" s="242">
        <v>2</v>
      </c>
      <c r="S37" s="285">
        <v>13362</v>
      </c>
      <c r="T37" s="524" t="s">
        <v>699</v>
      </c>
      <c r="U37" s="286" t="s">
        <v>367</v>
      </c>
      <c r="V37" s="287" t="s">
        <v>339</v>
      </c>
      <c r="W37" s="287" t="s">
        <v>360</v>
      </c>
      <c r="X37" s="288" t="s">
        <v>419</v>
      </c>
      <c r="Y37" s="243">
        <v>1</v>
      </c>
      <c r="Z37" s="243">
        <v>0</v>
      </c>
      <c r="AA37" s="243">
        <v>0</v>
      </c>
      <c r="AB37" s="167">
        <v>1</v>
      </c>
      <c r="AC37" s="243">
        <v>1</v>
      </c>
      <c r="AD37" s="243">
        <v>0</v>
      </c>
      <c r="AE37" s="243">
        <v>0</v>
      </c>
      <c r="AF37" s="167">
        <v>1</v>
      </c>
      <c r="AG37" s="243">
        <v>0</v>
      </c>
      <c r="AH37" s="243">
        <v>0</v>
      </c>
      <c r="AI37" s="243">
        <v>0</v>
      </c>
      <c r="AJ37" s="167">
        <v>0</v>
      </c>
    </row>
    <row r="38" spans="1:36" ht="15" customHeight="1" thickBot="1" x14ac:dyDescent="0.3">
      <c r="A38" s="66"/>
      <c r="B38" s="67"/>
      <c r="C38" s="885" t="s">
        <v>173</v>
      </c>
      <c r="D38" s="886"/>
      <c r="E38" s="887"/>
      <c r="F38" s="291">
        <f t="shared" ref="F38:R38" si="0">SUM(F3+F4+F5+F6+F7+F8+F13+F14+F15+F18+F19+F20+F21+F26+F27+F28+F29+F31+F33+F34+F35+F36)</f>
        <v>621</v>
      </c>
      <c r="G38" s="291">
        <f t="shared" si="0"/>
        <v>400</v>
      </c>
      <c r="H38" s="291">
        <f t="shared" si="0"/>
        <v>8</v>
      </c>
      <c r="I38" s="291">
        <f t="shared" si="0"/>
        <v>2</v>
      </c>
      <c r="J38" s="291">
        <f t="shared" si="0"/>
        <v>75</v>
      </c>
      <c r="K38" s="291">
        <f t="shared" si="0"/>
        <v>51</v>
      </c>
      <c r="L38" s="291">
        <f t="shared" si="0"/>
        <v>0</v>
      </c>
      <c r="M38" s="291">
        <f t="shared" si="0"/>
        <v>48</v>
      </c>
      <c r="N38" s="291">
        <f t="shared" si="0"/>
        <v>14</v>
      </c>
      <c r="O38" s="291">
        <f t="shared" si="0"/>
        <v>1</v>
      </c>
      <c r="P38" s="291">
        <f t="shared" si="0"/>
        <v>1</v>
      </c>
      <c r="Q38" s="291">
        <f t="shared" si="0"/>
        <v>7</v>
      </c>
      <c r="R38" s="291">
        <f t="shared" si="0"/>
        <v>41</v>
      </c>
      <c r="S38" s="68"/>
      <c r="T38" s="68"/>
      <c r="U38" s="68"/>
      <c r="V38" s="68"/>
      <c r="W38" s="328"/>
      <c r="X38" s="310" t="s">
        <v>173</v>
      </c>
      <c r="Y38" s="291">
        <f t="shared" ref="Y38:AJ38" si="1">SUM(Y3+Y4+Y5+Y6+Y7+Y8+Y13+Y14+Y15+Y18+Y19+Y20+Y21+Y26+Y27+Y28+Y29+Y31+Y33+Y34+Y35+Y36)</f>
        <v>22</v>
      </c>
      <c r="Z38" s="291">
        <f t="shared" si="1"/>
        <v>16</v>
      </c>
      <c r="AA38" s="291">
        <f t="shared" si="1"/>
        <v>1</v>
      </c>
      <c r="AB38" s="291">
        <f t="shared" si="1"/>
        <v>5</v>
      </c>
      <c r="AC38" s="121">
        <f t="shared" si="1"/>
        <v>11</v>
      </c>
      <c r="AD38" s="121">
        <f t="shared" si="1"/>
        <v>10</v>
      </c>
      <c r="AE38" s="121">
        <f t="shared" si="1"/>
        <v>0</v>
      </c>
      <c r="AF38" s="121">
        <f t="shared" si="1"/>
        <v>1</v>
      </c>
      <c r="AG38" s="289">
        <f t="shared" si="1"/>
        <v>11</v>
      </c>
      <c r="AH38" s="289">
        <f t="shared" si="1"/>
        <v>6</v>
      </c>
      <c r="AI38" s="289">
        <f t="shared" si="1"/>
        <v>1</v>
      </c>
      <c r="AJ38" s="289">
        <f t="shared" si="1"/>
        <v>4</v>
      </c>
    </row>
    <row r="39" spans="1:36" ht="15" customHeight="1" thickBot="1" x14ac:dyDescent="0.3">
      <c r="A39" s="68"/>
      <c r="B39" s="68"/>
      <c r="C39" s="885" t="s">
        <v>174</v>
      </c>
      <c r="D39" s="886"/>
      <c r="E39" s="887"/>
      <c r="F39" s="298">
        <f>SUM(F37)</f>
        <v>24</v>
      </c>
      <c r="G39" s="298">
        <f>SUM(G37)</f>
        <v>29</v>
      </c>
      <c r="H39" s="298" t="s">
        <v>85</v>
      </c>
      <c r="I39" s="298" t="s">
        <v>85</v>
      </c>
      <c r="J39" s="298">
        <f t="shared" ref="J39:O39" si="2">SUM(J37)</f>
        <v>2</v>
      </c>
      <c r="K39" s="298">
        <f t="shared" si="2"/>
        <v>1</v>
      </c>
      <c r="L39" s="298">
        <f t="shared" si="2"/>
        <v>0</v>
      </c>
      <c r="M39" s="298">
        <f t="shared" si="2"/>
        <v>4</v>
      </c>
      <c r="N39" s="298">
        <f t="shared" si="2"/>
        <v>0</v>
      </c>
      <c r="O39" s="298">
        <f t="shared" si="2"/>
        <v>0</v>
      </c>
      <c r="P39" s="298" t="s">
        <v>85</v>
      </c>
      <c r="Q39" s="298" t="s">
        <v>85</v>
      </c>
      <c r="R39" s="298">
        <f>SUM(R37)</f>
        <v>2</v>
      </c>
      <c r="S39" s="68"/>
      <c r="T39" s="68"/>
      <c r="U39" s="68"/>
      <c r="V39" s="68"/>
      <c r="W39" s="328"/>
      <c r="X39" s="310" t="s">
        <v>174</v>
      </c>
      <c r="Y39" s="298">
        <f t="shared" ref="Y39:AJ39" si="3">SUM(Y37)</f>
        <v>1</v>
      </c>
      <c r="Z39" s="298">
        <f t="shared" si="3"/>
        <v>0</v>
      </c>
      <c r="AA39" s="298">
        <f t="shared" si="3"/>
        <v>0</v>
      </c>
      <c r="AB39" s="298">
        <f t="shared" si="3"/>
        <v>1</v>
      </c>
      <c r="AC39" s="805">
        <f t="shared" si="3"/>
        <v>1</v>
      </c>
      <c r="AD39" s="805">
        <f t="shared" si="3"/>
        <v>0</v>
      </c>
      <c r="AE39" s="805">
        <f t="shared" si="3"/>
        <v>0</v>
      </c>
      <c r="AF39" s="805">
        <f t="shared" si="3"/>
        <v>1</v>
      </c>
      <c r="AG39" s="299">
        <f t="shared" si="3"/>
        <v>0</v>
      </c>
      <c r="AH39" s="299">
        <f t="shared" si="3"/>
        <v>0</v>
      </c>
      <c r="AI39" s="299">
        <f t="shared" si="3"/>
        <v>0</v>
      </c>
      <c r="AJ39" s="299">
        <f t="shared" si="3"/>
        <v>0</v>
      </c>
    </row>
    <row r="40" spans="1:36" ht="15" customHeight="1" thickBot="1" x14ac:dyDescent="0.3">
      <c r="A40" s="68"/>
      <c r="B40" s="68"/>
      <c r="C40" s="888" t="s">
        <v>178</v>
      </c>
      <c r="D40" s="889"/>
      <c r="E40" s="890"/>
      <c r="F40" s="417">
        <f t="shared" ref="F40:R40" si="4">SUM(F9+F10+F16+F17+F22+F23)</f>
        <v>178</v>
      </c>
      <c r="G40" s="417">
        <f t="shared" si="4"/>
        <v>82</v>
      </c>
      <c r="H40" s="417">
        <f t="shared" si="4"/>
        <v>3</v>
      </c>
      <c r="I40" s="417">
        <f t="shared" si="4"/>
        <v>0</v>
      </c>
      <c r="J40" s="417">
        <f t="shared" si="4"/>
        <v>25</v>
      </c>
      <c r="K40" s="417">
        <f t="shared" si="4"/>
        <v>16</v>
      </c>
      <c r="L40" s="417">
        <f t="shared" si="4"/>
        <v>0</v>
      </c>
      <c r="M40" s="417">
        <f t="shared" si="4"/>
        <v>7</v>
      </c>
      <c r="N40" s="417">
        <f t="shared" si="4"/>
        <v>2</v>
      </c>
      <c r="O40" s="417">
        <f t="shared" si="4"/>
        <v>0</v>
      </c>
      <c r="P40" s="417">
        <f t="shared" si="4"/>
        <v>1</v>
      </c>
      <c r="Q40" s="417">
        <f t="shared" si="4"/>
        <v>0</v>
      </c>
      <c r="R40" s="417">
        <f t="shared" si="4"/>
        <v>8</v>
      </c>
      <c r="S40" s="418"/>
      <c r="T40" s="418"/>
      <c r="U40" s="418"/>
      <c r="V40" s="418"/>
      <c r="W40" s="419"/>
      <c r="X40" s="420" t="s">
        <v>178</v>
      </c>
      <c r="Y40" s="421">
        <f t="shared" ref="Y40:AJ40" si="5">SUM(Y9+Y10+Y16+Y17+Y22+Y23)</f>
        <v>6</v>
      </c>
      <c r="Z40" s="417">
        <f t="shared" si="5"/>
        <v>4</v>
      </c>
      <c r="AA40" s="417">
        <f t="shared" si="5"/>
        <v>0</v>
      </c>
      <c r="AB40" s="417">
        <f t="shared" si="5"/>
        <v>2</v>
      </c>
      <c r="AC40" s="423">
        <f t="shared" si="5"/>
        <v>3</v>
      </c>
      <c r="AD40" s="423">
        <f t="shared" si="5"/>
        <v>2</v>
      </c>
      <c r="AE40" s="423">
        <f t="shared" si="5"/>
        <v>0</v>
      </c>
      <c r="AF40" s="423">
        <f t="shared" si="5"/>
        <v>1</v>
      </c>
      <c r="AG40" s="422">
        <f t="shared" si="5"/>
        <v>3</v>
      </c>
      <c r="AH40" s="422">
        <f t="shared" si="5"/>
        <v>2</v>
      </c>
      <c r="AI40" s="422">
        <f t="shared" si="5"/>
        <v>0</v>
      </c>
      <c r="AJ40" s="422">
        <f t="shared" si="5"/>
        <v>1</v>
      </c>
    </row>
    <row r="41" spans="1:36" ht="15" customHeight="1" thickBot="1" x14ac:dyDescent="0.3">
      <c r="A41" s="68"/>
      <c r="B41" s="68"/>
      <c r="C41" s="888" t="s">
        <v>179</v>
      </c>
      <c r="D41" s="889"/>
      <c r="E41" s="890"/>
      <c r="F41" s="417">
        <f>SUM(F32)</f>
        <v>5</v>
      </c>
      <c r="G41" s="417">
        <f>SUM(G32)</f>
        <v>37</v>
      </c>
      <c r="H41" s="417" t="s">
        <v>85</v>
      </c>
      <c r="I41" s="417" t="s">
        <v>85</v>
      </c>
      <c r="J41" s="417">
        <f t="shared" ref="J41:O41" si="6">SUM(J32)</f>
        <v>1</v>
      </c>
      <c r="K41" s="417">
        <f t="shared" si="6"/>
        <v>0</v>
      </c>
      <c r="L41" s="417">
        <f t="shared" si="6"/>
        <v>0</v>
      </c>
      <c r="M41" s="417">
        <f t="shared" si="6"/>
        <v>0</v>
      </c>
      <c r="N41" s="417">
        <f t="shared" si="6"/>
        <v>0</v>
      </c>
      <c r="O41" s="417">
        <f t="shared" si="6"/>
        <v>0</v>
      </c>
      <c r="P41" s="417" t="s">
        <v>85</v>
      </c>
      <c r="Q41" s="417" t="s">
        <v>85</v>
      </c>
      <c r="R41" s="417">
        <f>SUM(R32)</f>
        <v>4</v>
      </c>
      <c r="S41" s="418"/>
      <c r="T41" s="418"/>
      <c r="U41" s="418"/>
      <c r="V41" s="418"/>
      <c r="W41" s="419"/>
      <c r="X41" s="420" t="s">
        <v>179</v>
      </c>
      <c r="Y41" s="421">
        <f t="shared" ref="Y41:AJ41" si="7">SUM(Y32)</f>
        <v>1</v>
      </c>
      <c r="Z41" s="417">
        <f t="shared" si="7"/>
        <v>0</v>
      </c>
      <c r="AA41" s="417">
        <f t="shared" si="7"/>
        <v>0</v>
      </c>
      <c r="AB41" s="417">
        <f t="shared" si="7"/>
        <v>1</v>
      </c>
      <c r="AC41" s="423">
        <f t="shared" si="7"/>
        <v>0</v>
      </c>
      <c r="AD41" s="423">
        <f t="shared" si="7"/>
        <v>0</v>
      </c>
      <c r="AE41" s="423">
        <f t="shared" si="7"/>
        <v>0</v>
      </c>
      <c r="AF41" s="423">
        <f t="shared" si="7"/>
        <v>0</v>
      </c>
      <c r="AG41" s="422">
        <f t="shared" si="7"/>
        <v>1</v>
      </c>
      <c r="AH41" s="422">
        <f t="shared" si="7"/>
        <v>0</v>
      </c>
      <c r="AI41" s="422">
        <f t="shared" si="7"/>
        <v>0</v>
      </c>
      <c r="AJ41" s="422">
        <f t="shared" si="7"/>
        <v>1</v>
      </c>
    </row>
    <row r="42" spans="1:36" ht="15" customHeight="1" thickBot="1" x14ac:dyDescent="0.3">
      <c r="C42" s="891" t="s">
        <v>168</v>
      </c>
      <c r="D42" s="892"/>
      <c r="E42" s="893"/>
      <c r="F42" s="319">
        <f t="shared" ref="F42:R42" si="8">SUM(F11+F12+F24+F25)</f>
        <v>98</v>
      </c>
      <c r="G42" s="319">
        <f t="shared" si="8"/>
        <v>53</v>
      </c>
      <c r="H42" s="319">
        <f t="shared" si="8"/>
        <v>2</v>
      </c>
      <c r="I42" s="319">
        <f t="shared" si="8"/>
        <v>0</v>
      </c>
      <c r="J42" s="319">
        <f t="shared" si="8"/>
        <v>13</v>
      </c>
      <c r="K42" s="319">
        <f t="shared" si="8"/>
        <v>9</v>
      </c>
      <c r="L42" s="319">
        <f t="shared" si="8"/>
        <v>0</v>
      </c>
      <c r="M42" s="319">
        <f t="shared" si="8"/>
        <v>5</v>
      </c>
      <c r="N42" s="319">
        <f t="shared" si="8"/>
        <v>0</v>
      </c>
      <c r="O42" s="319">
        <f t="shared" si="8"/>
        <v>0</v>
      </c>
      <c r="P42" s="319">
        <f t="shared" si="8"/>
        <v>0</v>
      </c>
      <c r="Q42" s="319">
        <f t="shared" si="8"/>
        <v>0</v>
      </c>
      <c r="R42" s="319">
        <f t="shared" si="8"/>
        <v>5</v>
      </c>
      <c r="S42" s="321"/>
      <c r="T42" s="321"/>
      <c r="U42" s="321"/>
      <c r="V42" s="321"/>
      <c r="W42" s="329"/>
      <c r="X42" s="322" t="s">
        <v>168</v>
      </c>
      <c r="Y42" s="320">
        <f t="shared" ref="Y42:AJ42" si="9">SUM(Y11+Y12+Y24+Y25)</f>
        <v>4</v>
      </c>
      <c r="Z42" s="319">
        <f t="shared" si="9"/>
        <v>3</v>
      </c>
      <c r="AA42" s="319">
        <f t="shared" si="9"/>
        <v>0</v>
      </c>
      <c r="AB42" s="319">
        <f t="shared" si="9"/>
        <v>1</v>
      </c>
      <c r="AC42" s="324">
        <f t="shared" si="9"/>
        <v>2</v>
      </c>
      <c r="AD42" s="324">
        <f t="shared" si="9"/>
        <v>2</v>
      </c>
      <c r="AE42" s="324">
        <f t="shared" si="9"/>
        <v>0</v>
      </c>
      <c r="AF42" s="324">
        <f t="shared" si="9"/>
        <v>0</v>
      </c>
      <c r="AG42" s="323">
        <f t="shared" si="9"/>
        <v>2</v>
      </c>
      <c r="AH42" s="323">
        <f t="shared" si="9"/>
        <v>1</v>
      </c>
      <c r="AI42" s="323">
        <f t="shared" si="9"/>
        <v>0</v>
      </c>
      <c r="AJ42" s="323">
        <f t="shared" si="9"/>
        <v>1</v>
      </c>
    </row>
    <row r="43" spans="1:36" ht="15" customHeight="1" thickBot="1" x14ac:dyDescent="0.3">
      <c r="C43" s="891" t="s">
        <v>167</v>
      </c>
      <c r="D43" s="892"/>
      <c r="E43" s="893"/>
      <c r="F43" s="319">
        <f>F30</f>
        <v>20</v>
      </c>
      <c r="G43" s="319">
        <f>G30</f>
        <v>24</v>
      </c>
      <c r="H43" s="319" t="s">
        <v>85</v>
      </c>
      <c r="I43" s="319" t="s">
        <v>85</v>
      </c>
      <c r="J43" s="319">
        <f t="shared" ref="J43:O43" si="10">J30</f>
        <v>2</v>
      </c>
      <c r="K43" s="319">
        <f t="shared" si="10"/>
        <v>2</v>
      </c>
      <c r="L43" s="319">
        <f t="shared" si="10"/>
        <v>0</v>
      </c>
      <c r="M43" s="319">
        <f t="shared" si="10"/>
        <v>2</v>
      </c>
      <c r="N43" s="319">
        <f t="shared" si="10"/>
        <v>0</v>
      </c>
      <c r="O43" s="319">
        <f t="shared" si="10"/>
        <v>0</v>
      </c>
      <c r="P43" s="319" t="s">
        <v>85</v>
      </c>
      <c r="Q43" s="319" t="s">
        <v>85</v>
      </c>
      <c r="R43" s="319">
        <f>R30</f>
        <v>2</v>
      </c>
      <c r="S43" s="321"/>
      <c r="T43" s="321"/>
      <c r="U43" s="321"/>
      <c r="V43" s="321"/>
      <c r="W43" s="329"/>
      <c r="X43" s="322" t="s">
        <v>167</v>
      </c>
      <c r="Y43" s="320">
        <f t="shared" ref="Y43:AJ43" si="11">Y30</f>
        <v>1</v>
      </c>
      <c r="Z43" s="319">
        <f t="shared" si="11"/>
        <v>0</v>
      </c>
      <c r="AA43" s="319">
        <f t="shared" si="11"/>
        <v>0</v>
      </c>
      <c r="AB43" s="319">
        <f t="shared" si="11"/>
        <v>1</v>
      </c>
      <c r="AC43" s="324">
        <f t="shared" si="11"/>
        <v>0</v>
      </c>
      <c r="AD43" s="324">
        <f t="shared" si="11"/>
        <v>0</v>
      </c>
      <c r="AE43" s="324">
        <f t="shared" si="11"/>
        <v>0</v>
      </c>
      <c r="AF43" s="324">
        <f t="shared" si="11"/>
        <v>0</v>
      </c>
      <c r="AG43" s="323">
        <f t="shared" si="11"/>
        <v>1</v>
      </c>
      <c r="AH43" s="323">
        <f t="shared" si="11"/>
        <v>0</v>
      </c>
      <c r="AI43" s="323">
        <f t="shared" si="11"/>
        <v>0</v>
      </c>
      <c r="AJ43" s="323">
        <f t="shared" si="11"/>
        <v>1</v>
      </c>
    </row>
    <row r="44" spans="1:36" ht="15.75" thickBot="1" x14ac:dyDescent="0.3">
      <c r="C44" s="458" t="s">
        <v>166</v>
      </c>
      <c r="D44" s="459"/>
      <c r="E44" s="460"/>
      <c r="F44" s="461">
        <v>0</v>
      </c>
      <c r="G44" s="461">
        <v>0</v>
      </c>
      <c r="H44" s="465">
        <v>0</v>
      </c>
      <c r="I44" s="465">
        <v>0</v>
      </c>
      <c r="J44" s="461">
        <v>0</v>
      </c>
      <c r="K44" s="461">
        <v>0</v>
      </c>
      <c r="L44" s="461">
        <v>0</v>
      </c>
      <c r="M44" s="461">
        <v>0</v>
      </c>
      <c r="N44" s="461">
        <v>0</v>
      </c>
      <c r="O44" s="461">
        <v>0</v>
      </c>
      <c r="P44" s="461">
        <v>0</v>
      </c>
      <c r="Q44" s="461">
        <v>0</v>
      </c>
      <c r="R44" s="461">
        <v>0</v>
      </c>
      <c r="S44" s="462"/>
      <c r="T44" s="462"/>
      <c r="U44" s="462"/>
      <c r="V44" s="462"/>
      <c r="W44" s="463"/>
      <c r="X44" s="464" t="s">
        <v>166</v>
      </c>
      <c r="Y44" s="465">
        <v>0</v>
      </c>
      <c r="Z44" s="461">
        <v>0</v>
      </c>
      <c r="AA44" s="461">
        <v>0</v>
      </c>
      <c r="AB44" s="461">
        <v>0</v>
      </c>
      <c r="AC44" s="468">
        <v>0</v>
      </c>
      <c r="AD44" s="469">
        <v>0</v>
      </c>
      <c r="AE44" s="469">
        <v>0</v>
      </c>
      <c r="AF44" s="469">
        <v>0</v>
      </c>
      <c r="AG44" s="466">
        <v>0</v>
      </c>
      <c r="AH44" s="467">
        <v>0</v>
      </c>
      <c r="AI44" s="467">
        <v>0</v>
      </c>
      <c r="AJ44" s="467">
        <v>0</v>
      </c>
    </row>
    <row r="45" spans="1:36" ht="15.75" thickBot="1" x14ac:dyDescent="0.3">
      <c r="C45" s="882" t="s">
        <v>70</v>
      </c>
      <c r="D45" s="883"/>
      <c r="E45" s="884"/>
      <c r="F45" s="293">
        <f t="shared" ref="F45:R45" si="12">SUM(F3:F37)</f>
        <v>946</v>
      </c>
      <c r="G45" s="293">
        <f t="shared" si="12"/>
        <v>625</v>
      </c>
      <c r="H45" s="292">
        <f t="shared" si="12"/>
        <v>13</v>
      </c>
      <c r="I45" s="292">
        <f t="shared" si="12"/>
        <v>2</v>
      </c>
      <c r="J45" s="293">
        <f t="shared" si="12"/>
        <v>118</v>
      </c>
      <c r="K45" s="293">
        <f t="shared" si="12"/>
        <v>79</v>
      </c>
      <c r="L45" s="293">
        <f t="shared" si="12"/>
        <v>0</v>
      </c>
      <c r="M45" s="293">
        <f t="shared" si="12"/>
        <v>66</v>
      </c>
      <c r="N45" s="293">
        <f t="shared" si="12"/>
        <v>16</v>
      </c>
      <c r="O45" s="293">
        <f t="shared" si="12"/>
        <v>1</v>
      </c>
      <c r="P45" s="293">
        <f t="shared" si="12"/>
        <v>2</v>
      </c>
      <c r="Q45" s="293">
        <f t="shared" si="12"/>
        <v>7</v>
      </c>
      <c r="R45" s="293">
        <f t="shared" si="12"/>
        <v>62</v>
      </c>
      <c r="S45" s="68"/>
      <c r="T45" s="68"/>
      <c r="U45" s="68"/>
      <c r="V45" s="68"/>
      <c r="W45" s="331"/>
      <c r="X45" s="309" t="s">
        <v>70</v>
      </c>
      <c r="Y45" s="292">
        <f t="shared" ref="Y45:AJ45" si="13">SUM(Y3:Y37)</f>
        <v>35</v>
      </c>
      <c r="Z45" s="293">
        <f t="shared" si="13"/>
        <v>23</v>
      </c>
      <c r="AA45" s="293">
        <f t="shared" si="13"/>
        <v>1</v>
      </c>
      <c r="AB45" s="293">
        <f t="shared" si="13"/>
        <v>11</v>
      </c>
      <c r="AC45" s="198">
        <f t="shared" si="13"/>
        <v>17</v>
      </c>
      <c r="AD45" s="390">
        <f t="shared" si="13"/>
        <v>14</v>
      </c>
      <c r="AE45" s="390">
        <f t="shared" si="13"/>
        <v>0</v>
      </c>
      <c r="AF45" s="390">
        <f t="shared" si="13"/>
        <v>3</v>
      </c>
      <c r="AG45" s="290">
        <f t="shared" si="13"/>
        <v>18</v>
      </c>
      <c r="AH45" s="133">
        <f t="shared" si="13"/>
        <v>9</v>
      </c>
      <c r="AI45" s="133">
        <f t="shared" si="13"/>
        <v>1</v>
      </c>
      <c r="AJ45" s="133">
        <f t="shared" si="13"/>
        <v>8</v>
      </c>
    </row>
    <row r="46" spans="1:36" x14ac:dyDescent="0.25">
      <c r="A46" t="s">
        <v>906</v>
      </c>
    </row>
    <row r="47" spans="1:36" x14ac:dyDescent="0.25">
      <c r="A47" s="470" t="s">
        <v>253</v>
      </c>
    </row>
  </sheetData>
  <mergeCells count="13">
    <mergeCell ref="C43:E43"/>
    <mergeCell ref="C45:E45"/>
    <mergeCell ref="C39:E39"/>
    <mergeCell ref="A1:D1"/>
    <mergeCell ref="E1:G1"/>
    <mergeCell ref="C40:E40"/>
    <mergeCell ref="C41:E41"/>
    <mergeCell ref="C42:E42"/>
    <mergeCell ref="H1:I1"/>
    <mergeCell ref="J1:M1"/>
    <mergeCell ref="N1:O1"/>
    <mergeCell ref="P1:R1"/>
    <mergeCell ref="C38:E3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63"/>
  <sheetViews>
    <sheetView workbookViewId="0">
      <pane ySplit="2" topLeftCell="A14" activePane="bottomLeft" state="frozen"/>
      <selection pane="bottomLeft" activeCell="G35" sqref="G35"/>
    </sheetView>
  </sheetViews>
  <sheetFormatPr defaultRowHeight="15" x14ac:dyDescent="0.25"/>
  <cols>
    <col min="1" max="1" width="7.7109375" customWidth="1"/>
    <col min="2" max="2" width="5.7109375" customWidth="1"/>
    <col min="3" max="3" width="14.140625" customWidth="1"/>
    <col min="4" max="18" width="3.7109375" customWidth="1"/>
    <col min="19" max="19" width="6.28515625" customWidth="1"/>
    <col min="20" max="20" width="5.7109375" customWidth="1"/>
    <col min="21" max="21" width="22.140625" bestFit="1" customWidth="1"/>
    <col min="22" max="22" width="20.42578125" bestFit="1" customWidth="1"/>
    <col min="23" max="23" width="21.140625" customWidth="1"/>
    <col min="24" max="24" width="20.42578125" customWidth="1"/>
    <col min="25" max="36" width="3.7109375" customWidth="1"/>
  </cols>
  <sheetData>
    <row r="1" spans="1:36" ht="15" customHeight="1" thickBot="1" x14ac:dyDescent="0.3">
      <c r="A1" s="995" t="s">
        <v>184</v>
      </c>
      <c r="B1" s="996"/>
      <c r="C1" s="996"/>
      <c r="D1" s="997"/>
      <c r="E1" s="998" t="s">
        <v>77</v>
      </c>
      <c r="F1" s="999"/>
      <c r="G1" s="1000"/>
      <c r="H1" s="998" t="s">
        <v>76</v>
      </c>
      <c r="I1" s="1000"/>
      <c r="J1" s="992" t="s">
        <v>43</v>
      </c>
      <c r="K1" s="993"/>
      <c r="L1" s="993"/>
      <c r="M1" s="994"/>
      <c r="N1" s="992" t="s">
        <v>44</v>
      </c>
      <c r="O1" s="994"/>
      <c r="P1" s="992" t="s">
        <v>79</v>
      </c>
      <c r="Q1" s="993"/>
      <c r="R1" s="994"/>
      <c r="S1" s="54" t="s">
        <v>45</v>
      </c>
      <c r="T1" s="54" t="s">
        <v>46</v>
      </c>
      <c r="U1" s="49" t="s">
        <v>47</v>
      </c>
      <c r="V1" s="54" t="s">
        <v>48</v>
      </c>
      <c r="W1" s="366" t="s">
        <v>151</v>
      </c>
      <c r="X1" s="45" t="s">
        <v>152</v>
      </c>
      <c r="Y1" s="47" t="s">
        <v>71</v>
      </c>
      <c r="Z1" s="48"/>
      <c r="AA1" s="48"/>
      <c r="AB1" s="48"/>
      <c r="AC1" s="49" t="s">
        <v>72</v>
      </c>
      <c r="AD1" s="45"/>
      <c r="AE1" s="45"/>
      <c r="AF1" s="46"/>
      <c r="AG1" s="49" t="s">
        <v>73</v>
      </c>
      <c r="AH1" s="45"/>
      <c r="AI1" s="45"/>
      <c r="AJ1" s="45"/>
    </row>
    <row r="2" spans="1:36" ht="15" customHeight="1" thickBot="1" x14ac:dyDescent="0.3">
      <c r="A2" s="112" t="s">
        <v>69</v>
      </c>
      <c r="B2" s="113" t="s">
        <v>68</v>
      </c>
      <c r="C2" s="114" t="s">
        <v>67</v>
      </c>
      <c r="D2" s="114" t="s">
        <v>78</v>
      </c>
      <c r="E2" s="115" t="s">
        <v>53</v>
      </c>
      <c r="F2" s="115" t="s">
        <v>37</v>
      </c>
      <c r="G2" s="115" t="s">
        <v>38</v>
      </c>
      <c r="H2" s="116" t="s">
        <v>74</v>
      </c>
      <c r="I2" s="117" t="s">
        <v>75</v>
      </c>
      <c r="J2" s="117" t="s">
        <v>49</v>
      </c>
      <c r="K2" s="117" t="s">
        <v>50</v>
      </c>
      <c r="L2" s="117" t="s">
        <v>35</v>
      </c>
      <c r="M2" s="117" t="s">
        <v>51</v>
      </c>
      <c r="N2" s="117" t="s">
        <v>52</v>
      </c>
      <c r="O2" s="117" t="s">
        <v>53</v>
      </c>
      <c r="P2" s="117" t="s">
        <v>74</v>
      </c>
      <c r="Q2" s="117" t="s">
        <v>75</v>
      </c>
      <c r="R2" s="117" t="s">
        <v>49</v>
      </c>
      <c r="S2" s="50"/>
      <c r="T2" s="51"/>
      <c r="U2" s="52"/>
      <c r="V2" s="50"/>
      <c r="W2" s="53"/>
      <c r="X2" s="53"/>
      <c r="Y2" s="54" t="s">
        <v>33</v>
      </c>
      <c r="Z2" s="54" t="s">
        <v>34</v>
      </c>
      <c r="AA2" s="54" t="s">
        <v>35</v>
      </c>
      <c r="AB2" s="54" t="s">
        <v>36</v>
      </c>
      <c r="AC2" s="54" t="s">
        <v>33</v>
      </c>
      <c r="AD2" s="54" t="s">
        <v>34</v>
      </c>
      <c r="AE2" s="54" t="s">
        <v>35</v>
      </c>
      <c r="AF2" s="54" t="s">
        <v>36</v>
      </c>
      <c r="AG2" s="54" t="s">
        <v>33</v>
      </c>
      <c r="AH2" s="54" t="s">
        <v>34</v>
      </c>
      <c r="AI2" s="54" t="s">
        <v>35</v>
      </c>
      <c r="AJ2" s="54" t="s">
        <v>36</v>
      </c>
    </row>
    <row r="3" spans="1:36" ht="15" customHeight="1" thickBot="1" x14ac:dyDescent="0.3">
      <c r="A3" s="369" t="s">
        <v>89</v>
      </c>
      <c r="B3" s="240" t="s">
        <v>54</v>
      </c>
      <c r="C3" s="122" t="s">
        <v>24</v>
      </c>
      <c r="D3" s="123" t="s">
        <v>90</v>
      </c>
      <c r="E3" s="123" t="s">
        <v>36</v>
      </c>
      <c r="F3" s="123">
        <v>20</v>
      </c>
      <c r="G3" s="241">
        <v>29</v>
      </c>
      <c r="H3" s="244">
        <v>0</v>
      </c>
      <c r="I3" s="242">
        <v>0</v>
      </c>
      <c r="J3" s="242">
        <v>2</v>
      </c>
      <c r="K3" s="242">
        <v>2</v>
      </c>
      <c r="L3" s="242">
        <v>0</v>
      </c>
      <c r="M3" s="242">
        <v>2</v>
      </c>
      <c r="N3" s="242">
        <v>0</v>
      </c>
      <c r="O3" s="242">
        <v>0</v>
      </c>
      <c r="P3" s="593">
        <v>0</v>
      </c>
      <c r="Q3" s="242">
        <v>0</v>
      </c>
      <c r="R3" s="242">
        <v>2</v>
      </c>
      <c r="S3" s="243">
        <v>5353</v>
      </c>
      <c r="T3" s="514" t="s">
        <v>344</v>
      </c>
      <c r="U3" s="245" t="s">
        <v>345</v>
      </c>
      <c r="V3" s="243" t="s">
        <v>346</v>
      </c>
      <c r="W3" s="243" t="s">
        <v>347</v>
      </c>
      <c r="X3" s="169" t="s">
        <v>348</v>
      </c>
      <c r="Y3" s="243">
        <v>1</v>
      </c>
      <c r="Z3" s="243">
        <v>0</v>
      </c>
      <c r="AA3" s="243">
        <v>0</v>
      </c>
      <c r="AB3" s="167">
        <v>1</v>
      </c>
      <c r="AC3" s="243">
        <v>1</v>
      </c>
      <c r="AD3" s="243">
        <v>0</v>
      </c>
      <c r="AE3" s="243">
        <v>0</v>
      </c>
      <c r="AF3" s="167">
        <v>1</v>
      </c>
      <c r="AG3" s="243">
        <v>0</v>
      </c>
      <c r="AH3" s="243">
        <v>0</v>
      </c>
      <c r="AI3" s="243">
        <v>0</v>
      </c>
      <c r="AJ3" s="167">
        <v>0</v>
      </c>
    </row>
    <row r="4" spans="1:36" ht="15" customHeight="1" thickBot="1" x14ac:dyDescent="0.3">
      <c r="A4" s="378" t="s">
        <v>80</v>
      </c>
      <c r="B4" s="379" t="s">
        <v>54</v>
      </c>
      <c r="C4" s="372" t="s">
        <v>26</v>
      </c>
      <c r="D4" s="380" t="s">
        <v>38</v>
      </c>
      <c r="E4" s="380" t="s">
        <v>36</v>
      </c>
      <c r="F4" s="380">
        <v>27</v>
      </c>
      <c r="G4" s="381">
        <v>34</v>
      </c>
      <c r="H4" s="382">
        <v>1</v>
      </c>
      <c r="I4" s="383">
        <v>1</v>
      </c>
      <c r="J4" s="383">
        <v>4</v>
      </c>
      <c r="K4" s="380">
        <v>2</v>
      </c>
      <c r="L4" s="383">
        <v>0</v>
      </c>
      <c r="M4" s="380">
        <v>1</v>
      </c>
      <c r="N4" s="383">
        <v>0</v>
      </c>
      <c r="O4" s="383">
        <v>0</v>
      </c>
      <c r="P4" s="383">
        <v>0</v>
      </c>
      <c r="Q4" s="380">
        <v>0</v>
      </c>
      <c r="R4" s="383">
        <v>3</v>
      </c>
      <c r="S4" s="261">
        <v>12353</v>
      </c>
      <c r="T4" s="590" t="s">
        <v>391</v>
      </c>
      <c r="U4" s="263" t="s">
        <v>367</v>
      </c>
      <c r="V4" s="261" t="s">
        <v>354</v>
      </c>
      <c r="W4" s="261" t="s">
        <v>341</v>
      </c>
      <c r="X4" s="261" t="s">
        <v>390</v>
      </c>
      <c r="Y4" s="384">
        <v>1</v>
      </c>
      <c r="Z4" s="384">
        <v>0</v>
      </c>
      <c r="AA4" s="384">
        <v>0</v>
      </c>
      <c r="AB4" s="387">
        <v>1</v>
      </c>
      <c r="AC4" s="384">
        <v>0</v>
      </c>
      <c r="AD4" s="384">
        <v>0</v>
      </c>
      <c r="AE4" s="384">
        <v>0</v>
      </c>
      <c r="AF4" s="387">
        <v>0</v>
      </c>
      <c r="AG4" s="384">
        <v>1</v>
      </c>
      <c r="AH4" s="384">
        <v>0</v>
      </c>
      <c r="AI4" s="384">
        <v>0</v>
      </c>
      <c r="AJ4" s="387">
        <v>1</v>
      </c>
    </row>
    <row r="5" spans="1:36" ht="15" customHeight="1" thickBot="1" x14ac:dyDescent="0.3">
      <c r="A5" s="239" t="s">
        <v>108</v>
      </c>
      <c r="B5" s="240" t="s">
        <v>54</v>
      </c>
      <c r="C5" s="122" t="s">
        <v>190</v>
      </c>
      <c r="D5" s="123" t="s">
        <v>90</v>
      </c>
      <c r="E5" s="123" t="s">
        <v>34</v>
      </c>
      <c r="F5" s="123">
        <v>46</v>
      </c>
      <c r="G5" s="241">
        <v>8</v>
      </c>
      <c r="H5" s="368">
        <v>1</v>
      </c>
      <c r="I5" s="241">
        <v>0</v>
      </c>
      <c r="J5" s="242">
        <v>6</v>
      </c>
      <c r="K5" s="242">
        <v>5</v>
      </c>
      <c r="L5" s="242">
        <v>0</v>
      </c>
      <c r="M5" s="242">
        <v>2</v>
      </c>
      <c r="N5" s="242">
        <v>0</v>
      </c>
      <c r="O5" s="242">
        <v>0</v>
      </c>
      <c r="P5" s="123">
        <v>0</v>
      </c>
      <c r="Q5" s="242">
        <v>0</v>
      </c>
      <c r="R5" s="123">
        <v>1</v>
      </c>
      <c r="S5" s="243">
        <v>4953</v>
      </c>
      <c r="T5" s="592" t="s">
        <v>422</v>
      </c>
      <c r="U5" s="245" t="s">
        <v>353</v>
      </c>
      <c r="V5" s="243" t="s">
        <v>339</v>
      </c>
      <c r="W5" s="243" t="s">
        <v>355</v>
      </c>
      <c r="X5" s="169" t="s">
        <v>356</v>
      </c>
      <c r="Y5" s="243">
        <v>1</v>
      </c>
      <c r="Z5" s="243">
        <v>1</v>
      </c>
      <c r="AA5" s="243">
        <v>0</v>
      </c>
      <c r="AB5" s="167">
        <v>0</v>
      </c>
      <c r="AC5" s="243">
        <v>1</v>
      </c>
      <c r="AD5" s="243">
        <v>1</v>
      </c>
      <c r="AE5" s="243">
        <v>0</v>
      </c>
      <c r="AF5" s="167">
        <v>0</v>
      </c>
      <c r="AG5" s="243">
        <v>0</v>
      </c>
      <c r="AH5" s="243">
        <v>0</v>
      </c>
      <c r="AI5" s="243">
        <v>0</v>
      </c>
      <c r="AJ5" s="167">
        <v>0</v>
      </c>
    </row>
    <row r="6" spans="1:36" ht="15" customHeight="1" thickBot="1" x14ac:dyDescent="0.3">
      <c r="A6" s="378" t="s">
        <v>114</v>
      </c>
      <c r="B6" s="379" t="s">
        <v>54</v>
      </c>
      <c r="C6" s="372" t="s">
        <v>21</v>
      </c>
      <c r="D6" s="380" t="s">
        <v>38</v>
      </c>
      <c r="E6" s="380" t="s">
        <v>36</v>
      </c>
      <c r="F6" s="380">
        <v>19</v>
      </c>
      <c r="G6" s="381">
        <v>40</v>
      </c>
      <c r="H6" s="381">
        <v>0</v>
      </c>
      <c r="I6" s="383">
        <v>0</v>
      </c>
      <c r="J6" s="380">
        <v>3</v>
      </c>
      <c r="K6" s="380">
        <v>2</v>
      </c>
      <c r="L6" s="383">
        <v>0</v>
      </c>
      <c r="M6" s="383">
        <v>0</v>
      </c>
      <c r="N6" s="383">
        <v>1</v>
      </c>
      <c r="O6" s="383">
        <v>0</v>
      </c>
      <c r="P6" s="383">
        <v>1</v>
      </c>
      <c r="Q6" s="380">
        <v>0</v>
      </c>
      <c r="R6" s="383">
        <v>4</v>
      </c>
      <c r="S6" s="261">
        <v>8451</v>
      </c>
      <c r="T6" s="590" t="s">
        <v>447</v>
      </c>
      <c r="U6" s="263" t="s">
        <v>345</v>
      </c>
      <c r="V6" s="261" t="s">
        <v>346</v>
      </c>
      <c r="W6" s="261" t="s">
        <v>390</v>
      </c>
      <c r="X6" s="264" t="s">
        <v>363</v>
      </c>
      <c r="Y6" s="384">
        <v>1</v>
      </c>
      <c r="Z6" s="384">
        <v>0</v>
      </c>
      <c r="AA6" s="384">
        <v>0</v>
      </c>
      <c r="AB6" s="387">
        <v>1</v>
      </c>
      <c r="AC6" s="384">
        <v>0</v>
      </c>
      <c r="AD6" s="384">
        <v>0</v>
      </c>
      <c r="AE6" s="384">
        <v>0</v>
      </c>
      <c r="AF6" s="387">
        <v>0</v>
      </c>
      <c r="AG6" s="384">
        <v>1</v>
      </c>
      <c r="AH6" s="384">
        <v>0</v>
      </c>
      <c r="AI6" s="384">
        <v>0</v>
      </c>
      <c r="AJ6" s="387">
        <v>1</v>
      </c>
    </row>
    <row r="7" spans="1:36" ht="15" customHeight="1" thickBot="1" x14ac:dyDescent="0.3">
      <c r="A7" s="239" t="s">
        <v>199</v>
      </c>
      <c r="B7" s="240" t="s">
        <v>54</v>
      </c>
      <c r="C7" s="122" t="s">
        <v>189</v>
      </c>
      <c r="D7" s="123" t="s">
        <v>90</v>
      </c>
      <c r="E7" s="123" t="s">
        <v>34</v>
      </c>
      <c r="F7" s="123">
        <v>25</v>
      </c>
      <c r="G7" s="241">
        <v>14</v>
      </c>
      <c r="H7" s="244">
        <v>0</v>
      </c>
      <c r="I7" s="123">
        <v>0</v>
      </c>
      <c r="J7" s="242">
        <v>3</v>
      </c>
      <c r="K7" s="242">
        <v>2</v>
      </c>
      <c r="L7" s="242">
        <v>1</v>
      </c>
      <c r="M7" s="242">
        <v>1</v>
      </c>
      <c r="N7" s="242">
        <v>1</v>
      </c>
      <c r="O7" s="242">
        <v>0</v>
      </c>
      <c r="P7" s="242">
        <v>0</v>
      </c>
      <c r="Q7" s="242">
        <v>0</v>
      </c>
      <c r="R7" s="242">
        <v>2</v>
      </c>
      <c r="S7" s="243">
        <v>5065</v>
      </c>
      <c r="T7" s="592" t="s">
        <v>474</v>
      </c>
      <c r="U7" s="245" t="s">
        <v>360</v>
      </c>
      <c r="V7" s="243" t="s">
        <v>368</v>
      </c>
      <c r="W7" s="243" t="s">
        <v>348</v>
      </c>
      <c r="X7" s="169" t="s">
        <v>347</v>
      </c>
      <c r="Y7" s="243">
        <v>1</v>
      </c>
      <c r="Z7" s="243">
        <v>1</v>
      </c>
      <c r="AA7" s="243">
        <v>0</v>
      </c>
      <c r="AB7" s="167">
        <v>0</v>
      </c>
      <c r="AC7" s="243">
        <v>1</v>
      </c>
      <c r="AD7" s="243">
        <v>1</v>
      </c>
      <c r="AE7" s="243">
        <v>0</v>
      </c>
      <c r="AF7" s="167">
        <v>0</v>
      </c>
      <c r="AG7" s="243">
        <v>0</v>
      </c>
      <c r="AH7" s="243">
        <v>0</v>
      </c>
      <c r="AI7" s="243">
        <v>0</v>
      </c>
      <c r="AJ7" s="167">
        <v>0</v>
      </c>
    </row>
    <row r="8" spans="1:36" ht="15" customHeight="1" thickBot="1" x14ac:dyDescent="0.3">
      <c r="A8" s="378" t="s">
        <v>105</v>
      </c>
      <c r="B8" s="379" t="s">
        <v>54</v>
      </c>
      <c r="C8" s="372" t="s">
        <v>27</v>
      </c>
      <c r="D8" s="380" t="s">
        <v>38</v>
      </c>
      <c r="E8" s="380" t="s">
        <v>36</v>
      </c>
      <c r="F8" s="380">
        <v>10</v>
      </c>
      <c r="G8" s="381">
        <v>43</v>
      </c>
      <c r="H8" s="382">
        <v>0</v>
      </c>
      <c r="I8" s="380">
        <v>0</v>
      </c>
      <c r="J8" s="383">
        <v>1</v>
      </c>
      <c r="K8" s="383">
        <v>1</v>
      </c>
      <c r="L8" s="383">
        <v>0</v>
      </c>
      <c r="M8" s="383">
        <v>1</v>
      </c>
      <c r="N8" s="383">
        <v>0</v>
      </c>
      <c r="O8" s="383">
        <v>0</v>
      </c>
      <c r="P8" s="383">
        <v>1</v>
      </c>
      <c r="Q8" s="383">
        <v>0</v>
      </c>
      <c r="R8" s="383">
        <v>6</v>
      </c>
      <c r="S8" s="261">
        <v>13362</v>
      </c>
      <c r="T8" s="515" t="s">
        <v>491</v>
      </c>
      <c r="U8" s="263" t="s">
        <v>353</v>
      </c>
      <c r="V8" s="261" t="s">
        <v>368</v>
      </c>
      <c r="W8" s="261" t="s">
        <v>369</v>
      </c>
      <c r="X8" s="264" t="s">
        <v>376</v>
      </c>
      <c r="Y8" s="384">
        <v>1</v>
      </c>
      <c r="Z8" s="384">
        <v>0</v>
      </c>
      <c r="AA8" s="384">
        <v>0</v>
      </c>
      <c r="AB8" s="387">
        <v>1</v>
      </c>
      <c r="AC8" s="384">
        <v>0</v>
      </c>
      <c r="AD8" s="384">
        <v>0</v>
      </c>
      <c r="AE8" s="384">
        <v>0</v>
      </c>
      <c r="AF8" s="387">
        <v>0</v>
      </c>
      <c r="AG8" s="384">
        <v>1</v>
      </c>
      <c r="AH8" s="384">
        <v>0</v>
      </c>
      <c r="AI8" s="384">
        <v>0</v>
      </c>
      <c r="AJ8" s="387">
        <v>1</v>
      </c>
    </row>
    <row r="9" spans="1:36" ht="15" customHeight="1" thickBot="1" x14ac:dyDescent="0.3">
      <c r="A9" s="402" t="s">
        <v>107</v>
      </c>
      <c r="B9" s="403" t="s">
        <v>161</v>
      </c>
      <c r="C9" s="404" t="s">
        <v>223</v>
      </c>
      <c r="D9" s="405" t="s">
        <v>90</v>
      </c>
      <c r="E9" s="405" t="s">
        <v>36</v>
      </c>
      <c r="F9" s="405">
        <v>26</v>
      </c>
      <c r="G9" s="406">
        <v>27</v>
      </c>
      <c r="H9" s="407">
        <v>0</v>
      </c>
      <c r="I9" s="408">
        <v>1</v>
      </c>
      <c r="J9" s="408">
        <v>2</v>
      </c>
      <c r="K9" s="408">
        <v>2</v>
      </c>
      <c r="L9" s="408">
        <v>0</v>
      </c>
      <c r="M9" s="408">
        <v>4</v>
      </c>
      <c r="N9" s="408">
        <v>0</v>
      </c>
      <c r="O9" s="408">
        <v>0</v>
      </c>
      <c r="P9" s="408">
        <v>0</v>
      </c>
      <c r="Q9" s="405">
        <v>0</v>
      </c>
      <c r="R9" s="408">
        <v>3</v>
      </c>
      <c r="S9" s="409">
        <v>9879</v>
      </c>
      <c r="T9" s="642" t="s">
        <v>543</v>
      </c>
      <c r="U9" s="411" t="s">
        <v>539</v>
      </c>
      <c r="V9" s="409" t="s">
        <v>540</v>
      </c>
      <c r="W9" s="409" t="s">
        <v>541</v>
      </c>
      <c r="X9" s="412" t="s">
        <v>542</v>
      </c>
      <c r="Y9" s="409">
        <v>1</v>
      </c>
      <c r="Z9" s="409">
        <v>0</v>
      </c>
      <c r="AA9" s="409">
        <v>0</v>
      </c>
      <c r="AB9" s="413">
        <v>1</v>
      </c>
      <c r="AC9" s="409">
        <v>1</v>
      </c>
      <c r="AD9" s="409">
        <v>0</v>
      </c>
      <c r="AE9" s="409">
        <v>0</v>
      </c>
      <c r="AF9" s="413">
        <v>1</v>
      </c>
      <c r="AG9" s="409">
        <v>0</v>
      </c>
      <c r="AH9" s="409">
        <v>0</v>
      </c>
      <c r="AI9" s="409">
        <v>0</v>
      </c>
      <c r="AJ9" s="413">
        <v>0</v>
      </c>
    </row>
    <row r="10" spans="1:36" ht="15" customHeight="1" thickBot="1" x14ac:dyDescent="0.3">
      <c r="A10" s="391" t="s">
        <v>231</v>
      </c>
      <c r="B10" s="392" t="s">
        <v>161</v>
      </c>
      <c r="C10" s="414" t="s">
        <v>224</v>
      </c>
      <c r="D10" s="394" t="s">
        <v>38</v>
      </c>
      <c r="E10" s="394" t="s">
        <v>36</v>
      </c>
      <c r="F10" s="394">
        <v>3</v>
      </c>
      <c r="G10" s="395">
        <v>35</v>
      </c>
      <c r="H10" s="396">
        <v>0</v>
      </c>
      <c r="I10" s="397">
        <v>0</v>
      </c>
      <c r="J10" s="397">
        <v>0</v>
      </c>
      <c r="K10" s="397">
        <v>0</v>
      </c>
      <c r="L10" s="397">
        <v>0</v>
      </c>
      <c r="M10" s="397">
        <v>1</v>
      </c>
      <c r="N10" s="397">
        <v>0</v>
      </c>
      <c r="O10" s="397">
        <v>0</v>
      </c>
      <c r="P10" s="397">
        <v>1</v>
      </c>
      <c r="Q10" s="394">
        <v>0</v>
      </c>
      <c r="R10" s="397">
        <v>4</v>
      </c>
      <c r="S10" s="398">
        <v>17591</v>
      </c>
      <c r="T10" s="523" t="s">
        <v>544</v>
      </c>
      <c r="U10" s="399" t="s">
        <v>536</v>
      </c>
      <c r="V10" s="398" t="s">
        <v>537</v>
      </c>
      <c r="W10" s="398" t="s">
        <v>518</v>
      </c>
      <c r="X10" s="400" t="s">
        <v>538</v>
      </c>
      <c r="Y10" s="398">
        <v>1</v>
      </c>
      <c r="Z10" s="398">
        <v>0</v>
      </c>
      <c r="AA10" s="398">
        <v>0</v>
      </c>
      <c r="AB10" s="401">
        <v>1</v>
      </c>
      <c r="AC10" s="398">
        <v>0</v>
      </c>
      <c r="AD10" s="398">
        <v>0</v>
      </c>
      <c r="AE10" s="398">
        <v>0</v>
      </c>
      <c r="AF10" s="401">
        <v>0</v>
      </c>
      <c r="AG10" s="398">
        <v>1</v>
      </c>
      <c r="AH10" s="398">
        <v>0</v>
      </c>
      <c r="AI10" s="398">
        <v>0</v>
      </c>
      <c r="AJ10" s="401">
        <v>1</v>
      </c>
    </row>
    <row r="11" spans="1:36" ht="15" customHeight="1" thickBot="1" x14ac:dyDescent="0.3">
      <c r="A11" s="248" t="s">
        <v>94</v>
      </c>
      <c r="B11" s="249" t="s">
        <v>96</v>
      </c>
      <c r="C11" s="250" t="s">
        <v>189</v>
      </c>
      <c r="D11" s="283" t="s">
        <v>90</v>
      </c>
      <c r="E11" s="283" t="s">
        <v>36</v>
      </c>
      <c r="F11" s="283">
        <v>32</v>
      </c>
      <c r="G11" s="284">
        <v>29</v>
      </c>
      <c r="H11" s="277">
        <v>1</v>
      </c>
      <c r="I11" s="276">
        <v>0</v>
      </c>
      <c r="J11" s="276">
        <v>4</v>
      </c>
      <c r="K11" s="276">
        <v>3</v>
      </c>
      <c r="L11" s="276">
        <v>0</v>
      </c>
      <c r="M11" s="276">
        <v>2</v>
      </c>
      <c r="N11" s="276">
        <v>0</v>
      </c>
      <c r="O11" s="276">
        <v>0</v>
      </c>
      <c r="P11" s="276">
        <v>1</v>
      </c>
      <c r="Q11" s="283">
        <v>1</v>
      </c>
      <c r="R11" s="276">
        <v>4</v>
      </c>
      <c r="S11" s="443">
        <v>3511</v>
      </c>
      <c r="T11" s="648" t="s">
        <v>608</v>
      </c>
      <c r="U11" s="444" t="s">
        <v>609</v>
      </c>
      <c r="V11" s="445" t="s">
        <v>510</v>
      </c>
      <c r="W11" s="278" t="s">
        <v>340</v>
      </c>
      <c r="X11" s="280" t="s">
        <v>348</v>
      </c>
      <c r="Y11" s="278">
        <v>1</v>
      </c>
      <c r="Z11" s="278">
        <v>1</v>
      </c>
      <c r="AA11" s="278">
        <v>0</v>
      </c>
      <c r="AB11" s="281">
        <v>0</v>
      </c>
      <c r="AC11" s="278">
        <v>1</v>
      </c>
      <c r="AD11" s="278">
        <v>1</v>
      </c>
      <c r="AE11" s="278">
        <v>0</v>
      </c>
      <c r="AF11" s="281">
        <v>0</v>
      </c>
      <c r="AG11" s="278">
        <v>0</v>
      </c>
      <c r="AH11" s="278">
        <v>0</v>
      </c>
      <c r="AI11" s="278">
        <v>0</v>
      </c>
      <c r="AJ11" s="281">
        <v>0</v>
      </c>
    </row>
    <row r="12" spans="1:36" ht="15" customHeight="1" thickBot="1" x14ac:dyDescent="0.3">
      <c r="A12" s="251" t="s">
        <v>95</v>
      </c>
      <c r="B12" s="252" t="s">
        <v>96</v>
      </c>
      <c r="C12" s="253" t="s">
        <v>28</v>
      </c>
      <c r="D12" s="269" t="s">
        <v>38</v>
      </c>
      <c r="E12" s="269" t="s">
        <v>36</v>
      </c>
      <c r="F12" s="269">
        <v>13</v>
      </c>
      <c r="G12" s="275">
        <v>29</v>
      </c>
      <c r="H12" s="268">
        <v>0</v>
      </c>
      <c r="I12" s="267">
        <v>0</v>
      </c>
      <c r="J12" s="267">
        <v>1</v>
      </c>
      <c r="K12" s="267">
        <v>1</v>
      </c>
      <c r="L12" s="267">
        <v>0</v>
      </c>
      <c r="M12" s="267">
        <v>2</v>
      </c>
      <c r="N12" s="267">
        <v>1</v>
      </c>
      <c r="O12" s="267">
        <v>0</v>
      </c>
      <c r="P12" s="267">
        <v>1</v>
      </c>
      <c r="Q12" s="269">
        <v>0</v>
      </c>
      <c r="R12" s="267">
        <v>4</v>
      </c>
      <c r="S12" s="272">
        <v>17739</v>
      </c>
      <c r="T12" s="655" t="s">
        <v>625</v>
      </c>
      <c r="U12" s="271" t="s">
        <v>624</v>
      </c>
      <c r="V12" s="272" t="s">
        <v>361</v>
      </c>
      <c r="W12" s="272" t="s">
        <v>387</v>
      </c>
      <c r="X12" s="273" t="s">
        <v>348</v>
      </c>
      <c r="Y12" s="272">
        <v>1</v>
      </c>
      <c r="Z12" s="272">
        <v>0</v>
      </c>
      <c r="AA12" s="272">
        <v>0</v>
      </c>
      <c r="AB12" s="274">
        <v>1</v>
      </c>
      <c r="AC12" s="272">
        <v>0</v>
      </c>
      <c r="AD12" s="272">
        <v>0</v>
      </c>
      <c r="AE12" s="272">
        <v>0</v>
      </c>
      <c r="AF12" s="274">
        <v>0</v>
      </c>
      <c r="AG12" s="272">
        <v>1</v>
      </c>
      <c r="AH12" s="272">
        <v>0</v>
      </c>
      <c r="AI12" s="272">
        <v>0</v>
      </c>
      <c r="AJ12" s="274">
        <v>1</v>
      </c>
    </row>
    <row r="13" spans="1:36" ht="15" customHeight="1" thickBot="1" x14ac:dyDescent="0.3">
      <c r="A13" s="239" t="s">
        <v>109</v>
      </c>
      <c r="B13" s="240" t="s">
        <v>54</v>
      </c>
      <c r="C13" s="122" t="s">
        <v>13</v>
      </c>
      <c r="D13" s="123" t="s">
        <v>90</v>
      </c>
      <c r="E13" s="123" t="s">
        <v>34</v>
      </c>
      <c r="F13" s="123">
        <v>36</v>
      </c>
      <c r="G13" s="241">
        <v>8</v>
      </c>
      <c r="H13" s="244">
        <v>1</v>
      </c>
      <c r="I13" s="242">
        <v>0</v>
      </c>
      <c r="J13" s="242">
        <v>5</v>
      </c>
      <c r="K13" s="242">
        <v>4</v>
      </c>
      <c r="L13" s="242">
        <v>0</v>
      </c>
      <c r="M13" s="242">
        <v>1</v>
      </c>
      <c r="N13" s="593">
        <v>0</v>
      </c>
      <c r="O13" s="242">
        <v>0</v>
      </c>
      <c r="P13" s="242">
        <v>0</v>
      </c>
      <c r="Q13" s="123">
        <v>0</v>
      </c>
      <c r="R13" s="242">
        <v>1</v>
      </c>
      <c r="S13" s="243">
        <v>4753</v>
      </c>
      <c r="T13" s="592" t="s">
        <v>490</v>
      </c>
      <c r="U13" s="245" t="s">
        <v>419</v>
      </c>
      <c r="V13" s="243" t="s">
        <v>346</v>
      </c>
      <c r="W13" s="243" t="s">
        <v>355</v>
      </c>
      <c r="X13" s="169" t="s">
        <v>369</v>
      </c>
      <c r="Y13" s="243">
        <v>1</v>
      </c>
      <c r="Z13" s="243">
        <v>1</v>
      </c>
      <c r="AA13" s="243">
        <v>0</v>
      </c>
      <c r="AB13" s="167">
        <v>0</v>
      </c>
      <c r="AC13" s="243">
        <v>1</v>
      </c>
      <c r="AD13" s="243">
        <v>1</v>
      </c>
      <c r="AE13" s="243">
        <v>0</v>
      </c>
      <c r="AF13" s="167">
        <v>0</v>
      </c>
      <c r="AG13" s="243">
        <v>0</v>
      </c>
      <c r="AH13" s="243">
        <v>0</v>
      </c>
      <c r="AI13" s="243">
        <v>0</v>
      </c>
      <c r="AJ13" s="167">
        <v>0</v>
      </c>
    </row>
    <row r="14" spans="1:36" ht="15" customHeight="1" thickBot="1" x14ac:dyDescent="0.3">
      <c r="A14" s="256" t="s">
        <v>112</v>
      </c>
      <c r="B14" s="255" t="s">
        <v>54</v>
      </c>
      <c r="C14" s="247" t="s">
        <v>10</v>
      </c>
      <c r="D14" s="257" t="s">
        <v>38</v>
      </c>
      <c r="E14" s="257" t="s">
        <v>34</v>
      </c>
      <c r="F14" s="257">
        <v>16</v>
      </c>
      <c r="G14" s="258">
        <v>12</v>
      </c>
      <c r="H14" s="258">
        <v>0</v>
      </c>
      <c r="I14" s="260">
        <v>0</v>
      </c>
      <c r="J14" s="260">
        <v>1</v>
      </c>
      <c r="K14" s="260">
        <v>1</v>
      </c>
      <c r="L14" s="260">
        <v>0</v>
      </c>
      <c r="M14" s="260">
        <v>3</v>
      </c>
      <c r="N14" s="260">
        <v>0</v>
      </c>
      <c r="O14" s="260">
        <v>0</v>
      </c>
      <c r="P14" s="260">
        <v>0</v>
      </c>
      <c r="Q14" s="257">
        <v>1</v>
      </c>
      <c r="R14" s="260">
        <v>0</v>
      </c>
      <c r="S14" s="261">
        <v>13067</v>
      </c>
      <c r="T14" s="516" t="s">
        <v>651</v>
      </c>
      <c r="U14" s="263" t="s">
        <v>652</v>
      </c>
      <c r="V14" s="261" t="s">
        <v>377</v>
      </c>
      <c r="W14" s="261" t="s">
        <v>370</v>
      </c>
      <c r="X14" s="264" t="s">
        <v>363</v>
      </c>
      <c r="Y14" s="261">
        <v>1</v>
      </c>
      <c r="Z14" s="261">
        <v>1</v>
      </c>
      <c r="AA14" s="261">
        <v>0</v>
      </c>
      <c r="AB14" s="168">
        <v>0</v>
      </c>
      <c r="AC14" s="261">
        <v>0</v>
      </c>
      <c r="AD14" s="261">
        <v>0</v>
      </c>
      <c r="AE14" s="261">
        <v>0</v>
      </c>
      <c r="AF14" s="168">
        <v>0</v>
      </c>
      <c r="AG14" s="261">
        <v>1</v>
      </c>
      <c r="AH14" s="261">
        <v>1</v>
      </c>
      <c r="AI14" s="261">
        <v>0</v>
      </c>
      <c r="AJ14" s="168">
        <v>0</v>
      </c>
    </row>
    <row r="15" spans="1:36" ht="15" customHeight="1" thickBot="1" x14ac:dyDescent="0.3">
      <c r="A15" s="378" t="s">
        <v>215</v>
      </c>
      <c r="B15" s="379" t="s">
        <v>54</v>
      </c>
      <c r="C15" s="372" t="s">
        <v>66</v>
      </c>
      <c r="D15" s="380" t="s">
        <v>38</v>
      </c>
      <c r="E15" s="380" t="s">
        <v>34</v>
      </c>
      <c r="F15" s="380">
        <v>18</v>
      </c>
      <c r="G15" s="381">
        <v>13</v>
      </c>
      <c r="H15" s="382">
        <v>0</v>
      </c>
      <c r="I15" s="383">
        <v>0</v>
      </c>
      <c r="J15" s="383">
        <v>2</v>
      </c>
      <c r="K15" s="383">
        <v>1</v>
      </c>
      <c r="L15" s="383">
        <v>0</v>
      </c>
      <c r="M15" s="383">
        <v>2</v>
      </c>
      <c r="N15" s="380">
        <v>0</v>
      </c>
      <c r="O15" s="383">
        <v>0</v>
      </c>
      <c r="P15" s="383">
        <v>0</v>
      </c>
      <c r="Q15" s="380">
        <v>1</v>
      </c>
      <c r="R15" s="383">
        <v>1</v>
      </c>
      <c r="S15" s="261">
        <v>5572</v>
      </c>
      <c r="T15" s="516" t="s">
        <v>687</v>
      </c>
      <c r="U15" s="263" t="s">
        <v>374</v>
      </c>
      <c r="V15" s="261" t="s">
        <v>368</v>
      </c>
      <c r="W15" s="261" t="s">
        <v>686</v>
      </c>
      <c r="X15" s="264" t="s">
        <v>387</v>
      </c>
      <c r="Y15" s="261">
        <v>1</v>
      </c>
      <c r="Z15" s="261">
        <v>1</v>
      </c>
      <c r="AA15" s="261">
        <v>0</v>
      </c>
      <c r="AB15" s="168">
        <v>0</v>
      </c>
      <c r="AC15" s="384">
        <v>0</v>
      </c>
      <c r="AD15" s="384">
        <v>0</v>
      </c>
      <c r="AE15" s="384">
        <v>0</v>
      </c>
      <c r="AF15" s="387">
        <v>0</v>
      </c>
      <c r="AG15" s="384">
        <v>1</v>
      </c>
      <c r="AH15" s="384">
        <v>1</v>
      </c>
      <c r="AI15" s="384">
        <v>0</v>
      </c>
      <c r="AJ15" s="387">
        <v>0</v>
      </c>
    </row>
    <row r="16" spans="1:36" ht="15" customHeight="1" thickBot="1" x14ac:dyDescent="0.3">
      <c r="A16" s="402" t="s">
        <v>155</v>
      </c>
      <c r="B16" s="403" t="s">
        <v>161</v>
      </c>
      <c r="C16" s="404" t="s">
        <v>21</v>
      </c>
      <c r="D16" s="405" t="s">
        <v>90</v>
      </c>
      <c r="E16" s="405" t="s">
        <v>36</v>
      </c>
      <c r="F16" s="405">
        <v>15</v>
      </c>
      <c r="G16" s="406">
        <v>19</v>
      </c>
      <c r="H16" s="407">
        <v>0</v>
      </c>
      <c r="I16" s="408">
        <v>1</v>
      </c>
      <c r="J16" s="408">
        <v>2</v>
      </c>
      <c r="K16" s="408">
        <v>1</v>
      </c>
      <c r="L16" s="408">
        <v>0</v>
      </c>
      <c r="M16" s="408">
        <v>1</v>
      </c>
      <c r="N16" s="408">
        <v>0</v>
      </c>
      <c r="O16" s="408">
        <v>0</v>
      </c>
      <c r="P16" s="408">
        <v>0</v>
      </c>
      <c r="Q16" s="405">
        <v>0</v>
      </c>
      <c r="R16" s="408">
        <v>2</v>
      </c>
      <c r="S16" s="441">
        <v>7053</v>
      </c>
      <c r="T16" s="519" t="s">
        <v>692</v>
      </c>
      <c r="U16" s="411" t="s">
        <v>527</v>
      </c>
      <c r="V16" s="409" t="s">
        <v>693</v>
      </c>
      <c r="W16" s="409" t="s">
        <v>694</v>
      </c>
      <c r="X16" s="412" t="s">
        <v>695</v>
      </c>
      <c r="Y16" s="409">
        <v>1</v>
      </c>
      <c r="Z16" s="409">
        <v>0</v>
      </c>
      <c r="AA16" s="409">
        <v>0</v>
      </c>
      <c r="AB16" s="413">
        <v>1</v>
      </c>
      <c r="AC16" s="409">
        <v>1</v>
      </c>
      <c r="AD16" s="409">
        <v>0</v>
      </c>
      <c r="AE16" s="409">
        <v>0</v>
      </c>
      <c r="AF16" s="413">
        <v>1</v>
      </c>
      <c r="AG16" s="409">
        <v>0</v>
      </c>
      <c r="AH16" s="409">
        <v>0</v>
      </c>
      <c r="AI16" s="409">
        <v>0</v>
      </c>
      <c r="AJ16" s="413">
        <v>0</v>
      </c>
    </row>
    <row r="17" spans="1:36" ht="15" customHeight="1" thickBot="1" x14ac:dyDescent="0.3">
      <c r="A17" s="391" t="s">
        <v>122</v>
      </c>
      <c r="B17" s="392" t="s">
        <v>161</v>
      </c>
      <c r="C17" s="414" t="s">
        <v>21</v>
      </c>
      <c r="D17" s="394" t="s">
        <v>38</v>
      </c>
      <c r="E17" s="394" t="s">
        <v>36</v>
      </c>
      <c r="F17" s="394">
        <v>15</v>
      </c>
      <c r="G17" s="395">
        <v>28</v>
      </c>
      <c r="H17" s="396">
        <v>0</v>
      </c>
      <c r="I17" s="397">
        <v>0</v>
      </c>
      <c r="J17" s="397">
        <v>2</v>
      </c>
      <c r="K17" s="397">
        <v>1</v>
      </c>
      <c r="L17" s="397">
        <v>0</v>
      </c>
      <c r="M17" s="397">
        <v>1</v>
      </c>
      <c r="N17" s="397">
        <v>0</v>
      </c>
      <c r="O17" s="397">
        <v>0</v>
      </c>
      <c r="P17" s="397">
        <v>0</v>
      </c>
      <c r="Q17" s="397">
        <v>0</v>
      </c>
      <c r="R17" s="397">
        <v>3</v>
      </c>
      <c r="S17" s="398">
        <v>7561</v>
      </c>
      <c r="T17" s="523" t="s">
        <v>706</v>
      </c>
      <c r="U17" s="399" t="s">
        <v>512</v>
      </c>
      <c r="V17" s="398" t="s">
        <v>534</v>
      </c>
      <c r="W17" s="398" t="s">
        <v>535</v>
      </c>
      <c r="X17" s="400" t="s">
        <v>515</v>
      </c>
      <c r="Y17" s="398">
        <v>1</v>
      </c>
      <c r="Z17" s="398">
        <v>0</v>
      </c>
      <c r="AA17" s="398">
        <v>0</v>
      </c>
      <c r="AB17" s="401">
        <v>1</v>
      </c>
      <c r="AC17" s="398">
        <v>0</v>
      </c>
      <c r="AD17" s="398">
        <v>0</v>
      </c>
      <c r="AE17" s="398">
        <v>0</v>
      </c>
      <c r="AF17" s="401">
        <v>0</v>
      </c>
      <c r="AG17" s="398">
        <v>1</v>
      </c>
      <c r="AH17" s="398">
        <v>0</v>
      </c>
      <c r="AI17" s="398">
        <v>0</v>
      </c>
      <c r="AJ17" s="401">
        <v>1</v>
      </c>
    </row>
    <row r="18" spans="1:36" ht="15" customHeight="1" thickBot="1" x14ac:dyDescent="0.3">
      <c r="A18" s="239" t="s">
        <v>104</v>
      </c>
      <c r="B18" s="240" t="s">
        <v>54</v>
      </c>
      <c r="C18" s="122" t="s">
        <v>30</v>
      </c>
      <c r="D18" s="123" t="s">
        <v>90</v>
      </c>
      <c r="E18" s="123" t="s">
        <v>34</v>
      </c>
      <c r="F18" s="123">
        <v>18</v>
      </c>
      <c r="G18" s="241">
        <v>11</v>
      </c>
      <c r="H18" s="244">
        <v>0</v>
      </c>
      <c r="I18" s="242">
        <v>0</v>
      </c>
      <c r="J18" s="242">
        <v>2</v>
      </c>
      <c r="K18" s="242">
        <v>1</v>
      </c>
      <c r="L18" s="242">
        <v>0</v>
      </c>
      <c r="M18" s="242">
        <v>2</v>
      </c>
      <c r="N18" s="242">
        <v>1</v>
      </c>
      <c r="O18" s="242">
        <v>0</v>
      </c>
      <c r="P18" s="242">
        <v>0</v>
      </c>
      <c r="Q18" s="242">
        <v>1</v>
      </c>
      <c r="R18" s="242">
        <v>1</v>
      </c>
      <c r="S18" s="243">
        <v>5266</v>
      </c>
      <c r="T18" s="592" t="s">
        <v>733</v>
      </c>
      <c r="U18" s="245" t="s">
        <v>338</v>
      </c>
      <c r="V18" s="243" t="s">
        <v>375</v>
      </c>
      <c r="W18" s="243" t="s">
        <v>348</v>
      </c>
      <c r="X18" s="169" t="s">
        <v>390</v>
      </c>
      <c r="Y18" s="243">
        <v>1</v>
      </c>
      <c r="Z18" s="243">
        <v>1</v>
      </c>
      <c r="AA18" s="243">
        <v>0</v>
      </c>
      <c r="AB18" s="167">
        <v>0</v>
      </c>
      <c r="AC18" s="243">
        <v>1</v>
      </c>
      <c r="AD18" s="243">
        <v>1</v>
      </c>
      <c r="AE18" s="243">
        <v>0</v>
      </c>
      <c r="AF18" s="167">
        <v>0</v>
      </c>
      <c r="AG18" s="243">
        <v>0</v>
      </c>
      <c r="AH18" s="243">
        <v>0</v>
      </c>
      <c r="AI18" s="243">
        <v>0</v>
      </c>
      <c r="AJ18" s="167">
        <v>0</v>
      </c>
    </row>
    <row r="19" spans="1:36" ht="15" customHeight="1" thickBot="1" x14ac:dyDescent="0.3">
      <c r="A19" s="239" t="s">
        <v>98</v>
      </c>
      <c r="B19" s="240" t="s">
        <v>54</v>
      </c>
      <c r="C19" s="122" t="s">
        <v>28</v>
      </c>
      <c r="D19" s="123" t="s">
        <v>90</v>
      </c>
      <c r="E19" s="123" t="s">
        <v>36</v>
      </c>
      <c r="F19" s="123">
        <v>30</v>
      </c>
      <c r="G19" s="241">
        <v>32</v>
      </c>
      <c r="H19" s="244">
        <v>1</v>
      </c>
      <c r="I19" s="242">
        <v>1</v>
      </c>
      <c r="J19" s="242">
        <v>4</v>
      </c>
      <c r="K19" s="242">
        <v>2</v>
      </c>
      <c r="L19" s="242">
        <v>0</v>
      </c>
      <c r="M19" s="242">
        <v>2</v>
      </c>
      <c r="N19" s="242">
        <v>1</v>
      </c>
      <c r="O19" s="242">
        <v>0</v>
      </c>
      <c r="P19" s="242">
        <v>1</v>
      </c>
      <c r="Q19" s="242">
        <v>0</v>
      </c>
      <c r="R19" s="242">
        <v>4</v>
      </c>
      <c r="S19" s="661">
        <v>11247</v>
      </c>
      <c r="T19" s="592" t="s">
        <v>761</v>
      </c>
      <c r="U19" s="245" t="s">
        <v>452</v>
      </c>
      <c r="V19" s="243" t="s">
        <v>361</v>
      </c>
      <c r="W19" s="243" t="s">
        <v>445</v>
      </c>
      <c r="X19" s="169" t="s">
        <v>762</v>
      </c>
      <c r="Y19" s="243">
        <v>1</v>
      </c>
      <c r="Z19" s="243">
        <v>0</v>
      </c>
      <c r="AA19" s="243">
        <v>0</v>
      </c>
      <c r="AB19" s="167">
        <v>1</v>
      </c>
      <c r="AC19" s="243">
        <v>1</v>
      </c>
      <c r="AD19" s="243">
        <v>0</v>
      </c>
      <c r="AE19" s="243">
        <v>0</v>
      </c>
      <c r="AF19" s="167">
        <v>1</v>
      </c>
      <c r="AG19" s="243">
        <v>0</v>
      </c>
      <c r="AH19" s="243">
        <v>0</v>
      </c>
      <c r="AI19" s="243">
        <v>0</v>
      </c>
      <c r="AJ19" s="167">
        <v>0</v>
      </c>
    </row>
    <row r="20" spans="1:36" ht="15" customHeight="1" thickBot="1" x14ac:dyDescent="0.3">
      <c r="A20" s="378" t="s">
        <v>216</v>
      </c>
      <c r="B20" s="379" t="s">
        <v>54</v>
      </c>
      <c r="C20" s="372" t="s">
        <v>189</v>
      </c>
      <c r="D20" s="380" t="s">
        <v>38</v>
      </c>
      <c r="E20" s="380" t="s">
        <v>36</v>
      </c>
      <c r="F20" s="380">
        <v>16</v>
      </c>
      <c r="G20" s="381">
        <v>41</v>
      </c>
      <c r="H20" s="382">
        <v>0</v>
      </c>
      <c r="I20" s="383">
        <v>0</v>
      </c>
      <c r="J20" s="383">
        <v>1</v>
      </c>
      <c r="K20" s="383">
        <v>1</v>
      </c>
      <c r="L20" s="383">
        <v>0</v>
      </c>
      <c r="M20" s="383">
        <v>3</v>
      </c>
      <c r="N20" s="383">
        <v>0</v>
      </c>
      <c r="O20" s="383">
        <v>0</v>
      </c>
      <c r="P20" s="383">
        <v>1</v>
      </c>
      <c r="Q20" s="383">
        <v>0</v>
      </c>
      <c r="R20" s="383">
        <v>5</v>
      </c>
      <c r="S20" s="261">
        <v>15343</v>
      </c>
      <c r="T20" s="669" t="s">
        <v>793</v>
      </c>
      <c r="U20" s="263" t="s">
        <v>367</v>
      </c>
      <c r="V20" s="261" t="s">
        <v>399</v>
      </c>
      <c r="W20" s="261" t="s">
        <v>600</v>
      </c>
      <c r="X20" s="264" t="s">
        <v>377</v>
      </c>
      <c r="Y20" s="384">
        <v>1</v>
      </c>
      <c r="Z20" s="384">
        <v>0</v>
      </c>
      <c r="AA20" s="384">
        <v>0</v>
      </c>
      <c r="AB20" s="387">
        <v>1</v>
      </c>
      <c r="AC20" s="384">
        <v>0</v>
      </c>
      <c r="AD20" s="384">
        <v>0</v>
      </c>
      <c r="AE20" s="384">
        <v>0</v>
      </c>
      <c r="AF20" s="387">
        <v>0</v>
      </c>
      <c r="AG20" s="384">
        <v>1</v>
      </c>
      <c r="AH20" s="384">
        <v>0</v>
      </c>
      <c r="AI20" s="384">
        <v>0</v>
      </c>
      <c r="AJ20" s="387">
        <v>1</v>
      </c>
    </row>
    <row r="21" spans="1:36" ht="15" customHeight="1" thickBot="1" x14ac:dyDescent="0.3">
      <c r="A21" s="239" t="s">
        <v>100</v>
      </c>
      <c r="B21" s="240" t="s">
        <v>54</v>
      </c>
      <c r="C21" s="122" t="s">
        <v>27</v>
      </c>
      <c r="D21" s="123" t="s">
        <v>90</v>
      </c>
      <c r="E21" s="123" t="s">
        <v>34</v>
      </c>
      <c r="F21" s="123">
        <v>20</v>
      </c>
      <c r="G21" s="241">
        <v>7</v>
      </c>
      <c r="H21" s="244">
        <v>0</v>
      </c>
      <c r="I21" s="242">
        <v>0</v>
      </c>
      <c r="J21" s="242">
        <v>2</v>
      </c>
      <c r="K21" s="242">
        <v>2</v>
      </c>
      <c r="L21" s="242">
        <v>0</v>
      </c>
      <c r="M21" s="242">
        <v>2</v>
      </c>
      <c r="N21" s="242">
        <v>0</v>
      </c>
      <c r="O21" s="242">
        <v>0</v>
      </c>
      <c r="P21" s="242">
        <v>0</v>
      </c>
      <c r="Q21" s="242">
        <v>0</v>
      </c>
      <c r="R21" s="242">
        <v>1</v>
      </c>
      <c r="S21" s="243">
        <v>8311</v>
      </c>
      <c r="T21" s="592" t="s">
        <v>808</v>
      </c>
      <c r="U21" s="245" t="s">
        <v>419</v>
      </c>
      <c r="V21" s="243" t="s">
        <v>346</v>
      </c>
      <c r="W21" s="243" t="s">
        <v>601</v>
      </c>
      <c r="X21" s="169" t="s">
        <v>347</v>
      </c>
      <c r="Y21" s="243">
        <v>1</v>
      </c>
      <c r="Z21" s="243">
        <v>1</v>
      </c>
      <c r="AA21" s="243">
        <v>0</v>
      </c>
      <c r="AB21" s="167">
        <v>0</v>
      </c>
      <c r="AC21" s="243">
        <v>1</v>
      </c>
      <c r="AD21" s="243">
        <v>1</v>
      </c>
      <c r="AE21" s="243">
        <v>0</v>
      </c>
      <c r="AF21" s="167">
        <v>0</v>
      </c>
      <c r="AG21" s="243">
        <v>0</v>
      </c>
      <c r="AH21" s="243">
        <v>0</v>
      </c>
      <c r="AI21" s="243">
        <v>0</v>
      </c>
      <c r="AJ21" s="167">
        <v>0</v>
      </c>
    </row>
    <row r="22" spans="1:36" ht="15" customHeight="1" thickBot="1" x14ac:dyDescent="0.3">
      <c r="A22" s="402" t="s">
        <v>101</v>
      </c>
      <c r="B22" s="403" t="s">
        <v>161</v>
      </c>
      <c r="C22" s="404" t="s">
        <v>224</v>
      </c>
      <c r="D22" s="405" t="s">
        <v>90</v>
      </c>
      <c r="E22" s="405" t="s">
        <v>36</v>
      </c>
      <c r="F22" s="405">
        <v>13</v>
      </c>
      <c r="G22" s="406">
        <v>22</v>
      </c>
      <c r="H22" s="407">
        <v>0</v>
      </c>
      <c r="I22" s="408">
        <v>0</v>
      </c>
      <c r="J22" s="408">
        <v>1</v>
      </c>
      <c r="K22" s="408">
        <v>1</v>
      </c>
      <c r="L22" s="408">
        <v>0</v>
      </c>
      <c r="M22" s="408">
        <v>2</v>
      </c>
      <c r="N22" s="405">
        <v>0</v>
      </c>
      <c r="O22" s="408">
        <v>0</v>
      </c>
      <c r="P22" s="408">
        <v>0</v>
      </c>
      <c r="Q22" s="408">
        <v>0</v>
      </c>
      <c r="R22" s="408">
        <v>1</v>
      </c>
      <c r="S22" s="409">
        <v>6108</v>
      </c>
      <c r="T22" s="520" t="s">
        <v>734</v>
      </c>
      <c r="U22" s="411" t="s">
        <v>568</v>
      </c>
      <c r="V22" s="409" t="s">
        <v>570</v>
      </c>
      <c r="W22" s="409" t="s">
        <v>694</v>
      </c>
      <c r="X22" s="412" t="s">
        <v>695</v>
      </c>
      <c r="Y22" s="409">
        <v>1</v>
      </c>
      <c r="Z22" s="409">
        <v>0</v>
      </c>
      <c r="AA22" s="409">
        <v>0</v>
      </c>
      <c r="AB22" s="413">
        <v>1</v>
      </c>
      <c r="AC22" s="409">
        <v>1</v>
      </c>
      <c r="AD22" s="409">
        <v>0</v>
      </c>
      <c r="AE22" s="409">
        <v>0</v>
      </c>
      <c r="AF22" s="413">
        <v>1</v>
      </c>
      <c r="AG22" s="409">
        <v>0</v>
      </c>
      <c r="AH22" s="409">
        <v>0</v>
      </c>
      <c r="AI22" s="409">
        <v>0</v>
      </c>
      <c r="AJ22" s="413">
        <v>0</v>
      </c>
    </row>
    <row r="23" spans="1:36" ht="15" customHeight="1" thickBot="1" x14ac:dyDescent="0.3">
      <c r="A23" s="391" t="s">
        <v>785</v>
      </c>
      <c r="B23" s="392" t="s">
        <v>161</v>
      </c>
      <c r="C23" s="414" t="s">
        <v>223</v>
      </c>
      <c r="D23" s="394" t="s">
        <v>38</v>
      </c>
      <c r="E23" s="394" t="s">
        <v>36</v>
      </c>
      <c r="F23" s="394">
        <v>10</v>
      </c>
      <c r="G23" s="395">
        <v>65</v>
      </c>
      <c r="H23" s="396">
        <v>0</v>
      </c>
      <c r="I23" s="397">
        <v>0</v>
      </c>
      <c r="J23" s="397">
        <v>1</v>
      </c>
      <c r="K23" s="397">
        <v>1</v>
      </c>
      <c r="L23" s="397">
        <v>0</v>
      </c>
      <c r="M23" s="397">
        <v>1</v>
      </c>
      <c r="N23" s="397">
        <v>0</v>
      </c>
      <c r="O23" s="397">
        <v>0</v>
      </c>
      <c r="P23" s="397">
        <v>1</v>
      </c>
      <c r="Q23" s="397">
        <v>0</v>
      </c>
      <c r="R23" s="397">
        <v>9</v>
      </c>
      <c r="S23" s="398">
        <v>17685</v>
      </c>
      <c r="T23" s="523" t="s">
        <v>547</v>
      </c>
      <c r="U23" s="399" t="s">
        <v>548</v>
      </c>
      <c r="V23" s="398" t="s">
        <v>745</v>
      </c>
      <c r="W23" s="398" t="s">
        <v>590</v>
      </c>
      <c r="X23" s="400" t="s">
        <v>833</v>
      </c>
      <c r="Y23" s="398">
        <v>1</v>
      </c>
      <c r="Z23" s="398">
        <v>0</v>
      </c>
      <c r="AA23" s="398">
        <v>0</v>
      </c>
      <c r="AB23" s="401">
        <v>1</v>
      </c>
      <c r="AC23" s="398">
        <v>0</v>
      </c>
      <c r="AD23" s="398">
        <v>0</v>
      </c>
      <c r="AE23" s="398">
        <v>0</v>
      </c>
      <c r="AF23" s="401">
        <v>0</v>
      </c>
      <c r="AG23" s="398">
        <v>1</v>
      </c>
      <c r="AH23" s="398">
        <v>0</v>
      </c>
      <c r="AI23" s="398">
        <v>0</v>
      </c>
      <c r="AJ23" s="401">
        <v>1</v>
      </c>
    </row>
    <row r="24" spans="1:36" ht="15" customHeight="1" thickBot="1" x14ac:dyDescent="0.3">
      <c r="A24" s="251" t="s">
        <v>249</v>
      </c>
      <c r="B24" s="252" t="s">
        <v>96</v>
      </c>
      <c r="C24" s="253" t="s">
        <v>66</v>
      </c>
      <c r="D24" s="269" t="s">
        <v>38</v>
      </c>
      <c r="E24" s="269" t="s">
        <v>36</v>
      </c>
      <c r="F24" s="269">
        <v>19</v>
      </c>
      <c r="G24" s="275">
        <v>39</v>
      </c>
      <c r="H24" s="268">
        <v>0</v>
      </c>
      <c r="I24" s="267">
        <v>0</v>
      </c>
      <c r="J24" s="269">
        <v>1</v>
      </c>
      <c r="K24" s="267">
        <v>1</v>
      </c>
      <c r="L24" s="267">
        <v>0</v>
      </c>
      <c r="M24" s="267">
        <v>4</v>
      </c>
      <c r="N24" s="267">
        <v>3</v>
      </c>
      <c r="O24" s="267">
        <v>0</v>
      </c>
      <c r="P24" s="267">
        <v>1</v>
      </c>
      <c r="Q24" s="267">
        <v>0</v>
      </c>
      <c r="R24" s="267">
        <v>5</v>
      </c>
      <c r="S24" s="270">
        <v>2857</v>
      </c>
      <c r="T24" s="651" t="s">
        <v>859</v>
      </c>
      <c r="U24" s="271" t="s">
        <v>569</v>
      </c>
      <c r="V24" s="272" t="s">
        <v>510</v>
      </c>
      <c r="W24" s="272" t="s">
        <v>348</v>
      </c>
      <c r="X24" s="273" t="s">
        <v>377</v>
      </c>
      <c r="Y24" s="272">
        <v>1</v>
      </c>
      <c r="Z24" s="272">
        <v>0</v>
      </c>
      <c r="AA24" s="272">
        <v>0</v>
      </c>
      <c r="AB24" s="274">
        <v>1</v>
      </c>
      <c r="AC24" s="272">
        <v>0</v>
      </c>
      <c r="AD24" s="272">
        <v>0</v>
      </c>
      <c r="AE24" s="272">
        <v>0</v>
      </c>
      <c r="AF24" s="274">
        <v>0</v>
      </c>
      <c r="AG24" s="272">
        <v>1</v>
      </c>
      <c r="AH24" s="272">
        <v>0</v>
      </c>
      <c r="AI24" s="272">
        <v>0</v>
      </c>
      <c r="AJ24" s="274">
        <v>1</v>
      </c>
    </row>
    <row r="25" spans="1:36" ht="15" customHeight="1" thickBot="1" x14ac:dyDescent="0.3">
      <c r="A25" s="248" t="s">
        <v>111</v>
      </c>
      <c r="B25" s="249" t="s">
        <v>96</v>
      </c>
      <c r="C25" s="250" t="s">
        <v>230</v>
      </c>
      <c r="D25" s="283" t="s">
        <v>90</v>
      </c>
      <c r="E25" s="283" t="s">
        <v>34</v>
      </c>
      <c r="F25" s="283">
        <v>38</v>
      </c>
      <c r="G25" s="284">
        <v>3</v>
      </c>
      <c r="H25" s="277">
        <v>1</v>
      </c>
      <c r="I25" s="276">
        <v>0</v>
      </c>
      <c r="J25" s="276">
        <v>6</v>
      </c>
      <c r="K25" s="276">
        <v>4</v>
      </c>
      <c r="L25" s="276">
        <v>0</v>
      </c>
      <c r="M25" s="276">
        <v>0</v>
      </c>
      <c r="N25" s="276">
        <v>0</v>
      </c>
      <c r="O25" s="276">
        <v>0</v>
      </c>
      <c r="P25" s="276">
        <v>0</v>
      </c>
      <c r="Q25" s="276">
        <v>0</v>
      </c>
      <c r="R25" s="276">
        <v>0</v>
      </c>
      <c r="S25" s="278">
        <v>4312</v>
      </c>
      <c r="T25" s="649" t="s">
        <v>863</v>
      </c>
      <c r="U25" s="279" t="s">
        <v>737</v>
      </c>
      <c r="V25" s="278" t="s">
        <v>510</v>
      </c>
      <c r="W25" s="278" t="s">
        <v>600</v>
      </c>
      <c r="X25" s="280" t="s">
        <v>348</v>
      </c>
      <c r="Y25" s="278">
        <v>1</v>
      </c>
      <c r="Z25" s="278">
        <v>1</v>
      </c>
      <c r="AA25" s="278">
        <v>0</v>
      </c>
      <c r="AB25" s="281">
        <v>0</v>
      </c>
      <c r="AC25" s="278">
        <v>1</v>
      </c>
      <c r="AD25" s="278">
        <v>1</v>
      </c>
      <c r="AE25" s="278">
        <v>0</v>
      </c>
      <c r="AF25" s="281">
        <v>0</v>
      </c>
      <c r="AG25" s="278">
        <v>0</v>
      </c>
      <c r="AH25" s="278">
        <v>0</v>
      </c>
      <c r="AI25" s="278">
        <v>0</v>
      </c>
      <c r="AJ25" s="281">
        <v>0</v>
      </c>
    </row>
    <row r="26" spans="1:36" ht="15" customHeight="1" thickBot="1" x14ac:dyDescent="0.3">
      <c r="A26" s="256" t="s">
        <v>196</v>
      </c>
      <c r="B26" s="255" t="s">
        <v>54</v>
      </c>
      <c r="C26" s="247" t="s">
        <v>190</v>
      </c>
      <c r="D26" s="257" t="s">
        <v>38</v>
      </c>
      <c r="E26" s="257" t="s">
        <v>34</v>
      </c>
      <c r="F26" s="257">
        <v>52</v>
      </c>
      <c r="G26" s="258">
        <v>12</v>
      </c>
      <c r="H26" s="259">
        <v>1</v>
      </c>
      <c r="I26" s="260">
        <v>0</v>
      </c>
      <c r="J26" s="260">
        <v>8</v>
      </c>
      <c r="K26" s="260">
        <v>6</v>
      </c>
      <c r="L26" s="260">
        <v>0</v>
      </c>
      <c r="M26" s="260">
        <v>0</v>
      </c>
      <c r="N26" s="260">
        <v>0</v>
      </c>
      <c r="O26" s="260">
        <v>0</v>
      </c>
      <c r="P26" s="260">
        <v>0</v>
      </c>
      <c r="Q26" s="260">
        <v>0</v>
      </c>
      <c r="R26" s="260">
        <v>2</v>
      </c>
      <c r="S26" s="261">
        <v>2811</v>
      </c>
      <c r="T26" s="590" t="s">
        <v>883</v>
      </c>
      <c r="U26" s="263" t="s">
        <v>452</v>
      </c>
      <c r="V26" s="261" t="s">
        <v>393</v>
      </c>
      <c r="W26" s="261" t="s">
        <v>624</v>
      </c>
      <c r="X26" s="264" t="s">
        <v>356</v>
      </c>
      <c r="Y26" s="261">
        <v>1</v>
      </c>
      <c r="Z26" s="261">
        <v>1</v>
      </c>
      <c r="AA26" s="261">
        <v>0</v>
      </c>
      <c r="AB26" s="168">
        <v>0</v>
      </c>
      <c r="AC26" s="261">
        <v>0</v>
      </c>
      <c r="AD26" s="261">
        <v>0</v>
      </c>
      <c r="AE26" s="261">
        <v>0</v>
      </c>
      <c r="AF26" s="168">
        <v>0</v>
      </c>
      <c r="AG26" s="261">
        <v>1</v>
      </c>
      <c r="AH26" s="261">
        <v>1</v>
      </c>
      <c r="AI26" s="261">
        <v>0</v>
      </c>
      <c r="AJ26" s="168">
        <v>0</v>
      </c>
    </row>
    <row r="27" spans="1:36" ht="15" customHeight="1" thickBot="1" x14ac:dyDescent="0.3">
      <c r="A27" s="239" t="s">
        <v>156</v>
      </c>
      <c r="B27" s="240" t="s">
        <v>54</v>
      </c>
      <c r="C27" s="122" t="s">
        <v>21</v>
      </c>
      <c r="D27" s="123" t="s">
        <v>90</v>
      </c>
      <c r="E27" s="123" t="s">
        <v>34</v>
      </c>
      <c r="F27" s="123">
        <v>14</v>
      </c>
      <c r="G27" s="241">
        <v>10</v>
      </c>
      <c r="H27" s="244">
        <v>0</v>
      </c>
      <c r="I27" s="242">
        <v>0</v>
      </c>
      <c r="J27" s="242">
        <v>2</v>
      </c>
      <c r="K27" s="242">
        <v>2</v>
      </c>
      <c r="L27" s="242">
        <v>0</v>
      </c>
      <c r="M27" s="242">
        <v>0</v>
      </c>
      <c r="N27" s="242">
        <v>1</v>
      </c>
      <c r="O27" s="242">
        <v>0</v>
      </c>
      <c r="P27" s="242">
        <v>0</v>
      </c>
      <c r="Q27" s="242">
        <v>1</v>
      </c>
      <c r="R27" s="242">
        <v>1</v>
      </c>
      <c r="S27" s="282">
        <v>6217</v>
      </c>
      <c r="T27" s="592" t="s">
        <v>853</v>
      </c>
      <c r="U27" s="245" t="s">
        <v>374</v>
      </c>
      <c r="V27" s="243" t="s">
        <v>346</v>
      </c>
      <c r="W27" s="243" t="s">
        <v>452</v>
      </c>
      <c r="X27" s="169" t="s">
        <v>355</v>
      </c>
      <c r="Y27" s="243">
        <v>1</v>
      </c>
      <c r="Z27" s="243">
        <v>1</v>
      </c>
      <c r="AA27" s="243">
        <v>0</v>
      </c>
      <c r="AB27" s="167">
        <v>0</v>
      </c>
      <c r="AC27" s="243">
        <v>1</v>
      </c>
      <c r="AD27" s="243">
        <v>1</v>
      </c>
      <c r="AE27" s="243">
        <v>0</v>
      </c>
      <c r="AF27" s="167">
        <v>0</v>
      </c>
      <c r="AG27" s="243">
        <v>0</v>
      </c>
      <c r="AH27" s="243">
        <v>0</v>
      </c>
      <c r="AI27" s="243">
        <v>0</v>
      </c>
      <c r="AJ27" s="167">
        <v>0</v>
      </c>
    </row>
    <row r="28" spans="1:36" ht="15" customHeight="1" thickBot="1" x14ac:dyDescent="0.3">
      <c r="A28" s="256" t="s">
        <v>97</v>
      </c>
      <c r="B28" s="255" t="s">
        <v>54</v>
      </c>
      <c r="C28" s="247" t="s">
        <v>28</v>
      </c>
      <c r="D28" s="257" t="s">
        <v>38</v>
      </c>
      <c r="E28" s="257" t="s">
        <v>36</v>
      </c>
      <c r="F28" s="257">
        <v>8</v>
      </c>
      <c r="G28" s="258">
        <v>28</v>
      </c>
      <c r="H28" s="259">
        <v>0</v>
      </c>
      <c r="I28" s="260">
        <v>0</v>
      </c>
      <c r="J28" s="260">
        <v>1</v>
      </c>
      <c r="K28" s="260">
        <v>0</v>
      </c>
      <c r="L28" s="260">
        <v>0</v>
      </c>
      <c r="M28" s="260">
        <v>1</v>
      </c>
      <c r="N28" s="260">
        <v>2</v>
      </c>
      <c r="O28" s="260">
        <v>0</v>
      </c>
      <c r="P28" s="260">
        <v>0</v>
      </c>
      <c r="Q28" s="260">
        <v>0</v>
      </c>
      <c r="R28" s="260">
        <v>3</v>
      </c>
      <c r="S28" s="261">
        <v>21896</v>
      </c>
      <c r="T28" s="516" t="s">
        <v>908</v>
      </c>
      <c r="U28" s="263" t="s">
        <v>367</v>
      </c>
      <c r="V28" s="261" t="s">
        <v>393</v>
      </c>
      <c r="W28" s="261" t="s">
        <v>363</v>
      </c>
      <c r="X28" s="264" t="s">
        <v>445</v>
      </c>
      <c r="Y28" s="261">
        <v>1</v>
      </c>
      <c r="Z28" s="261">
        <v>0</v>
      </c>
      <c r="AA28" s="261">
        <v>0</v>
      </c>
      <c r="AB28" s="168">
        <v>1</v>
      </c>
      <c r="AC28" s="261">
        <v>0</v>
      </c>
      <c r="AD28" s="261">
        <v>0</v>
      </c>
      <c r="AE28" s="261">
        <v>0</v>
      </c>
      <c r="AF28" s="168">
        <v>0</v>
      </c>
      <c r="AG28" s="261">
        <v>1</v>
      </c>
      <c r="AH28" s="261">
        <v>0</v>
      </c>
      <c r="AI28" s="261">
        <v>0</v>
      </c>
      <c r="AJ28" s="168">
        <v>1</v>
      </c>
    </row>
    <row r="29" spans="1:36" ht="15" customHeight="1" thickBot="1" x14ac:dyDescent="0.3">
      <c r="A29" s="256" t="s">
        <v>784</v>
      </c>
      <c r="B29" s="255" t="s">
        <v>54</v>
      </c>
      <c r="C29" s="247" t="s">
        <v>24</v>
      </c>
      <c r="D29" s="257" t="s">
        <v>38</v>
      </c>
      <c r="E29" s="257" t="s">
        <v>36</v>
      </c>
      <c r="F29" s="257">
        <v>3</v>
      </c>
      <c r="G29" s="258">
        <v>12</v>
      </c>
      <c r="H29" s="259">
        <v>0</v>
      </c>
      <c r="I29" s="260">
        <v>0</v>
      </c>
      <c r="J29" s="260">
        <v>0</v>
      </c>
      <c r="K29" s="260">
        <v>0</v>
      </c>
      <c r="L29" s="260">
        <v>0</v>
      </c>
      <c r="M29" s="260">
        <v>1</v>
      </c>
      <c r="N29" s="260">
        <v>0</v>
      </c>
      <c r="O29" s="260">
        <v>0</v>
      </c>
      <c r="P29" s="260">
        <v>0</v>
      </c>
      <c r="Q29" s="260">
        <v>0</v>
      </c>
      <c r="R29" s="260">
        <v>0</v>
      </c>
      <c r="S29" s="261">
        <v>13430</v>
      </c>
      <c r="T29" s="262" t="s">
        <v>734</v>
      </c>
      <c r="U29" s="263" t="s">
        <v>338</v>
      </c>
      <c r="V29" s="261" t="s">
        <v>339</v>
      </c>
      <c r="W29" s="261" t="s">
        <v>353</v>
      </c>
      <c r="X29" s="264" t="s">
        <v>376</v>
      </c>
      <c r="Y29" s="261">
        <v>1</v>
      </c>
      <c r="Z29" s="261">
        <v>0</v>
      </c>
      <c r="AA29" s="261">
        <v>0</v>
      </c>
      <c r="AB29" s="168">
        <v>1</v>
      </c>
      <c r="AC29" s="261">
        <v>0</v>
      </c>
      <c r="AD29" s="261">
        <v>0</v>
      </c>
      <c r="AE29" s="261">
        <v>0</v>
      </c>
      <c r="AF29" s="168">
        <v>0</v>
      </c>
      <c r="AG29" s="261">
        <v>1</v>
      </c>
      <c r="AH29" s="261">
        <v>0</v>
      </c>
      <c r="AI29" s="261">
        <v>0</v>
      </c>
      <c r="AJ29" s="168">
        <v>1</v>
      </c>
    </row>
    <row r="30" spans="1:36" ht="15" customHeight="1" thickBot="1" x14ac:dyDescent="0.3">
      <c r="A30" s="239" t="s">
        <v>197</v>
      </c>
      <c r="B30" s="240" t="s">
        <v>54</v>
      </c>
      <c r="C30" s="122" t="s">
        <v>26</v>
      </c>
      <c r="D30" s="123" t="s">
        <v>90</v>
      </c>
      <c r="E30" s="123" t="s">
        <v>34</v>
      </c>
      <c r="F30" s="123">
        <v>23</v>
      </c>
      <c r="G30" s="241">
        <v>6</v>
      </c>
      <c r="H30" s="244">
        <v>0</v>
      </c>
      <c r="I30" s="242">
        <v>0</v>
      </c>
      <c r="J30" s="123">
        <v>2</v>
      </c>
      <c r="K30" s="242">
        <v>2</v>
      </c>
      <c r="L30" s="242">
        <v>0</v>
      </c>
      <c r="M30" s="242">
        <v>3</v>
      </c>
      <c r="N30" s="242">
        <v>2</v>
      </c>
      <c r="O30" s="242">
        <v>0</v>
      </c>
      <c r="P30" s="242">
        <v>0</v>
      </c>
      <c r="Q30" s="242">
        <v>0</v>
      </c>
      <c r="R30" s="242">
        <v>0</v>
      </c>
      <c r="S30" s="243">
        <v>6879</v>
      </c>
      <c r="T30" s="592" t="s">
        <v>740</v>
      </c>
      <c r="U30" s="245" t="s">
        <v>419</v>
      </c>
      <c r="V30" s="243" t="s">
        <v>361</v>
      </c>
      <c r="W30" s="243" t="s">
        <v>348</v>
      </c>
      <c r="X30" s="169" t="s">
        <v>369</v>
      </c>
      <c r="Y30" s="243">
        <v>1</v>
      </c>
      <c r="Z30" s="243">
        <v>1</v>
      </c>
      <c r="AA30" s="243">
        <v>0</v>
      </c>
      <c r="AB30" s="167">
        <v>0</v>
      </c>
      <c r="AC30" s="243">
        <v>1</v>
      </c>
      <c r="AD30" s="243">
        <v>1</v>
      </c>
      <c r="AE30" s="243">
        <v>0</v>
      </c>
      <c r="AF30" s="167">
        <v>0</v>
      </c>
      <c r="AG30" s="243">
        <v>0</v>
      </c>
      <c r="AH30" s="243">
        <v>0</v>
      </c>
      <c r="AI30" s="243">
        <v>0</v>
      </c>
      <c r="AJ30" s="167">
        <v>0</v>
      </c>
    </row>
    <row r="31" spans="1:36" ht="15" customHeight="1" thickBot="1" x14ac:dyDescent="0.3">
      <c r="A31" s="378" t="s">
        <v>198</v>
      </c>
      <c r="B31" s="379" t="s">
        <v>54</v>
      </c>
      <c r="C31" s="372" t="s">
        <v>13</v>
      </c>
      <c r="D31" s="380" t="s">
        <v>38</v>
      </c>
      <c r="E31" s="380" t="s">
        <v>36</v>
      </c>
      <c r="F31" s="380">
        <v>23</v>
      </c>
      <c r="G31" s="381">
        <v>25</v>
      </c>
      <c r="H31" s="382">
        <v>0</v>
      </c>
      <c r="I31" s="383">
        <v>1</v>
      </c>
      <c r="J31" s="383">
        <v>3</v>
      </c>
      <c r="K31" s="383">
        <v>1</v>
      </c>
      <c r="L31" s="383">
        <v>0</v>
      </c>
      <c r="M31" s="383">
        <v>2</v>
      </c>
      <c r="N31" s="380">
        <v>1</v>
      </c>
      <c r="O31" s="383">
        <v>0</v>
      </c>
      <c r="P31" s="383">
        <v>0</v>
      </c>
      <c r="Q31" s="383">
        <v>0</v>
      </c>
      <c r="R31" s="383">
        <v>3</v>
      </c>
      <c r="S31" s="370">
        <v>5575</v>
      </c>
      <c r="T31" s="516" t="s">
        <v>547</v>
      </c>
      <c r="U31" s="263" t="s">
        <v>609</v>
      </c>
      <c r="V31" s="261" t="s">
        <v>341</v>
      </c>
      <c r="W31" s="261" t="s">
        <v>363</v>
      </c>
      <c r="X31" s="264" t="s">
        <v>387</v>
      </c>
      <c r="Y31" s="384">
        <v>1</v>
      </c>
      <c r="Z31" s="384">
        <v>0</v>
      </c>
      <c r="AA31" s="384">
        <v>0</v>
      </c>
      <c r="AB31" s="387">
        <v>1</v>
      </c>
      <c r="AC31" s="384">
        <v>0</v>
      </c>
      <c r="AD31" s="384">
        <v>0</v>
      </c>
      <c r="AE31" s="384">
        <v>0</v>
      </c>
      <c r="AF31" s="387">
        <v>0</v>
      </c>
      <c r="AG31" s="384">
        <v>1</v>
      </c>
      <c r="AH31" s="384">
        <v>0</v>
      </c>
      <c r="AI31" s="384">
        <v>0</v>
      </c>
      <c r="AJ31" s="387">
        <v>1</v>
      </c>
    </row>
    <row r="32" spans="1:36" ht="15" customHeight="1" thickBot="1" x14ac:dyDescent="0.3">
      <c r="A32" s="239" t="s">
        <v>145</v>
      </c>
      <c r="B32" s="240" t="s">
        <v>54</v>
      </c>
      <c r="C32" s="122" t="s">
        <v>10</v>
      </c>
      <c r="D32" s="123" t="s">
        <v>90</v>
      </c>
      <c r="E32" s="123" t="s">
        <v>36</v>
      </c>
      <c r="F32" s="123">
        <v>23</v>
      </c>
      <c r="G32" s="241">
        <v>25</v>
      </c>
      <c r="H32" s="244">
        <v>0</v>
      </c>
      <c r="I32" s="242">
        <v>1</v>
      </c>
      <c r="J32" s="242">
        <v>3</v>
      </c>
      <c r="K32" s="242">
        <v>1</v>
      </c>
      <c r="L32" s="242">
        <v>0</v>
      </c>
      <c r="M32" s="242">
        <v>2</v>
      </c>
      <c r="N32" s="242">
        <v>0</v>
      </c>
      <c r="O32" s="242">
        <v>0</v>
      </c>
      <c r="P32" s="242">
        <v>1</v>
      </c>
      <c r="Q32" s="242">
        <v>0</v>
      </c>
      <c r="R32" s="242">
        <v>4</v>
      </c>
      <c r="S32" s="243">
        <v>8159</v>
      </c>
      <c r="T32" s="514" t="s">
        <v>989</v>
      </c>
      <c r="U32" s="245" t="s">
        <v>338</v>
      </c>
      <c r="V32" s="243" t="s">
        <v>346</v>
      </c>
      <c r="W32" s="243" t="s">
        <v>348</v>
      </c>
      <c r="X32" s="169" t="s">
        <v>376</v>
      </c>
      <c r="Y32" s="243">
        <v>1</v>
      </c>
      <c r="Z32" s="243">
        <v>0</v>
      </c>
      <c r="AA32" s="243">
        <v>0</v>
      </c>
      <c r="AB32" s="167">
        <v>1</v>
      </c>
      <c r="AC32" s="243">
        <v>1</v>
      </c>
      <c r="AD32" s="243">
        <v>0</v>
      </c>
      <c r="AE32" s="243">
        <v>0</v>
      </c>
      <c r="AF32" s="167">
        <v>1</v>
      </c>
      <c r="AG32" s="243">
        <v>0</v>
      </c>
      <c r="AH32" s="243">
        <v>0</v>
      </c>
      <c r="AI32" s="243">
        <v>0</v>
      </c>
      <c r="AJ32" s="167">
        <v>0</v>
      </c>
    </row>
    <row r="33" spans="1:36" ht="15" customHeight="1" thickBot="1" x14ac:dyDescent="0.3">
      <c r="A33" s="239" t="s">
        <v>164</v>
      </c>
      <c r="B33" s="240" t="s">
        <v>54</v>
      </c>
      <c r="C33" s="122" t="s">
        <v>66</v>
      </c>
      <c r="D33" s="123" t="s">
        <v>90</v>
      </c>
      <c r="E33" s="123" t="s">
        <v>34</v>
      </c>
      <c r="F33" s="123">
        <v>34</v>
      </c>
      <c r="G33" s="241">
        <v>28</v>
      </c>
      <c r="H33" s="244">
        <v>1</v>
      </c>
      <c r="I33" s="242">
        <v>0</v>
      </c>
      <c r="J33" s="242">
        <v>5</v>
      </c>
      <c r="K33" s="242">
        <v>3</v>
      </c>
      <c r="L33" s="242">
        <v>0</v>
      </c>
      <c r="M33" s="242">
        <v>1</v>
      </c>
      <c r="N33" s="242">
        <v>1</v>
      </c>
      <c r="O33" s="242">
        <v>0</v>
      </c>
      <c r="P33" s="242">
        <v>0</v>
      </c>
      <c r="Q33" s="242">
        <v>1</v>
      </c>
      <c r="R33" s="242">
        <v>3</v>
      </c>
      <c r="S33" s="774">
        <v>7058</v>
      </c>
      <c r="T33" s="592" t="s">
        <v>1017</v>
      </c>
      <c r="U33" s="245" t="s">
        <v>419</v>
      </c>
      <c r="V33" s="243" t="s">
        <v>375</v>
      </c>
      <c r="W33" s="243" t="s">
        <v>347</v>
      </c>
      <c r="X33" s="169" t="s">
        <v>600</v>
      </c>
      <c r="Y33" s="243">
        <v>1</v>
      </c>
      <c r="Z33" s="243">
        <v>1</v>
      </c>
      <c r="AA33" s="243">
        <v>0</v>
      </c>
      <c r="AB33" s="167">
        <v>0</v>
      </c>
      <c r="AC33" s="243">
        <v>1</v>
      </c>
      <c r="AD33" s="243">
        <v>1</v>
      </c>
      <c r="AE33" s="243">
        <v>0</v>
      </c>
      <c r="AF33" s="167">
        <v>0</v>
      </c>
      <c r="AG33" s="243">
        <v>0</v>
      </c>
      <c r="AH33" s="243">
        <v>0</v>
      </c>
      <c r="AI33" s="243">
        <v>0</v>
      </c>
      <c r="AJ33" s="167">
        <v>0</v>
      </c>
    </row>
    <row r="34" spans="1:36" ht="15" customHeight="1" thickBot="1" x14ac:dyDescent="0.3">
      <c r="A34" s="256" t="s">
        <v>148</v>
      </c>
      <c r="B34" s="255" t="s">
        <v>54</v>
      </c>
      <c r="C34" s="247" t="s">
        <v>30</v>
      </c>
      <c r="D34" s="257" t="s">
        <v>38</v>
      </c>
      <c r="E34" s="257" t="s">
        <v>36</v>
      </c>
      <c r="F34" s="257">
        <v>16</v>
      </c>
      <c r="G34" s="258">
        <v>44</v>
      </c>
      <c r="H34" s="259">
        <v>0</v>
      </c>
      <c r="I34" s="260">
        <v>0</v>
      </c>
      <c r="J34" s="260">
        <v>2</v>
      </c>
      <c r="K34" s="260">
        <v>0</v>
      </c>
      <c r="L34" s="260">
        <v>0</v>
      </c>
      <c r="M34" s="260">
        <v>2</v>
      </c>
      <c r="N34" s="260">
        <v>2</v>
      </c>
      <c r="O34" s="260">
        <v>1</v>
      </c>
      <c r="P34" s="260">
        <v>1</v>
      </c>
      <c r="Q34" s="260">
        <v>0</v>
      </c>
      <c r="R34" s="260">
        <v>7</v>
      </c>
      <c r="S34" s="374">
        <v>12642</v>
      </c>
      <c r="T34" s="794" t="s">
        <v>1036</v>
      </c>
      <c r="U34" s="375" t="s">
        <v>338</v>
      </c>
      <c r="V34" s="376" t="s">
        <v>399</v>
      </c>
      <c r="W34" s="376" t="s">
        <v>377</v>
      </c>
      <c r="X34" s="377" t="s">
        <v>376</v>
      </c>
      <c r="Y34" s="261">
        <v>1</v>
      </c>
      <c r="Z34" s="261">
        <v>0</v>
      </c>
      <c r="AA34" s="261">
        <v>0</v>
      </c>
      <c r="AB34" s="168">
        <v>1</v>
      </c>
      <c r="AC34" s="261">
        <v>0</v>
      </c>
      <c r="AD34" s="261">
        <v>0</v>
      </c>
      <c r="AE34" s="261">
        <v>0</v>
      </c>
      <c r="AF34" s="168">
        <v>0</v>
      </c>
      <c r="AG34" s="261">
        <v>1</v>
      </c>
      <c r="AH34" s="261">
        <v>0</v>
      </c>
      <c r="AI34" s="261">
        <v>0</v>
      </c>
      <c r="AJ34" s="168">
        <v>1</v>
      </c>
    </row>
    <row r="35" spans="1:36" ht="15" customHeight="1" thickBot="1" x14ac:dyDescent="0.3">
      <c r="A35" s="66"/>
      <c r="B35" s="67"/>
      <c r="C35" s="885" t="s">
        <v>173</v>
      </c>
      <c r="D35" s="886"/>
      <c r="E35" s="887"/>
      <c r="F35" s="291">
        <f t="shared" ref="F35:R35" si="0">SUM(F3+F4+F5+F6+F7+F8+F13+F14+F15+F18+F19+F20+F21+F26+F27+F28+F29+F30+F31+F32+F33+F34)</f>
        <v>497</v>
      </c>
      <c r="G35" s="291">
        <f t="shared" si="0"/>
        <v>482</v>
      </c>
      <c r="H35" s="291">
        <f t="shared" si="0"/>
        <v>6</v>
      </c>
      <c r="I35" s="291">
        <f t="shared" si="0"/>
        <v>4</v>
      </c>
      <c r="J35" s="291">
        <f t="shared" si="0"/>
        <v>62</v>
      </c>
      <c r="K35" s="291">
        <f t="shared" si="0"/>
        <v>41</v>
      </c>
      <c r="L35" s="291">
        <f t="shared" si="0"/>
        <v>1</v>
      </c>
      <c r="M35" s="291">
        <f t="shared" si="0"/>
        <v>34</v>
      </c>
      <c r="N35" s="291">
        <f t="shared" si="0"/>
        <v>13</v>
      </c>
      <c r="O35" s="291">
        <f t="shared" si="0"/>
        <v>1</v>
      </c>
      <c r="P35" s="291">
        <f t="shared" si="0"/>
        <v>6</v>
      </c>
      <c r="Q35" s="291">
        <f t="shared" si="0"/>
        <v>5</v>
      </c>
      <c r="R35" s="291">
        <f t="shared" si="0"/>
        <v>54</v>
      </c>
      <c r="S35" s="68"/>
      <c r="T35" s="68"/>
      <c r="U35" s="68"/>
      <c r="V35" s="68"/>
      <c r="W35" s="328"/>
      <c r="X35" s="310" t="s">
        <v>173</v>
      </c>
      <c r="Y35" s="291">
        <f t="shared" ref="Y35:AJ35" si="1">SUM(Y3+Y4+Y5+Y6+Y7+Y8+Y13+Y14+Y15+Y18+Y19+Y20+Y21+Y26+Y27+Y28+Y29+Y30+Y31+Y32+Y33+Y34)</f>
        <v>22</v>
      </c>
      <c r="Z35" s="291">
        <f t="shared" si="1"/>
        <v>11</v>
      </c>
      <c r="AA35" s="291">
        <f t="shared" si="1"/>
        <v>0</v>
      </c>
      <c r="AB35" s="291">
        <f t="shared" si="1"/>
        <v>11</v>
      </c>
      <c r="AC35" s="121">
        <f t="shared" si="1"/>
        <v>11</v>
      </c>
      <c r="AD35" s="121">
        <f t="shared" si="1"/>
        <v>8</v>
      </c>
      <c r="AE35" s="121">
        <f t="shared" si="1"/>
        <v>0</v>
      </c>
      <c r="AF35" s="121">
        <f t="shared" si="1"/>
        <v>3</v>
      </c>
      <c r="AG35" s="289">
        <f t="shared" si="1"/>
        <v>11</v>
      </c>
      <c r="AH35" s="289">
        <f t="shared" si="1"/>
        <v>3</v>
      </c>
      <c r="AI35" s="289">
        <f t="shared" si="1"/>
        <v>0</v>
      </c>
      <c r="AJ35" s="289">
        <f t="shared" si="1"/>
        <v>8</v>
      </c>
    </row>
    <row r="36" spans="1:36" ht="15" customHeight="1" thickBot="1" x14ac:dyDescent="0.3">
      <c r="A36" s="68"/>
      <c r="B36" s="68"/>
      <c r="C36" s="888" t="s">
        <v>178</v>
      </c>
      <c r="D36" s="889"/>
      <c r="E36" s="890"/>
      <c r="F36" s="417">
        <f t="shared" ref="F36:R36" si="2">SUM(F9+F10+F16+F17+F22+F23)</f>
        <v>82</v>
      </c>
      <c r="G36" s="417">
        <f t="shared" si="2"/>
        <v>196</v>
      </c>
      <c r="H36" s="417">
        <f t="shared" si="2"/>
        <v>0</v>
      </c>
      <c r="I36" s="417">
        <f t="shared" si="2"/>
        <v>2</v>
      </c>
      <c r="J36" s="417">
        <f t="shared" si="2"/>
        <v>8</v>
      </c>
      <c r="K36" s="417">
        <f t="shared" si="2"/>
        <v>6</v>
      </c>
      <c r="L36" s="417">
        <f t="shared" si="2"/>
        <v>0</v>
      </c>
      <c r="M36" s="417">
        <f t="shared" si="2"/>
        <v>10</v>
      </c>
      <c r="N36" s="417">
        <f t="shared" si="2"/>
        <v>0</v>
      </c>
      <c r="O36" s="417">
        <f t="shared" si="2"/>
        <v>0</v>
      </c>
      <c r="P36" s="417">
        <f t="shared" si="2"/>
        <v>2</v>
      </c>
      <c r="Q36" s="417">
        <f t="shared" si="2"/>
        <v>0</v>
      </c>
      <c r="R36" s="417">
        <f t="shared" si="2"/>
        <v>22</v>
      </c>
      <c r="S36" s="418"/>
      <c r="T36" s="418"/>
      <c r="U36" s="418"/>
      <c r="V36" s="418"/>
      <c r="W36" s="419"/>
      <c r="X36" s="420" t="s">
        <v>178</v>
      </c>
      <c r="Y36" s="421">
        <f t="shared" ref="Y36:AJ36" si="3">SUM(Y9+Y10+Y16+Y17+Y22+Y23)</f>
        <v>6</v>
      </c>
      <c r="Z36" s="417">
        <f t="shared" si="3"/>
        <v>0</v>
      </c>
      <c r="AA36" s="417">
        <f t="shared" si="3"/>
        <v>0</v>
      </c>
      <c r="AB36" s="417">
        <f t="shared" si="3"/>
        <v>6</v>
      </c>
      <c r="AC36" s="423">
        <f t="shared" si="3"/>
        <v>3</v>
      </c>
      <c r="AD36" s="423">
        <f t="shared" si="3"/>
        <v>0</v>
      </c>
      <c r="AE36" s="423">
        <f t="shared" si="3"/>
        <v>0</v>
      </c>
      <c r="AF36" s="423">
        <f t="shared" si="3"/>
        <v>3</v>
      </c>
      <c r="AG36" s="422">
        <f t="shared" si="3"/>
        <v>3</v>
      </c>
      <c r="AH36" s="422">
        <f t="shared" si="3"/>
        <v>0</v>
      </c>
      <c r="AI36" s="422">
        <f t="shared" si="3"/>
        <v>0</v>
      </c>
      <c r="AJ36" s="422">
        <f t="shared" si="3"/>
        <v>3</v>
      </c>
    </row>
    <row r="37" spans="1:36" ht="15.75" thickBot="1" x14ac:dyDescent="0.3">
      <c r="A37" s="68"/>
      <c r="B37" s="68"/>
      <c r="C37" s="891" t="s">
        <v>168</v>
      </c>
      <c r="D37" s="892"/>
      <c r="E37" s="893"/>
      <c r="F37" s="319">
        <f t="shared" ref="F37:R37" si="4">SUM(F11+F12+F24+F25)</f>
        <v>102</v>
      </c>
      <c r="G37" s="319">
        <f t="shared" si="4"/>
        <v>100</v>
      </c>
      <c r="H37" s="319">
        <f t="shared" si="4"/>
        <v>2</v>
      </c>
      <c r="I37" s="319">
        <f t="shared" si="4"/>
        <v>0</v>
      </c>
      <c r="J37" s="319">
        <f t="shared" si="4"/>
        <v>12</v>
      </c>
      <c r="K37" s="319">
        <f t="shared" si="4"/>
        <v>9</v>
      </c>
      <c r="L37" s="319">
        <f t="shared" si="4"/>
        <v>0</v>
      </c>
      <c r="M37" s="319">
        <f t="shared" si="4"/>
        <v>8</v>
      </c>
      <c r="N37" s="319">
        <f t="shared" si="4"/>
        <v>4</v>
      </c>
      <c r="O37" s="319">
        <f t="shared" si="4"/>
        <v>0</v>
      </c>
      <c r="P37" s="319">
        <f t="shared" si="4"/>
        <v>3</v>
      </c>
      <c r="Q37" s="319">
        <f t="shared" si="4"/>
        <v>1</v>
      </c>
      <c r="R37" s="319">
        <f t="shared" si="4"/>
        <v>13</v>
      </c>
      <c r="S37" s="321"/>
      <c r="T37" s="321"/>
      <c r="U37" s="321"/>
      <c r="V37" s="321"/>
      <c r="W37" s="329"/>
      <c r="X37" s="322" t="s">
        <v>168</v>
      </c>
      <c r="Y37" s="320">
        <f t="shared" ref="Y37:AJ37" si="5">SUM(Y11+Y12+Y24+Y25)</f>
        <v>4</v>
      </c>
      <c r="Z37" s="319">
        <f t="shared" si="5"/>
        <v>2</v>
      </c>
      <c r="AA37" s="319">
        <f t="shared" si="5"/>
        <v>0</v>
      </c>
      <c r="AB37" s="319">
        <f t="shared" si="5"/>
        <v>2</v>
      </c>
      <c r="AC37" s="724">
        <f t="shared" si="5"/>
        <v>2</v>
      </c>
      <c r="AD37" s="324">
        <f t="shared" si="5"/>
        <v>2</v>
      </c>
      <c r="AE37" s="324">
        <f t="shared" si="5"/>
        <v>0</v>
      </c>
      <c r="AF37" s="324">
        <f t="shared" si="5"/>
        <v>0</v>
      </c>
      <c r="AG37" s="725">
        <f t="shared" si="5"/>
        <v>2</v>
      </c>
      <c r="AH37" s="323">
        <f t="shared" si="5"/>
        <v>0</v>
      </c>
      <c r="AI37" s="323">
        <f t="shared" si="5"/>
        <v>0</v>
      </c>
      <c r="AJ37" s="323">
        <f t="shared" si="5"/>
        <v>2</v>
      </c>
    </row>
    <row r="38" spans="1:36" ht="15.75" thickBot="1" x14ac:dyDescent="0.3">
      <c r="A38" s="68"/>
      <c r="B38" s="68"/>
      <c r="C38" s="458" t="s">
        <v>166</v>
      </c>
      <c r="D38" s="459"/>
      <c r="E38" s="460"/>
      <c r="F38" s="461">
        <v>0</v>
      </c>
      <c r="G38" s="461">
        <v>0</v>
      </c>
      <c r="H38" s="465">
        <v>0</v>
      </c>
      <c r="I38" s="465">
        <v>0</v>
      </c>
      <c r="J38" s="461">
        <v>0</v>
      </c>
      <c r="K38" s="461">
        <v>0</v>
      </c>
      <c r="L38" s="461">
        <v>0</v>
      </c>
      <c r="M38" s="461">
        <v>0</v>
      </c>
      <c r="N38" s="461">
        <v>0</v>
      </c>
      <c r="O38" s="461">
        <v>0</v>
      </c>
      <c r="P38" s="461">
        <v>0</v>
      </c>
      <c r="Q38" s="461">
        <v>0</v>
      </c>
      <c r="R38" s="461">
        <v>0</v>
      </c>
      <c r="S38" s="462"/>
      <c r="T38" s="462"/>
      <c r="U38" s="462"/>
      <c r="V38" s="462"/>
      <c r="W38" s="463"/>
      <c r="X38" s="464" t="s">
        <v>166</v>
      </c>
      <c r="Y38" s="465">
        <v>0</v>
      </c>
      <c r="Z38" s="461">
        <v>0</v>
      </c>
      <c r="AA38" s="461">
        <v>0</v>
      </c>
      <c r="AB38" s="461">
        <v>0</v>
      </c>
      <c r="AC38" s="468">
        <v>0</v>
      </c>
      <c r="AD38" s="469">
        <v>0</v>
      </c>
      <c r="AE38" s="469">
        <v>0</v>
      </c>
      <c r="AF38" s="469">
        <v>0</v>
      </c>
      <c r="AG38" s="466">
        <v>0</v>
      </c>
      <c r="AH38" s="467">
        <v>0</v>
      </c>
      <c r="AI38" s="467">
        <v>0</v>
      </c>
      <c r="AJ38" s="467">
        <v>0</v>
      </c>
    </row>
    <row r="39" spans="1:36" ht="15.75" thickBot="1" x14ac:dyDescent="0.3">
      <c r="C39" s="882" t="s">
        <v>70</v>
      </c>
      <c r="D39" s="883"/>
      <c r="E39" s="884"/>
      <c r="F39" s="293">
        <f t="shared" ref="F39:R39" si="6">SUM(F3:F34)</f>
        <v>681</v>
      </c>
      <c r="G39" s="293">
        <f t="shared" si="6"/>
        <v>778</v>
      </c>
      <c r="H39" s="292">
        <f t="shared" si="6"/>
        <v>8</v>
      </c>
      <c r="I39" s="292">
        <f t="shared" si="6"/>
        <v>6</v>
      </c>
      <c r="J39" s="293">
        <f t="shared" si="6"/>
        <v>82</v>
      </c>
      <c r="K39" s="293">
        <f t="shared" si="6"/>
        <v>56</v>
      </c>
      <c r="L39" s="293">
        <f t="shared" si="6"/>
        <v>1</v>
      </c>
      <c r="M39" s="293">
        <f t="shared" si="6"/>
        <v>52</v>
      </c>
      <c r="N39" s="293">
        <f t="shared" si="6"/>
        <v>17</v>
      </c>
      <c r="O39" s="293">
        <f t="shared" si="6"/>
        <v>1</v>
      </c>
      <c r="P39" s="293">
        <f t="shared" si="6"/>
        <v>11</v>
      </c>
      <c r="Q39" s="293">
        <f t="shared" si="6"/>
        <v>6</v>
      </c>
      <c r="R39" s="293">
        <f t="shared" si="6"/>
        <v>89</v>
      </c>
      <c r="S39" s="68"/>
      <c r="T39" s="68"/>
      <c r="U39" s="68"/>
      <c r="V39" s="68"/>
      <c r="W39" s="331"/>
      <c r="X39" s="309" t="s">
        <v>70</v>
      </c>
      <c r="Y39" s="292">
        <f t="shared" ref="Y39:AJ39" si="7">SUM(Y3:Y34)</f>
        <v>32</v>
      </c>
      <c r="Z39" s="293">
        <f t="shared" si="7"/>
        <v>13</v>
      </c>
      <c r="AA39" s="293">
        <f t="shared" si="7"/>
        <v>0</v>
      </c>
      <c r="AB39" s="293">
        <f t="shared" si="7"/>
        <v>19</v>
      </c>
      <c r="AC39" s="198">
        <f t="shared" si="7"/>
        <v>16</v>
      </c>
      <c r="AD39" s="390">
        <f t="shared" si="7"/>
        <v>10</v>
      </c>
      <c r="AE39" s="390">
        <f t="shared" si="7"/>
        <v>0</v>
      </c>
      <c r="AF39" s="390">
        <f t="shared" si="7"/>
        <v>6</v>
      </c>
      <c r="AG39" s="290">
        <f t="shared" si="7"/>
        <v>16</v>
      </c>
      <c r="AH39" s="133">
        <f t="shared" si="7"/>
        <v>3</v>
      </c>
      <c r="AI39" s="133">
        <f t="shared" si="7"/>
        <v>0</v>
      </c>
      <c r="AJ39" s="133">
        <f t="shared" si="7"/>
        <v>13</v>
      </c>
    </row>
    <row r="40" spans="1:36" x14ac:dyDescent="0.25">
      <c r="A40" t="s">
        <v>545</v>
      </c>
      <c r="B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</row>
    <row r="41" spans="1:36" x14ac:dyDescent="0.25">
      <c r="A41" s="470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</row>
    <row r="42" spans="1:36" x14ac:dyDescent="0.25">
      <c r="A42" s="18" t="s">
        <v>937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</row>
    <row r="43" spans="1:36" x14ac:dyDescent="0.25">
      <c r="A43" s="68"/>
      <c r="B43" s="68"/>
      <c r="C43" s="68"/>
      <c r="D43" s="18"/>
      <c r="E43" s="18"/>
      <c r="F43" s="18" t="s">
        <v>931</v>
      </c>
      <c r="G43" s="18"/>
      <c r="H43" s="18"/>
      <c r="I43" s="18"/>
      <c r="J43" s="18"/>
      <c r="K43" s="18"/>
      <c r="L43" s="18" t="s">
        <v>73</v>
      </c>
      <c r="M43" s="18"/>
      <c r="N43" s="18"/>
      <c r="O43" s="18"/>
      <c r="P43" s="68"/>
      <c r="Q43" s="18" t="s">
        <v>936</v>
      </c>
      <c r="R43" s="68"/>
      <c r="S43" s="68"/>
      <c r="T43" s="68"/>
      <c r="U43" s="68"/>
      <c r="V43" s="68"/>
      <c r="W43" s="18" t="s">
        <v>71</v>
      </c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</row>
    <row r="44" spans="1:36" x14ac:dyDescent="0.25">
      <c r="A44" s="68"/>
      <c r="B44" s="68"/>
      <c r="C44" s="68"/>
      <c r="D44" s="18"/>
      <c r="E44" s="747" t="s">
        <v>33</v>
      </c>
      <c r="F44" s="747" t="s">
        <v>34</v>
      </c>
      <c r="G44" s="747" t="s">
        <v>35</v>
      </c>
      <c r="H44" s="747" t="s">
        <v>36</v>
      </c>
      <c r="I44" s="747" t="s">
        <v>4</v>
      </c>
      <c r="J44" s="748"/>
      <c r="K44" s="747" t="s">
        <v>33</v>
      </c>
      <c r="L44" s="747" t="s">
        <v>34</v>
      </c>
      <c r="M44" s="747" t="s">
        <v>35</v>
      </c>
      <c r="N44" s="747" t="s">
        <v>36</v>
      </c>
      <c r="O44" s="747" t="s">
        <v>4</v>
      </c>
      <c r="P44" s="749"/>
      <c r="Q44" s="747" t="s">
        <v>33</v>
      </c>
      <c r="R44" s="747" t="s">
        <v>34</v>
      </c>
      <c r="S44" s="747" t="s">
        <v>35</v>
      </c>
      <c r="T44" s="747" t="s">
        <v>36</v>
      </c>
      <c r="U44" s="747" t="s">
        <v>4</v>
      </c>
      <c r="V44" s="748"/>
      <c r="W44" s="747" t="s">
        <v>33</v>
      </c>
      <c r="X44" s="747" t="s">
        <v>34</v>
      </c>
      <c r="Y44" s="747" t="s">
        <v>35</v>
      </c>
      <c r="Z44" s="747" t="s">
        <v>36</v>
      </c>
      <c r="AA44" s="747" t="s">
        <v>4</v>
      </c>
      <c r="AB44" s="68"/>
      <c r="AC44" s="68"/>
      <c r="AD44" s="68"/>
      <c r="AE44" s="68"/>
      <c r="AF44" s="68"/>
      <c r="AG44" s="68"/>
      <c r="AH44" s="68"/>
      <c r="AI44" s="68"/>
      <c r="AJ44" s="68"/>
    </row>
    <row r="45" spans="1:36" x14ac:dyDescent="0.25">
      <c r="A45" s="68"/>
      <c r="B45" s="68"/>
      <c r="C45" s="18" t="s">
        <v>932</v>
      </c>
      <c r="D45" s="18"/>
      <c r="E45">
        <v>11</v>
      </c>
      <c r="F45">
        <v>5</v>
      </c>
      <c r="G45">
        <v>2</v>
      </c>
      <c r="H45">
        <v>4</v>
      </c>
      <c r="I45" s="746">
        <f>SUM(F45+G45*0.5)/E45*100</f>
        <v>54.54545454545454</v>
      </c>
      <c r="J45" s="745"/>
      <c r="K45">
        <v>11</v>
      </c>
      <c r="L45">
        <v>5</v>
      </c>
      <c r="M45">
        <v>0</v>
      </c>
      <c r="N45">
        <v>6</v>
      </c>
      <c r="O45" s="746">
        <f>SUM(L45+M45*0.5)/K45*100</f>
        <v>45.454545454545453</v>
      </c>
      <c r="P45" s="749"/>
      <c r="Q45" s="68"/>
      <c r="R45" s="68"/>
      <c r="S45" s="68"/>
      <c r="T45" s="68"/>
      <c r="U45" s="68"/>
      <c r="V45" s="749"/>
      <c r="W45" s="68">
        <f>SUM(E45+K45)</f>
        <v>22</v>
      </c>
      <c r="X45" s="68">
        <f>SUM(F45+L45)</f>
        <v>10</v>
      </c>
      <c r="Y45" s="68">
        <f>SUM(G45+M45)</f>
        <v>2</v>
      </c>
      <c r="Z45" s="68">
        <f>SUM(H45+N45)</f>
        <v>10</v>
      </c>
      <c r="AA45" s="746">
        <f>SUM(X45+Y45*0.5)/W45*100</f>
        <v>50</v>
      </c>
      <c r="AB45" s="68"/>
      <c r="AC45" s="68"/>
      <c r="AD45" s="68"/>
      <c r="AE45" s="68"/>
      <c r="AF45" s="68"/>
      <c r="AG45" s="68"/>
      <c r="AH45" s="68"/>
      <c r="AI45" s="68"/>
      <c r="AJ45" s="68"/>
    </row>
    <row r="46" spans="1:36" x14ac:dyDescent="0.25">
      <c r="A46" s="68"/>
      <c r="B46" s="68"/>
      <c r="C46" s="18" t="s">
        <v>916</v>
      </c>
      <c r="D46" s="18"/>
      <c r="E46">
        <v>13</v>
      </c>
      <c r="F46">
        <v>6</v>
      </c>
      <c r="G46">
        <v>0</v>
      </c>
      <c r="H46">
        <v>7</v>
      </c>
      <c r="I46" s="746">
        <f t="shared" ref="I46:I63" si="8">SUM(F46+G46*0.5)/E46*100</f>
        <v>46.153846153846153</v>
      </c>
      <c r="J46" s="745"/>
      <c r="K46">
        <v>13</v>
      </c>
      <c r="L46">
        <v>3</v>
      </c>
      <c r="M46">
        <v>1</v>
      </c>
      <c r="N46">
        <v>9</v>
      </c>
      <c r="O46" s="746">
        <f t="shared" ref="O46:O63" si="9">SUM(L46+M46*0.5)/K46*100</f>
        <v>26.923076923076923</v>
      </c>
      <c r="P46" s="749"/>
      <c r="Q46" s="68"/>
      <c r="R46" s="68"/>
      <c r="S46" s="68"/>
      <c r="T46" s="68"/>
      <c r="U46" s="68"/>
      <c r="V46" s="749"/>
      <c r="W46" s="68">
        <f t="shared" ref="W46:W62" si="10">SUM(E46+K46)</f>
        <v>26</v>
      </c>
      <c r="X46" s="68">
        <f t="shared" ref="X46:X62" si="11">SUM(F46+L46)</f>
        <v>9</v>
      </c>
      <c r="Y46" s="68">
        <f t="shared" ref="Y46:Y62" si="12">SUM(G46+M46)</f>
        <v>1</v>
      </c>
      <c r="Z46" s="68">
        <f t="shared" ref="Z46:Z62" si="13">SUM(H46+N46)</f>
        <v>16</v>
      </c>
      <c r="AA46" s="746">
        <f t="shared" ref="AA46:AA63" si="14">SUM(X46+Y46*0.5)/W46*100</f>
        <v>36.538461538461533</v>
      </c>
      <c r="AB46" s="68"/>
      <c r="AC46" s="68"/>
      <c r="AD46" s="68"/>
      <c r="AE46" s="68"/>
      <c r="AF46" s="68"/>
      <c r="AG46" s="68"/>
      <c r="AH46" s="68"/>
      <c r="AI46" s="68"/>
      <c r="AJ46" s="68"/>
    </row>
    <row r="47" spans="1:36" x14ac:dyDescent="0.25">
      <c r="A47" s="68"/>
      <c r="B47" s="68"/>
      <c r="C47" s="18" t="s">
        <v>917</v>
      </c>
      <c r="D47" s="18"/>
      <c r="E47">
        <v>11</v>
      </c>
      <c r="F47">
        <v>5</v>
      </c>
      <c r="G47">
        <v>0</v>
      </c>
      <c r="H47">
        <v>6</v>
      </c>
      <c r="I47" s="746">
        <f t="shared" si="8"/>
        <v>45.454545454545453</v>
      </c>
      <c r="J47" s="745"/>
      <c r="K47">
        <v>11</v>
      </c>
      <c r="L47">
        <v>2</v>
      </c>
      <c r="M47">
        <v>0</v>
      </c>
      <c r="N47">
        <v>9</v>
      </c>
      <c r="O47" s="746">
        <f t="shared" si="9"/>
        <v>18.181818181818183</v>
      </c>
      <c r="P47" s="749"/>
      <c r="Q47" s="68"/>
      <c r="R47" s="68"/>
      <c r="S47" s="68"/>
      <c r="T47" s="68"/>
      <c r="U47" s="68"/>
      <c r="V47" s="749"/>
      <c r="W47" s="68">
        <f t="shared" si="10"/>
        <v>22</v>
      </c>
      <c r="X47" s="68">
        <f t="shared" si="11"/>
        <v>7</v>
      </c>
      <c r="Y47" s="68">
        <f t="shared" si="12"/>
        <v>0</v>
      </c>
      <c r="Z47" s="68">
        <f t="shared" si="13"/>
        <v>15</v>
      </c>
      <c r="AA47" s="746">
        <f t="shared" si="14"/>
        <v>31.818181818181817</v>
      </c>
      <c r="AB47" s="68"/>
      <c r="AC47" s="68"/>
      <c r="AD47" s="68"/>
      <c r="AE47" s="68"/>
      <c r="AF47" s="68"/>
      <c r="AG47" s="68"/>
      <c r="AH47" s="68"/>
      <c r="AI47" s="68"/>
      <c r="AJ47" s="68"/>
    </row>
    <row r="48" spans="1:36" x14ac:dyDescent="0.25">
      <c r="A48" s="68"/>
      <c r="B48" s="68"/>
      <c r="C48" s="18" t="s">
        <v>918</v>
      </c>
      <c r="D48" s="18"/>
      <c r="E48">
        <v>11</v>
      </c>
      <c r="F48">
        <v>5</v>
      </c>
      <c r="G48">
        <v>1</v>
      </c>
      <c r="H48">
        <v>5</v>
      </c>
      <c r="I48" s="746">
        <f t="shared" si="8"/>
        <v>50</v>
      </c>
      <c r="J48" s="745"/>
      <c r="K48">
        <v>11</v>
      </c>
      <c r="L48">
        <v>3</v>
      </c>
      <c r="M48">
        <v>0</v>
      </c>
      <c r="N48">
        <v>8</v>
      </c>
      <c r="O48" s="746">
        <f t="shared" si="9"/>
        <v>27.27272727272727</v>
      </c>
      <c r="P48" s="749"/>
      <c r="Q48" s="68"/>
      <c r="R48" s="68"/>
      <c r="S48" s="68"/>
      <c r="T48" s="68"/>
      <c r="U48" s="68"/>
      <c r="V48" s="749"/>
      <c r="W48" s="68">
        <f t="shared" si="10"/>
        <v>22</v>
      </c>
      <c r="X48" s="68">
        <f t="shared" si="11"/>
        <v>8</v>
      </c>
      <c r="Y48" s="68">
        <f t="shared" si="12"/>
        <v>1</v>
      </c>
      <c r="Z48" s="68">
        <f t="shared" si="13"/>
        <v>13</v>
      </c>
      <c r="AA48" s="746">
        <f t="shared" si="14"/>
        <v>38.636363636363633</v>
      </c>
      <c r="AB48" s="68"/>
      <c r="AC48" s="68"/>
      <c r="AD48" s="68"/>
      <c r="AE48" s="68"/>
      <c r="AF48" s="68"/>
      <c r="AG48" s="68"/>
      <c r="AH48" s="68"/>
      <c r="AI48" s="68"/>
      <c r="AJ48" s="68"/>
    </row>
    <row r="49" spans="1:36" x14ac:dyDescent="0.25">
      <c r="A49" s="68"/>
      <c r="B49" s="68"/>
      <c r="C49" s="18" t="s">
        <v>919</v>
      </c>
      <c r="D49" s="18"/>
      <c r="E49">
        <v>11</v>
      </c>
      <c r="F49">
        <v>8</v>
      </c>
      <c r="G49">
        <v>1</v>
      </c>
      <c r="H49">
        <v>2</v>
      </c>
      <c r="I49" s="746">
        <f t="shared" si="8"/>
        <v>77.272727272727266</v>
      </c>
      <c r="J49" s="745"/>
      <c r="K49">
        <v>11</v>
      </c>
      <c r="L49">
        <v>6</v>
      </c>
      <c r="M49">
        <v>0</v>
      </c>
      <c r="N49">
        <v>5</v>
      </c>
      <c r="O49" s="746">
        <f t="shared" si="9"/>
        <v>54.54545454545454</v>
      </c>
      <c r="P49" s="749"/>
      <c r="Q49" s="68"/>
      <c r="R49" s="68"/>
      <c r="S49" s="68"/>
      <c r="T49" s="68"/>
      <c r="U49" s="68"/>
      <c r="V49" s="749"/>
      <c r="W49" s="68">
        <f t="shared" si="10"/>
        <v>22</v>
      </c>
      <c r="X49" s="68">
        <f t="shared" si="11"/>
        <v>14</v>
      </c>
      <c r="Y49" s="68">
        <f t="shared" si="12"/>
        <v>1</v>
      </c>
      <c r="Z49" s="68">
        <f t="shared" si="13"/>
        <v>7</v>
      </c>
      <c r="AA49" s="746">
        <f t="shared" si="14"/>
        <v>65.909090909090907</v>
      </c>
      <c r="AB49" s="68"/>
      <c r="AC49" s="68"/>
      <c r="AD49" s="68"/>
      <c r="AE49" s="68"/>
      <c r="AF49" s="68"/>
      <c r="AG49" s="68"/>
      <c r="AH49" s="68"/>
      <c r="AI49" s="68"/>
      <c r="AJ49" s="68"/>
    </row>
    <row r="50" spans="1:36" x14ac:dyDescent="0.25">
      <c r="A50" s="68"/>
      <c r="B50" s="68"/>
      <c r="C50" s="18" t="s">
        <v>920</v>
      </c>
      <c r="D50" s="18"/>
      <c r="E50">
        <v>11</v>
      </c>
      <c r="F50">
        <v>9</v>
      </c>
      <c r="G50">
        <v>1</v>
      </c>
      <c r="H50">
        <v>1</v>
      </c>
      <c r="I50" s="746">
        <f t="shared" si="8"/>
        <v>86.36363636363636</v>
      </c>
      <c r="J50" s="745"/>
      <c r="K50">
        <v>11</v>
      </c>
      <c r="L50">
        <v>3</v>
      </c>
      <c r="M50">
        <v>1</v>
      </c>
      <c r="N50">
        <v>7</v>
      </c>
      <c r="O50" s="746">
        <f t="shared" si="9"/>
        <v>31.818181818181817</v>
      </c>
      <c r="P50" s="749"/>
      <c r="Q50" s="68"/>
      <c r="R50" s="68"/>
      <c r="S50" s="68"/>
      <c r="T50" s="68"/>
      <c r="U50" s="68"/>
      <c r="V50" s="749"/>
      <c r="W50" s="68">
        <f t="shared" si="10"/>
        <v>22</v>
      </c>
      <c r="X50" s="68">
        <f t="shared" si="11"/>
        <v>12</v>
      </c>
      <c r="Y50" s="68">
        <f t="shared" si="12"/>
        <v>2</v>
      </c>
      <c r="Z50" s="68">
        <f t="shared" si="13"/>
        <v>8</v>
      </c>
      <c r="AA50" s="746">
        <f t="shared" si="14"/>
        <v>59.090909090909093</v>
      </c>
      <c r="AB50" s="68"/>
      <c r="AC50" s="68"/>
      <c r="AD50" s="68"/>
      <c r="AE50" s="68"/>
      <c r="AF50" s="68"/>
      <c r="AG50" s="68"/>
      <c r="AH50" s="68"/>
      <c r="AI50" s="68"/>
      <c r="AJ50" s="68"/>
    </row>
    <row r="51" spans="1:36" x14ac:dyDescent="0.25">
      <c r="A51" s="68"/>
      <c r="B51" s="68"/>
      <c r="C51" s="18" t="s">
        <v>921</v>
      </c>
      <c r="D51" s="18"/>
      <c r="E51">
        <v>11</v>
      </c>
      <c r="F51">
        <v>5</v>
      </c>
      <c r="G51">
        <v>3</v>
      </c>
      <c r="H51">
        <v>3</v>
      </c>
      <c r="I51" s="746">
        <f t="shared" si="8"/>
        <v>59.090909090909093</v>
      </c>
      <c r="J51" s="745"/>
      <c r="K51">
        <v>11</v>
      </c>
      <c r="L51">
        <v>4</v>
      </c>
      <c r="M51">
        <v>0</v>
      </c>
      <c r="N51">
        <v>7</v>
      </c>
      <c r="O51" s="746">
        <f t="shared" si="9"/>
        <v>36.363636363636367</v>
      </c>
      <c r="P51" s="749"/>
      <c r="Q51" s="68"/>
      <c r="R51" s="68"/>
      <c r="S51" s="68"/>
      <c r="T51" s="68"/>
      <c r="U51" s="68"/>
      <c r="V51" s="749"/>
      <c r="W51" s="68">
        <f t="shared" si="10"/>
        <v>22</v>
      </c>
      <c r="X51" s="68">
        <f t="shared" si="11"/>
        <v>9</v>
      </c>
      <c r="Y51" s="68">
        <f t="shared" si="12"/>
        <v>3</v>
      </c>
      <c r="Z51" s="68">
        <f t="shared" si="13"/>
        <v>10</v>
      </c>
      <c r="AA51" s="746">
        <f t="shared" si="14"/>
        <v>47.727272727272727</v>
      </c>
      <c r="AB51" s="68"/>
      <c r="AC51" s="68"/>
      <c r="AD51" s="68"/>
      <c r="AE51" s="68"/>
      <c r="AF51" s="68"/>
      <c r="AG51" s="68"/>
      <c r="AH51" s="68"/>
      <c r="AI51" s="68"/>
      <c r="AJ51" s="68"/>
    </row>
    <row r="52" spans="1:36" x14ac:dyDescent="0.25">
      <c r="A52" s="68"/>
      <c r="B52" s="68"/>
      <c r="C52" s="18" t="s">
        <v>922</v>
      </c>
      <c r="D52" s="18"/>
      <c r="E52">
        <v>11</v>
      </c>
      <c r="F52">
        <v>8</v>
      </c>
      <c r="G52">
        <v>0</v>
      </c>
      <c r="H52">
        <v>3</v>
      </c>
      <c r="I52" s="746">
        <f t="shared" si="8"/>
        <v>72.727272727272734</v>
      </c>
      <c r="J52" s="745"/>
      <c r="K52">
        <v>12</v>
      </c>
      <c r="L52">
        <v>5</v>
      </c>
      <c r="M52">
        <v>0</v>
      </c>
      <c r="N52">
        <v>7</v>
      </c>
      <c r="O52" s="746">
        <f t="shared" si="9"/>
        <v>41.666666666666671</v>
      </c>
      <c r="P52" s="749"/>
      <c r="Q52" s="68"/>
      <c r="R52" s="68"/>
      <c r="S52" s="68"/>
      <c r="T52" s="68"/>
      <c r="U52" s="68"/>
      <c r="V52" s="749"/>
      <c r="W52" s="68">
        <f t="shared" si="10"/>
        <v>23</v>
      </c>
      <c r="X52" s="68">
        <f t="shared" si="11"/>
        <v>13</v>
      </c>
      <c r="Y52" s="68">
        <f t="shared" si="12"/>
        <v>0</v>
      </c>
      <c r="Z52" s="68">
        <f t="shared" si="13"/>
        <v>10</v>
      </c>
      <c r="AA52" s="746">
        <f t="shared" si="14"/>
        <v>56.521739130434781</v>
      </c>
      <c r="AB52" s="68"/>
      <c r="AC52" s="68"/>
      <c r="AD52" s="68"/>
      <c r="AE52" s="68"/>
      <c r="AF52" s="68"/>
      <c r="AG52" s="68"/>
      <c r="AH52" s="68"/>
      <c r="AI52" s="68"/>
      <c r="AJ52" s="68"/>
    </row>
    <row r="53" spans="1:36" x14ac:dyDescent="0.25">
      <c r="A53" s="68"/>
      <c r="B53" s="68"/>
      <c r="C53" s="18" t="s">
        <v>923</v>
      </c>
      <c r="D53" s="18"/>
      <c r="E53">
        <v>12</v>
      </c>
      <c r="F53">
        <v>11</v>
      </c>
      <c r="G53">
        <v>0</v>
      </c>
      <c r="H53">
        <v>1</v>
      </c>
      <c r="I53" s="746">
        <f t="shared" si="8"/>
        <v>91.666666666666657</v>
      </c>
      <c r="J53" s="745"/>
      <c r="K53">
        <v>11</v>
      </c>
      <c r="L53">
        <v>6</v>
      </c>
      <c r="M53">
        <v>1</v>
      </c>
      <c r="N53">
        <v>4</v>
      </c>
      <c r="O53" s="746">
        <f t="shared" si="9"/>
        <v>59.090909090909093</v>
      </c>
      <c r="P53" s="749"/>
      <c r="Q53" s="68">
        <v>1</v>
      </c>
      <c r="R53" s="68">
        <v>1</v>
      </c>
      <c r="S53" s="68">
        <v>0</v>
      </c>
      <c r="T53" s="68">
        <v>0</v>
      </c>
      <c r="U53" s="746">
        <f t="shared" ref="U53" si="15">SUM(R53+S53*0.5)/Q53*100</f>
        <v>100</v>
      </c>
      <c r="V53" s="749"/>
      <c r="W53" s="68">
        <f>SUM(E53+K53+Q53)</f>
        <v>24</v>
      </c>
      <c r="X53" s="68">
        <f>SUM(F53+L53+R53)</f>
        <v>18</v>
      </c>
      <c r="Y53" s="68">
        <f>SUM(G53+M53=S53)</f>
        <v>0</v>
      </c>
      <c r="Z53" s="68">
        <f>SUM(H53+N53+T53)</f>
        <v>5</v>
      </c>
      <c r="AA53" s="746">
        <f t="shared" si="14"/>
        <v>75</v>
      </c>
      <c r="AB53" s="68"/>
      <c r="AC53" s="68"/>
      <c r="AD53" s="68"/>
      <c r="AE53" s="68"/>
      <c r="AF53" s="68"/>
      <c r="AG53" s="68"/>
      <c r="AH53" s="68"/>
      <c r="AI53" s="68"/>
      <c r="AJ53" s="68"/>
    </row>
    <row r="54" spans="1:36" x14ac:dyDescent="0.25">
      <c r="A54" s="68"/>
      <c r="B54" s="68"/>
      <c r="C54" s="18" t="s">
        <v>924</v>
      </c>
      <c r="D54" s="18"/>
      <c r="E54">
        <v>11</v>
      </c>
      <c r="F54">
        <v>6</v>
      </c>
      <c r="G54">
        <v>0</v>
      </c>
      <c r="H54">
        <v>5</v>
      </c>
      <c r="I54" s="746">
        <f t="shared" si="8"/>
        <v>54.54545454545454</v>
      </c>
      <c r="J54" s="745"/>
      <c r="K54">
        <v>11</v>
      </c>
      <c r="L54">
        <v>2</v>
      </c>
      <c r="M54">
        <v>1</v>
      </c>
      <c r="N54">
        <v>8</v>
      </c>
      <c r="O54" s="746">
        <f t="shared" si="9"/>
        <v>22.727272727272727</v>
      </c>
      <c r="P54" s="749"/>
      <c r="Q54" s="68"/>
      <c r="R54" s="68"/>
      <c r="S54" s="68"/>
      <c r="T54" s="68"/>
      <c r="U54" s="68"/>
      <c r="V54" s="749"/>
      <c r="W54" s="68">
        <f t="shared" si="10"/>
        <v>22</v>
      </c>
      <c r="X54" s="68">
        <f t="shared" si="11"/>
        <v>8</v>
      </c>
      <c r="Y54" s="68">
        <f t="shared" si="12"/>
        <v>1</v>
      </c>
      <c r="Z54" s="68">
        <f t="shared" si="13"/>
        <v>13</v>
      </c>
      <c r="AA54" s="746">
        <f t="shared" si="14"/>
        <v>38.636363636363633</v>
      </c>
      <c r="AB54" s="68"/>
      <c r="AC54" s="68"/>
      <c r="AD54" s="68"/>
      <c r="AE54" s="68"/>
      <c r="AF54" s="68"/>
      <c r="AG54" s="68"/>
      <c r="AH54" s="68"/>
      <c r="AI54" s="68"/>
      <c r="AJ54" s="68"/>
    </row>
    <row r="55" spans="1:36" x14ac:dyDescent="0.25">
      <c r="A55" s="68"/>
      <c r="B55" s="68"/>
      <c r="C55" s="18" t="s">
        <v>925</v>
      </c>
      <c r="D55" s="18"/>
      <c r="E55">
        <v>11</v>
      </c>
      <c r="F55">
        <v>9</v>
      </c>
      <c r="G55">
        <v>0</v>
      </c>
      <c r="H55">
        <v>2</v>
      </c>
      <c r="I55" s="746">
        <f t="shared" si="8"/>
        <v>81.818181818181827</v>
      </c>
      <c r="J55" s="745"/>
      <c r="K55">
        <v>11</v>
      </c>
      <c r="L55">
        <v>5</v>
      </c>
      <c r="M55">
        <v>0</v>
      </c>
      <c r="N55">
        <v>6</v>
      </c>
      <c r="O55" s="746">
        <f t="shared" si="9"/>
        <v>45.454545454545453</v>
      </c>
      <c r="P55" s="749"/>
      <c r="Q55" s="68"/>
      <c r="R55" s="68"/>
      <c r="S55" s="68"/>
      <c r="T55" s="68"/>
      <c r="U55" s="68"/>
      <c r="V55" s="749"/>
      <c r="W55" s="68">
        <f t="shared" si="10"/>
        <v>22</v>
      </c>
      <c r="X55" s="68">
        <f t="shared" si="11"/>
        <v>14</v>
      </c>
      <c r="Y55" s="68">
        <f t="shared" si="12"/>
        <v>0</v>
      </c>
      <c r="Z55" s="68">
        <f t="shared" si="13"/>
        <v>8</v>
      </c>
      <c r="AA55" s="746">
        <f t="shared" si="14"/>
        <v>63.636363636363633</v>
      </c>
      <c r="AB55" s="68"/>
      <c r="AC55" s="68"/>
      <c r="AD55" s="68"/>
      <c r="AE55" s="68"/>
      <c r="AF55" s="68"/>
      <c r="AG55" s="68"/>
      <c r="AH55" s="68"/>
      <c r="AI55" s="68"/>
      <c r="AJ55" s="68"/>
    </row>
    <row r="56" spans="1:36" x14ac:dyDescent="0.25">
      <c r="A56" s="68"/>
      <c r="B56" s="68"/>
      <c r="C56" s="18" t="s">
        <v>926</v>
      </c>
      <c r="D56" s="18"/>
      <c r="E56">
        <v>11</v>
      </c>
      <c r="F56">
        <v>9</v>
      </c>
      <c r="G56">
        <v>0</v>
      </c>
      <c r="H56">
        <v>2</v>
      </c>
      <c r="I56" s="746">
        <f t="shared" si="8"/>
        <v>81.818181818181827</v>
      </c>
      <c r="J56" s="745"/>
      <c r="K56">
        <v>11</v>
      </c>
      <c r="L56">
        <v>4</v>
      </c>
      <c r="M56">
        <v>0</v>
      </c>
      <c r="N56">
        <v>7</v>
      </c>
      <c r="O56" s="746">
        <f t="shared" si="9"/>
        <v>36.363636363636367</v>
      </c>
      <c r="P56" s="749"/>
      <c r="Q56" s="68"/>
      <c r="R56" s="68"/>
      <c r="S56" s="68"/>
      <c r="T56" s="68"/>
      <c r="U56" s="68"/>
      <c r="V56" s="749"/>
      <c r="W56" s="68">
        <f t="shared" si="10"/>
        <v>22</v>
      </c>
      <c r="X56" s="68">
        <f t="shared" si="11"/>
        <v>13</v>
      </c>
      <c r="Y56" s="68">
        <f t="shared" si="12"/>
        <v>0</v>
      </c>
      <c r="Z56" s="68">
        <f t="shared" si="13"/>
        <v>9</v>
      </c>
      <c r="AA56" s="746">
        <f t="shared" si="14"/>
        <v>59.090909090909093</v>
      </c>
      <c r="AB56" s="68"/>
      <c r="AC56" s="68"/>
      <c r="AD56" s="68"/>
      <c r="AE56" s="68"/>
      <c r="AF56" s="68"/>
      <c r="AG56" s="68"/>
      <c r="AH56" s="68"/>
      <c r="AI56" s="68"/>
      <c r="AJ56" s="68"/>
    </row>
    <row r="57" spans="1:36" x14ac:dyDescent="0.25">
      <c r="A57" s="68"/>
      <c r="B57" s="68"/>
      <c r="C57" s="18" t="s">
        <v>927</v>
      </c>
      <c r="D57" s="18"/>
      <c r="E57">
        <v>11</v>
      </c>
      <c r="F57">
        <v>5</v>
      </c>
      <c r="G57">
        <v>0</v>
      </c>
      <c r="H57">
        <v>6</v>
      </c>
      <c r="I57" s="746">
        <f t="shared" si="8"/>
        <v>45.454545454545453</v>
      </c>
      <c r="J57" s="745"/>
      <c r="K57">
        <v>11</v>
      </c>
      <c r="L57">
        <v>1</v>
      </c>
      <c r="M57">
        <v>1</v>
      </c>
      <c r="N57">
        <v>9</v>
      </c>
      <c r="O57" s="746">
        <f t="shared" si="9"/>
        <v>13.636363636363635</v>
      </c>
      <c r="P57" s="749"/>
      <c r="Q57" s="68"/>
      <c r="R57" s="68"/>
      <c r="S57" s="68"/>
      <c r="T57" s="68"/>
      <c r="U57" s="68"/>
      <c r="V57" s="749"/>
      <c r="W57" s="68">
        <f t="shared" si="10"/>
        <v>22</v>
      </c>
      <c r="X57" s="68">
        <f t="shared" si="11"/>
        <v>6</v>
      </c>
      <c r="Y57" s="68">
        <f t="shared" si="12"/>
        <v>1</v>
      </c>
      <c r="Z57" s="68">
        <f t="shared" si="13"/>
        <v>15</v>
      </c>
      <c r="AA57" s="746">
        <f t="shared" si="14"/>
        <v>29.545454545454547</v>
      </c>
      <c r="AB57" s="68"/>
      <c r="AC57" s="68"/>
      <c r="AD57" s="68"/>
      <c r="AE57" s="68"/>
      <c r="AF57" s="68"/>
      <c r="AG57" s="68"/>
      <c r="AH57" s="68"/>
      <c r="AI57" s="68"/>
      <c r="AJ57" s="68"/>
    </row>
    <row r="58" spans="1:36" x14ac:dyDescent="0.25">
      <c r="C58" s="18" t="s">
        <v>928</v>
      </c>
      <c r="D58" s="18"/>
      <c r="E58">
        <v>11</v>
      </c>
      <c r="F58">
        <v>5</v>
      </c>
      <c r="G58">
        <v>0</v>
      </c>
      <c r="H58">
        <v>6</v>
      </c>
      <c r="I58" s="746">
        <f t="shared" si="8"/>
        <v>45.454545454545453</v>
      </c>
      <c r="J58" s="745"/>
      <c r="K58">
        <v>11</v>
      </c>
      <c r="L58">
        <v>1</v>
      </c>
      <c r="M58">
        <v>1</v>
      </c>
      <c r="N58">
        <v>9</v>
      </c>
      <c r="O58" s="746">
        <f t="shared" si="9"/>
        <v>13.636363636363635</v>
      </c>
      <c r="P58" s="749"/>
      <c r="Q58" s="68"/>
      <c r="R58" s="68"/>
      <c r="S58" s="68"/>
      <c r="T58" s="68"/>
      <c r="U58" s="68"/>
      <c r="V58" s="749"/>
      <c r="W58" s="68">
        <f t="shared" si="10"/>
        <v>22</v>
      </c>
      <c r="X58" s="68">
        <f t="shared" si="11"/>
        <v>6</v>
      </c>
      <c r="Y58" s="68">
        <f t="shared" si="12"/>
        <v>1</v>
      </c>
      <c r="Z58" s="68">
        <f t="shared" si="13"/>
        <v>15</v>
      </c>
      <c r="AA58" s="746">
        <f t="shared" si="14"/>
        <v>29.545454545454547</v>
      </c>
      <c r="AB58" s="68"/>
      <c r="AC58" s="68"/>
      <c r="AD58" s="68"/>
      <c r="AE58" s="68"/>
      <c r="AF58" s="68"/>
      <c r="AG58" s="68"/>
      <c r="AH58" s="68"/>
      <c r="AI58" s="68"/>
      <c r="AJ58" s="68"/>
    </row>
    <row r="59" spans="1:36" x14ac:dyDescent="0.25">
      <c r="C59" s="18" t="s">
        <v>929</v>
      </c>
      <c r="D59" s="18"/>
      <c r="E59">
        <v>11</v>
      </c>
      <c r="F59">
        <v>7</v>
      </c>
      <c r="G59">
        <v>0</v>
      </c>
      <c r="H59">
        <v>4</v>
      </c>
      <c r="I59" s="746">
        <f t="shared" si="8"/>
        <v>63.636363636363633</v>
      </c>
      <c r="J59" s="745"/>
      <c r="K59">
        <v>11</v>
      </c>
      <c r="L59">
        <v>3</v>
      </c>
      <c r="M59">
        <v>0</v>
      </c>
      <c r="N59">
        <v>8</v>
      </c>
      <c r="O59" s="746">
        <f t="shared" si="9"/>
        <v>27.27272727272727</v>
      </c>
      <c r="P59" s="745"/>
      <c r="V59" s="745"/>
      <c r="W59" s="68">
        <f t="shared" si="10"/>
        <v>22</v>
      </c>
      <c r="X59" s="68">
        <f t="shared" si="11"/>
        <v>10</v>
      </c>
      <c r="Y59" s="68">
        <f t="shared" si="12"/>
        <v>0</v>
      </c>
      <c r="Z59" s="68">
        <f t="shared" si="13"/>
        <v>12</v>
      </c>
      <c r="AA59" s="746">
        <f t="shared" si="14"/>
        <v>45.454545454545453</v>
      </c>
    </row>
    <row r="60" spans="1:36" x14ac:dyDescent="0.25">
      <c r="C60" s="18" t="s">
        <v>930</v>
      </c>
      <c r="D60" s="18"/>
      <c r="E60">
        <v>11</v>
      </c>
      <c r="F60">
        <v>6</v>
      </c>
      <c r="G60">
        <v>0</v>
      </c>
      <c r="H60">
        <v>5</v>
      </c>
      <c r="I60" s="746">
        <f t="shared" si="8"/>
        <v>54.54545454545454</v>
      </c>
      <c r="J60" s="745"/>
      <c r="K60">
        <v>11</v>
      </c>
      <c r="L60">
        <v>1</v>
      </c>
      <c r="M60">
        <v>1</v>
      </c>
      <c r="N60">
        <v>9</v>
      </c>
      <c r="O60" s="746">
        <f t="shared" si="9"/>
        <v>13.636363636363635</v>
      </c>
      <c r="P60" s="745"/>
      <c r="V60" s="745"/>
      <c r="W60" s="68">
        <f t="shared" si="10"/>
        <v>22</v>
      </c>
      <c r="X60" s="68">
        <f t="shared" si="11"/>
        <v>7</v>
      </c>
      <c r="Y60" s="68">
        <f t="shared" si="12"/>
        <v>1</v>
      </c>
      <c r="Z60" s="68">
        <f t="shared" si="13"/>
        <v>14</v>
      </c>
      <c r="AA60" s="746">
        <f t="shared" si="14"/>
        <v>34.090909090909086</v>
      </c>
    </row>
    <row r="61" spans="1:36" x14ac:dyDescent="0.25">
      <c r="C61" s="18" t="s">
        <v>88</v>
      </c>
      <c r="D61" s="18"/>
      <c r="E61">
        <v>11</v>
      </c>
      <c r="F61">
        <v>6</v>
      </c>
      <c r="G61">
        <v>0</v>
      </c>
      <c r="H61">
        <v>5</v>
      </c>
      <c r="I61" s="746">
        <f t="shared" si="8"/>
        <v>54.54545454545454</v>
      </c>
      <c r="J61" s="745"/>
      <c r="K61">
        <v>11</v>
      </c>
      <c r="L61">
        <v>6</v>
      </c>
      <c r="M61">
        <v>0</v>
      </c>
      <c r="N61">
        <v>5</v>
      </c>
      <c r="O61" s="746">
        <f t="shared" si="9"/>
        <v>54.54545454545454</v>
      </c>
      <c r="P61" s="745"/>
      <c r="V61" s="745"/>
      <c r="W61" s="68">
        <f t="shared" si="10"/>
        <v>22</v>
      </c>
      <c r="X61" s="68">
        <f t="shared" si="11"/>
        <v>12</v>
      </c>
      <c r="Y61" s="68">
        <f t="shared" si="12"/>
        <v>0</v>
      </c>
      <c r="Z61" s="68">
        <f t="shared" si="13"/>
        <v>10</v>
      </c>
      <c r="AA61" s="746">
        <f t="shared" si="14"/>
        <v>54.54545454545454</v>
      </c>
    </row>
    <row r="62" spans="1:36" x14ac:dyDescent="0.25">
      <c r="C62" s="18" t="s">
        <v>254</v>
      </c>
      <c r="D62" s="18"/>
      <c r="E62">
        <v>8</v>
      </c>
      <c r="F62">
        <v>6</v>
      </c>
      <c r="G62">
        <v>0</v>
      </c>
      <c r="H62">
        <v>2</v>
      </c>
      <c r="I62" s="746">
        <f t="shared" si="8"/>
        <v>75</v>
      </c>
      <c r="J62" s="745"/>
      <c r="K62">
        <v>8</v>
      </c>
      <c r="L62">
        <v>3</v>
      </c>
      <c r="M62">
        <v>0</v>
      </c>
      <c r="N62">
        <v>5</v>
      </c>
      <c r="O62" s="746">
        <f t="shared" si="9"/>
        <v>37.5</v>
      </c>
      <c r="P62" s="745"/>
      <c r="V62" s="745"/>
      <c r="W62" s="68">
        <f t="shared" si="10"/>
        <v>16</v>
      </c>
      <c r="X62" s="68">
        <f t="shared" si="11"/>
        <v>9</v>
      </c>
      <c r="Y62" s="68">
        <f t="shared" si="12"/>
        <v>0</v>
      </c>
      <c r="Z62" s="68">
        <f t="shared" si="13"/>
        <v>7</v>
      </c>
      <c r="AA62" s="746">
        <f t="shared" si="14"/>
        <v>56.25</v>
      </c>
    </row>
    <row r="63" spans="1:36" x14ac:dyDescent="0.25">
      <c r="E63">
        <f>SUM(F63:H63)</f>
        <v>198</v>
      </c>
      <c r="F63">
        <f t="shared" ref="F63:H63" si="16">SUM(F45:F62)</f>
        <v>121</v>
      </c>
      <c r="G63">
        <f t="shared" si="16"/>
        <v>8</v>
      </c>
      <c r="H63">
        <f t="shared" si="16"/>
        <v>69</v>
      </c>
      <c r="I63" s="746">
        <f t="shared" si="8"/>
        <v>63.131313131313128</v>
      </c>
      <c r="K63">
        <f>SUM(K45:K62)</f>
        <v>198</v>
      </c>
      <c r="L63">
        <f t="shared" ref="L63:N63" si="17">SUM(L45:L62)</f>
        <v>63</v>
      </c>
      <c r="M63">
        <f t="shared" si="17"/>
        <v>7</v>
      </c>
      <c r="N63">
        <f t="shared" si="17"/>
        <v>128</v>
      </c>
      <c r="O63" s="746">
        <f t="shared" si="9"/>
        <v>33.585858585858588</v>
      </c>
      <c r="Q63">
        <f>SUM(Q45:Q62)</f>
        <v>1</v>
      </c>
      <c r="R63">
        <f t="shared" ref="R63" si="18">SUM(R45:R62)</f>
        <v>1</v>
      </c>
      <c r="S63">
        <f t="shared" ref="S63" si="19">SUM(S45:S62)</f>
        <v>0</v>
      </c>
      <c r="T63">
        <f t="shared" ref="T63" si="20">SUM(T45:T62)</f>
        <v>0</v>
      </c>
      <c r="U63" s="746">
        <f t="shared" ref="U63" si="21">SUM(R63+S63*0.5)/Q63*100</f>
        <v>100</v>
      </c>
      <c r="V63" s="745"/>
      <c r="W63">
        <f>SUM(W45:W62)</f>
        <v>397</v>
      </c>
      <c r="X63">
        <f>SUM(F63+L63+Q63)</f>
        <v>185</v>
      </c>
      <c r="Y63">
        <f>SUM(G63+M63)</f>
        <v>15</v>
      </c>
      <c r="Z63">
        <f t="shared" ref="Z63" si="22">SUM(Z45:Z62)</f>
        <v>197</v>
      </c>
      <c r="AA63" s="746">
        <f t="shared" si="14"/>
        <v>48.488664987405542</v>
      </c>
    </row>
  </sheetData>
  <mergeCells count="10">
    <mergeCell ref="J1:M1"/>
    <mergeCell ref="N1:O1"/>
    <mergeCell ref="P1:R1"/>
    <mergeCell ref="C35:E35"/>
    <mergeCell ref="C39:E39"/>
    <mergeCell ref="A1:D1"/>
    <mergeCell ref="E1:G1"/>
    <mergeCell ref="H1:I1"/>
    <mergeCell ref="C36:E36"/>
    <mergeCell ref="C37:E37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W58"/>
  <sheetViews>
    <sheetView workbookViewId="0">
      <pane ySplit="2" topLeftCell="A27" activePane="bottomLeft" state="frozen"/>
      <selection pane="bottomLeft" activeCell="S33" sqref="S33"/>
    </sheetView>
  </sheetViews>
  <sheetFormatPr defaultRowHeight="15" x14ac:dyDescent="0.25"/>
  <cols>
    <col min="1" max="1" width="7.7109375" customWidth="1"/>
    <col min="2" max="2" width="5.7109375" customWidth="1"/>
    <col min="3" max="3" width="14.5703125" customWidth="1"/>
    <col min="4" max="5" width="3.7109375" customWidth="1"/>
    <col min="6" max="6" width="4.7109375" customWidth="1"/>
    <col min="7" max="7" width="4.140625" customWidth="1"/>
    <col min="8" max="18" width="3.7109375" customWidth="1"/>
    <col min="19" max="19" width="6.7109375" bestFit="1" customWidth="1"/>
    <col min="20" max="20" width="5.7109375" customWidth="1"/>
    <col min="21" max="21" width="19.42578125" bestFit="1" customWidth="1"/>
    <col min="22" max="22" width="21.42578125" customWidth="1"/>
    <col min="23" max="23" width="23.85546875" customWidth="1"/>
    <col min="24" max="24" width="20.42578125" customWidth="1"/>
    <col min="25" max="36" width="3.7109375" customWidth="1"/>
    <col min="37" max="37" width="2.7109375" customWidth="1"/>
    <col min="38" max="38" width="2.5703125" customWidth="1"/>
    <col min="39" max="39" width="2" customWidth="1"/>
    <col min="40" max="40" width="1.5703125" customWidth="1"/>
    <col min="42" max="42" width="13.5703125" bestFit="1" customWidth="1"/>
    <col min="44" max="44" width="13.5703125" bestFit="1" customWidth="1"/>
  </cols>
  <sheetData>
    <row r="1" spans="1:45" ht="15" customHeight="1" thickBot="1" x14ac:dyDescent="0.3">
      <c r="A1" s="1005" t="s">
        <v>185</v>
      </c>
      <c r="B1" s="1006"/>
      <c r="C1" s="1006"/>
      <c r="D1" s="1007"/>
      <c r="E1" s="1008" t="s">
        <v>77</v>
      </c>
      <c r="F1" s="1009"/>
      <c r="G1" s="1010"/>
      <c r="H1" s="1008" t="s">
        <v>76</v>
      </c>
      <c r="I1" s="1010"/>
      <c r="J1" s="1002" t="s">
        <v>43</v>
      </c>
      <c r="K1" s="1003"/>
      <c r="L1" s="1003"/>
      <c r="M1" s="1004"/>
      <c r="N1" s="1002" t="s">
        <v>44</v>
      </c>
      <c r="O1" s="1004"/>
      <c r="P1" s="1002" t="s">
        <v>79</v>
      </c>
      <c r="Q1" s="1003"/>
      <c r="R1" s="1004"/>
      <c r="S1" s="63" t="s">
        <v>45</v>
      </c>
      <c r="T1" s="63" t="s">
        <v>46</v>
      </c>
      <c r="U1" s="59" t="s">
        <v>47</v>
      </c>
      <c r="V1" s="59" t="s">
        <v>48</v>
      </c>
      <c r="W1" s="59" t="s">
        <v>151</v>
      </c>
      <c r="X1" s="59" t="s">
        <v>152</v>
      </c>
      <c r="Y1" s="57" t="s">
        <v>71</v>
      </c>
      <c r="Z1" s="58"/>
      <c r="AA1" s="58"/>
      <c r="AB1" s="58"/>
      <c r="AC1" s="59" t="s">
        <v>72</v>
      </c>
      <c r="AD1" s="55"/>
      <c r="AE1" s="55"/>
      <c r="AF1" s="56"/>
      <c r="AG1" s="59" t="s">
        <v>73</v>
      </c>
      <c r="AH1" s="55"/>
      <c r="AI1" s="55"/>
      <c r="AJ1" s="55"/>
      <c r="AK1" s="58" t="s">
        <v>936</v>
      </c>
      <c r="AL1" s="58"/>
      <c r="AM1" s="58"/>
      <c r="AN1" s="58"/>
    </row>
    <row r="2" spans="1:45" ht="15" customHeight="1" thickBot="1" x14ac:dyDescent="0.3">
      <c r="A2" s="207" t="s">
        <v>69</v>
      </c>
      <c r="B2" s="208" t="s">
        <v>68</v>
      </c>
      <c r="C2" s="209" t="s">
        <v>67</v>
      </c>
      <c r="D2" s="209" t="s">
        <v>78</v>
      </c>
      <c r="E2" s="210" t="s">
        <v>53</v>
      </c>
      <c r="F2" s="210" t="s">
        <v>37</v>
      </c>
      <c r="G2" s="210" t="s">
        <v>38</v>
      </c>
      <c r="H2" s="211" t="s">
        <v>74</v>
      </c>
      <c r="I2" s="212" t="s">
        <v>75</v>
      </c>
      <c r="J2" s="212" t="s">
        <v>49</v>
      </c>
      <c r="K2" s="212" t="s">
        <v>50</v>
      </c>
      <c r="L2" s="212" t="s">
        <v>35</v>
      </c>
      <c r="M2" s="212" t="s">
        <v>51</v>
      </c>
      <c r="N2" s="212" t="s">
        <v>52</v>
      </c>
      <c r="O2" s="212" t="s">
        <v>53</v>
      </c>
      <c r="P2" s="212" t="s">
        <v>74</v>
      </c>
      <c r="Q2" s="212" t="s">
        <v>75</v>
      </c>
      <c r="R2" s="212" t="s">
        <v>49</v>
      </c>
      <c r="S2" s="60"/>
      <c r="T2" s="61"/>
      <c r="U2" s="62"/>
      <c r="V2" s="62"/>
      <c r="W2" s="62"/>
      <c r="X2" s="62"/>
      <c r="Y2" s="63" t="s">
        <v>33</v>
      </c>
      <c r="Z2" s="63" t="s">
        <v>34</v>
      </c>
      <c r="AA2" s="63" t="s">
        <v>35</v>
      </c>
      <c r="AB2" s="63" t="s">
        <v>36</v>
      </c>
      <c r="AC2" s="63" t="s">
        <v>33</v>
      </c>
      <c r="AD2" s="63" t="s">
        <v>34</v>
      </c>
      <c r="AE2" s="63" t="s">
        <v>35</v>
      </c>
      <c r="AF2" s="63" t="s">
        <v>36</v>
      </c>
      <c r="AG2" s="63" t="s">
        <v>33</v>
      </c>
      <c r="AH2" s="63" t="s">
        <v>34</v>
      </c>
      <c r="AI2" s="63" t="s">
        <v>35</v>
      </c>
      <c r="AJ2" s="63" t="s">
        <v>36</v>
      </c>
      <c r="AK2" s="826" t="s">
        <v>33</v>
      </c>
      <c r="AL2" s="826" t="s">
        <v>34</v>
      </c>
      <c r="AM2" s="826" t="s">
        <v>35</v>
      </c>
      <c r="AN2" s="826" t="s">
        <v>36</v>
      </c>
    </row>
    <row r="3" spans="1:45" ht="15" customHeight="1" thickBot="1" x14ac:dyDescent="0.3">
      <c r="A3" s="369" t="s">
        <v>89</v>
      </c>
      <c r="B3" s="240" t="s">
        <v>54</v>
      </c>
      <c r="C3" s="122" t="s">
        <v>189</v>
      </c>
      <c r="D3" s="123" t="s">
        <v>351</v>
      </c>
      <c r="E3" s="123" t="s">
        <v>34</v>
      </c>
      <c r="F3" s="123">
        <v>34</v>
      </c>
      <c r="G3" s="241">
        <v>28</v>
      </c>
      <c r="H3" s="244">
        <v>1</v>
      </c>
      <c r="I3" s="242">
        <v>0</v>
      </c>
      <c r="J3" s="242">
        <v>4</v>
      </c>
      <c r="K3" s="242">
        <v>4</v>
      </c>
      <c r="L3" s="242">
        <v>0</v>
      </c>
      <c r="M3" s="242">
        <v>2</v>
      </c>
      <c r="N3" s="242">
        <v>1</v>
      </c>
      <c r="O3" s="242">
        <v>0</v>
      </c>
      <c r="P3" s="242">
        <v>0</v>
      </c>
      <c r="Q3" s="242">
        <v>1</v>
      </c>
      <c r="R3" s="242">
        <v>3</v>
      </c>
      <c r="S3" s="243">
        <v>66164</v>
      </c>
      <c r="T3" s="592" t="s">
        <v>352</v>
      </c>
      <c r="U3" s="245" t="s">
        <v>353</v>
      </c>
      <c r="V3" s="243" t="s">
        <v>354</v>
      </c>
      <c r="W3" s="243" t="s">
        <v>355</v>
      </c>
      <c r="X3" s="169" t="s">
        <v>356</v>
      </c>
      <c r="Y3" s="243">
        <v>1</v>
      </c>
      <c r="Z3" s="243">
        <v>1</v>
      </c>
      <c r="AA3" s="243">
        <v>0</v>
      </c>
      <c r="AB3" s="167">
        <v>0</v>
      </c>
      <c r="AC3" s="243">
        <v>1</v>
      </c>
      <c r="AD3" s="243">
        <v>1</v>
      </c>
      <c r="AE3" s="243">
        <v>0</v>
      </c>
      <c r="AF3" s="167">
        <v>0</v>
      </c>
      <c r="AG3" s="243">
        <v>0</v>
      </c>
      <c r="AH3" s="243">
        <v>0</v>
      </c>
      <c r="AI3" s="243">
        <v>0</v>
      </c>
      <c r="AJ3" s="167">
        <v>0</v>
      </c>
      <c r="AK3" s="745"/>
      <c r="AL3" s="745"/>
      <c r="AM3" s="745"/>
      <c r="AN3" s="745"/>
    </row>
    <row r="4" spans="1:45" ht="15" customHeight="1" thickBot="1" x14ac:dyDescent="0.3">
      <c r="A4" s="256" t="s">
        <v>205</v>
      </c>
      <c r="B4" s="255" t="s">
        <v>54</v>
      </c>
      <c r="C4" s="247" t="s">
        <v>10</v>
      </c>
      <c r="D4" s="257" t="s">
        <v>38</v>
      </c>
      <c r="E4" s="257" t="s">
        <v>34</v>
      </c>
      <c r="F4" s="257">
        <v>39</v>
      </c>
      <c r="G4" s="258">
        <v>0</v>
      </c>
      <c r="H4" s="259">
        <v>0</v>
      </c>
      <c r="I4" s="260">
        <v>0</v>
      </c>
      <c r="J4" s="260">
        <v>3</v>
      </c>
      <c r="K4" s="257">
        <v>3</v>
      </c>
      <c r="L4" s="260">
        <v>0</v>
      </c>
      <c r="M4" s="257">
        <v>6</v>
      </c>
      <c r="N4" s="260">
        <v>2</v>
      </c>
      <c r="O4" s="260">
        <v>0</v>
      </c>
      <c r="P4" s="260">
        <v>0</v>
      </c>
      <c r="Q4" s="257">
        <v>0</v>
      </c>
      <c r="R4" s="260">
        <v>0</v>
      </c>
      <c r="S4" s="261">
        <v>13102</v>
      </c>
      <c r="T4" s="590" t="s">
        <v>383</v>
      </c>
      <c r="U4" s="263" t="s">
        <v>338</v>
      </c>
      <c r="V4" s="261" t="s">
        <v>361</v>
      </c>
      <c r="W4" s="261" t="s">
        <v>340</v>
      </c>
      <c r="X4" s="264" t="s">
        <v>369</v>
      </c>
      <c r="Y4" s="261">
        <v>1</v>
      </c>
      <c r="Z4" s="261">
        <v>1</v>
      </c>
      <c r="AA4" s="261">
        <v>0</v>
      </c>
      <c r="AB4" s="168">
        <v>0</v>
      </c>
      <c r="AC4" s="261">
        <v>0</v>
      </c>
      <c r="AD4" s="261">
        <v>0</v>
      </c>
      <c r="AE4" s="261">
        <v>0</v>
      </c>
      <c r="AF4" s="168">
        <v>0</v>
      </c>
      <c r="AG4" s="261">
        <v>1</v>
      </c>
      <c r="AH4" s="261">
        <v>1</v>
      </c>
      <c r="AI4" s="261">
        <v>0</v>
      </c>
      <c r="AJ4" s="168">
        <v>0</v>
      </c>
      <c r="AK4" s="814"/>
      <c r="AL4" s="814"/>
      <c r="AM4" s="814"/>
      <c r="AN4" s="814"/>
    </row>
    <row r="5" spans="1:45" ht="15" customHeight="1" thickBot="1" x14ac:dyDescent="0.3">
      <c r="A5" s="256" t="s">
        <v>108</v>
      </c>
      <c r="B5" s="255" t="s">
        <v>54</v>
      </c>
      <c r="C5" s="247" t="s">
        <v>91</v>
      </c>
      <c r="D5" s="257" t="s">
        <v>38</v>
      </c>
      <c r="E5" s="257" t="s">
        <v>34</v>
      </c>
      <c r="F5" s="257">
        <v>36</v>
      </c>
      <c r="G5" s="258">
        <v>32</v>
      </c>
      <c r="H5" s="265">
        <v>0</v>
      </c>
      <c r="I5" s="258">
        <v>0</v>
      </c>
      <c r="J5" s="260">
        <v>3</v>
      </c>
      <c r="K5" s="260">
        <v>3</v>
      </c>
      <c r="L5" s="260">
        <v>0</v>
      </c>
      <c r="M5" s="260">
        <v>5</v>
      </c>
      <c r="N5" s="260">
        <v>0</v>
      </c>
      <c r="O5" s="260">
        <v>0</v>
      </c>
      <c r="P5" s="257">
        <v>1</v>
      </c>
      <c r="Q5" s="260">
        <v>1</v>
      </c>
      <c r="R5" s="257">
        <v>4</v>
      </c>
      <c r="S5" s="261">
        <v>6665</v>
      </c>
      <c r="T5" s="590" t="s">
        <v>430</v>
      </c>
      <c r="U5" s="263" t="s">
        <v>360</v>
      </c>
      <c r="V5" s="261" t="s">
        <v>361</v>
      </c>
      <c r="W5" s="261" t="s">
        <v>387</v>
      </c>
      <c r="X5" s="264" t="s">
        <v>363</v>
      </c>
      <c r="Y5" s="261">
        <v>1</v>
      </c>
      <c r="Z5" s="261">
        <v>1</v>
      </c>
      <c r="AA5" s="261">
        <v>0</v>
      </c>
      <c r="AB5" s="168">
        <v>0</v>
      </c>
      <c r="AC5" s="261">
        <v>0</v>
      </c>
      <c r="AD5" s="261">
        <v>0</v>
      </c>
      <c r="AE5" s="261">
        <v>0</v>
      </c>
      <c r="AF5" s="168">
        <v>0</v>
      </c>
      <c r="AG5" s="261">
        <v>1</v>
      </c>
      <c r="AH5" s="261">
        <v>1</v>
      </c>
      <c r="AI5" s="261">
        <v>0</v>
      </c>
      <c r="AJ5" s="168">
        <v>0</v>
      </c>
      <c r="AK5" s="814"/>
      <c r="AL5" s="814"/>
      <c r="AM5" s="814"/>
      <c r="AN5" s="814"/>
    </row>
    <row r="6" spans="1:45" ht="15" customHeight="1" thickBot="1" x14ac:dyDescent="0.3">
      <c r="A6" s="239" t="s">
        <v>114</v>
      </c>
      <c r="B6" s="240" t="s">
        <v>54</v>
      </c>
      <c r="C6" s="122" t="s">
        <v>29</v>
      </c>
      <c r="D6" s="123" t="s">
        <v>90</v>
      </c>
      <c r="E6" s="123" t="s">
        <v>34</v>
      </c>
      <c r="F6" s="123">
        <v>40</v>
      </c>
      <c r="G6" s="241">
        <v>19</v>
      </c>
      <c r="H6" s="241">
        <v>1</v>
      </c>
      <c r="I6" s="242">
        <v>0</v>
      </c>
      <c r="J6" s="123">
        <v>4</v>
      </c>
      <c r="K6" s="123">
        <v>4</v>
      </c>
      <c r="L6" s="242">
        <v>0</v>
      </c>
      <c r="M6" s="242">
        <v>4</v>
      </c>
      <c r="N6" s="242">
        <v>2</v>
      </c>
      <c r="O6" s="242">
        <v>0</v>
      </c>
      <c r="P6" s="242">
        <v>0</v>
      </c>
      <c r="Q6" s="123">
        <v>0</v>
      </c>
      <c r="R6" s="242">
        <v>3</v>
      </c>
      <c r="S6" s="243">
        <v>8451</v>
      </c>
      <c r="T6" s="592" t="s">
        <v>447</v>
      </c>
      <c r="U6" s="245" t="s">
        <v>345</v>
      </c>
      <c r="V6" s="243" t="s">
        <v>346</v>
      </c>
      <c r="W6" s="243" t="s">
        <v>390</v>
      </c>
      <c r="X6" s="169" t="s">
        <v>363</v>
      </c>
      <c r="Y6" s="243">
        <v>1</v>
      </c>
      <c r="Z6" s="243">
        <v>1</v>
      </c>
      <c r="AA6" s="243">
        <v>0</v>
      </c>
      <c r="AB6" s="167">
        <v>0</v>
      </c>
      <c r="AC6" s="243">
        <v>1</v>
      </c>
      <c r="AD6" s="243">
        <v>1</v>
      </c>
      <c r="AE6" s="243">
        <v>0</v>
      </c>
      <c r="AF6" s="167">
        <v>0</v>
      </c>
      <c r="AG6" s="243">
        <v>0</v>
      </c>
      <c r="AH6" s="243">
        <v>0</v>
      </c>
      <c r="AI6" s="243">
        <v>0</v>
      </c>
      <c r="AJ6" s="167">
        <v>0</v>
      </c>
      <c r="AK6" s="745"/>
      <c r="AL6" s="745"/>
      <c r="AM6" s="745"/>
      <c r="AN6" s="745"/>
    </row>
    <row r="7" spans="1:45" ht="15" customHeight="1" thickBot="1" x14ac:dyDescent="0.3">
      <c r="A7" s="256" t="s">
        <v>194</v>
      </c>
      <c r="B7" s="255" t="s">
        <v>54</v>
      </c>
      <c r="C7" s="247" t="s">
        <v>24</v>
      </c>
      <c r="D7" s="257" t="s">
        <v>38</v>
      </c>
      <c r="E7" s="257" t="s">
        <v>36</v>
      </c>
      <c r="F7" s="257">
        <v>11</v>
      </c>
      <c r="G7" s="258">
        <v>21</v>
      </c>
      <c r="H7" s="259">
        <v>0</v>
      </c>
      <c r="I7" s="257">
        <v>0</v>
      </c>
      <c r="J7" s="260">
        <v>1</v>
      </c>
      <c r="K7" s="260">
        <v>0</v>
      </c>
      <c r="L7" s="260">
        <v>0</v>
      </c>
      <c r="M7" s="260">
        <v>2</v>
      </c>
      <c r="N7" s="260">
        <v>1</v>
      </c>
      <c r="O7" s="260">
        <v>0</v>
      </c>
      <c r="P7" s="260">
        <v>0</v>
      </c>
      <c r="Q7" s="260">
        <v>0</v>
      </c>
      <c r="R7" s="260">
        <v>2</v>
      </c>
      <c r="S7" s="261">
        <v>13314</v>
      </c>
      <c r="T7" s="262" t="s">
        <v>444</v>
      </c>
      <c r="U7" s="263" t="s">
        <v>367</v>
      </c>
      <c r="V7" s="261" t="s">
        <v>463</v>
      </c>
      <c r="W7" s="261" t="s">
        <v>340</v>
      </c>
      <c r="X7" s="264" t="s">
        <v>355</v>
      </c>
      <c r="Y7" s="261">
        <v>1</v>
      </c>
      <c r="Z7" s="261">
        <v>0</v>
      </c>
      <c r="AA7" s="261">
        <v>0</v>
      </c>
      <c r="AB7" s="168">
        <v>1</v>
      </c>
      <c r="AC7" s="261">
        <v>0</v>
      </c>
      <c r="AD7" s="261">
        <v>0</v>
      </c>
      <c r="AE7" s="261">
        <v>0</v>
      </c>
      <c r="AF7" s="168">
        <v>0</v>
      </c>
      <c r="AG7" s="261">
        <v>1</v>
      </c>
      <c r="AH7" s="261">
        <v>0</v>
      </c>
      <c r="AI7" s="261">
        <v>0</v>
      </c>
      <c r="AJ7" s="168">
        <v>1</v>
      </c>
      <c r="AK7" s="814"/>
      <c r="AL7" s="814"/>
      <c r="AM7" s="814"/>
      <c r="AN7" s="814"/>
    </row>
    <row r="8" spans="1:45" ht="15" customHeight="1" thickBot="1" x14ac:dyDescent="0.3">
      <c r="A8" s="239" t="s">
        <v>105</v>
      </c>
      <c r="B8" s="240" t="s">
        <v>54</v>
      </c>
      <c r="C8" s="122" t="s">
        <v>26</v>
      </c>
      <c r="D8" s="123" t="s">
        <v>90</v>
      </c>
      <c r="E8" s="123" t="s">
        <v>34</v>
      </c>
      <c r="F8" s="123">
        <v>28</v>
      </c>
      <c r="G8" s="241">
        <v>21</v>
      </c>
      <c r="H8" s="244">
        <v>0</v>
      </c>
      <c r="I8" s="123">
        <v>0</v>
      </c>
      <c r="J8" s="242">
        <v>3</v>
      </c>
      <c r="K8" s="242">
        <v>2</v>
      </c>
      <c r="L8" s="242">
        <v>0</v>
      </c>
      <c r="M8" s="242">
        <v>3</v>
      </c>
      <c r="N8" s="242">
        <v>0</v>
      </c>
      <c r="O8" s="242">
        <v>0</v>
      </c>
      <c r="P8" s="242">
        <v>0</v>
      </c>
      <c r="Q8" s="242">
        <v>1</v>
      </c>
      <c r="R8" s="242">
        <v>2</v>
      </c>
      <c r="S8" s="243">
        <v>9084</v>
      </c>
      <c r="T8" s="592" t="s">
        <v>488</v>
      </c>
      <c r="U8" s="245" t="s">
        <v>374</v>
      </c>
      <c r="V8" s="243" t="s">
        <v>346</v>
      </c>
      <c r="W8" s="243" t="s">
        <v>387</v>
      </c>
      <c r="X8" s="169" t="s">
        <v>390</v>
      </c>
      <c r="Y8" s="243">
        <v>1</v>
      </c>
      <c r="Z8" s="243">
        <v>1</v>
      </c>
      <c r="AA8" s="243">
        <v>0</v>
      </c>
      <c r="AB8" s="167">
        <v>0</v>
      </c>
      <c r="AC8" s="243">
        <v>1</v>
      </c>
      <c r="AD8" s="243">
        <v>1</v>
      </c>
      <c r="AE8" s="243">
        <v>0</v>
      </c>
      <c r="AF8" s="167">
        <v>0</v>
      </c>
      <c r="AG8" s="243">
        <v>0</v>
      </c>
      <c r="AH8" s="243">
        <v>0</v>
      </c>
      <c r="AI8" s="243">
        <v>0</v>
      </c>
      <c r="AJ8" s="167">
        <v>0</v>
      </c>
      <c r="AK8" s="745"/>
      <c r="AL8" s="745"/>
      <c r="AM8" s="745"/>
      <c r="AN8" s="745"/>
    </row>
    <row r="9" spans="1:45" ht="15" customHeight="1" thickBot="1" x14ac:dyDescent="0.3">
      <c r="A9" s="424" t="s">
        <v>107</v>
      </c>
      <c r="B9" s="403" t="s">
        <v>161</v>
      </c>
      <c r="C9" s="404" t="s">
        <v>224</v>
      </c>
      <c r="D9" s="405" t="s">
        <v>90</v>
      </c>
      <c r="E9" s="405" t="s">
        <v>34</v>
      </c>
      <c r="F9" s="405">
        <v>30</v>
      </c>
      <c r="G9" s="406">
        <v>23</v>
      </c>
      <c r="H9" s="407">
        <v>1</v>
      </c>
      <c r="I9" s="408">
        <v>0</v>
      </c>
      <c r="J9" s="408">
        <v>4</v>
      </c>
      <c r="K9" s="408">
        <v>2</v>
      </c>
      <c r="L9" s="408">
        <v>0</v>
      </c>
      <c r="M9" s="408">
        <v>2</v>
      </c>
      <c r="N9" s="408">
        <v>0</v>
      </c>
      <c r="O9" s="408">
        <v>0</v>
      </c>
      <c r="P9" s="408">
        <v>0</v>
      </c>
      <c r="Q9" s="405">
        <v>1</v>
      </c>
      <c r="R9" s="408">
        <v>2</v>
      </c>
      <c r="S9" s="663">
        <v>9902</v>
      </c>
      <c r="T9" s="519" t="s">
        <v>516</v>
      </c>
      <c r="U9" s="411" t="s">
        <v>517</v>
      </c>
      <c r="V9" s="409" t="s">
        <v>518</v>
      </c>
      <c r="W9" s="409" t="s">
        <v>519</v>
      </c>
      <c r="X9" s="412" t="s">
        <v>520</v>
      </c>
      <c r="Y9" s="409">
        <v>1</v>
      </c>
      <c r="Z9" s="409">
        <v>1</v>
      </c>
      <c r="AA9" s="409">
        <v>0</v>
      </c>
      <c r="AB9" s="413">
        <v>0</v>
      </c>
      <c r="AC9" s="409">
        <v>1</v>
      </c>
      <c r="AD9" s="409">
        <v>1</v>
      </c>
      <c r="AE9" s="409">
        <v>0</v>
      </c>
      <c r="AF9" s="413">
        <v>0</v>
      </c>
      <c r="AG9" s="409">
        <v>0</v>
      </c>
      <c r="AH9" s="409">
        <v>0</v>
      </c>
      <c r="AI9" s="409">
        <v>0</v>
      </c>
      <c r="AJ9" s="413">
        <v>0</v>
      </c>
      <c r="AK9" s="745"/>
      <c r="AL9" s="745"/>
      <c r="AM9" s="745"/>
      <c r="AN9" s="745"/>
    </row>
    <row r="10" spans="1:45" ht="15" customHeight="1" thickBot="1" x14ac:dyDescent="0.3">
      <c r="A10" s="391" t="s">
        <v>228</v>
      </c>
      <c r="B10" s="392" t="s">
        <v>161</v>
      </c>
      <c r="C10" s="414" t="s">
        <v>223</v>
      </c>
      <c r="D10" s="394" t="s">
        <v>38</v>
      </c>
      <c r="E10" s="394" t="s">
        <v>36</v>
      </c>
      <c r="F10" s="394">
        <v>3</v>
      </c>
      <c r="G10" s="395">
        <v>14</v>
      </c>
      <c r="H10" s="396">
        <v>0</v>
      </c>
      <c r="I10" s="397">
        <v>0</v>
      </c>
      <c r="J10" s="594">
        <v>0</v>
      </c>
      <c r="K10" s="397">
        <v>0</v>
      </c>
      <c r="L10" s="397">
        <v>0</v>
      </c>
      <c r="M10" s="397">
        <v>1</v>
      </c>
      <c r="N10" s="397">
        <v>1</v>
      </c>
      <c r="O10" s="397">
        <v>0</v>
      </c>
      <c r="P10" s="397">
        <v>0</v>
      </c>
      <c r="Q10" s="394">
        <v>0</v>
      </c>
      <c r="R10" s="397">
        <v>1</v>
      </c>
      <c r="S10" s="398">
        <v>26000</v>
      </c>
      <c r="T10" s="523" t="s">
        <v>398</v>
      </c>
      <c r="U10" s="399" t="s">
        <v>512</v>
      </c>
      <c r="V10" s="398" t="s">
        <v>534</v>
      </c>
      <c r="W10" s="398" t="s">
        <v>535</v>
      </c>
      <c r="X10" s="400" t="s">
        <v>514</v>
      </c>
      <c r="Y10" s="398">
        <v>1</v>
      </c>
      <c r="Z10" s="398">
        <v>0</v>
      </c>
      <c r="AA10" s="398">
        <v>0</v>
      </c>
      <c r="AB10" s="401">
        <v>1</v>
      </c>
      <c r="AC10" s="398">
        <v>0</v>
      </c>
      <c r="AD10" s="398">
        <v>0</v>
      </c>
      <c r="AE10" s="398">
        <v>0</v>
      </c>
      <c r="AF10" s="401">
        <v>0</v>
      </c>
      <c r="AG10" s="398">
        <v>1</v>
      </c>
      <c r="AH10" s="398">
        <v>0</v>
      </c>
      <c r="AI10" s="398">
        <v>0</v>
      </c>
      <c r="AJ10" s="401">
        <v>1</v>
      </c>
      <c r="AK10" s="814"/>
      <c r="AL10" s="814"/>
      <c r="AM10" s="814"/>
      <c r="AN10" s="814"/>
    </row>
    <row r="11" spans="1:45" ht="15" customHeight="1" thickBot="1" x14ac:dyDescent="0.3">
      <c r="A11" s="248" t="s">
        <v>555</v>
      </c>
      <c r="B11" s="249" t="s">
        <v>96</v>
      </c>
      <c r="C11" s="250" t="s">
        <v>10</v>
      </c>
      <c r="D11" s="283" t="s">
        <v>90</v>
      </c>
      <c r="E11" s="283" t="s">
        <v>34</v>
      </c>
      <c r="F11" s="283">
        <v>25</v>
      </c>
      <c r="G11" s="284">
        <v>20</v>
      </c>
      <c r="H11" s="277">
        <v>0</v>
      </c>
      <c r="I11" s="276">
        <v>0</v>
      </c>
      <c r="J11" s="276">
        <v>3</v>
      </c>
      <c r="K11" s="276">
        <v>2</v>
      </c>
      <c r="L11" s="276">
        <v>0</v>
      </c>
      <c r="M11" s="276">
        <v>2</v>
      </c>
      <c r="N11" s="276">
        <v>0</v>
      </c>
      <c r="O11" s="276">
        <v>0</v>
      </c>
      <c r="P11" s="276">
        <v>0</v>
      </c>
      <c r="Q11" s="283">
        <v>1</v>
      </c>
      <c r="R11" s="276">
        <v>2</v>
      </c>
      <c r="S11" s="443">
        <v>7012</v>
      </c>
      <c r="T11" s="644" t="s">
        <v>422</v>
      </c>
      <c r="U11" s="444" t="s">
        <v>527</v>
      </c>
      <c r="V11" s="445" t="s">
        <v>510</v>
      </c>
      <c r="W11" s="278" t="s">
        <v>377</v>
      </c>
      <c r="X11" s="280" t="s">
        <v>369</v>
      </c>
      <c r="Y11" s="278">
        <v>1</v>
      </c>
      <c r="Z11" s="278">
        <v>1</v>
      </c>
      <c r="AA11" s="278">
        <v>0</v>
      </c>
      <c r="AB11" s="281">
        <v>0</v>
      </c>
      <c r="AC11" s="278">
        <v>1</v>
      </c>
      <c r="AD11" s="278">
        <v>1</v>
      </c>
      <c r="AE11" s="278">
        <v>0</v>
      </c>
      <c r="AF11" s="281">
        <v>0</v>
      </c>
      <c r="AG11" s="278">
        <v>0</v>
      </c>
      <c r="AH11" s="278">
        <v>0</v>
      </c>
      <c r="AI11" s="278">
        <v>0</v>
      </c>
      <c r="AJ11" s="281">
        <v>0</v>
      </c>
      <c r="AK11" s="745"/>
      <c r="AL11" s="745"/>
      <c r="AM11" s="745"/>
      <c r="AN11" s="745"/>
    </row>
    <row r="12" spans="1:45" ht="15" customHeight="1" thickBot="1" x14ac:dyDescent="0.3">
      <c r="A12" s="251" t="s">
        <v>615</v>
      </c>
      <c r="B12" s="252" t="s">
        <v>96</v>
      </c>
      <c r="C12" s="253" t="s">
        <v>229</v>
      </c>
      <c r="D12" s="269" t="s">
        <v>1077</v>
      </c>
      <c r="E12" s="269" t="s">
        <v>34</v>
      </c>
      <c r="F12" s="269">
        <v>21</v>
      </c>
      <c r="G12" s="275">
        <v>9</v>
      </c>
      <c r="H12" s="268">
        <v>0</v>
      </c>
      <c r="I12" s="267">
        <v>0</v>
      </c>
      <c r="J12" s="267">
        <v>0</v>
      </c>
      <c r="K12" s="267">
        <v>0</v>
      </c>
      <c r="L12" s="267">
        <v>0</v>
      </c>
      <c r="M12" s="267">
        <v>7</v>
      </c>
      <c r="N12" s="267">
        <v>1</v>
      </c>
      <c r="O12" s="267">
        <v>0</v>
      </c>
      <c r="P12" s="267">
        <v>0</v>
      </c>
      <c r="Q12" s="269">
        <v>0</v>
      </c>
      <c r="R12" s="267">
        <v>0</v>
      </c>
      <c r="S12" s="272">
        <v>4270</v>
      </c>
      <c r="T12" s="653" t="s">
        <v>617</v>
      </c>
      <c r="U12" s="271" t="s">
        <v>419</v>
      </c>
      <c r="V12" s="272" t="s">
        <v>510</v>
      </c>
      <c r="W12" s="272" t="s">
        <v>618</v>
      </c>
      <c r="X12" s="273" t="s">
        <v>619</v>
      </c>
      <c r="Y12" s="272">
        <v>1</v>
      </c>
      <c r="Z12" s="272">
        <v>1</v>
      </c>
      <c r="AA12" s="272">
        <v>0</v>
      </c>
      <c r="AB12" s="274">
        <v>0</v>
      </c>
      <c r="AC12" s="272">
        <v>0</v>
      </c>
      <c r="AD12" s="272">
        <v>0</v>
      </c>
      <c r="AE12" s="272">
        <v>0</v>
      </c>
      <c r="AF12" s="274">
        <v>0</v>
      </c>
      <c r="AG12" s="272">
        <v>1</v>
      </c>
      <c r="AH12" s="272">
        <v>1</v>
      </c>
      <c r="AI12" s="272">
        <v>0</v>
      </c>
      <c r="AJ12" s="274">
        <v>0</v>
      </c>
      <c r="AK12" s="814"/>
      <c r="AL12" s="829"/>
      <c r="AM12" s="814"/>
      <c r="AN12" s="814"/>
    </row>
    <row r="13" spans="1:45" ht="15" customHeight="1" thickBot="1" x14ac:dyDescent="0.3">
      <c r="A13" s="447" t="s">
        <v>251</v>
      </c>
      <c r="B13" s="448" t="s">
        <v>878</v>
      </c>
      <c r="C13" s="446" t="s">
        <v>252</v>
      </c>
      <c r="D13" s="449" t="s">
        <v>90</v>
      </c>
      <c r="E13" s="449" t="s">
        <v>34</v>
      </c>
      <c r="F13" s="449">
        <v>46</v>
      </c>
      <c r="G13" s="450">
        <v>22</v>
      </c>
      <c r="H13" s="451" t="s">
        <v>85</v>
      </c>
      <c r="I13" s="452" t="s">
        <v>85</v>
      </c>
      <c r="J13" s="452">
        <v>6</v>
      </c>
      <c r="K13" s="452">
        <v>5</v>
      </c>
      <c r="L13" s="452">
        <v>0</v>
      </c>
      <c r="M13" s="452">
        <v>2</v>
      </c>
      <c r="N13" s="452">
        <v>0</v>
      </c>
      <c r="O13" s="452">
        <v>0</v>
      </c>
      <c r="P13" s="452" t="s">
        <v>85</v>
      </c>
      <c r="Q13" s="449" t="s">
        <v>85</v>
      </c>
      <c r="R13" s="452">
        <v>3</v>
      </c>
      <c r="S13" s="453"/>
      <c r="T13" s="656" t="s">
        <v>631</v>
      </c>
      <c r="U13" s="454" t="s">
        <v>353</v>
      </c>
      <c r="V13" s="453" t="s">
        <v>632</v>
      </c>
      <c r="W13" s="453" t="s">
        <v>362</v>
      </c>
      <c r="X13" s="453" t="s">
        <v>445</v>
      </c>
      <c r="Y13" s="453">
        <v>1</v>
      </c>
      <c r="Z13" s="453">
        <v>1</v>
      </c>
      <c r="AA13" s="453">
        <v>0</v>
      </c>
      <c r="AB13" s="456">
        <v>0</v>
      </c>
      <c r="AC13" s="453">
        <v>1</v>
      </c>
      <c r="AD13" s="453">
        <v>1</v>
      </c>
      <c r="AE13" s="453">
        <v>0</v>
      </c>
      <c r="AF13" s="456">
        <v>0</v>
      </c>
      <c r="AG13" s="453">
        <v>0</v>
      </c>
      <c r="AH13" s="453">
        <v>0</v>
      </c>
      <c r="AI13" s="453">
        <v>0</v>
      </c>
      <c r="AJ13" s="456">
        <v>0</v>
      </c>
      <c r="AK13" s="745"/>
      <c r="AL13" s="745"/>
      <c r="AM13" s="745"/>
      <c r="AN13" s="745"/>
    </row>
    <row r="14" spans="1:45" ht="15" customHeight="1" thickBot="1" x14ac:dyDescent="0.3">
      <c r="A14" s="256" t="s">
        <v>214</v>
      </c>
      <c r="B14" s="255" t="s">
        <v>54</v>
      </c>
      <c r="C14" s="247" t="s">
        <v>28</v>
      </c>
      <c r="D14" s="257" t="s">
        <v>38</v>
      </c>
      <c r="E14" s="257" t="s">
        <v>35</v>
      </c>
      <c r="F14" s="257">
        <v>21</v>
      </c>
      <c r="G14" s="258">
        <v>21</v>
      </c>
      <c r="H14" s="259">
        <v>0</v>
      </c>
      <c r="I14" s="260">
        <v>0</v>
      </c>
      <c r="J14" s="260">
        <v>0</v>
      </c>
      <c r="K14" s="260">
        <v>0</v>
      </c>
      <c r="L14" s="260">
        <v>0</v>
      </c>
      <c r="M14" s="260">
        <v>7</v>
      </c>
      <c r="N14" s="260">
        <v>1</v>
      </c>
      <c r="O14" s="260">
        <v>0</v>
      </c>
      <c r="P14" s="260">
        <v>0</v>
      </c>
      <c r="Q14" s="257">
        <v>0</v>
      </c>
      <c r="R14" s="260">
        <v>0</v>
      </c>
      <c r="S14" s="261">
        <v>21680</v>
      </c>
      <c r="T14" s="590" t="s">
        <v>645</v>
      </c>
      <c r="U14" s="263" t="s">
        <v>452</v>
      </c>
      <c r="V14" s="261" t="s">
        <v>339</v>
      </c>
      <c r="W14" s="261" t="s">
        <v>363</v>
      </c>
      <c r="X14" s="264" t="s">
        <v>356</v>
      </c>
      <c r="Y14" s="261">
        <v>1</v>
      </c>
      <c r="Z14" s="261">
        <v>0</v>
      </c>
      <c r="AA14" s="261">
        <v>1</v>
      </c>
      <c r="AB14" s="168">
        <v>0</v>
      </c>
      <c r="AC14" s="261">
        <v>0</v>
      </c>
      <c r="AD14" s="261">
        <v>0</v>
      </c>
      <c r="AE14" s="261">
        <v>0</v>
      </c>
      <c r="AF14" s="168">
        <v>0</v>
      </c>
      <c r="AG14" s="261">
        <v>1</v>
      </c>
      <c r="AH14" s="261">
        <v>0</v>
      </c>
      <c r="AI14" s="261">
        <v>1</v>
      </c>
      <c r="AJ14" s="168">
        <v>0</v>
      </c>
      <c r="AK14" s="814"/>
      <c r="AL14" s="1011"/>
      <c r="AM14" s="1011"/>
      <c r="AN14" s="827"/>
      <c r="AO14" s="809"/>
      <c r="AP14" s="881"/>
      <c r="AQ14" s="881"/>
      <c r="AR14" s="881"/>
      <c r="AS14" s="881"/>
    </row>
    <row r="15" spans="1:45" ht="15" customHeight="1" thickBot="1" x14ac:dyDescent="0.3">
      <c r="A15" s="239" t="s">
        <v>207</v>
      </c>
      <c r="B15" s="240" t="s">
        <v>54</v>
      </c>
      <c r="C15" s="122" t="s">
        <v>27</v>
      </c>
      <c r="D15" s="123" t="s">
        <v>90</v>
      </c>
      <c r="E15" s="123" t="s">
        <v>36</v>
      </c>
      <c r="F15" s="123">
        <v>24</v>
      </c>
      <c r="G15" s="241">
        <v>31</v>
      </c>
      <c r="H15" s="241">
        <v>0</v>
      </c>
      <c r="I15" s="242">
        <v>1</v>
      </c>
      <c r="J15" s="242">
        <v>3</v>
      </c>
      <c r="K15" s="242">
        <v>0</v>
      </c>
      <c r="L15" s="242">
        <v>0</v>
      </c>
      <c r="M15" s="242">
        <v>3</v>
      </c>
      <c r="N15" s="242">
        <v>0</v>
      </c>
      <c r="O15" s="242">
        <v>0</v>
      </c>
      <c r="P15" s="242">
        <v>0</v>
      </c>
      <c r="Q15" s="123">
        <v>0</v>
      </c>
      <c r="R15" s="242">
        <v>3</v>
      </c>
      <c r="S15" s="243">
        <v>8314</v>
      </c>
      <c r="T15" s="514" t="s">
        <v>662</v>
      </c>
      <c r="U15" s="245" t="s">
        <v>419</v>
      </c>
      <c r="V15" s="243" t="s">
        <v>375</v>
      </c>
      <c r="W15" s="243" t="s">
        <v>355</v>
      </c>
      <c r="X15" s="169" t="s">
        <v>387</v>
      </c>
      <c r="Y15" s="243">
        <v>1</v>
      </c>
      <c r="Z15" s="243">
        <v>0</v>
      </c>
      <c r="AA15" s="243">
        <v>0</v>
      </c>
      <c r="AB15" s="167">
        <v>1</v>
      </c>
      <c r="AC15" s="243">
        <v>1</v>
      </c>
      <c r="AD15" s="243">
        <v>0</v>
      </c>
      <c r="AE15" s="243">
        <v>0</v>
      </c>
      <c r="AF15" s="167">
        <v>1</v>
      </c>
      <c r="AG15" s="243">
        <v>0</v>
      </c>
      <c r="AH15" s="243">
        <v>0</v>
      </c>
      <c r="AI15" s="243">
        <v>0</v>
      </c>
      <c r="AJ15" s="167">
        <v>0</v>
      </c>
      <c r="AK15" s="745"/>
      <c r="AL15" s="830"/>
      <c r="AM15" s="831"/>
      <c r="AN15" s="830"/>
      <c r="AO15" s="768"/>
      <c r="AP15" s="767"/>
      <c r="AQ15" s="768"/>
      <c r="AR15" s="767"/>
      <c r="AS15" s="768"/>
    </row>
    <row r="16" spans="1:45" ht="15" customHeight="1" thickBot="1" x14ac:dyDescent="0.3">
      <c r="A16" s="256" t="s">
        <v>154</v>
      </c>
      <c r="B16" s="255" t="s">
        <v>54</v>
      </c>
      <c r="C16" s="247" t="s">
        <v>30</v>
      </c>
      <c r="D16" s="257" t="s">
        <v>38</v>
      </c>
      <c r="E16" s="257" t="s">
        <v>36</v>
      </c>
      <c r="F16" s="257">
        <v>19</v>
      </c>
      <c r="G16" s="258">
        <v>27</v>
      </c>
      <c r="H16" s="259">
        <v>0</v>
      </c>
      <c r="I16" s="260">
        <v>0</v>
      </c>
      <c r="J16" s="260">
        <v>1</v>
      </c>
      <c r="K16" s="260">
        <v>1</v>
      </c>
      <c r="L16" s="260">
        <v>0</v>
      </c>
      <c r="M16" s="260">
        <v>4</v>
      </c>
      <c r="N16" s="257">
        <v>1</v>
      </c>
      <c r="O16" s="260">
        <v>0</v>
      </c>
      <c r="P16" s="260">
        <v>0</v>
      </c>
      <c r="Q16" s="257">
        <v>0</v>
      </c>
      <c r="R16" s="260">
        <v>0</v>
      </c>
      <c r="S16" s="261">
        <v>10335</v>
      </c>
      <c r="T16" s="262" t="s">
        <v>676</v>
      </c>
      <c r="U16" s="263" t="s">
        <v>367</v>
      </c>
      <c r="V16" s="261" t="s">
        <v>399</v>
      </c>
      <c r="W16" s="261" t="s">
        <v>347</v>
      </c>
      <c r="X16" s="264" t="s">
        <v>355</v>
      </c>
      <c r="Y16" s="261">
        <v>1</v>
      </c>
      <c r="Z16" s="261">
        <v>0</v>
      </c>
      <c r="AA16" s="261">
        <v>0</v>
      </c>
      <c r="AB16" s="168">
        <v>1</v>
      </c>
      <c r="AC16" s="261">
        <v>0</v>
      </c>
      <c r="AD16" s="261">
        <v>0</v>
      </c>
      <c r="AE16" s="261">
        <v>0</v>
      </c>
      <c r="AF16" s="168">
        <v>0</v>
      </c>
      <c r="AG16" s="261">
        <v>1</v>
      </c>
      <c r="AH16" s="261">
        <v>0</v>
      </c>
      <c r="AI16" s="261">
        <v>0</v>
      </c>
      <c r="AJ16" s="168">
        <v>1</v>
      </c>
      <c r="AK16" s="814"/>
      <c r="AL16" s="827"/>
      <c r="AM16" s="828"/>
      <c r="AN16" s="827"/>
      <c r="AO16" s="768"/>
      <c r="AP16" s="767"/>
      <c r="AQ16" s="768"/>
      <c r="AR16" s="767"/>
      <c r="AS16" s="768"/>
    </row>
    <row r="17" spans="1:49" ht="15" customHeight="1" thickBot="1" x14ac:dyDescent="0.3">
      <c r="A17" s="391" t="s">
        <v>155</v>
      </c>
      <c r="B17" s="392" t="s">
        <v>161</v>
      </c>
      <c r="C17" s="414" t="s">
        <v>29</v>
      </c>
      <c r="D17" s="394" t="s">
        <v>38</v>
      </c>
      <c r="E17" s="394" t="s">
        <v>34</v>
      </c>
      <c r="F17" s="394">
        <v>19</v>
      </c>
      <c r="G17" s="395">
        <v>15</v>
      </c>
      <c r="H17" s="396">
        <v>0</v>
      </c>
      <c r="I17" s="397">
        <v>0</v>
      </c>
      <c r="J17" s="397">
        <v>2</v>
      </c>
      <c r="K17" s="397">
        <v>0</v>
      </c>
      <c r="L17" s="397">
        <v>1</v>
      </c>
      <c r="M17" s="397">
        <v>2</v>
      </c>
      <c r="N17" s="397">
        <v>0</v>
      </c>
      <c r="O17" s="397">
        <v>0</v>
      </c>
      <c r="P17" s="397">
        <v>0</v>
      </c>
      <c r="Q17" s="394">
        <v>1</v>
      </c>
      <c r="R17" s="397">
        <v>2</v>
      </c>
      <c r="S17" s="398">
        <v>7053</v>
      </c>
      <c r="T17" s="643" t="s">
        <v>696</v>
      </c>
      <c r="U17" s="399" t="s">
        <v>527</v>
      </c>
      <c r="V17" s="398" t="s">
        <v>693</v>
      </c>
      <c r="W17" s="398" t="s">
        <v>694</v>
      </c>
      <c r="X17" s="400" t="s">
        <v>695</v>
      </c>
      <c r="Y17" s="398">
        <v>1</v>
      </c>
      <c r="Z17" s="398">
        <v>1</v>
      </c>
      <c r="AA17" s="398">
        <v>0</v>
      </c>
      <c r="AB17" s="401">
        <v>0</v>
      </c>
      <c r="AC17" s="398">
        <v>0</v>
      </c>
      <c r="AD17" s="398">
        <v>0</v>
      </c>
      <c r="AE17" s="398">
        <v>0</v>
      </c>
      <c r="AF17" s="401">
        <v>0</v>
      </c>
      <c r="AG17" s="398">
        <v>1</v>
      </c>
      <c r="AH17" s="398">
        <v>1</v>
      </c>
      <c r="AI17" s="398">
        <v>0</v>
      </c>
      <c r="AJ17" s="401">
        <v>0</v>
      </c>
      <c r="AK17" s="814"/>
      <c r="AL17" s="827"/>
      <c r="AM17" s="828"/>
      <c r="AN17" s="827"/>
      <c r="AO17" s="768"/>
      <c r="AP17" s="767"/>
      <c r="AQ17" s="768"/>
      <c r="AR17" s="767"/>
      <c r="AS17" s="768"/>
    </row>
    <row r="18" spans="1:49" ht="15" customHeight="1" thickBot="1" x14ac:dyDescent="0.3">
      <c r="A18" s="402" t="s">
        <v>122</v>
      </c>
      <c r="B18" s="403" t="s">
        <v>161</v>
      </c>
      <c r="C18" s="404" t="s">
        <v>29</v>
      </c>
      <c r="D18" s="405" t="s">
        <v>90</v>
      </c>
      <c r="E18" s="405" t="s">
        <v>34</v>
      </c>
      <c r="F18" s="405">
        <v>28</v>
      </c>
      <c r="G18" s="406">
        <v>15</v>
      </c>
      <c r="H18" s="407">
        <v>0</v>
      </c>
      <c r="I18" s="408">
        <v>0</v>
      </c>
      <c r="J18" s="408">
        <v>3</v>
      </c>
      <c r="K18" s="408">
        <v>2</v>
      </c>
      <c r="L18" s="408">
        <v>0</v>
      </c>
      <c r="M18" s="408">
        <v>3</v>
      </c>
      <c r="N18" s="408">
        <v>1</v>
      </c>
      <c r="O18" s="408">
        <v>0</v>
      </c>
      <c r="P18" s="408">
        <v>0</v>
      </c>
      <c r="Q18" s="408">
        <v>0</v>
      </c>
      <c r="R18" s="408">
        <v>2</v>
      </c>
      <c r="S18" s="409">
        <v>7561</v>
      </c>
      <c r="T18" s="642" t="s">
        <v>705</v>
      </c>
      <c r="U18" s="411" t="s">
        <v>512</v>
      </c>
      <c r="V18" s="409" t="s">
        <v>534</v>
      </c>
      <c r="W18" s="409" t="s">
        <v>535</v>
      </c>
      <c r="X18" s="412" t="s">
        <v>515</v>
      </c>
      <c r="Y18" s="409">
        <v>1</v>
      </c>
      <c r="Z18" s="409">
        <v>1</v>
      </c>
      <c r="AA18" s="409">
        <v>0</v>
      </c>
      <c r="AB18" s="413">
        <v>0</v>
      </c>
      <c r="AC18" s="409">
        <v>1</v>
      </c>
      <c r="AD18" s="409">
        <v>1</v>
      </c>
      <c r="AE18" s="409">
        <v>0</v>
      </c>
      <c r="AF18" s="413">
        <v>0</v>
      </c>
      <c r="AG18" s="409">
        <v>0</v>
      </c>
      <c r="AH18" s="409">
        <v>0</v>
      </c>
      <c r="AI18" s="409">
        <v>0</v>
      </c>
      <c r="AJ18" s="413">
        <v>0</v>
      </c>
      <c r="AK18" s="745"/>
      <c r="AL18" s="830"/>
      <c r="AM18" s="831"/>
      <c r="AN18" s="830"/>
      <c r="AO18" s="768"/>
      <c r="AP18" s="767"/>
      <c r="AQ18" s="768"/>
      <c r="AR18" s="767"/>
      <c r="AS18" s="768"/>
    </row>
    <row r="19" spans="1:49" ht="15" customHeight="1" thickBot="1" x14ac:dyDescent="0.3">
      <c r="A19" s="239" t="s">
        <v>104</v>
      </c>
      <c r="B19" s="240" t="s">
        <v>54</v>
      </c>
      <c r="C19" s="122" t="s">
        <v>190</v>
      </c>
      <c r="D19" s="123" t="s">
        <v>90</v>
      </c>
      <c r="E19" s="123" t="s">
        <v>34</v>
      </c>
      <c r="F19" s="123">
        <v>78</v>
      </c>
      <c r="G19" s="241">
        <v>7</v>
      </c>
      <c r="H19" s="244">
        <v>1</v>
      </c>
      <c r="I19" s="242">
        <v>0</v>
      </c>
      <c r="J19" s="242">
        <v>11</v>
      </c>
      <c r="K19" s="242">
        <v>10</v>
      </c>
      <c r="L19" s="242">
        <v>0</v>
      </c>
      <c r="M19" s="242">
        <v>1</v>
      </c>
      <c r="N19" s="242">
        <v>0</v>
      </c>
      <c r="O19" s="242">
        <v>0</v>
      </c>
      <c r="P19" s="242">
        <v>0</v>
      </c>
      <c r="Q19" s="242">
        <v>0</v>
      </c>
      <c r="R19" s="242">
        <v>1</v>
      </c>
      <c r="S19" s="243">
        <v>8037</v>
      </c>
      <c r="T19" s="592" t="s">
        <v>728</v>
      </c>
      <c r="U19" s="245" t="s">
        <v>485</v>
      </c>
      <c r="V19" s="243" t="s">
        <v>368</v>
      </c>
      <c r="W19" s="243" t="s">
        <v>376</v>
      </c>
      <c r="X19" s="169" t="s">
        <v>445</v>
      </c>
      <c r="Y19" s="243">
        <v>1</v>
      </c>
      <c r="Z19" s="243">
        <v>1</v>
      </c>
      <c r="AA19" s="243">
        <v>0</v>
      </c>
      <c r="AB19" s="167">
        <v>0</v>
      </c>
      <c r="AC19" s="243">
        <v>1</v>
      </c>
      <c r="AD19" s="243">
        <v>1</v>
      </c>
      <c r="AE19" s="243">
        <v>0</v>
      </c>
      <c r="AF19" s="167">
        <v>0</v>
      </c>
      <c r="AG19" s="243">
        <v>0</v>
      </c>
      <c r="AH19" s="243">
        <v>0</v>
      </c>
      <c r="AI19" s="243">
        <v>0</v>
      </c>
      <c r="AJ19" s="167">
        <v>0</v>
      </c>
      <c r="AK19" s="745"/>
      <c r="AL19" s="830"/>
      <c r="AM19" s="831"/>
      <c r="AN19" s="830"/>
      <c r="AO19" s="768"/>
      <c r="AP19" s="767"/>
      <c r="AQ19" s="768"/>
      <c r="AR19" s="767"/>
      <c r="AS19" s="768"/>
    </row>
    <row r="20" spans="1:49" ht="15" customHeight="1" thickBot="1" x14ac:dyDescent="0.3">
      <c r="A20" s="256" t="s">
        <v>98</v>
      </c>
      <c r="B20" s="255" t="s">
        <v>54</v>
      </c>
      <c r="C20" s="247" t="s">
        <v>66</v>
      </c>
      <c r="D20" s="257" t="s">
        <v>38</v>
      </c>
      <c r="E20" s="257" t="s">
        <v>34</v>
      </c>
      <c r="F20" s="257">
        <v>25</v>
      </c>
      <c r="G20" s="258">
        <v>23</v>
      </c>
      <c r="H20" s="259">
        <v>0</v>
      </c>
      <c r="I20" s="260">
        <v>0</v>
      </c>
      <c r="J20" s="260">
        <v>3</v>
      </c>
      <c r="K20" s="260">
        <v>2</v>
      </c>
      <c r="L20" s="260">
        <v>0</v>
      </c>
      <c r="M20" s="260">
        <v>2</v>
      </c>
      <c r="N20" s="260">
        <v>0</v>
      </c>
      <c r="O20" s="260">
        <v>0</v>
      </c>
      <c r="P20" s="260">
        <v>0</v>
      </c>
      <c r="Q20" s="260">
        <v>1</v>
      </c>
      <c r="R20" s="260">
        <v>3</v>
      </c>
      <c r="S20" s="261">
        <v>9192</v>
      </c>
      <c r="T20" s="590" t="s">
        <v>740</v>
      </c>
      <c r="U20" s="263" t="s">
        <v>360</v>
      </c>
      <c r="V20" s="261" t="s">
        <v>346</v>
      </c>
      <c r="W20" s="261" t="s">
        <v>348</v>
      </c>
      <c r="X20" s="264" t="s">
        <v>613</v>
      </c>
      <c r="Y20" s="261">
        <v>1</v>
      </c>
      <c r="Z20" s="261">
        <v>1</v>
      </c>
      <c r="AA20" s="261">
        <v>0</v>
      </c>
      <c r="AB20" s="168">
        <v>0</v>
      </c>
      <c r="AC20" s="261">
        <v>0</v>
      </c>
      <c r="AD20" s="261">
        <v>0</v>
      </c>
      <c r="AE20" s="261">
        <v>0</v>
      </c>
      <c r="AF20" s="168">
        <v>0</v>
      </c>
      <c r="AG20" s="261">
        <v>1</v>
      </c>
      <c r="AH20" s="261">
        <v>1</v>
      </c>
      <c r="AI20" s="261">
        <v>0</v>
      </c>
      <c r="AJ20" s="168">
        <v>0</v>
      </c>
      <c r="AK20" s="814"/>
      <c r="AL20" s="827"/>
      <c r="AM20" s="828"/>
      <c r="AN20" s="827"/>
      <c r="AO20" s="768"/>
      <c r="AP20" s="767"/>
      <c r="AQ20" s="768"/>
      <c r="AR20" s="767"/>
      <c r="AS20" s="768"/>
    </row>
    <row r="21" spans="1:49" ht="15" customHeight="1" thickBot="1" x14ac:dyDescent="0.3">
      <c r="A21" s="239" t="s">
        <v>99</v>
      </c>
      <c r="B21" s="240" t="s">
        <v>54</v>
      </c>
      <c r="C21" s="122" t="s">
        <v>91</v>
      </c>
      <c r="D21" s="123" t="s">
        <v>90</v>
      </c>
      <c r="E21" s="123" t="s">
        <v>34</v>
      </c>
      <c r="F21" s="123">
        <v>22</v>
      </c>
      <c r="G21" s="241">
        <v>6</v>
      </c>
      <c r="H21" s="244">
        <v>0</v>
      </c>
      <c r="I21" s="242">
        <v>0</v>
      </c>
      <c r="J21" s="242">
        <v>2</v>
      </c>
      <c r="K21" s="242">
        <v>0</v>
      </c>
      <c r="L21" s="242">
        <v>0</v>
      </c>
      <c r="M21" s="242">
        <v>4</v>
      </c>
      <c r="N21" s="242">
        <v>0</v>
      </c>
      <c r="O21" s="242">
        <v>0</v>
      </c>
      <c r="P21" s="242">
        <v>0</v>
      </c>
      <c r="Q21" s="242">
        <v>0</v>
      </c>
      <c r="R21" s="242">
        <v>0</v>
      </c>
      <c r="S21" s="243">
        <v>9306</v>
      </c>
      <c r="T21" s="592" t="s">
        <v>787</v>
      </c>
      <c r="U21" s="245" t="s">
        <v>452</v>
      </c>
      <c r="V21" s="243" t="s">
        <v>361</v>
      </c>
      <c r="W21" s="243" t="s">
        <v>376</v>
      </c>
      <c r="X21" s="169" t="s">
        <v>356</v>
      </c>
      <c r="Y21" s="243">
        <v>1</v>
      </c>
      <c r="Z21" s="243">
        <v>1</v>
      </c>
      <c r="AA21" s="243">
        <v>0</v>
      </c>
      <c r="AB21" s="167">
        <v>0</v>
      </c>
      <c r="AC21" s="243">
        <v>1</v>
      </c>
      <c r="AD21" s="243">
        <v>1</v>
      </c>
      <c r="AE21" s="243">
        <v>0</v>
      </c>
      <c r="AF21" s="167">
        <v>0</v>
      </c>
      <c r="AG21" s="243">
        <v>0</v>
      </c>
      <c r="AH21" s="243">
        <v>0</v>
      </c>
      <c r="AI21" s="243">
        <v>0</v>
      </c>
      <c r="AJ21" s="167">
        <v>0</v>
      </c>
      <c r="AK21" s="745"/>
      <c r="AL21" s="830"/>
      <c r="AM21" s="831"/>
      <c r="AN21" s="830"/>
      <c r="AO21" s="768"/>
      <c r="AP21" s="767"/>
      <c r="AQ21" s="768"/>
      <c r="AR21" s="767"/>
      <c r="AS21" s="768"/>
    </row>
    <row r="22" spans="1:49" ht="15" customHeight="1" thickBot="1" x14ac:dyDescent="0.3">
      <c r="A22" s="256" t="s">
        <v>778</v>
      </c>
      <c r="B22" s="255" t="s">
        <v>54</v>
      </c>
      <c r="C22" s="247" t="s">
        <v>26</v>
      </c>
      <c r="D22" s="257" t="s">
        <v>38</v>
      </c>
      <c r="E22" s="257" t="s">
        <v>36</v>
      </c>
      <c r="F22" s="257">
        <v>23</v>
      </c>
      <c r="G22" s="258">
        <v>24</v>
      </c>
      <c r="H22" s="259">
        <v>0</v>
      </c>
      <c r="I22" s="260">
        <v>1</v>
      </c>
      <c r="J22" s="260">
        <v>3</v>
      </c>
      <c r="K22" s="260">
        <v>1</v>
      </c>
      <c r="L22" s="260">
        <v>0</v>
      </c>
      <c r="M22" s="260">
        <v>2</v>
      </c>
      <c r="N22" s="260">
        <v>2</v>
      </c>
      <c r="O22" s="260">
        <v>0</v>
      </c>
      <c r="P22" s="260">
        <v>0</v>
      </c>
      <c r="Q22" s="260">
        <v>0</v>
      </c>
      <c r="R22" s="260">
        <v>2</v>
      </c>
      <c r="S22" s="261">
        <v>12894</v>
      </c>
      <c r="T22" s="516" t="s">
        <v>807</v>
      </c>
      <c r="U22" s="263" t="s">
        <v>345</v>
      </c>
      <c r="V22" s="261" t="s">
        <v>393</v>
      </c>
      <c r="W22" s="261" t="s">
        <v>390</v>
      </c>
      <c r="X22" s="264" t="s">
        <v>363</v>
      </c>
      <c r="Y22" s="261">
        <v>1</v>
      </c>
      <c r="Z22" s="261">
        <v>0</v>
      </c>
      <c r="AA22" s="261">
        <v>0</v>
      </c>
      <c r="AB22" s="168">
        <v>1</v>
      </c>
      <c r="AC22" s="261">
        <v>0</v>
      </c>
      <c r="AD22" s="261">
        <v>0</v>
      </c>
      <c r="AE22" s="261">
        <v>0</v>
      </c>
      <c r="AF22" s="168">
        <v>0</v>
      </c>
      <c r="AG22" s="261">
        <v>1</v>
      </c>
      <c r="AH22" s="261">
        <v>0</v>
      </c>
      <c r="AI22" s="261">
        <v>0</v>
      </c>
      <c r="AJ22" s="168">
        <v>1</v>
      </c>
      <c r="AK22" s="814"/>
      <c r="AL22" s="827"/>
      <c r="AM22" s="828"/>
      <c r="AN22" s="827"/>
      <c r="AO22" s="768"/>
      <c r="AP22" s="767"/>
      <c r="AQ22" s="768"/>
      <c r="AR22" s="767"/>
      <c r="AS22" s="768"/>
    </row>
    <row r="23" spans="1:49" ht="15" customHeight="1" thickBot="1" x14ac:dyDescent="0.3">
      <c r="A23" s="402" t="s">
        <v>101</v>
      </c>
      <c r="B23" s="403" t="s">
        <v>161</v>
      </c>
      <c r="C23" s="404" t="s">
        <v>223</v>
      </c>
      <c r="D23" s="405" t="s">
        <v>90</v>
      </c>
      <c r="E23" s="405" t="s">
        <v>34</v>
      </c>
      <c r="F23" s="405">
        <v>33</v>
      </c>
      <c r="G23" s="406">
        <v>10</v>
      </c>
      <c r="H23" s="407">
        <v>0</v>
      </c>
      <c r="I23" s="408">
        <v>0</v>
      </c>
      <c r="J23" s="408">
        <v>3</v>
      </c>
      <c r="K23" s="408">
        <v>3</v>
      </c>
      <c r="L23" s="408">
        <v>0</v>
      </c>
      <c r="M23" s="408">
        <v>4</v>
      </c>
      <c r="N23" s="405">
        <v>0</v>
      </c>
      <c r="O23" s="408">
        <v>0</v>
      </c>
      <c r="P23" s="408">
        <v>0</v>
      </c>
      <c r="Q23" s="408">
        <v>0</v>
      </c>
      <c r="R23" s="408">
        <v>1</v>
      </c>
      <c r="S23" s="409">
        <v>9999</v>
      </c>
      <c r="T23" s="642" t="s">
        <v>825</v>
      </c>
      <c r="U23" s="411" t="s">
        <v>826</v>
      </c>
      <c r="V23" s="409" t="s">
        <v>534</v>
      </c>
      <c r="W23" s="409" t="s">
        <v>524</v>
      </c>
      <c r="X23" s="412" t="s">
        <v>558</v>
      </c>
      <c r="Y23" s="409">
        <v>1</v>
      </c>
      <c r="Z23" s="409">
        <v>1</v>
      </c>
      <c r="AA23" s="409">
        <v>0</v>
      </c>
      <c r="AB23" s="413">
        <v>0</v>
      </c>
      <c r="AC23" s="409">
        <v>1</v>
      </c>
      <c r="AD23" s="409">
        <v>1</v>
      </c>
      <c r="AE23" s="409">
        <v>0</v>
      </c>
      <c r="AF23" s="413">
        <v>0</v>
      </c>
      <c r="AG23" s="409">
        <v>0</v>
      </c>
      <c r="AH23" s="409">
        <v>0</v>
      </c>
      <c r="AI23" s="409">
        <v>0</v>
      </c>
      <c r="AJ23" s="413">
        <v>0</v>
      </c>
      <c r="AK23" s="745"/>
      <c r="AL23" s="745"/>
      <c r="AM23" s="745"/>
      <c r="AN23" s="745"/>
    </row>
    <row r="24" spans="1:49" ht="15" customHeight="1" thickBot="1" x14ac:dyDescent="0.3">
      <c r="A24" s="391" t="s">
        <v>785</v>
      </c>
      <c r="B24" s="392" t="s">
        <v>161</v>
      </c>
      <c r="C24" s="414" t="s">
        <v>224</v>
      </c>
      <c r="D24" s="394" t="s">
        <v>38</v>
      </c>
      <c r="E24" s="394" t="s">
        <v>36</v>
      </c>
      <c r="F24" s="394">
        <v>6</v>
      </c>
      <c r="G24" s="395">
        <v>18</v>
      </c>
      <c r="H24" s="396">
        <v>0</v>
      </c>
      <c r="I24" s="397">
        <v>0</v>
      </c>
      <c r="J24" s="397">
        <v>0</v>
      </c>
      <c r="K24" s="397">
        <v>0</v>
      </c>
      <c r="L24" s="397">
        <v>0</v>
      </c>
      <c r="M24" s="397">
        <v>2</v>
      </c>
      <c r="N24" s="397">
        <v>1</v>
      </c>
      <c r="O24" s="397">
        <v>0</v>
      </c>
      <c r="P24" s="397">
        <v>0</v>
      </c>
      <c r="Q24" s="397">
        <v>0</v>
      </c>
      <c r="R24" s="397">
        <v>2</v>
      </c>
      <c r="S24" s="398">
        <v>17787</v>
      </c>
      <c r="T24" s="518" t="s">
        <v>563</v>
      </c>
      <c r="U24" s="399" t="s">
        <v>536</v>
      </c>
      <c r="V24" s="398" t="s">
        <v>537</v>
      </c>
      <c r="W24" s="398" t="s">
        <v>518</v>
      </c>
      <c r="X24" s="400" t="s">
        <v>562</v>
      </c>
      <c r="Y24" s="398">
        <v>1</v>
      </c>
      <c r="Z24" s="398">
        <v>0</v>
      </c>
      <c r="AA24" s="398">
        <v>0</v>
      </c>
      <c r="AB24" s="401">
        <v>1</v>
      </c>
      <c r="AC24" s="398">
        <v>0</v>
      </c>
      <c r="AD24" s="398">
        <v>0</v>
      </c>
      <c r="AE24" s="398">
        <v>0</v>
      </c>
      <c r="AF24" s="401">
        <v>0</v>
      </c>
      <c r="AG24" s="398">
        <v>1</v>
      </c>
      <c r="AH24" s="398">
        <v>0</v>
      </c>
      <c r="AI24" s="398">
        <v>0</v>
      </c>
      <c r="AJ24" s="401">
        <v>1</v>
      </c>
      <c r="AK24" s="814"/>
      <c r="AL24" s="814"/>
      <c r="AM24" s="814"/>
      <c r="AN24" s="814"/>
    </row>
    <row r="25" spans="1:49" ht="15" customHeight="1" thickBot="1" x14ac:dyDescent="0.3">
      <c r="A25" s="447" t="s">
        <v>103</v>
      </c>
      <c r="B25" s="448" t="s">
        <v>878</v>
      </c>
      <c r="C25" s="446" t="s">
        <v>250</v>
      </c>
      <c r="D25" s="449" t="s">
        <v>90</v>
      </c>
      <c r="E25" s="449" t="s">
        <v>36</v>
      </c>
      <c r="F25" s="449">
        <v>26</v>
      </c>
      <c r="G25" s="450">
        <v>39</v>
      </c>
      <c r="H25" s="451" t="s">
        <v>85</v>
      </c>
      <c r="I25" s="452" t="s">
        <v>85</v>
      </c>
      <c r="J25" s="452">
        <v>4</v>
      </c>
      <c r="K25" s="452">
        <v>3</v>
      </c>
      <c r="L25" s="452">
        <v>0</v>
      </c>
      <c r="M25" s="452">
        <v>0</v>
      </c>
      <c r="N25" s="452">
        <v>0</v>
      </c>
      <c r="O25" s="452">
        <v>0</v>
      </c>
      <c r="P25" s="452" t="s">
        <v>85</v>
      </c>
      <c r="Q25" s="452" t="s">
        <v>85</v>
      </c>
      <c r="R25" s="452">
        <v>6</v>
      </c>
      <c r="S25" s="457"/>
      <c r="T25" s="723" t="s">
        <v>809</v>
      </c>
      <c r="U25" s="454" t="s">
        <v>452</v>
      </c>
      <c r="V25" s="453" t="s">
        <v>510</v>
      </c>
      <c r="W25" s="453" t="s">
        <v>356</v>
      </c>
      <c r="X25" s="455" t="s">
        <v>363</v>
      </c>
      <c r="Y25" s="453">
        <v>1</v>
      </c>
      <c r="Z25" s="453">
        <v>0</v>
      </c>
      <c r="AA25" s="453">
        <v>0</v>
      </c>
      <c r="AB25" s="456">
        <v>1</v>
      </c>
      <c r="AC25" s="453">
        <v>1</v>
      </c>
      <c r="AD25" s="453">
        <v>0</v>
      </c>
      <c r="AE25" s="453">
        <v>0</v>
      </c>
      <c r="AF25" s="456">
        <v>1</v>
      </c>
      <c r="AG25" s="453">
        <v>0</v>
      </c>
      <c r="AH25" s="453">
        <v>0</v>
      </c>
      <c r="AI25" s="453">
        <v>0</v>
      </c>
      <c r="AJ25" s="456">
        <v>0</v>
      </c>
      <c r="AK25" s="745"/>
      <c r="AL25" s="745"/>
      <c r="AM25" s="745"/>
      <c r="AN25" s="745"/>
    </row>
    <row r="26" spans="1:49" ht="15" customHeight="1" thickBot="1" x14ac:dyDescent="0.3">
      <c r="A26" s="251" t="s">
        <v>249</v>
      </c>
      <c r="B26" s="252" t="s">
        <v>96</v>
      </c>
      <c r="C26" s="253" t="s">
        <v>190</v>
      </c>
      <c r="D26" s="269" t="s">
        <v>38</v>
      </c>
      <c r="E26" s="269" t="s">
        <v>34</v>
      </c>
      <c r="F26" s="269">
        <v>20</v>
      </c>
      <c r="G26" s="275">
        <v>15</v>
      </c>
      <c r="H26" s="268">
        <v>0</v>
      </c>
      <c r="I26" s="267">
        <v>0</v>
      </c>
      <c r="J26" s="269">
        <v>2</v>
      </c>
      <c r="K26" s="267">
        <v>2</v>
      </c>
      <c r="L26" s="267">
        <v>0</v>
      </c>
      <c r="M26" s="267">
        <v>2</v>
      </c>
      <c r="N26" s="267">
        <v>1</v>
      </c>
      <c r="O26" s="267">
        <v>0</v>
      </c>
      <c r="P26" s="267">
        <v>0</v>
      </c>
      <c r="Q26" s="267">
        <v>1</v>
      </c>
      <c r="R26" s="267">
        <v>2</v>
      </c>
      <c r="S26" s="270">
        <v>3272</v>
      </c>
      <c r="T26" s="655" t="s">
        <v>732</v>
      </c>
      <c r="U26" s="271" t="s">
        <v>606</v>
      </c>
      <c r="V26" s="272" t="s">
        <v>510</v>
      </c>
      <c r="W26" s="272" t="s">
        <v>604</v>
      </c>
      <c r="X26" s="273" t="s">
        <v>376</v>
      </c>
      <c r="Y26" s="272">
        <v>1</v>
      </c>
      <c r="Z26" s="272">
        <v>1</v>
      </c>
      <c r="AA26" s="272">
        <v>0</v>
      </c>
      <c r="AB26" s="274">
        <v>0</v>
      </c>
      <c r="AC26" s="272">
        <v>0</v>
      </c>
      <c r="AD26" s="272">
        <v>0</v>
      </c>
      <c r="AE26" s="272">
        <v>0</v>
      </c>
      <c r="AF26" s="274">
        <v>0</v>
      </c>
      <c r="AG26" s="272">
        <v>1</v>
      </c>
      <c r="AH26" s="272">
        <v>1</v>
      </c>
      <c r="AI26" s="272">
        <v>0</v>
      </c>
      <c r="AJ26" s="274">
        <v>0</v>
      </c>
      <c r="AK26" s="814"/>
      <c r="AL26" s="814"/>
      <c r="AM26" s="814"/>
      <c r="AN26" s="814"/>
      <c r="AP26" s="622"/>
    </row>
    <row r="27" spans="1:49" ht="15" customHeight="1" thickBot="1" x14ac:dyDescent="0.3">
      <c r="A27" s="248" t="s">
        <v>777</v>
      </c>
      <c r="B27" s="249" t="s">
        <v>96</v>
      </c>
      <c r="C27" s="250" t="s">
        <v>30</v>
      </c>
      <c r="D27" s="283" t="s">
        <v>90</v>
      </c>
      <c r="E27" s="283" t="s">
        <v>34</v>
      </c>
      <c r="F27" s="283">
        <v>35</v>
      </c>
      <c r="G27" s="284">
        <v>18</v>
      </c>
      <c r="H27" s="277">
        <v>1</v>
      </c>
      <c r="I27" s="276">
        <v>0</v>
      </c>
      <c r="J27" s="276">
        <v>5</v>
      </c>
      <c r="K27" s="276">
        <v>5</v>
      </c>
      <c r="L27" s="276">
        <v>0</v>
      </c>
      <c r="M27" s="276">
        <v>0</v>
      </c>
      <c r="N27" s="276">
        <v>0</v>
      </c>
      <c r="O27" s="276">
        <v>0</v>
      </c>
      <c r="P27" s="276">
        <v>0</v>
      </c>
      <c r="Q27" s="276">
        <v>0</v>
      </c>
      <c r="R27" s="276">
        <v>2</v>
      </c>
      <c r="S27" s="278">
        <v>6124</v>
      </c>
      <c r="T27" s="649" t="s">
        <v>873</v>
      </c>
      <c r="U27" s="279" t="s">
        <v>614</v>
      </c>
      <c r="V27" s="278" t="s">
        <v>368</v>
      </c>
      <c r="W27" s="278" t="s">
        <v>340</v>
      </c>
      <c r="X27" s="280" t="s">
        <v>869</v>
      </c>
      <c r="Y27" s="278">
        <v>1</v>
      </c>
      <c r="Z27" s="278">
        <v>1</v>
      </c>
      <c r="AA27" s="278">
        <v>0</v>
      </c>
      <c r="AB27" s="281">
        <v>0</v>
      </c>
      <c r="AC27" s="278">
        <v>1</v>
      </c>
      <c r="AD27" s="278">
        <v>1</v>
      </c>
      <c r="AE27" s="278">
        <v>0</v>
      </c>
      <c r="AF27" s="281">
        <v>0</v>
      </c>
      <c r="AG27" s="278">
        <v>0</v>
      </c>
      <c r="AH27" s="278">
        <v>0</v>
      </c>
      <c r="AI27" s="278">
        <v>0</v>
      </c>
      <c r="AJ27" s="281">
        <v>0</v>
      </c>
      <c r="AK27" s="745"/>
      <c r="AL27" s="745"/>
      <c r="AM27" s="745"/>
      <c r="AN27" s="745"/>
      <c r="AR27" s="367"/>
      <c r="AS27" s="367"/>
      <c r="AT27" s="367"/>
      <c r="AU27" s="367"/>
      <c r="AV27" s="367"/>
      <c r="AW27" s="367"/>
    </row>
    <row r="28" spans="1:49" ht="15" customHeight="1" thickBot="1" x14ac:dyDescent="0.3">
      <c r="A28" s="239" t="s">
        <v>196</v>
      </c>
      <c r="B28" s="240" t="s">
        <v>54</v>
      </c>
      <c r="C28" s="122" t="s">
        <v>24</v>
      </c>
      <c r="D28" s="123" t="s">
        <v>90</v>
      </c>
      <c r="E28" s="123" t="s">
        <v>34</v>
      </c>
      <c r="F28" s="123">
        <v>34</v>
      </c>
      <c r="G28" s="241">
        <v>24</v>
      </c>
      <c r="H28" s="244">
        <v>0</v>
      </c>
      <c r="I28" s="242">
        <v>0</v>
      </c>
      <c r="J28" s="242">
        <v>3</v>
      </c>
      <c r="K28" s="242">
        <v>2</v>
      </c>
      <c r="L28" s="242">
        <v>0</v>
      </c>
      <c r="M28" s="242">
        <v>5</v>
      </c>
      <c r="N28" s="242">
        <v>0</v>
      </c>
      <c r="O28" s="242">
        <v>0</v>
      </c>
      <c r="P28" s="242">
        <v>0</v>
      </c>
      <c r="Q28" s="242">
        <v>0</v>
      </c>
      <c r="R28" s="242">
        <v>3</v>
      </c>
      <c r="S28" s="282">
        <v>9225</v>
      </c>
      <c r="T28" s="592" t="s">
        <v>790</v>
      </c>
      <c r="U28" s="245" t="s">
        <v>360</v>
      </c>
      <c r="V28" s="243" t="s">
        <v>361</v>
      </c>
      <c r="W28" s="243" t="s">
        <v>340</v>
      </c>
      <c r="X28" s="169" t="s">
        <v>377</v>
      </c>
      <c r="Y28" s="243">
        <v>1</v>
      </c>
      <c r="Z28" s="243">
        <v>1</v>
      </c>
      <c r="AA28" s="243">
        <v>0</v>
      </c>
      <c r="AB28" s="167">
        <v>0</v>
      </c>
      <c r="AC28" s="243">
        <v>1</v>
      </c>
      <c r="AD28" s="243">
        <v>1</v>
      </c>
      <c r="AE28" s="243">
        <v>0</v>
      </c>
      <c r="AF28" s="167">
        <v>0</v>
      </c>
      <c r="AG28" s="243">
        <v>0</v>
      </c>
      <c r="AH28" s="243">
        <v>0</v>
      </c>
      <c r="AI28" s="243">
        <v>0</v>
      </c>
      <c r="AJ28" s="167">
        <v>0</v>
      </c>
      <c r="AK28" s="745"/>
      <c r="AL28" s="745"/>
      <c r="AM28" s="745"/>
      <c r="AN28" s="745"/>
      <c r="AP28" s="1001"/>
      <c r="AQ28" s="1001"/>
      <c r="AR28" s="881"/>
      <c r="AS28" s="881"/>
      <c r="AT28" s="881"/>
      <c r="AU28" s="881"/>
      <c r="AV28" s="881"/>
      <c r="AW28" s="881"/>
    </row>
    <row r="29" spans="1:49" ht="15" customHeight="1" thickBot="1" x14ac:dyDescent="0.3">
      <c r="A29" s="256" t="s">
        <v>156</v>
      </c>
      <c r="B29" s="255" t="s">
        <v>54</v>
      </c>
      <c r="C29" s="247" t="s">
        <v>29</v>
      </c>
      <c r="D29" s="257" t="s">
        <v>38</v>
      </c>
      <c r="E29" s="257" t="s">
        <v>36</v>
      </c>
      <c r="F29" s="257">
        <v>10</v>
      </c>
      <c r="G29" s="258">
        <v>14</v>
      </c>
      <c r="H29" s="259">
        <v>0</v>
      </c>
      <c r="I29" s="260">
        <v>1</v>
      </c>
      <c r="J29" s="260">
        <v>1</v>
      </c>
      <c r="K29" s="260">
        <v>1</v>
      </c>
      <c r="L29" s="260">
        <v>0</v>
      </c>
      <c r="M29" s="260">
        <v>1</v>
      </c>
      <c r="N29" s="260">
        <v>2</v>
      </c>
      <c r="O29" s="260">
        <v>0</v>
      </c>
      <c r="P29" s="260">
        <v>0</v>
      </c>
      <c r="Q29" s="260">
        <v>0</v>
      </c>
      <c r="R29" s="260">
        <v>2</v>
      </c>
      <c r="S29" s="373">
        <v>6217</v>
      </c>
      <c r="T29" s="516" t="s">
        <v>855</v>
      </c>
      <c r="U29" s="263" t="s">
        <v>374</v>
      </c>
      <c r="V29" s="261" t="s">
        <v>346</v>
      </c>
      <c r="W29" s="261" t="s">
        <v>452</v>
      </c>
      <c r="X29" s="264" t="s">
        <v>355</v>
      </c>
      <c r="Y29" s="261">
        <v>1</v>
      </c>
      <c r="Z29" s="261">
        <v>0</v>
      </c>
      <c r="AA29" s="261">
        <v>0</v>
      </c>
      <c r="AB29" s="168">
        <v>1</v>
      </c>
      <c r="AC29" s="261">
        <v>0</v>
      </c>
      <c r="AD29" s="261">
        <v>0</v>
      </c>
      <c r="AE29" s="261">
        <v>0</v>
      </c>
      <c r="AF29" s="168">
        <v>0</v>
      </c>
      <c r="AG29" s="261">
        <v>1</v>
      </c>
      <c r="AH29" s="261">
        <v>0</v>
      </c>
      <c r="AI29" s="261">
        <v>0</v>
      </c>
      <c r="AJ29" s="168">
        <v>1</v>
      </c>
      <c r="AK29" s="814"/>
      <c r="AL29" s="814"/>
      <c r="AM29" s="814"/>
      <c r="AN29" s="814"/>
      <c r="AP29" s="765"/>
      <c r="AQ29" s="766"/>
      <c r="AR29" s="767"/>
      <c r="AS29" s="768"/>
      <c r="AT29" s="767"/>
      <c r="AU29" s="768"/>
      <c r="AV29" s="767"/>
      <c r="AW29" s="768"/>
    </row>
    <row r="30" spans="1:49" ht="15" customHeight="1" thickBot="1" x14ac:dyDescent="0.3">
      <c r="A30" s="239" t="s">
        <v>97</v>
      </c>
      <c r="B30" s="240" t="s">
        <v>54</v>
      </c>
      <c r="C30" s="122" t="s">
        <v>66</v>
      </c>
      <c r="D30" s="123" t="s">
        <v>90</v>
      </c>
      <c r="E30" s="123" t="s">
        <v>34</v>
      </c>
      <c r="F30" s="123">
        <v>22</v>
      </c>
      <c r="G30" s="241">
        <v>17</v>
      </c>
      <c r="H30" s="244">
        <v>0</v>
      </c>
      <c r="I30" s="242">
        <v>0</v>
      </c>
      <c r="J30" s="242">
        <v>1</v>
      </c>
      <c r="K30" s="242">
        <v>1</v>
      </c>
      <c r="L30" s="242">
        <v>0</v>
      </c>
      <c r="M30" s="242">
        <v>5</v>
      </c>
      <c r="N30" s="242">
        <v>0</v>
      </c>
      <c r="O30" s="242">
        <v>0</v>
      </c>
      <c r="P30" s="242">
        <v>0</v>
      </c>
      <c r="Q30" s="242">
        <v>1</v>
      </c>
      <c r="R30" s="242">
        <v>3</v>
      </c>
      <c r="S30" s="243">
        <v>7473</v>
      </c>
      <c r="T30" s="592" t="s">
        <v>552</v>
      </c>
      <c r="U30" s="245" t="s">
        <v>353</v>
      </c>
      <c r="V30" s="243" t="s">
        <v>346</v>
      </c>
      <c r="W30" s="243" t="s">
        <v>356</v>
      </c>
      <c r="X30" s="169" t="s">
        <v>348</v>
      </c>
      <c r="Y30" s="243">
        <v>1</v>
      </c>
      <c r="Z30" s="243">
        <v>1</v>
      </c>
      <c r="AA30" s="243">
        <v>0</v>
      </c>
      <c r="AB30" s="167">
        <v>0</v>
      </c>
      <c r="AC30" s="243">
        <v>1</v>
      </c>
      <c r="AD30" s="243">
        <v>1</v>
      </c>
      <c r="AE30" s="243">
        <v>0</v>
      </c>
      <c r="AF30" s="167">
        <v>0</v>
      </c>
      <c r="AG30" s="243">
        <v>0</v>
      </c>
      <c r="AH30" s="243">
        <v>0</v>
      </c>
      <c r="AI30" s="243">
        <v>0</v>
      </c>
      <c r="AJ30" s="167">
        <v>0</v>
      </c>
      <c r="AK30" s="745"/>
      <c r="AL30" s="745"/>
      <c r="AM30" s="745"/>
      <c r="AN30" s="745"/>
      <c r="AP30" s="765"/>
      <c r="AQ30" s="766"/>
      <c r="AR30" s="767"/>
      <c r="AS30" s="768"/>
      <c r="AT30" s="767"/>
      <c r="AU30" s="768"/>
      <c r="AV30" s="767"/>
      <c r="AW30" s="768"/>
    </row>
    <row r="31" spans="1:49" ht="15" customHeight="1" thickBot="1" x14ac:dyDescent="0.3">
      <c r="A31" s="256" t="s">
        <v>208</v>
      </c>
      <c r="B31" s="255" t="s">
        <v>54</v>
      </c>
      <c r="C31" s="247" t="s">
        <v>189</v>
      </c>
      <c r="D31" s="257" t="s">
        <v>38</v>
      </c>
      <c r="E31" s="257" t="s">
        <v>34</v>
      </c>
      <c r="F31" s="257">
        <v>26</v>
      </c>
      <c r="G31" s="258">
        <v>17</v>
      </c>
      <c r="H31" s="259">
        <v>0</v>
      </c>
      <c r="I31" s="260">
        <v>0</v>
      </c>
      <c r="J31" s="260">
        <v>2</v>
      </c>
      <c r="K31" s="260">
        <v>2</v>
      </c>
      <c r="L31" s="260">
        <v>0</v>
      </c>
      <c r="M31" s="260">
        <v>4</v>
      </c>
      <c r="N31" s="260">
        <v>1</v>
      </c>
      <c r="O31" s="260">
        <v>0</v>
      </c>
      <c r="P31" s="260">
        <v>0</v>
      </c>
      <c r="Q31" s="260">
        <v>0</v>
      </c>
      <c r="R31" s="260">
        <v>2</v>
      </c>
      <c r="S31" s="261">
        <v>16874</v>
      </c>
      <c r="T31" s="516" t="s">
        <v>949</v>
      </c>
      <c r="U31" s="263" t="s">
        <v>419</v>
      </c>
      <c r="V31" s="261" t="s">
        <v>354</v>
      </c>
      <c r="W31" s="261" t="s">
        <v>363</v>
      </c>
      <c r="X31" s="264" t="s">
        <v>362</v>
      </c>
      <c r="Y31" s="261">
        <v>1</v>
      </c>
      <c r="Z31" s="261">
        <v>1</v>
      </c>
      <c r="AA31" s="261">
        <v>0</v>
      </c>
      <c r="AB31" s="168">
        <v>0</v>
      </c>
      <c r="AC31" s="261">
        <v>0</v>
      </c>
      <c r="AD31" s="261">
        <v>0</v>
      </c>
      <c r="AE31" s="261">
        <v>0</v>
      </c>
      <c r="AF31" s="168">
        <v>0</v>
      </c>
      <c r="AG31" s="261">
        <v>1</v>
      </c>
      <c r="AH31" s="261">
        <v>1</v>
      </c>
      <c r="AI31" s="261">
        <v>0</v>
      </c>
      <c r="AJ31" s="168">
        <v>0</v>
      </c>
      <c r="AK31" s="814"/>
      <c r="AL31" s="814"/>
      <c r="AM31" s="814"/>
      <c r="AN31" s="814"/>
      <c r="AP31" s="765"/>
      <c r="AQ31" s="766"/>
      <c r="AR31" s="767"/>
      <c r="AS31" s="768"/>
      <c r="AT31" s="767"/>
      <c r="AU31" s="768"/>
      <c r="AV31" s="767"/>
      <c r="AW31" s="768"/>
    </row>
    <row r="32" spans="1:49" ht="15" customHeight="1" thickBot="1" x14ac:dyDescent="0.3">
      <c r="A32" s="248" t="s">
        <v>158</v>
      </c>
      <c r="B32" s="249" t="s">
        <v>127</v>
      </c>
      <c r="C32" s="250" t="s">
        <v>27</v>
      </c>
      <c r="D32" s="283" t="s">
        <v>90</v>
      </c>
      <c r="E32" s="283" t="s">
        <v>34</v>
      </c>
      <c r="F32" s="283">
        <v>24</v>
      </c>
      <c r="G32" s="284">
        <v>20</v>
      </c>
      <c r="H32" s="277" t="s">
        <v>85</v>
      </c>
      <c r="I32" s="276" t="s">
        <v>85</v>
      </c>
      <c r="J32" s="276">
        <v>2</v>
      </c>
      <c r="K32" s="276">
        <v>1</v>
      </c>
      <c r="L32" s="276">
        <v>1</v>
      </c>
      <c r="M32" s="276">
        <v>3</v>
      </c>
      <c r="N32" s="276">
        <v>0</v>
      </c>
      <c r="O32" s="276">
        <v>0</v>
      </c>
      <c r="P32" s="276" t="s">
        <v>85</v>
      </c>
      <c r="Q32" s="276" t="s">
        <v>85</v>
      </c>
      <c r="R32" s="283">
        <v>2</v>
      </c>
      <c r="S32" s="278">
        <v>5036</v>
      </c>
      <c r="T32" s="650" t="s">
        <v>817</v>
      </c>
      <c r="U32" s="279" t="s">
        <v>374</v>
      </c>
      <c r="V32" s="278" t="s">
        <v>393</v>
      </c>
      <c r="W32" s="278" t="s">
        <v>377</v>
      </c>
      <c r="X32" s="280" t="s">
        <v>370</v>
      </c>
      <c r="Y32" s="278">
        <v>1</v>
      </c>
      <c r="Z32" s="278">
        <v>1</v>
      </c>
      <c r="AA32" s="278">
        <v>0</v>
      </c>
      <c r="AB32" s="281">
        <v>0</v>
      </c>
      <c r="AC32" s="278">
        <v>1</v>
      </c>
      <c r="AD32" s="278">
        <v>1</v>
      </c>
      <c r="AE32" s="278">
        <v>0</v>
      </c>
      <c r="AF32" s="281">
        <v>0</v>
      </c>
      <c r="AG32" s="278">
        <v>0</v>
      </c>
      <c r="AH32" s="278">
        <v>0</v>
      </c>
      <c r="AI32" s="278">
        <v>0</v>
      </c>
      <c r="AJ32" s="281">
        <v>0</v>
      </c>
      <c r="AK32" s="832"/>
      <c r="AL32" s="832"/>
      <c r="AM32" s="832"/>
      <c r="AN32" s="832"/>
      <c r="AP32" s="765"/>
      <c r="AQ32" s="766"/>
      <c r="AR32" s="767"/>
      <c r="AS32" s="768"/>
      <c r="AT32" s="767"/>
      <c r="AU32" s="768"/>
      <c r="AV32" s="767"/>
      <c r="AW32" s="768"/>
    </row>
    <row r="33" spans="1:49" ht="15" customHeight="1" thickBot="1" x14ac:dyDescent="0.3">
      <c r="A33" s="476" t="s">
        <v>957</v>
      </c>
      <c r="B33" s="474" t="s">
        <v>123</v>
      </c>
      <c r="C33" s="477" t="s">
        <v>30</v>
      </c>
      <c r="D33" s="478" t="s">
        <v>952</v>
      </c>
      <c r="E33" s="478" t="s">
        <v>34</v>
      </c>
      <c r="F33" s="478">
        <v>23</v>
      </c>
      <c r="G33" s="479">
        <v>20</v>
      </c>
      <c r="H33" s="480" t="s">
        <v>85</v>
      </c>
      <c r="I33" s="481" t="s">
        <v>85</v>
      </c>
      <c r="J33" s="481">
        <v>3</v>
      </c>
      <c r="K33" s="481">
        <v>1</v>
      </c>
      <c r="L33" s="481">
        <v>0</v>
      </c>
      <c r="M33" s="481">
        <v>2</v>
      </c>
      <c r="N33" s="481">
        <v>2</v>
      </c>
      <c r="O33" s="481">
        <v>0</v>
      </c>
      <c r="P33" s="481" t="s">
        <v>85</v>
      </c>
      <c r="Q33" s="481" t="s">
        <v>85</v>
      </c>
      <c r="R33" s="481">
        <v>2</v>
      </c>
      <c r="S33" s="482"/>
      <c r="T33" s="521" t="s">
        <v>734</v>
      </c>
      <c r="U33" s="483" t="s">
        <v>568</v>
      </c>
      <c r="V33" s="482" t="s">
        <v>533</v>
      </c>
      <c r="W33" s="482" t="s">
        <v>737</v>
      </c>
      <c r="X33" s="484" t="s">
        <v>619</v>
      </c>
      <c r="Y33" s="482">
        <v>1</v>
      </c>
      <c r="Z33" s="482">
        <v>1</v>
      </c>
      <c r="AA33" s="482">
        <v>0</v>
      </c>
      <c r="AB33" s="485">
        <v>0</v>
      </c>
      <c r="AC33" s="482">
        <v>0</v>
      </c>
      <c r="AD33" s="482">
        <v>0</v>
      </c>
      <c r="AE33" s="482">
        <v>0</v>
      </c>
      <c r="AF33" s="485">
        <v>0</v>
      </c>
      <c r="AG33" s="482">
        <v>0</v>
      </c>
      <c r="AH33" s="482">
        <v>0</v>
      </c>
      <c r="AI33" s="482">
        <v>0</v>
      </c>
      <c r="AJ33" s="485">
        <v>0</v>
      </c>
      <c r="AK33" s="482">
        <v>1</v>
      </c>
      <c r="AL33" s="482">
        <v>1</v>
      </c>
      <c r="AM33" s="482">
        <v>0</v>
      </c>
      <c r="AN33" s="482">
        <v>0</v>
      </c>
      <c r="AP33" s="765"/>
      <c r="AQ33" s="766"/>
      <c r="AR33" s="767"/>
      <c r="AS33" s="768"/>
      <c r="AT33" s="767"/>
      <c r="AU33" s="768"/>
      <c r="AV33" s="767"/>
      <c r="AW33" s="768"/>
    </row>
    <row r="34" spans="1:49" ht="15" customHeight="1" thickBot="1" x14ac:dyDescent="0.3">
      <c r="A34" s="239" t="s">
        <v>159</v>
      </c>
      <c r="B34" s="240" t="s">
        <v>54</v>
      </c>
      <c r="C34" s="122" t="s">
        <v>10</v>
      </c>
      <c r="D34" s="123" t="s">
        <v>830</v>
      </c>
      <c r="E34" s="123" t="s">
        <v>34</v>
      </c>
      <c r="F34" s="123">
        <v>42</v>
      </c>
      <c r="G34" s="241">
        <v>14</v>
      </c>
      <c r="H34" s="244">
        <v>1</v>
      </c>
      <c r="I34" s="242">
        <v>0</v>
      </c>
      <c r="J34" s="123">
        <v>5</v>
      </c>
      <c r="K34" s="242">
        <v>4</v>
      </c>
      <c r="L34" s="242">
        <v>0</v>
      </c>
      <c r="M34" s="242">
        <v>3</v>
      </c>
      <c r="N34" s="242">
        <v>1</v>
      </c>
      <c r="O34" s="242">
        <v>0</v>
      </c>
      <c r="P34" s="242">
        <v>0</v>
      </c>
      <c r="Q34" s="242">
        <v>0</v>
      </c>
      <c r="R34" s="242">
        <v>1</v>
      </c>
      <c r="S34" s="661">
        <v>84068</v>
      </c>
      <c r="T34" s="592" t="s">
        <v>964</v>
      </c>
      <c r="U34" s="245" t="s">
        <v>338</v>
      </c>
      <c r="V34" s="243" t="s">
        <v>399</v>
      </c>
      <c r="W34" s="243" t="s">
        <v>340</v>
      </c>
      <c r="X34" s="169" t="s">
        <v>376</v>
      </c>
      <c r="Y34" s="243">
        <v>1</v>
      </c>
      <c r="Z34" s="243">
        <v>1</v>
      </c>
      <c r="AA34" s="243">
        <v>0</v>
      </c>
      <c r="AB34" s="167">
        <v>0</v>
      </c>
      <c r="AC34" s="243">
        <v>1</v>
      </c>
      <c r="AD34" s="243">
        <v>1</v>
      </c>
      <c r="AE34" s="243">
        <v>0</v>
      </c>
      <c r="AF34" s="167">
        <v>0</v>
      </c>
      <c r="AG34" s="243">
        <v>0</v>
      </c>
      <c r="AH34" s="243">
        <v>0</v>
      </c>
      <c r="AI34" s="243">
        <v>0</v>
      </c>
      <c r="AJ34" s="167">
        <v>0</v>
      </c>
      <c r="AK34" s="243">
        <v>0</v>
      </c>
      <c r="AL34" s="243">
        <v>0</v>
      </c>
      <c r="AM34" s="243">
        <v>0</v>
      </c>
      <c r="AN34" s="243">
        <v>0</v>
      </c>
      <c r="AP34" s="765"/>
      <c r="AQ34" s="766"/>
      <c r="AR34" s="767"/>
      <c r="AS34" s="768"/>
      <c r="AT34" s="767"/>
      <c r="AU34" s="768"/>
      <c r="AV34" s="767"/>
      <c r="AW34" s="768"/>
    </row>
    <row r="35" spans="1:49" ht="15" customHeight="1" thickBot="1" x14ac:dyDescent="0.3">
      <c r="A35" s="391" t="s">
        <v>974</v>
      </c>
      <c r="B35" s="392" t="s">
        <v>160</v>
      </c>
      <c r="C35" s="414" t="s">
        <v>829</v>
      </c>
      <c r="D35" s="394" t="s">
        <v>38</v>
      </c>
      <c r="E35" s="394" t="s">
        <v>34</v>
      </c>
      <c r="F35" s="394">
        <v>12</v>
      </c>
      <c r="G35" s="395">
        <v>11</v>
      </c>
      <c r="H35" s="396" t="s">
        <v>85</v>
      </c>
      <c r="I35" s="397" t="s">
        <v>85</v>
      </c>
      <c r="J35" s="397">
        <v>0</v>
      </c>
      <c r="K35" s="397">
        <v>0</v>
      </c>
      <c r="L35" s="397">
        <v>0</v>
      </c>
      <c r="M35" s="397">
        <v>4</v>
      </c>
      <c r="N35" s="397">
        <v>1</v>
      </c>
      <c r="O35" s="397">
        <v>0</v>
      </c>
      <c r="P35" s="397" t="s">
        <v>85</v>
      </c>
      <c r="Q35" s="397" t="s">
        <v>85</v>
      </c>
      <c r="R35" s="397">
        <v>1</v>
      </c>
      <c r="S35" s="398">
        <v>12113</v>
      </c>
      <c r="T35" s="643" t="s">
        <v>402</v>
      </c>
      <c r="U35" s="399" t="s">
        <v>531</v>
      </c>
      <c r="V35" s="398" t="s">
        <v>528</v>
      </c>
      <c r="W35" s="398" t="s">
        <v>568</v>
      </c>
      <c r="X35" s="400" t="s">
        <v>627</v>
      </c>
      <c r="Y35" s="398">
        <v>1</v>
      </c>
      <c r="Z35" s="398">
        <v>1</v>
      </c>
      <c r="AA35" s="398">
        <v>0</v>
      </c>
      <c r="AB35" s="401">
        <v>0</v>
      </c>
      <c r="AC35" s="398">
        <v>0</v>
      </c>
      <c r="AD35" s="398">
        <v>0</v>
      </c>
      <c r="AE35" s="398">
        <v>0</v>
      </c>
      <c r="AF35" s="401">
        <v>0</v>
      </c>
      <c r="AG35" s="398">
        <v>1</v>
      </c>
      <c r="AH35" s="398">
        <v>1</v>
      </c>
      <c r="AI35" s="398">
        <v>0</v>
      </c>
      <c r="AJ35" s="401">
        <v>0</v>
      </c>
      <c r="AK35" s="833">
        <v>0</v>
      </c>
      <c r="AL35" s="833">
        <v>0</v>
      </c>
      <c r="AM35" s="833">
        <v>0</v>
      </c>
      <c r="AN35" s="833">
        <v>0</v>
      </c>
      <c r="AP35" s="765"/>
      <c r="AQ35" s="766"/>
      <c r="AR35" s="767"/>
      <c r="AS35" s="768"/>
      <c r="AT35" s="767"/>
      <c r="AU35" s="768"/>
      <c r="AV35" s="767"/>
      <c r="AW35" s="768"/>
    </row>
    <row r="36" spans="1:49" ht="15" customHeight="1" thickBot="1" x14ac:dyDescent="0.3">
      <c r="A36" s="239" t="s">
        <v>110</v>
      </c>
      <c r="B36" s="240" t="s">
        <v>54</v>
      </c>
      <c r="C36" s="122" t="s">
        <v>28</v>
      </c>
      <c r="D36" s="123" t="s">
        <v>90</v>
      </c>
      <c r="E36" s="123" t="s">
        <v>34</v>
      </c>
      <c r="F36" s="123">
        <v>22</v>
      </c>
      <c r="G36" s="241">
        <v>6</v>
      </c>
      <c r="H36" s="244">
        <v>0</v>
      </c>
      <c r="I36" s="242">
        <v>0</v>
      </c>
      <c r="J36" s="242">
        <v>3</v>
      </c>
      <c r="K36" s="242">
        <v>2</v>
      </c>
      <c r="L36" s="242">
        <v>0</v>
      </c>
      <c r="M36" s="242">
        <v>1</v>
      </c>
      <c r="N36" s="123">
        <v>0</v>
      </c>
      <c r="O36" s="242">
        <v>0</v>
      </c>
      <c r="P36" s="242">
        <v>0</v>
      </c>
      <c r="Q36" s="242">
        <v>0</v>
      </c>
      <c r="R36" s="242">
        <v>0</v>
      </c>
      <c r="S36" s="118">
        <v>9982</v>
      </c>
      <c r="T36" s="592" t="s">
        <v>724</v>
      </c>
      <c r="U36" s="245" t="s">
        <v>419</v>
      </c>
      <c r="V36" s="243" t="s">
        <v>361</v>
      </c>
      <c r="W36" s="243" t="s">
        <v>377</v>
      </c>
      <c r="X36" s="169" t="s">
        <v>348</v>
      </c>
      <c r="Y36" s="243">
        <v>1</v>
      </c>
      <c r="Z36" s="243">
        <v>1</v>
      </c>
      <c r="AA36" s="243">
        <v>0</v>
      </c>
      <c r="AB36" s="167">
        <v>0</v>
      </c>
      <c r="AC36" s="243">
        <v>1</v>
      </c>
      <c r="AD36" s="243">
        <v>1</v>
      </c>
      <c r="AE36" s="243">
        <v>0</v>
      </c>
      <c r="AF36" s="167">
        <v>0</v>
      </c>
      <c r="AG36" s="243">
        <v>0</v>
      </c>
      <c r="AH36" s="243">
        <v>0</v>
      </c>
      <c r="AI36" s="243">
        <v>0</v>
      </c>
      <c r="AJ36" s="167">
        <v>0</v>
      </c>
      <c r="AK36" s="243">
        <v>0</v>
      </c>
      <c r="AL36" s="243">
        <v>0</v>
      </c>
      <c r="AM36" s="243">
        <v>0</v>
      </c>
      <c r="AN36" s="243">
        <v>0</v>
      </c>
      <c r="AP36" s="765"/>
      <c r="AQ36" s="766"/>
      <c r="AR36" s="767"/>
      <c r="AS36" s="768"/>
      <c r="AT36" s="767"/>
      <c r="AU36" s="768"/>
      <c r="AV36" s="767"/>
      <c r="AW36" s="768"/>
    </row>
    <row r="37" spans="1:49" ht="15" customHeight="1" thickBot="1" x14ac:dyDescent="0.3">
      <c r="A37" s="499" t="s">
        <v>162</v>
      </c>
      <c r="B37" s="475" t="s">
        <v>163</v>
      </c>
      <c r="C37" s="500" t="s">
        <v>224</v>
      </c>
      <c r="D37" s="501" t="s">
        <v>955</v>
      </c>
      <c r="E37" s="501" t="s">
        <v>36</v>
      </c>
      <c r="F37" s="501">
        <v>9</v>
      </c>
      <c r="G37" s="502">
        <v>13</v>
      </c>
      <c r="H37" s="503" t="s">
        <v>85</v>
      </c>
      <c r="I37" s="504" t="s">
        <v>85</v>
      </c>
      <c r="J37" s="504">
        <v>0</v>
      </c>
      <c r="K37" s="504">
        <v>0</v>
      </c>
      <c r="L37" s="504">
        <v>1</v>
      </c>
      <c r="M37" s="504">
        <v>2</v>
      </c>
      <c r="N37" s="504">
        <v>0</v>
      </c>
      <c r="O37" s="504">
        <v>0</v>
      </c>
      <c r="P37" s="504" t="s">
        <v>85</v>
      </c>
      <c r="Q37" s="504" t="s">
        <v>85</v>
      </c>
      <c r="R37" s="504">
        <v>1</v>
      </c>
      <c r="S37" s="505">
        <v>41500</v>
      </c>
      <c r="T37" s="764" t="s">
        <v>733</v>
      </c>
      <c r="U37" s="506" t="s">
        <v>536</v>
      </c>
      <c r="V37" s="505" t="s">
        <v>566</v>
      </c>
      <c r="W37" s="505" t="s">
        <v>527</v>
      </c>
      <c r="X37" s="507" t="s">
        <v>752</v>
      </c>
      <c r="Y37" s="505">
        <v>1</v>
      </c>
      <c r="Z37" s="505">
        <v>0</v>
      </c>
      <c r="AA37" s="505">
        <v>0</v>
      </c>
      <c r="AB37" s="508">
        <v>1</v>
      </c>
      <c r="AC37" s="505">
        <v>0</v>
      </c>
      <c r="AD37" s="505">
        <v>0</v>
      </c>
      <c r="AE37" s="505">
        <v>0</v>
      </c>
      <c r="AF37" s="508">
        <v>0</v>
      </c>
      <c r="AG37" s="505">
        <v>0</v>
      </c>
      <c r="AH37" s="505">
        <v>0</v>
      </c>
      <c r="AI37" s="505">
        <v>0</v>
      </c>
      <c r="AJ37" s="508">
        <v>0</v>
      </c>
      <c r="AK37" s="505">
        <v>1</v>
      </c>
      <c r="AL37" s="505">
        <v>0</v>
      </c>
      <c r="AM37" s="505">
        <v>0</v>
      </c>
      <c r="AN37" s="505">
        <v>1</v>
      </c>
      <c r="AP37" s="98"/>
      <c r="AQ37" s="98"/>
      <c r="AR37" s="769"/>
      <c r="AS37" s="769"/>
      <c r="AT37" s="769"/>
      <c r="AU37" s="769"/>
      <c r="AV37" s="769"/>
      <c r="AW37" s="769"/>
    </row>
    <row r="38" spans="1:49" ht="15" customHeight="1" thickBot="1" x14ac:dyDescent="0.3">
      <c r="A38" s="256" t="s">
        <v>145</v>
      </c>
      <c r="B38" s="255" t="s">
        <v>54</v>
      </c>
      <c r="C38" s="247" t="s">
        <v>27</v>
      </c>
      <c r="D38" s="257" t="s">
        <v>938</v>
      </c>
      <c r="E38" s="257" t="s">
        <v>36</v>
      </c>
      <c r="F38" s="257">
        <v>20</v>
      </c>
      <c r="G38" s="258">
        <v>25</v>
      </c>
      <c r="H38" s="259">
        <v>0</v>
      </c>
      <c r="I38" s="260">
        <v>1</v>
      </c>
      <c r="J38" s="260">
        <v>2</v>
      </c>
      <c r="K38" s="260">
        <v>2</v>
      </c>
      <c r="L38" s="260">
        <v>0</v>
      </c>
      <c r="M38" s="260">
        <v>2</v>
      </c>
      <c r="N38" s="260">
        <v>1</v>
      </c>
      <c r="O38" s="260">
        <v>0</v>
      </c>
      <c r="P38" s="260">
        <v>0</v>
      </c>
      <c r="Q38" s="260">
        <v>0</v>
      </c>
      <c r="R38" s="260">
        <v>1</v>
      </c>
      <c r="S38" s="261">
        <v>27411</v>
      </c>
      <c r="T38" s="590" t="s">
        <v>392</v>
      </c>
      <c r="U38" s="263" t="s">
        <v>367</v>
      </c>
      <c r="V38" s="261" t="s">
        <v>393</v>
      </c>
      <c r="W38" s="261" t="s">
        <v>345</v>
      </c>
      <c r="X38" s="264" t="s">
        <v>369</v>
      </c>
      <c r="Y38" s="261">
        <v>1</v>
      </c>
      <c r="Z38" s="261">
        <v>0</v>
      </c>
      <c r="AA38" s="261">
        <v>0</v>
      </c>
      <c r="AB38" s="168">
        <v>1</v>
      </c>
      <c r="AC38" s="261">
        <v>0</v>
      </c>
      <c r="AD38" s="261">
        <v>0</v>
      </c>
      <c r="AE38" s="261">
        <v>0</v>
      </c>
      <c r="AF38" s="168">
        <v>0</v>
      </c>
      <c r="AG38" s="261">
        <v>1</v>
      </c>
      <c r="AH38" s="261">
        <v>0</v>
      </c>
      <c r="AI38" s="261">
        <v>0</v>
      </c>
      <c r="AJ38" s="168">
        <v>1</v>
      </c>
      <c r="AK38" s="833">
        <v>0</v>
      </c>
      <c r="AL38" s="833">
        <v>0</v>
      </c>
      <c r="AM38" s="833">
        <v>0</v>
      </c>
      <c r="AN38" s="833">
        <v>0</v>
      </c>
    </row>
    <row r="39" spans="1:49" ht="15" customHeight="1" thickBot="1" x14ac:dyDescent="0.3">
      <c r="A39" s="239" t="s">
        <v>209</v>
      </c>
      <c r="B39" s="240" t="s">
        <v>54</v>
      </c>
      <c r="C39" s="122" t="s">
        <v>30</v>
      </c>
      <c r="D39" s="123" t="s">
        <v>90</v>
      </c>
      <c r="E39" s="123" t="s">
        <v>36</v>
      </c>
      <c r="F39" s="123">
        <v>20</v>
      </c>
      <c r="G39" s="241">
        <v>24</v>
      </c>
      <c r="H39" s="244">
        <v>0</v>
      </c>
      <c r="I39" s="242">
        <v>1</v>
      </c>
      <c r="J39" s="242">
        <v>2</v>
      </c>
      <c r="K39" s="242">
        <v>2</v>
      </c>
      <c r="L39" s="242">
        <v>0</v>
      </c>
      <c r="M39" s="242">
        <v>2</v>
      </c>
      <c r="N39" s="242">
        <v>0</v>
      </c>
      <c r="O39" s="242">
        <v>0</v>
      </c>
      <c r="P39" s="242">
        <v>0</v>
      </c>
      <c r="Q39" s="242">
        <v>0</v>
      </c>
      <c r="R39" s="242">
        <v>3</v>
      </c>
      <c r="S39" s="368">
        <v>9815</v>
      </c>
      <c r="T39" s="514" t="s">
        <v>1019</v>
      </c>
      <c r="U39" s="245" t="s">
        <v>345</v>
      </c>
      <c r="V39" s="243" t="s">
        <v>361</v>
      </c>
      <c r="W39" s="243" t="s">
        <v>452</v>
      </c>
      <c r="X39" s="169" t="s">
        <v>356</v>
      </c>
      <c r="Y39" s="243">
        <v>1</v>
      </c>
      <c r="Z39" s="243">
        <v>0</v>
      </c>
      <c r="AA39" s="243">
        <v>0</v>
      </c>
      <c r="AB39" s="167">
        <v>1</v>
      </c>
      <c r="AC39" s="243">
        <v>1</v>
      </c>
      <c r="AD39" s="243">
        <v>0</v>
      </c>
      <c r="AE39" s="243">
        <v>0</v>
      </c>
      <c r="AF39" s="167">
        <v>1</v>
      </c>
      <c r="AG39" s="243">
        <v>0</v>
      </c>
      <c r="AH39" s="243">
        <v>0</v>
      </c>
      <c r="AI39" s="243">
        <v>0</v>
      </c>
      <c r="AJ39" s="167">
        <v>0</v>
      </c>
      <c r="AK39" s="120">
        <v>0</v>
      </c>
      <c r="AL39" s="120">
        <v>0</v>
      </c>
      <c r="AM39" s="120">
        <v>0</v>
      </c>
      <c r="AN39" s="120">
        <v>0</v>
      </c>
    </row>
    <row r="40" spans="1:49" ht="15" customHeight="1" thickBot="1" x14ac:dyDescent="0.3">
      <c r="A40" s="256" t="s">
        <v>820</v>
      </c>
      <c r="B40" s="255" t="s">
        <v>54</v>
      </c>
      <c r="C40" s="247" t="s">
        <v>190</v>
      </c>
      <c r="D40" s="257" t="s">
        <v>38</v>
      </c>
      <c r="E40" s="257" t="s">
        <v>34</v>
      </c>
      <c r="F40" s="257">
        <v>68</v>
      </c>
      <c r="G40" s="258">
        <v>17</v>
      </c>
      <c r="H40" s="259">
        <v>1</v>
      </c>
      <c r="I40" s="260">
        <v>0</v>
      </c>
      <c r="J40" s="260">
        <v>10</v>
      </c>
      <c r="K40" s="260">
        <v>9</v>
      </c>
      <c r="L40" s="260">
        <v>0</v>
      </c>
      <c r="M40" s="260">
        <v>0</v>
      </c>
      <c r="N40" s="260">
        <v>0</v>
      </c>
      <c r="O40" s="260">
        <v>0</v>
      </c>
      <c r="P40" s="260">
        <v>0</v>
      </c>
      <c r="Q40" s="260">
        <v>0</v>
      </c>
      <c r="R40" s="260">
        <v>2</v>
      </c>
      <c r="S40" s="374">
        <v>3633</v>
      </c>
      <c r="T40" s="804" t="s">
        <v>1045</v>
      </c>
      <c r="U40" s="375" t="s">
        <v>360</v>
      </c>
      <c r="V40" s="376" t="s">
        <v>346</v>
      </c>
      <c r="W40" s="376" t="s">
        <v>624</v>
      </c>
      <c r="X40" s="377" t="s">
        <v>363</v>
      </c>
      <c r="Y40" s="261">
        <v>1</v>
      </c>
      <c r="Z40" s="261">
        <v>1</v>
      </c>
      <c r="AA40" s="261">
        <v>0</v>
      </c>
      <c r="AB40" s="168">
        <v>0</v>
      </c>
      <c r="AC40" s="261">
        <v>1</v>
      </c>
      <c r="AD40" s="261">
        <v>1</v>
      </c>
      <c r="AE40" s="261">
        <v>0</v>
      </c>
      <c r="AF40" s="168">
        <v>0</v>
      </c>
      <c r="AG40" s="261">
        <v>0</v>
      </c>
      <c r="AH40" s="261">
        <v>0</v>
      </c>
      <c r="AI40" s="261">
        <v>0</v>
      </c>
      <c r="AJ40" s="168">
        <v>0</v>
      </c>
      <c r="AK40" s="833">
        <v>0</v>
      </c>
      <c r="AL40" s="833">
        <v>0</v>
      </c>
      <c r="AM40" s="833">
        <v>0</v>
      </c>
      <c r="AN40" s="833">
        <v>0</v>
      </c>
    </row>
    <row r="41" spans="1:49" ht="15" customHeight="1" thickBot="1" x14ac:dyDescent="0.3">
      <c r="A41" s="256" t="s">
        <v>821</v>
      </c>
      <c r="B41" s="255" t="s">
        <v>126</v>
      </c>
      <c r="C41" s="247" t="s">
        <v>27</v>
      </c>
      <c r="D41" s="257" t="s">
        <v>38</v>
      </c>
      <c r="E41" s="257" t="s">
        <v>34</v>
      </c>
      <c r="F41" s="257">
        <v>29</v>
      </c>
      <c r="G41" s="258">
        <v>24</v>
      </c>
      <c r="H41" s="259" t="s">
        <v>85</v>
      </c>
      <c r="I41" s="260" t="s">
        <v>85</v>
      </c>
      <c r="J41" s="260">
        <v>2</v>
      </c>
      <c r="K41" s="260">
        <v>2</v>
      </c>
      <c r="L41" s="260">
        <v>0</v>
      </c>
      <c r="M41" s="260">
        <v>5</v>
      </c>
      <c r="N41" s="260">
        <v>1</v>
      </c>
      <c r="O41" s="260">
        <v>0</v>
      </c>
      <c r="P41" s="260" t="s">
        <v>85</v>
      </c>
      <c r="Q41" s="260" t="s">
        <v>85</v>
      </c>
      <c r="R41" s="260">
        <v>2</v>
      </c>
      <c r="S41" s="374">
        <v>13362</v>
      </c>
      <c r="T41" s="522" t="s">
        <v>699</v>
      </c>
      <c r="U41" s="375" t="s">
        <v>367</v>
      </c>
      <c r="V41" s="376" t="s">
        <v>339</v>
      </c>
      <c r="W41" s="376" t="s">
        <v>360</v>
      </c>
      <c r="X41" s="377" t="s">
        <v>419</v>
      </c>
      <c r="Y41" s="261">
        <v>1</v>
      </c>
      <c r="Z41" s="261">
        <v>1</v>
      </c>
      <c r="AA41" s="261">
        <v>0</v>
      </c>
      <c r="AB41" s="168">
        <v>0</v>
      </c>
      <c r="AC41" s="261">
        <v>0</v>
      </c>
      <c r="AD41" s="261">
        <v>0</v>
      </c>
      <c r="AE41" s="261">
        <v>0</v>
      </c>
      <c r="AF41" s="168">
        <v>0</v>
      </c>
      <c r="AG41" s="261">
        <v>1</v>
      </c>
      <c r="AH41" s="261">
        <v>1</v>
      </c>
      <c r="AI41" s="261">
        <v>0</v>
      </c>
      <c r="AJ41" s="168">
        <v>0</v>
      </c>
      <c r="AK41" s="833">
        <v>0</v>
      </c>
      <c r="AL41" s="833">
        <v>0</v>
      </c>
      <c r="AM41" s="833">
        <v>0</v>
      </c>
      <c r="AN41" s="833">
        <v>0</v>
      </c>
    </row>
    <row r="42" spans="1:49" ht="15" customHeight="1" thickBot="1" x14ac:dyDescent="0.3">
      <c r="A42" s="498" t="s">
        <v>822</v>
      </c>
      <c r="B42" s="486" t="s">
        <v>124</v>
      </c>
      <c r="C42" s="487" t="s">
        <v>24</v>
      </c>
      <c r="D42" s="488" t="s">
        <v>1056</v>
      </c>
      <c r="E42" s="488" t="s">
        <v>34</v>
      </c>
      <c r="F42" s="488">
        <v>28</v>
      </c>
      <c r="G42" s="489">
        <v>16</v>
      </c>
      <c r="H42" s="490" t="s">
        <v>85</v>
      </c>
      <c r="I42" s="491" t="s">
        <v>85</v>
      </c>
      <c r="J42" s="491">
        <v>3</v>
      </c>
      <c r="K42" s="491">
        <v>2</v>
      </c>
      <c r="L42" s="491">
        <v>0</v>
      </c>
      <c r="M42" s="491">
        <v>3</v>
      </c>
      <c r="N42" s="491">
        <v>0</v>
      </c>
      <c r="O42" s="491">
        <v>0</v>
      </c>
      <c r="P42" s="491" t="s">
        <v>85</v>
      </c>
      <c r="Q42" s="491" t="s">
        <v>85</v>
      </c>
      <c r="R42" s="491">
        <v>1</v>
      </c>
      <c r="S42" s="494">
        <v>80589</v>
      </c>
      <c r="T42" s="822" t="s">
        <v>1065</v>
      </c>
      <c r="U42" s="493" t="s">
        <v>338</v>
      </c>
      <c r="V42" s="494" t="s">
        <v>375</v>
      </c>
      <c r="W42" s="494" t="s">
        <v>345</v>
      </c>
      <c r="X42" s="495" t="s">
        <v>367</v>
      </c>
      <c r="Y42" s="496">
        <v>1</v>
      </c>
      <c r="Z42" s="496">
        <v>1</v>
      </c>
      <c r="AA42" s="496">
        <v>0</v>
      </c>
      <c r="AB42" s="497">
        <v>0</v>
      </c>
      <c r="AC42" s="496">
        <v>0</v>
      </c>
      <c r="AD42" s="496">
        <v>0</v>
      </c>
      <c r="AE42" s="496">
        <v>0</v>
      </c>
      <c r="AF42" s="497">
        <v>0</v>
      </c>
      <c r="AG42" s="496">
        <v>0</v>
      </c>
      <c r="AH42" s="496">
        <v>0</v>
      </c>
      <c r="AI42" s="496">
        <v>0</v>
      </c>
      <c r="AJ42" s="497">
        <v>0</v>
      </c>
      <c r="AK42" s="496">
        <v>1</v>
      </c>
      <c r="AL42" s="496">
        <v>1</v>
      </c>
      <c r="AM42" s="496">
        <v>0</v>
      </c>
      <c r="AN42" s="496">
        <v>0</v>
      </c>
    </row>
    <row r="43" spans="1:49" ht="15" customHeight="1" thickBot="1" x14ac:dyDescent="0.3">
      <c r="A43" s="66"/>
      <c r="B43" s="67"/>
      <c r="C43" s="885" t="s">
        <v>173</v>
      </c>
      <c r="D43" s="886"/>
      <c r="E43" s="887"/>
      <c r="F43" s="291">
        <f t="shared" ref="F43:R43" si="0">SUM(F3+F4+F5+F6+F7+F8+F14+F15+F16+F19+F20+F21+F22+F28+F29+F30+F31+F34+F36+F38+F39+F40)</f>
        <v>664</v>
      </c>
      <c r="G43" s="291">
        <f t="shared" si="0"/>
        <v>418</v>
      </c>
      <c r="H43" s="291">
        <f t="shared" si="0"/>
        <v>5</v>
      </c>
      <c r="I43" s="291">
        <f t="shared" si="0"/>
        <v>5</v>
      </c>
      <c r="J43" s="291">
        <f t="shared" si="0"/>
        <v>70</v>
      </c>
      <c r="K43" s="291">
        <f t="shared" si="0"/>
        <v>55</v>
      </c>
      <c r="L43" s="291">
        <f t="shared" si="0"/>
        <v>0</v>
      </c>
      <c r="M43" s="291">
        <f t="shared" si="0"/>
        <v>68</v>
      </c>
      <c r="N43" s="291">
        <f t="shared" si="0"/>
        <v>15</v>
      </c>
      <c r="O43" s="291">
        <f t="shared" si="0"/>
        <v>0</v>
      </c>
      <c r="P43" s="291">
        <f t="shared" si="0"/>
        <v>1</v>
      </c>
      <c r="Q43" s="291">
        <f t="shared" si="0"/>
        <v>5</v>
      </c>
      <c r="R43" s="291">
        <f t="shared" si="0"/>
        <v>40</v>
      </c>
      <c r="S43" s="68"/>
      <c r="T43" s="68"/>
      <c r="U43" s="68"/>
      <c r="V43" s="68"/>
      <c r="W43" s="328"/>
      <c r="X43" s="310" t="s">
        <v>173</v>
      </c>
      <c r="Y43" s="291">
        <f t="shared" ref="Y43:AJ43" si="1">SUM(Y3+Y4+Y5+Y6+Y7+Y8+Y14+Y15+Y16+Y19+Y20+Y21+Y22+Y28+Y29+Y30+Y31+Y34+Y36+Y38+Y39+Y40)</f>
        <v>22</v>
      </c>
      <c r="Z43" s="291">
        <f t="shared" si="1"/>
        <v>14</v>
      </c>
      <c r="AA43" s="291">
        <f t="shared" si="1"/>
        <v>1</v>
      </c>
      <c r="AB43" s="291">
        <f t="shared" si="1"/>
        <v>7</v>
      </c>
      <c r="AC43" s="121">
        <f t="shared" si="1"/>
        <v>12</v>
      </c>
      <c r="AD43" s="121">
        <f t="shared" si="1"/>
        <v>10</v>
      </c>
      <c r="AE43" s="121">
        <f t="shared" si="1"/>
        <v>0</v>
      </c>
      <c r="AF43" s="121">
        <f t="shared" si="1"/>
        <v>2</v>
      </c>
      <c r="AG43" s="289">
        <f t="shared" si="1"/>
        <v>10</v>
      </c>
      <c r="AH43" s="289">
        <f t="shared" si="1"/>
        <v>4</v>
      </c>
      <c r="AI43" s="289">
        <f t="shared" si="1"/>
        <v>1</v>
      </c>
      <c r="AJ43" s="289">
        <f t="shared" si="1"/>
        <v>5</v>
      </c>
      <c r="AK43" s="815">
        <v>0</v>
      </c>
      <c r="AL43" s="815">
        <v>0</v>
      </c>
      <c r="AM43" s="815">
        <v>0</v>
      </c>
      <c r="AN43" s="815">
        <v>0</v>
      </c>
    </row>
    <row r="44" spans="1:49" ht="15" customHeight="1" thickBot="1" x14ac:dyDescent="0.3">
      <c r="A44" s="68"/>
      <c r="B44" s="68"/>
      <c r="C44" s="885" t="s">
        <v>174</v>
      </c>
      <c r="D44" s="886"/>
      <c r="E44" s="887"/>
      <c r="F44" s="298">
        <f>SUM(F41+F42)</f>
        <v>57</v>
      </c>
      <c r="G44" s="298">
        <f t="shared" ref="G44:R44" si="2">SUM(G41+G42)</f>
        <v>40</v>
      </c>
      <c r="H44" s="298" t="s">
        <v>85</v>
      </c>
      <c r="I44" s="298" t="s">
        <v>85</v>
      </c>
      <c r="J44" s="298">
        <f t="shared" si="2"/>
        <v>5</v>
      </c>
      <c r="K44" s="298">
        <f t="shared" si="2"/>
        <v>4</v>
      </c>
      <c r="L44" s="298">
        <f t="shared" si="2"/>
        <v>0</v>
      </c>
      <c r="M44" s="298">
        <f t="shared" si="2"/>
        <v>8</v>
      </c>
      <c r="N44" s="298">
        <f t="shared" si="2"/>
        <v>1</v>
      </c>
      <c r="O44" s="298">
        <f t="shared" si="2"/>
        <v>0</v>
      </c>
      <c r="P44" s="298" t="s">
        <v>85</v>
      </c>
      <c r="Q44" s="298" t="s">
        <v>85</v>
      </c>
      <c r="R44" s="298">
        <f t="shared" si="2"/>
        <v>3</v>
      </c>
      <c r="S44" s="68"/>
      <c r="T44" s="68"/>
      <c r="U44" s="68"/>
      <c r="V44" s="68"/>
      <c r="W44" s="328"/>
      <c r="X44" s="310" t="s">
        <v>174</v>
      </c>
      <c r="Y44" s="291">
        <f t="shared" ref="Y44:AJ44" si="3">SUM(Y41+Y42)</f>
        <v>2</v>
      </c>
      <c r="Z44" s="298">
        <f t="shared" si="3"/>
        <v>2</v>
      </c>
      <c r="AA44" s="298">
        <f t="shared" si="3"/>
        <v>0</v>
      </c>
      <c r="AB44" s="298">
        <f t="shared" si="3"/>
        <v>0</v>
      </c>
      <c r="AC44" s="389">
        <f t="shared" si="3"/>
        <v>0</v>
      </c>
      <c r="AD44" s="389">
        <f t="shared" si="3"/>
        <v>0</v>
      </c>
      <c r="AE44" s="389">
        <f t="shared" si="3"/>
        <v>0</v>
      </c>
      <c r="AF44" s="389">
        <f t="shared" si="3"/>
        <v>0</v>
      </c>
      <c r="AG44" s="299">
        <f t="shared" si="3"/>
        <v>1</v>
      </c>
      <c r="AH44" s="299">
        <f t="shared" si="3"/>
        <v>1</v>
      </c>
      <c r="AI44" s="299">
        <f t="shared" si="3"/>
        <v>0</v>
      </c>
      <c r="AJ44" s="299">
        <f t="shared" si="3"/>
        <v>0</v>
      </c>
      <c r="AK44" s="815">
        <v>1</v>
      </c>
      <c r="AL44" s="815">
        <v>1</v>
      </c>
      <c r="AM44" s="815">
        <v>0</v>
      </c>
      <c r="AN44" s="815">
        <v>0</v>
      </c>
    </row>
    <row r="45" spans="1:49" ht="15" customHeight="1" thickBot="1" x14ac:dyDescent="0.3">
      <c r="A45" s="68"/>
      <c r="B45" s="68"/>
      <c r="C45" s="888" t="s">
        <v>178</v>
      </c>
      <c r="D45" s="889"/>
      <c r="E45" s="890"/>
      <c r="F45" s="417">
        <f t="shared" ref="F45:R45" si="4">SUM(F9+F10+F17+F18+F23+F24)</f>
        <v>119</v>
      </c>
      <c r="G45" s="417">
        <f t="shared" si="4"/>
        <v>95</v>
      </c>
      <c r="H45" s="417">
        <f t="shared" si="4"/>
        <v>1</v>
      </c>
      <c r="I45" s="417">
        <f t="shared" si="4"/>
        <v>0</v>
      </c>
      <c r="J45" s="417">
        <f t="shared" si="4"/>
        <v>12</v>
      </c>
      <c r="K45" s="417">
        <f t="shared" si="4"/>
        <v>7</v>
      </c>
      <c r="L45" s="417">
        <f t="shared" si="4"/>
        <v>1</v>
      </c>
      <c r="M45" s="417">
        <f t="shared" si="4"/>
        <v>14</v>
      </c>
      <c r="N45" s="417">
        <f t="shared" si="4"/>
        <v>3</v>
      </c>
      <c r="O45" s="417">
        <f t="shared" si="4"/>
        <v>0</v>
      </c>
      <c r="P45" s="417">
        <f t="shared" si="4"/>
        <v>0</v>
      </c>
      <c r="Q45" s="417">
        <f t="shared" si="4"/>
        <v>2</v>
      </c>
      <c r="R45" s="417">
        <f t="shared" si="4"/>
        <v>10</v>
      </c>
      <c r="S45" s="418"/>
      <c r="T45" s="418"/>
      <c r="U45" s="418"/>
      <c r="V45" s="418"/>
      <c r="W45" s="419"/>
      <c r="X45" s="420" t="s">
        <v>178</v>
      </c>
      <c r="Y45" s="421">
        <f t="shared" ref="Y45:AJ45" si="5">SUM(Y9+Y10+Y17+Y18+Y23+Y24)</f>
        <v>6</v>
      </c>
      <c r="Z45" s="417">
        <f t="shared" si="5"/>
        <v>4</v>
      </c>
      <c r="AA45" s="417">
        <f t="shared" si="5"/>
        <v>0</v>
      </c>
      <c r="AB45" s="417">
        <f t="shared" si="5"/>
        <v>2</v>
      </c>
      <c r="AC45" s="423">
        <f t="shared" si="5"/>
        <v>3</v>
      </c>
      <c r="AD45" s="423">
        <f t="shared" si="5"/>
        <v>3</v>
      </c>
      <c r="AE45" s="423">
        <f t="shared" si="5"/>
        <v>0</v>
      </c>
      <c r="AF45" s="423">
        <f t="shared" si="5"/>
        <v>0</v>
      </c>
      <c r="AG45" s="422">
        <f t="shared" si="5"/>
        <v>3</v>
      </c>
      <c r="AH45" s="422">
        <f t="shared" si="5"/>
        <v>1</v>
      </c>
      <c r="AI45" s="422">
        <f t="shared" si="5"/>
        <v>0</v>
      </c>
      <c r="AJ45" s="422">
        <f t="shared" si="5"/>
        <v>2</v>
      </c>
      <c r="AK45" s="816">
        <v>0</v>
      </c>
      <c r="AL45" s="816">
        <v>0</v>
      </c>
      <c r="AM45" s="816">
        <v>0</v>
      </c>
      <c r="AN45" s="816">
        <v>0</v>
      </c>
    </row>
    <row r="46" spans="1:49" ht="15" customHeight="1" thickBot="1" x14ac:dyDescent="0.3">
      <c r="A46" s="68"/>
      <c r="B46" s="68"/>
      <c r="C46" s="888" t="s">
        <v>179</v>
      </c>
      <c r="D46" s="889"/>
      <c r="E46" s="890"/>
      <c r="F46" s="417">
        <f>SUM(F35+F37)</f>
        <v>21</v>
      </c>
      <c r="G46" s="417">
        <f>SUM(G35+G37)</f>
        <v>24</v>
      </c>
      <c r="H46" s="417" t="s">
        <v>85</v>
      </c>
      <c r="I46" s="417" t="s">
        <v>85</v>
      </c>
      <c r="J46" s="417">
        <f t="shared" ref="J46:O46" si="6">SUM(J35+J37)</f>
        <v>0</v>
      </c>
      <c r="K46" s="417">
        <f t="shared" si="6"/>
        <v>0</v>
      </c>
      <c r="L46" s="417">
        <f t="shared" si="6"/>
        <v>1</v>
      </c>
      <c r="M46" s="417">
        <f t="shared" si="6"/>
        <v>6</v>
      </c>
      <c r="N46" s="417">
        <f t="shared" si="6"/>
        <v>1</v>
      </c>
      <c r="O46" s="417">
        <f t="shared" si="6"/>
        <v>0</v>
      </c>
      <c r="P46" s="417" t="s">
        <v>85</v>
      </c>
      <c r="Q46" s="417" t="s">
        <v>85</v>
      </c>
      <c r="R46" s="417">
        <f>SUM(R35+R37)</f>
        <v>2</v>
      </c>
      <c r="S46" s="418"/>
      <c r="T46" s="418"/>
      <c r="U46" s="418"/>
      <c r="V46" s="418"/>
      <c r="W46" s="419"/>
      <c r="X46" s="420" t="s">
        <v>179</v>
      </c>
      <c r="Y46" s="417">
        <f t="shared" ref="Y46:AJ46" si="7">SUM(Y35+Y37)</f>
        <v>2</v>
      </c>
      <c r="Z46" s="417">
        <f t="shared" si="7"/>
        <v>1</v>
      </c>
      <c r="AA46" s="417">
        <f t="shared" si="7"/>
        <v>0</v>
      </c>
      <c r="AB46" s="417">
        <f t="shared" si="7"/>
        <v>1</v>
      </c>
      <c r="AC46" s="423">
        <f t="shared" si="7"/>
        <v>0</v>
      </c>
      <c r="AD46" s="423">
        <f t="shared" si="7"/>
        <v>0</v>
      </c>
      <c r="AE46" s="423">
        <f t="shared" si="7"/>
        <v>0</v>
      </c>
      <c r="AF46" s="423">
        <f t="shared" si="7"/>
        <v>0</v>
      </c>
      <c r="AG46" s="422">
        <f t="shared" si="7"/>
        <v>1</v>
      </c>
      <c r="AH46" s="422">
        <f t="shared" si="7"/>
        <v>1</v>
      </c>
      <c r="AI46" s="422">
        <f t="shared" si="7"/>
        <v>0</v>
      </c>
      <c r="AJ46" s="422">
        <f t="shared" si="7"/>
        <v>0</v>
      </c>
      <c r="AK46" s="825">
        <v>1</v>
      </c>
      <c r="AL46" s="825">
        <v>0</v>
      </c>
      <c r="AM46" s="825">
        <v>0</v>
      </c>
      <c r="AN46" s="825">
        <v>1</v>
      </c>
    </row>
    <row r="47" spans="1:49" ht="15" customHeight="1" thickBot="1" x14ac:dyDescent="0.3">
      <c r="A47" s="68"/>
      <c r="B47" s="68"/>
      <c r="C47" s="891" t="s">
        <v>168</v>
      </c>
      <c r="D47" s="892"/>
      <c r="E47" s="893"/>
      <c r="F47" s="319">
        <f t="shared" ref="F47:R47" si="8">SUM(F11+F12+F26+F27)</f>
        <v>101</v>
      </c>
      <c r="G47" s="319">
        <f t="shared" si="8"/>
        <v>62</v>
      </c>
      <c r="H47" s="319">
        <f t="shared" si="8"/>
        <v>1</v>
      </c>
      <c r="I47" s="319">
        <f t="shared" si="8"/>
        <v>0</v>
      </c>
      <c r="J47" s="319">
        <f t="shared" si="8"/>
        <v>10</v>
      </c>
      <c r="K47" s="319">
        <f t="shared" si="8"/>
        <v>9</v>
      </c>
      <c r="L47" s="319">
        <f t="shared" si="8"/>
        <v>0</v>
      </c>
      <c r="M47" s="319">
        <f t="shared" si="8"/>
        <v>11</v>
      </c>
      <c r="N47" s="319">
        <f t="shared" si="8"/>
        <v>2</v>
      </c>
      <c r="O47" s="319">
        <f t="shared" si="8"/>
        <v>0</v>
      </c>
      <c r="P47" s="319">
        <f t="shared" si="8"/>
        <v>0</v>
      </c>
      <c r="Q47" s="319">
        <f t="shared" si="8"/>
        <v>2</v>
      </c>
      <c r="R47" s="319">
        <f t="shared" si="8"/>
        <v>6</v>
      </c>
      <c r="S47" s="321"/>
      <c r="T47" s="321"/>
      <c r="U47" s="321"/>
      <c r="V47" s="321"/>
      <c r="W47" s="329"/>
      <c r="X47" s="322" t="s">
        <v>168</v>
      </c>
      <c r="Y47" s="320">
        <f t="shared" ref="Y47:AJ47" si="9">SUM(Y11+Y12+Y26+Y27)</f>
        <v>4</v>
      </c>
      <c r="Z47" s="319">
        <f t="shared" si="9"/>
        <v>4</v>
      </c>
      <c r="AA47" s="319">
        <f t="shared" si="9"/>
        <v>0</v>
      </c>
      <c r="AB47" s="319">
        <f t="shared" si="9"/>
        <v>0</v>
      </c>
      <c r="AC47" s="324">
        <f t="shared" si="9"/>
        <v>2</v>
      </c>
      <c r="AD47" s="324">
        <f t="shared" si="9"/>
        <v>2</v>
      </c>
      <c r="AE47" s="324">
        <f t="shared" si="9"/>
        <v>0</v>
      </c>
      <c r="AF47" s="324">
        <f t="shared" si="9"/>
        <v>0</v>
      </c>
      <c r="AG47" s="323">
        <f t="shared" si="9"/>
        <v>2</v>
      </c>
      <c r="AH47" s="323">
        <f t="shared" si="9"/>
        <v>2</v>
      </c>
      <c r="AI47" s="323">
        <f t="shared" si="9"/>
        <v>0</v>
      </c>
      <c r="AJ47" s="323">
        <f t="shared" si="9"/>
        <v>0</v>
      </c>
      <c r="AK47" s="819">
        <v>0</v>
      </c>
      <c r="AL47" s="819">
        <v>0</v>
      </c>
      <c r="AM47" s="819">
        <v>0</v>
      </c>
      <c r="AN47" s="819">
        <v>0</v>
      </c>
    </row>
    <row r="48" spans="1:49" ht="15" customHeight="1" thickBot="1" x14ac:dyDescent="0.3">
      <c r="A48" s="68"/>
      <c r="B48" s="68"/>
      <c r="C48" s="891" t="s">
        <v>167</v>
      </c>
      <c r="D48" s="892"/>
      <c r="E48" s="893"/>
      <c r="F48" s="319">
        <f>SUM(F32+F33)</f>
        <v>47</v>
      </c>
      <c r="G48" s="319">
        <f>SUM(G32+G33)</f>
        <v>40</v>
      </c>
      <c r="H48" s="319" t="s">
        <v>85</v>
      </c>
      <c r="I48" s="319" t="s">
        <v>85</v>
      </c>
      <c r="J48" s="319">
        <f t="shared" ref="J48:O48" si="10">SUM(J32+J33)</f>
        <v>5</v>
      </c>
      <c r="K48" s="319">
        <f t="shared" si="10"/>
        <v>2</v>
      </c>
      <c r="L48" s="319">
        <f t="shared" si="10"/>
        <v>1</v>
      </c>
      <c r="M48" s="319">
        <f t="shared" si="10"/>
        <v>5</v>
      </c>
      <c r="N48" s="319">
        <f t="shared" si="10"/>
        <v>2</v>
      </c>
      <c r="O48" s="319">
        <f t="shared" si="10"/>
        <v>0</v>
      </c>
      <c r="P48" s="319" t="s">
        <v>85</v>
      </c>
      <c r="Q48" s="319" t="s">
        <v>85</v>
      </c>
      <c r="R48" s="319">
        <f>SUM(R32+R33)</f>
        <v>4</v>
      </c>
      <c r="S48" s="321"/>
      <c r="T48" s="321"/>
      <c r="U48" s="321"/>
      <c r="V48" s="321"/>
      <c r="W48" s="329"/>
      <c r="X48" s="322" t="s">
        <v>167</v>
      </c>
      <c r="Y48" s="320">
        <f t="shared" ref="Y48:AJ48" si="11">SUM(Y32+Y33)</f>
        <v>2</v>
      </c>
      <c r="Z48" s="319">
        <f t="shared" si="11"/>
        <v>2</v>
      </c>
      <c r="AA48" s="319">
        <f t="shared" si="11"/>
        <v>0</v>
      </c>
      <c r="AB48" s="319">
        <f t="shared" si="11"/>
        <v>0</v>
      </c>
      <c r="AC48" s="324">
        <f t="shared" si="11"/>
        <v>1</v>
      </c>
      <c r="AD48" s="324">
        <f t="shared" si="11"/>
        <v>1</v>
      </c>
      <c r="AE48" s="324">
        <f t="shared" si="11"/>
        <v>0</v>
      </c>
      <c r="AF48" s="324">
        <f t="shared" si="11"/>
        <v>0</v>
      </c>
      <c r="AG48" s="323">
        <f t="shared" si="11"/>
        <v>0</v>
      </c>
      <c r="AH48" s="323">
        <f t="shared" si="11"/>
        <v>0</v>
      </c>
      <c r="AI48" s="323">
        <f t="shared" si="11"/>
        <v>0</v>
      </c>
      <c r="AJ48" s="323">
        <f t="shared" si="11"/>
        <v>0</v>
      </c>
      <c r="AK48" s="819">
        <v>1</v>
      </c>
      <c r="AL48" s="819">
        <v>1</v>
      </c>
      <c r="AM48" s="819">
        <v>0</v>
      </c>
      <c r="AN48" s="819">
        <v>0</v>
      </c>
    </row>
    <row r="49" spans="1:40" ht="15.75" thickBot="1" x14ac:dyDescent="0.3">
      <c r="A49" s="68"/>
      <c r="B49" s="68"/>
      <c r="C49" s="458" t="s">
        <v>166</v>
      </c>
      <c r="D49" s="459"/>
      <c r="E49" s="460"/>
      <c r="F49" s="461">
        <f>SUM(F13+F25)</f>
        <v>72</v>
      </c>
      <c r="G49" s="461">
        <f>SUM(G13+G25)</f>
        <v>61</v>
      </c>
      <c r="H49" s="461" t="s">
        <v>85</v>
      </c>
      <c r="I49" s="461" t="s">
        <v>85</v>
      </c>
      <c r="J49" s="461">
        <f t="shared" ref="J49:O49" si="12">SUM(J13+J25)</f>
        <v>10</v>
      </c>
      <c r="K49" s="461">
        <f t="shared" si="12"/>
        <v>8</v>
      </c>
      <c r="L49" s="461">
        <f t="shared" si="12"/>
        <v>0</v>
      </c>
      <c r="M49" s="461">
        <f t="shared" si="12"/>
        <v>2</v>
      </c>
      <c r="N49" s="461">
        <f t="shared" si="12"/>
        <v>0</v>
      </c>
      <c r="O49" s="461">
        <f t="shared" si="12"/>
        <v>0</v>
      </c>
      <c r="P49" s="461" t="s">
        <v>85</v>
      </c>
      <c r="Q49" s="461" t="s">
        <v>85</v>
      </c>
      <c r="R49" s="461">
        <f>SUM(R13+R25)</f>
        <v>9</v>
      </c>
      <c r="S49" s="462"/>
      <c r="T49" s="462"/>
      <c r="U49" s="462"/>
      <c r="V49" s="462"/>
      <c r="W49" s="463"/>
      <c r="X49" s="464" t="s">
        <v>166</v>
      </c>
      <c r="Y49" s="465">
        <f t="shared" ref="Y49:AJ49" si="13">SUM(Y13+Y25)</f>
        <v>2</v>
      </c>
      <c r="Z49" s="465">
        <f t="shared" si="13"/>
        <v>1</v>
      </c>
      <c r="AA49" s="465">
        <f t="shared" si="13"/>
        <v>0</v>
      </c>
      <c r="AB49" s="465">
        <f t="shared" si="13"/>
        <v>1</v>
      </c>
      <c r="AC49" s="468">
        <f t="shared" si="13"/>
        <v>2</v>
      </c>
      <c r="AD49" s="468">
        <f t="shared" si="13"/>
        <v>1</v>
      </c>
      <c r="AE49" s="468">
        <f t="shared" si="13"/>
        <v>0</v>
      </c>
      <c r="AF49" s="468">
        <f t="shared" si="13"/>
        <v>1</v>
      </c>
      <c r="AG49" s="466">
        <f t="shared" si="13"/>
        <v>0</v>
      </c>
      <c r="AH49" s="466">
        <f t="shared" si="13"/>
        <v>0</v>
      </c>
      <c r="AI49" s="466">
        <f t="shared" si="13"/>
        <v>0</v>
      </c>
      <c r="AJ49" s="466">
        <f t="shared" si="13"/>
        <v>0</v>
      </c>
      <c r="AK49" s="818">
        <v>0</v>
      </c>
      <c r="AL49" s="818">
        <v>0</v>
      </c>
      <c r="AM49" s="818">
        <v>0</v>
      </c>
      <c r="AN49" s="823">
        <v>0</v>
      </c>
    </row>
    <row r="50" spans="1:40" ht="15.75" thickBot="1" x14ac:dyDescent="0.3">
      <c r="C50" s="882" t="s">
        <v>70</v>
      </c>
      <c r="D50" s="883"/>
      <c r="E50" s="884"/>
      <c r="F50" s="293">
        <f t="shared" ref="F50:R50" si="14">SUM(F3:F42)</f>
        <v>1081</v>
      </c>
      <c r="G50" s="293">
        <f t="shared" si="14"/>
        <v>740</v>
      </c>
      <c r="H50" s="292">
        <f t="shared" si="14"/>
        <v>7</v>
      </c>
      <c r="I50" s="292">
        <f t="shared" si="14"/>
        <v>5</v>
      </c>
      <c r="J50" s="293">
        <f t="shared" si="14"/>
        <v>112</v>
      </c>
      <c r="K50" s="293">
        <f t="shared" si="14"/>
        <v>85</v>
      </c>
      <c r="L50" s="293">
        <f t="shared" si="14"/>
        <v>3</v>
      </c>
      <c r="M50" s="293">
        <f t="shared" si="14"/>
        <v>114</v>
      </c>
      <c r="N50" s="293">
        <f t="shared" si="14"/>
        <v>24</v>
      </c>
      <c r="O50" s="293">
        <f t="shared" si="14"/>
        <v>0</v>
      </c>
      <c r="P50" s="293">
        <f t="shared" si="14"/>
        <v>1</v>
      </c>
      <c r="Q50" s="293">
        <f t="shared" si="14"/>
        <v>9</v>
      </c>
      <c r="R50" s="293">
        <f t="shared" si="14"/>
        <v>74</v>
      </c>
      <c r="S50" s="68"/>
      <c r="T50" s="68"/>
      <c r="U50" s="68"/>
      <c r="V50" s="68"/>
      <c r="W50" s="331"/>
      <c r="X50" s="309" t="s">
        <v>70</v>
      </c>
      <c r="Y50" s="292">
        <f t="shared" ref="Y50:AN50" si="15">SUM(Y3:Y42)</f>
        <v>40</v>
      </c>
      <c r="Z50" s="293">
        <f t="shared" si="15"/>
        <v>28</v>
      </c>
      <c r="AA50" s="293">
        <f t="shared" si="15"/>
        <v>1</v>
      </c>
      <c r="AB50" s="293">
        <f t="shared" si="15"/>
        <v>11</v>
      </c>
      <c r="AC50" s="198">
        <f t="shared" si="15"/>
        <v>20</v>
      </c>
      <c r="AD50" s="390">
        <f t="shared" si="15"/>
        <v>17</v>
      </c>
      <c r="AE50" s="390">
        <f t="shared" si="15"/>
        <v>0</v>
      </c>
      <c r="AF50" s="390">
        <f t="shared" si="15"/>
        <v>3</v>
      </c>
      <c r="AG50" s="290">
        <f t="shared" si="15"/>
        <v>17</v>
      </c>
      <c r="AH50" s="133">
        <f t="shared" si="15"/>
        <v>9</v>
      </c>
      <c r="AI50" s="133">
        <f t="shared" si="15"/>
        <v>1</v>
      </c>
      <c r="AJ50" s="133">
        <f t="shared" si="15"/>
        <v>7</v>
      </c>
      <c r="AK50" s="824">
        <f t="shared" si="15"/>
        <v>3</v>
      </c>
      <c r="AL50" s="824">
        <f t="shared" si="15"/>
        <v>2</v>
      </c>
      <c r="AM50" s="824">
        <f t="shared" si="15"/>
        <v>0</v>
      </c>
      <c r="AN50" s="824">
        <f t="shared" si="15"/>
        <v>1</v>
      </c>
    </row>
    <row r="51" spans="1:40" x14ac:dyDescent="0.25">
      <c r="A51" t="s">
        <v>975</v>
      </c>
    </row>
    <row r="52" spans="1:40" x14ac:dyDescent="0.25">
      <c r="A52" t="s">
        <v>953</v>
      </c>
    </row>
    <row r="53" spans="1:40" x14ac:dyDescent="0.25">
      <c r="A53" s="856" t="s">
        <v>1078</v>
      </c>
    </row>
    <row r="54" spans="1:40" x14ac:dyDescent="0.25">
      <c r="A54" s="470" t="s">
        <v>253</v>
      </c>
    </row>
    <row r="58" spans="1:40" x14ac:dyDescent="0.25">
      <c r="C58" s="367"/>
    </row>
  </sheetData>
  <mergeCells count="20">
    <mergeCell ref="C50:E50"/>
    <mergeCell ref="A1:D1"/>
    <mergeCell ref="E1:G1"/>
    <mergeCell ref="C48:E48"/>
    <mergeCell ref="AT28:AU28"/>
    <mergeCell ref="H1:I1"/>
    <mergeCell ref="C46:E46"/>
    <mergeCell ref="C47:E47"/>
    <mergeCell ref="AL14:AM14"/>
    <mergeCell ref="C43:E43"/>
    <mergeCell ref="C45:E45"/>
    <mergeCell ref="C44:E44"/>
    <mergeCell ref="AV28:AW28"/>
    <mergeCell ref="AP28:AQ28"/>
    <mergeCell ref="J1:M1"/>
    <mergeCell ref="N1:O1"/>
    <mergeCell ref="P1:R1"/>
    <mergeCell ref="AP14:AQ14"/>
    <mergeCell ref="AR14:AS14"/>
    <mergeCell ref="AR28:AS2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S44"/>
  <sheetViews>
    <sheetView zoomScaleNormal="100" workbookViewId="0">
      <pane ySplit="2" topLeftCell="A17" activePane="bottomLeft" state="frozen"/>
      <selection pane="bottomLeft" activeCell="S35" sqref="S35"/>
    </sheetView>
  </sheetViews>
  <sheetFormatPr defaultRowHeight="15" x14ac:dyDescent="0.25"/>
  <cols>
    <col min="1" max="1" width="7.7109375" customWidth="1"/>
    <col min="2" max="2" width="5.7109375" customWidth="1"/>
    <col min="3" max="3" width="14.140625" customWidth="1"/>
    <col min="4" max="18" width="3.7109375" customWidth="1"/>
    <col min="19" max="19" width="6.28515625" customWidth="1"/>
    <col min="20" max="20" width="5.7109375" customWidth="1"/>
    <col min="21" max="21" width="22.140625" bestFit="1" customWidth="1"/>
    <col min="22" max="22" width="18.7109375" bestFit="1" customWidth="1"/>
    <col min="23" max="23" width="23.85546875" customWidth="1"/>
    <col min="24" max="24" width="20.42578125" customWidth="1"/>
    <col min="25" max="36" width="3.7109375" customWidth="1"/>
    <col min="38" max="38" width="13.5703125" bestFit="1" customWidth="1"/>
    <col min="40" max="40" width="13.5703125" bestFit="1" customWidth="1"/>
    <col min="42" max="42" width="13.5703125" bestFit="1" customWidth="1"/>
    <col min="44" max="44" width="13.5703125" bestFit="1" customWidth="1"/>
  </cols>
  <sheetData>
    <row r="1" spans="1:45" ht="15" customHeight="1" thickBot="1" x14ac:dyDescent="0.3">
      <c r="A1" s="1017" t="s">
        <v>188</v>
      </c>
      <c r="B1" s="1018"/>
      <c r="C1" s="1018"/>
      <c r="D1" s="1019"/>
      <c r="E1" s="1012" t="s">
        <v>77</v>
      </c>
      <c r="F1" s="1020"/>
      <c r="G1" s="1013"/>
      <c r="H1" s="1012" t="s">
        <v>76</v>
      </c>
      <c r="I1" s="1013"/>
      <c r="J1" s="1014" t="s">
        <v>43</v>
      </c>
      <c r="K1" s="1015"/>
      <c r="L1" s="1015"/>
      <c r="M1" s="1016"/>
      <c r="N1" s="1014" t="s">
        <v>44</v>
      </c>
      <c r="O1" s="1016"/>
      <c r="P1" s="1014" t="s">
        <v>79</v>
      </c>
      <c r="Q1" s="1015"/>
      <c r="R1" s="1016"/>
      <c r="S1" s="349" t="s">
        <v>45</v>
      </c>
      <c r="T1" s="349" t="s">
        <v>46</v>
      </c>
      <c r="U1" s="350" t="s">
        <v>47</v>
      </c>
      <c r="V1" s="349" t="s">
        <v>48</v>
      </c>
      <c r="W1" s="351" t="s">
        <v>151</v>
      </c>
      <c r="X1" s="352" t="s">
        <v>152</v>
      </c>
      <c r="Y1" s="353" t="s">
        <v>71</v>
      </c>
      <c r="Z1" s="354"/>
      <c r="AA1" s="354"/>
      <c r="AB1" s="354"/>
      <c r="AC1" s="350" t="s">
        <v>72</v>
      </c>
      <c r="AD1" s="352"/>
      <c r="AE1" s="352"/>
      <c r="AF1" s="355"/>
      <c r="AG1" s="350" t="s">
        <v>73</v>
      </c>
      <c r="AH1" s="352"/>
      <c r="AI1" s="352"/>
      <c r="AJ1" s="352"/>
    </row>
    <row r="2" spans="1:45" ht="15" customHeight="1" thickBot="1" x14ac:dyDescent="0.3">
      <c r="A2" s="356" t="s">
        <v>69</v>
      </c>
      <c r="B2" s="357" t="s">
        <v>68</v>
      </c>
      <c r="C2" s="358" t="s">
        <v>67</v>
      </c>
      <c r="D2" s="358" t="s">
        <v>78</v>
      </c>
      <c r="E2" s="359" t="s">
        <v>53</v>
      </c>
      <c r="F2" s="359" t="s">
        <v>37</v>
      </c>
      <c r="G2" s="359" t="s">
        <v>38</v>
      </c>
      <c r="H2" s="360" t="s">
        <v>74</v>
      </c>
      <c r="I2" s="361" t="s">
        <v>75</v>
      </c>
      <c r="J2" s="361" t="s">
        <v>49</v>
      </c>
      <c r="K2" s="361" t="s">
        <v>50</v>
      </c>
      <c r="L2" s="361" t="s">
        <v>35</v>
      </c>
      <c r="M2" s="361" t="s">
        <v>51</v>
      </c>
      <c r="N2" s="361" t="s">
        <v>52</v>
      </c>
      <c r="O2" s="361" t="s">
        <v>53</v>
      </c>
      <c r="P2" s="361" t="s">
        <v>74</v>
      </c>
      <c r="Q2" s="361" t="s">
        <v>75</v>
      </c>
      <c r="R2" s="361" t="s">
        <v>49</v>
      </c>
      <c r="S2" s="362"/>
      <c r="T2" s="363"/>
      <c r="U2" s="364"/>
      <c r="V2" s="362"/>
      <c r="W2" s="365"/>
      <c r="X2" s="365"/>
      <c r="Y2" s="349" t="s">
        <v>33</v>
      </c>
      <c r="Z2" s="349" t="s">
        <v>34</v>
      </c>
      <c r="AA2" s="349" t="s">
        <v>35</v>
      </c>
      <c r="AB2" s="349" t="s">
        <v>36</v>
      </c>
      <c r="AC2" s="349" t="s">
        <v>33</v>
      </c>
      <c r="AD2" s="349" t="s">
        <v>34</v>
      </c>
      <c r="AE2" s="349" t="s">
        <v>35</v>
      </c>
      <c r="AF2" s="349" t="s">
        <v>36</v>
      </c>
      <c r="AG2" s="349" t="s">
        <v>33</v>
      </c>
      <c r="AH2" s="349" t="s">
        <v>34</v>
      </c>
      <c r="AI2" s="349" t="s">
        <v>35</v>
      </c>
      <c r="AJ2" s="349" t="s">
        <v>36</v>
      </c>
    </row>
    <row r="3" spans="1:45" ht="15" customHeight="1" thickBot="1" x14ac:dyDescent="0.3">
      <c r="A3" s="369" t="s">
        <v>89</v>
      </c>
      <c r="B3" s="240" t="s">
        <v>54</v>
      </c>
      <c r="C3" s="122" t="s">
        <v>21</v>
      </c>
      <c r="D3" s="123" t="s">
        <v>380</v>
      </c>
      <c r="E3" s="123" t="s">
        <v>36</v>
      </c>
      <c r="F3" s="123">
        <v>28</v>
      </c>
      <c r="G3" s="241">
        <v>34</v>
      </c>
      <c r="H3" s="244">
        <v>0</v>
      </c>
      <c r="I3" s="242">
        <v>1</v>
      </c>
      <c r="J3" s="242">
        <v>3</v>
      </c>
      <c r="K3" s="242">
        <v>3</v>
      </c>
      <c r="L3" s="242">
        <v>0</v>
      </c>
      <c r="M3" s="242">
        <v>3</v>
      </c>
      <c r="N3" s="242">
        <v>0</v>
      </c>
      <c r="O3" s="242">
        <v>0</v>
      </c>
      <c r="P3" s="242">
        <v>1</v>
      </c>
      <c r="Q3" s="242">
        <v>0</v>
      </c>
      <c r="R3" s="242">
        <v>4</v>
      </c>
      <c r="S3" s="243">
        <v>66164</v>
      </c>
      <c r="T3" s="514" t="s">
        <v>357</v>
      </c>
      <c r="U3" s="245" t="s">
        <v>353</v>
      </c>
      <c r="V3" s="243" t="s">
        <v>354</v>
      </c>
      <c r="W3" s="243" t="s">
        <v>355</v>
      </c>
      <c r="X3" s="169" t="s">
        <v>356</v>
      </c>
      <c r="Y3" s="243">
        <v>1</v>
      </c>
      <c r="Z3" s="243">
        <v>0</v>
      </c>
      <c r="AA3" s="243">
        <v>0</v>
      </c>
      <c r="AB3" s="167">
        <v>1</v>
      </c>
      <c r="AC3" s="243">
        <v>0</v>
      </c>
      <c r="AD3" s="243">
        <v>0</v>
      </c>
      <c r="AE3" s="243">
        <v>0</v>
      </c>
      <c r="AF3" s="167">
        <v>0</v>
      </c>
      <c r="AG3" s="243">
        <v>1</v>
      </c>
      <c r="AH3" s="243">
        <v>0</v>
      </c>
      <c r="AI3" s="243">
        <v>0</v>
      </c>
      <c r="AJ3" s="167">
        <v>1</v>
      </c>
    </row>
    <row r="4" spans="1:45" ht="15" customHeight="1" thickBot="1" x14ac:dyDescent="0.3">
      <c r="A4" s="239" t="s">
        <v>210</v>
      </c>
      <c r="B4" s="240" t="s">
        <v>54</v>
      </c>
      <c r="C4" s="122" t="s">
        <v>27</v>
      </c>
      <c r="D4" s="123" t="s">
        <v>351</v>
      </c>
      <c r="E4" s="123" t="s">
        <v>34</v>
      </c>
      <c r="F4" s="123">
        <v>20</v>
      </c>
      <c r="G4" s="241">
        <v>16</v>
      </c>
      <c r="H4" s="244">
        <v>0</v>
      </c>
      <c r="I4" s="242">
        <v>0</v>
      </c>
      <c r="J4" s="242">
        <v>2</v>
      </c>
      <c r="K4" s="123">
        <v>2</v>
      </c>
      <c r="L4" s="242">
        <v>0</v>
      </c>
      <c r="M4" s="123">
        <v>2</v>
      </c>
      <c r="N4" s="242">
        <v>1</v>
      </c>
      <c r="O4" s="242">
        <v>0</v>
      </c>
      <c r="P4" s="242">
        <v>0</v>
      </c>
      <c r="Q4" s="123">
        <v>1</v>
      </c>
      <c r="R4" s="242">
        <v>1</v>
      </c>
      <c r="S4" s="243">
        <v>6374</v>
      </c>
      <c r="T4" s="514" t="s">
        <v>398</v>
      </c>
      <c r="U4" s="245" t="s">
        <v>360</v>
      </c>
      <c r="V4" s="243" t="s">
        <v>399</v>
      </c>
      <c r="W4" s="243" t="s">
        <v>362</v>
      </c>
      <c r="X4" s="169" t="s">
        <v>363</v>
      </c>
      <c r="Y4" s="243">
        <v>1</v>
      </c>
      <c r="Z4" s="243">
        <v>1</v>
      </c>
      <c r="AA4" s="243">
        <v>0</v>
      </c>
      <c r="AB4" s="167">
        <v>0</v>
      </c>
      <c r="AC4" s="243">
        <v>1</v>
      </c>
      <c r="AD4" s="243">
        <v>1</v>
      </c>
      <c r="AE4" s="243">
        <v>0</v>
      </c>
      <c r="AF4" s="167">
        <v>0</v>
      </c>
      <c r="AG4" s="243">
        <v>0</v>
      </c>
      <c r="AH4" s="243">
        <v>0</v>
      </c>
      <c r="AI4" s="243">
        <v>0</v>
      </c>
      <c r="AJ4" s="167">
        <v>0</v>
      </c>
    </row>
    <row r="5" spans="1:45" ht="15" customHeight="1" thickBot="1" x14ac:dyDescent="0.3">
      <c r="A5" s="256" t="s">
        <v>108</v>
      </c>
      <c r="B5" s="255" t="s">
        <v>54</v>
      </c>
      <c r="C5" s="247" t="s">
        <v>10</v>
      </c>
      <c r="D5" s="257" t="s">
        <v>38</v>
      </c>
      <c r="E5" s="257" t="s">
        <v>36</v>
      </c>
      <c r="F5" s="257">
        <v>23</v>
      </c>
      <c r="G5" s="258">
        <v>26</v>
      </c>
      <c r="H5" s="265">
        <v>0</v>
      </c>
      <c r="I5" s="258">
        <v>1</v>
      </c>
      <c r="J5" s="260">
        <v>3</v>
      </c>
      <c r="K5" s="260">
        <v>1</v>
      </c>
      <c r="L5" s="260">
        <v>0</v>
      </c>
      <c r="M5" s="260">
        <v>2</v>
      </c>
      <c r="N5" s="260">
        <v>1</v>
      </c>
      <c r="O5" s="260">
        <v>0</v>
      </c>
      <c r="P5" s="257">
        <v>0</v>
      </c>
      <c r="Q5" s="260">
        <v>0</v>
      </c>
      <c r="R5" s="257">
        <v>2</v>
      </c>
      <c r="S5" s="261">
        <v>12967</v>
      </c>
      <c r="T5" s="590" t="s">
        <v>427</v>
      </c>
      <c r="U5" s="263" t="s">
        <v>345</v>
      </c>
      <c r="V5" s="261" t="s">
        <v>393</v>
      </c>
      <c r="W5" s="261" t="s">
        <v>347</v>
      </c>
      <c r="X5" s="261" t="s">
        <v>348</v>
      </c>
      <c r="Y5" s="261">
        <v>1</v>
      </c>
      <c r="Z5" s="261">
        <v>0</v>
      </c>
      <c r="AA5" s="261">
        <v>0</v>
      </c>
      <c r="AB5" s="168">
        <v>1</v>
      </c>
      <c r="AC5" s="261">
        <v>0</v>
      </c>
      <c r="AD5" s="261">
        <v>0</v>
      </c>
      <c r="AE5" s="261">
        <v>0</v>
      </c>
      <c r="AF5" s="168">
        <v>0</v>
      </c>
      <c r="AG5" s="261">
        <v>1</v>
      </c>
      <c r="AH5" s="261">
        <v>0</v>
      </c>
      <c r="AI5" s="261">
        <v>0</v>
      </c>
      <c r="AJ5" s="168">
        <v>1</v>
      </c>
    </row>
    <row r="6" spans="1:45" ht="15" customHeight="1" thickBot="1" x14ac:dyDescent="0.3">
      <c r="A6" s="239" t="s">
        <v>193</v>
      </c>
      <c r="B6" s="240" t="s">
        <v>54</v>
      </c>
      <c r="C6" s="122" t="s">
        <v>66</v>
      </c>
      <c r="D6" s="123" t="s">
        <v>351</v>
      </c>
      <c r="E6" s="123" t="s">
        <v>34</v>
      </c>
      <c r="F6" s="123">
        <v>35</v>
      </c>
      <c r="G6" s="241">
        <v>18</v>
      </c>
      <c r="H6" s="241">
        <v>1</v>
      </c>
      <c r="I6" s="242">
        <v>0</v>
      </c>
      <c r="J6" s="123">
        <v>4</v>
      </c>
      <c r="K6" s="123">
        <v>3</v>
      </c>
      <c r="L6" s="242">
        <v>0</v>
      </c>
      <c r="M6" s="242">
        <v>3</v>
      </c>
      <c r="N6" s="242">
        <v>1</v>
      </c>
      <c r="O6" s="242">
        <v>0</v>
      </c>
      <c r="P6" s="242">
        <v>0</v>
      </c>
      <c r="Q6" s="123">
        <v>0</v>
      </c>
      <c r="R6" s="242">
        <v>2</v>
      </c>
      <c r="S6" s="243">
        <v>5568</v>
      </c>
      <c r="T6" s="592" t="s">
        <v>458</v>
      </c>
      <c r="U6" s="245" t="s">
        <v>374</v>
      </c>
      <c r="V6" s="243" t="s">
        <v>361</v>
      </c>
      <c r="W6" s="243" t="s">
        <v>341</v>
      </c>
      <c r="X6" s="169" t="s">
        <v>370</v>
      </c>
      <c r="Y6" s="243">
        <v>1</v>
      </c>
      <c r="Z6" s="243">
        <v>1</v>
      </c>
      <c r="AA6" s="243">
        <v>0</v>
      </c>
      <c r="AB6" s="167">
        <v>0</v>
      </c>
      <c r="AC6" s="243">
        <v>1</v>
      </c>
      <c r="AD6" s="243">
        <v>1</v>
      </c>
      <c r="AE6" s="243">
        <v>0</v>
      </c>
      <c r="AF6" s="167">
        <v>0</v>
      </c>
      <c r="AG6" s="243">
        <v>0</v>
      </c>
      <c r="AH6" s="243">
        <v>0</v>
      </c>
      <c r="AI6" s="243">
        <v>0</v>
      </c>
      <c r="AJ6" s="167">
        <v>0</v>
      </c>
    </row>
    <row r="7" spans="1:45" ht="15" customHeight="1" thickBot="1" x14ac:dyDescent="0.3">
      <c r="A7" s="256" t="s">
        <v>199</v>
      </c>
      <c r="B7" s="255" t="s">
        <v>54</v>
      </c>
      <c r="C7" s="247" t="s">
        <v>29</v>
      </c>
      <c r="D7" s="257" t="s">
        <v>38</v>
      </c>
      <c r="E7" s="257" t="s">
        <v>36</v>
      </c>
      <c r="F7" s="257">
        <v>14</v>
      </c>
      <c r="G7" s="258">
        <v>25</v>
      </c>
      <c r="H7" s="259">
        <v>0</v>
      </c>
      <c r="I7" s="257">
        <v>0</v>
      </c>
      <c r="J7" s="260">
        <v>2</v>
      </c>
      <c r="K7" s="260">
        <v>2</v>
      </c>
      <c r="L7" s="260">
        <v>0</v>
      </c>
      <c r="M7" s="260">
        <v>0</v>
      </c>
      <c r="N7" s="260">
        <v>1</v>
      </c>
      <c r="O7" s="260">
        <v>0</v>
      </c>
      <c r="P7" s="260">
        <v>0</v>
      </c>
      <c r="Q7" s="260">
        <v>0</v>
      </c>
      <c r="R7" s="260">
        <v>3</v>
      </c>
      <c r="S7" s="261">
        <v>5065</v>
      </c>
      <c r="T7" s="516" t="s">
        <v>475</v>
      </c>
      <c r="U7" s="263" t="s">
        <v>360</v>
      </c>
      <c r="V7" s="261" t="s">
        <v>368</v>
      </c>
      <c r="W7" s="261" t="s">
        <v>348</v>
      </c>
      <c r="X7" s="264" t="s">
        <v>347</v>
      </c>
      <c r="Y7" s="261">
        <v>1</v>
      </c>
      <c r="Z7" s="261">
        <v>0</v>
      </c>
      <c r="AA7" s="261">
        <v>0</v>
      </c>
      <c r="AB7" s="168">
        <v>1</v>
      </c>
      <c r="AC7" s="261">
        <v>0</v>
      </c>
      <c r="AD7" s="261">
        <v>0</v>
      </c>
      <c r="AE7" s="261">
        <v>0</v>
      </c>
      <c r="AF7" s="168">
        <v>0</v>
      </c>
      <c r="AG7" s="261">
        <v>1</v>
      </c>
      <c r="AH7" s="261">
        <v>0</v>
      </c>
      <c r="AI7" s="261">
        <v>0</v>
      </c>
      <c r="AJ7" s="168">
        <v>1</v>
      </c>
    </row>
    <row r="8" spans="1:45" ht="15" customHeight="1" thickBot="1" x14ac:dyDescent="0.3">
      <c r="A8" s="239" t="s">
        <v>195</v>
      </c>
      <c r="B8" s="240" t="s">
        <v>54</v>
      </c>
      <c r="C8" s="122" t="s">
        <v>24</v>
      </c>
      <c r="D8" s="123" t="s">
        <v>351</v>
      </c>
      <c r="E8" s="123" t="s">
        <v>34</v>
      </c>
      <c r="F8" s="123">
        <v>29</v>
      </c>
      <c r="G8" s="241">
        <v>22</v>
      </c>
      <c r="H8" s="244">
        <v>0</v>
      </c>
      <c r="I8" s="123">
        <v>0</v>
      </c>
      <c r="J8" s="242">
        <v>2</v>
      </c>
      <c r="K8" s="242">
        <v>2</v>
      </c>
      <c r="L8" s="242">
        <v>0</v>
      </c>
      <c r="M8" s="242">
        <v>5</v>
      </c>
      <c r="N8" s="242">
        <v>0</v>
      </c>
      <c r="O8" s="242">
        <v>0</v>
      </c>
      <c r="P8" s="242">
        <v>0</v>
      </c>
      <c r="Q8" s="242">
        <v>1</v>
      </c>
      <c r="R8" s="242">
        <v>3</v>
      </c>
      <c r="S8" s="243">
        <v>7397</v>
      </c>
      <c r="T8" s="592" t="s">
        <v>493</v>
      </c>
      <c r="U8" s="245" t="s">
        <v>345</v>
      </c>
      <c r="V8" s="243" t="s">
        <v>339</v>
      </c>
      <c r="W8" s="243" t="s">
        <v>377</v>
      </c>
      <c r="X8" s="169" t="s">
        <v>347</v>
      </c>
      <c r="Y8" s="243">
        <v>1</v>
      </c>
      <c r="Z8" s="243">
        <v>1</v>
      </c>
      <c r="AA8" s="243">
        <v>0</v>
      </c>
      <c r="AB8" s="167">
        <v>0</v>
      </c>
      <c r="AC8" s="243">
        <v>1</v>
      </c>
      <c r="AD8" s="243">
        <v>1</v>
      </c>
      <c r="AE8" s="243">
        <v>0</v>
      </c>
      <c r="AF8" s="167">
        <v>0</v>
      </c>
      <c r="AG8" s="243">
        <v>0</v>
      </c>
      <c r="AH8" s="243">
        <v>0</v>
      </c>
      <c r="AI8" s="243">
        <v>0</v>
      </c>
      <c r="AJ8" s="167">
        <v>0</v>
      </c>
    </row>
    <row r="9" spans="1:45" ht="15" customHeight="1" thickBot="1" x14ac:dyDescent="0.3">
      <c r="A9" s="391" t="s">
        <v>226</v>
      </c>
      <c r="B9" s="392" t="s">
        <v>161</v>
      </c>
      <c r="C9" s="393" t="s">
        <v>227</v>
      </c>
      <c r="D9" s="394" t="s">
        <v>38</v>
      </c>
      <c r="E9" s="394" t="s">
        <v>36</v>
      </c>
      <c r="F9" s="394">
        <v>20</v>
      </c>
      <c r="G9" s="395">
        <v>25</v>
      </c>
      <c r="H9" s="396">
        <v>0</v>
      </c>
      <c r="I9" s="397">
        <v>1</v>
      </c>
      <c r="J9" s="397">
        <v>2</v>
      </c>
      <c r="K9" s="397">
        <v>2</v>
      </c>
      <c r="L9" s="397">
        <v>0</v>
      </c>
      <c r="M9" s="397">
        <v>2</v>
      </c>
      <c r="N9" s="397">
        <v>0</v>
      </c>
      <c r="O9" s="397">
        <v>0</v>
      </c>
      <c r="P9" s="397">
        <v>0</v>
      </c>
      <c r="Q9" s="394">
        <v>0</v>
      </c>
      <c r="R9" s="397">
        <v>3</v>
      </c>
      <c r="S9" s="398">
        <v>17558</v>
      </c>
      <c r="T9" s="523" t="s">
        <v>526</v>
      </c>
      <c r="U9" s="399" t="s">
        <v>527</v>
      </c>
      <c r="V9" s="398" t="s">
        <v>528</v>
      </c>
      <c r="W9" s="398" t="s">
        <v>529</v>
      </c>
      <c r="X9" s="400" t="s">
        <v>530</v>
      </c>
      <c r="Y9" s="398">
        <v>1</v>
      </c>
      <c r="Z9" s="398">
        <v>0</v>
      </c>
      <c r="AA9" s="398">
        <v>0</v>
      </c>
      <c r="AB9" s="401">
        <v>1</v>
      </c>
      <c r="AC9" s="398">
        <v>0</v>
      </c>
      <c r="AD9" s="398">
        <v>0</v>
      </c>
      <c r="AE9" s="398">
        <v>0</v>
      </c>
      <c r="AF9" s="401">
        <v>0</v>
      </c>
      <c r="AG9" s="398">
        <v>1</v>
      </c>
      <c r="AH9" s="398">
        <v>0</v>
      </c>
      <c r="AI9" s="398">
        <v>0</v>
      </c>
      <c r="AJ9" s="401">
        <v>1</v>
      </c>
    </row>
    <row r="10" spans="1:45" ht="15" customHeight="1" thickBot="1" x14ac:dyDescent="0.3">
      <c r="A10" s="402" t="s">
        <v>231</v>
      </c>
      <c r="B10" s="403" t="s">
        <v>161</v>
      </c>
      <c r="C10" s="404" t="s">
        <v>10</v>
      </c>
      <c r="D10" s="405" t="s">
        <v>351</v>
      </c>
      <c r="E10" s="405" t="s">
        <v>36</v>
      </c>
      <c r="F10" s="405">
        <v>16</v>
      </c>
      <c r="G10" s="406">
        <v>23</v>
      </c>
      <c r="H10" s="407">
        <v>0</v>
      </c>
      <c r="I10" s="408">
        <v>1</v>
      </c>
      <c r="J10" s="408">
        <v>1</v>
      </c>
      <c r="K10" s="408">
        <v>1</v>
      </c>
      <c r="L10" s="408">
        <v>0</v>
      </c>
      <c r="M10" s="408">
        <v>3</v>
      </c>
      <c r="N10" s="408">
        <v>0</v>
      </c>
      <c r="O10" s="408">
        <v>0</v>
      </c>
      <c r="P10" s="408">
        <v>0</v>
      </c>
      <c r="Q10" s="405">
        <v>0</v>
      </c>
      <c r="R10" s="408">
        <v>2</v>
      </c>
      <c r="S10" s="409">
        <v>6739</v>
      </c>
      <c r="T10" s="519" t="s">
        <v>547</v>
      </c>
      <c r="U10" s="411" t="s">
        <v>548</v>
      </c>
      <c r="V10" s="409" t="s">
        <v>549</v>
      </c>
      <c r="W10" s="409" t="s">
        <v>550</v>
      </c>
      <c r="X10" s="412" t="s">
        <v>551</v>
      </c>
      <c r="Y10" s="409">
        <v>1</v>
      </c>
      <c r="Z10" s="409">
        <v>0</v>
      </c>
      <c r="AA10" s="409">
        <v>0</v>
      </c>
      <c r="AB10" s="413">
        <v>1</v>
      </c>
      <c r="AC10" s="409">
        <v>1</v>
      </c>
      <c r="AD10" s="409">
        <v>0</v>
      </c>
      <c r="AE10" s="409">
        <v>0</v>
      </c>
      <c r="AF10" s="413">
        <v>1</v>
      </c>
      <c r="AG10" s="409">
        <v>0</v>
      </c>
      <c r="AH10" s="409">
        <v>0</v>
      </c>
      <c r="AI10" s="409">
        <v>0</v>
      </c>
      <c r="AJ10" s="413">
        <v>0</v>
      </c>
    </row>
    <row r="11" spans="1:45" ht="15" customHeight="1" thickBot="1" x14ac:dyDescent="0.3">
      <c r="A11" s="251" t="s">
        <v>94</v>
      </c>
      <c r="B11" s="252" t="s">
        <v>96</v>
      </c>
      <c r="C11" s="253" t="s">
        <v>29</v>
      </c>
      <c r="D11" s="269" t="s">
        <v>38</v>
      </c>
      <c r="E11" s="269" t="s">
        <v>36</v>
      </c>
      <c r="F11" s="269">
        <v>29</v>
      </c>
      <c r="G11" s="275">
        <v>32</v>
      </c>
      <c r="H11" s="268">
        <v>1</v>
      </c>
      <c r="I11" s="267">
        <v>1</v>
      </c>
      <c r="J11" s="267">
        <v>4</v>
      </c>
      <c r="K11" s="267">
        <v>3</v>
      </c>
      <c r="L11" s="267">
        <v>0</v>
      </c>
      <c r="M11" s="267">
        <v>1</v>
      </c>
      <c r="N11" s="267">
        <v>0</v>
      </c>
      <c r="O11" s="267">
        <v>0</v>
      </c>
      <c r="P11" s="267">
        <v>1</v>
      </c>
      <c r="Q11" s="269">
        <v>0</v>
      </c>
      <c r="R11" s="267">
        <v>4</v>
      </c>
      <c r="S11" s="294">
        <v>3511</v>
      </c>
      <c r="T11" s="646" t="s">
        <v>610</v>
      </c>
      <c r="U11" s="296" t="s">
        <v>609</v>
      </c>
      <c r="V11" s="297" t="s">
        <v>510</v>
      </c>
      <c r="W11" s="272" t="s">
        <v>340</v>
      </c>
      <c r="X11" s="273" t="s">
        <v>348</v>
      </c>
      <c r="Y11" s="272">
        <v>1</v>
      </c>
      <c r="Z11" s="272">
        <v>0</v>
      </c>
      <c r="AA11" s="272">
        <v>0</v>
      </c>
      <c r="AB11" s="274">
        <v>1</v>
      </c>
      <c r="AC11" s="272">
        <v>0</v>
      </c>
      <c r="AD11" s="272">
        <v>0</v>
      </c>
      <c r="AE11" s="272">
        <v>0</v>
      </c>
      <c r="AF11" s="274">
        <v>0</v>
      </c>
      <c r="AG11" s="272">
        <v>1</v>
      </c>
      <c r="AH11" s="272">
        <v>0</v>
      </c>
      <c r="AI11" s="272">
        <v>0</v>
      </c>
      <c r="AJ11" s="274">
        <v>1</v>
      </c>
    </row>
    <row r="12" spans="1:45" ht="15" customHeight="1" thickBot="1" x14ac:dyDescent="0.3">
      <c r="A12" s="248" t="s">
        <v>251</v>
      </c>
      <c r="B12" s="249" t="s">
        <v>96</v>
      </c>
      <c r="C12" s="250" t="s">
        <v>91</v>
      </c>
      <c r="D12" s="283" t="s">
        <v>351</v>
      </c>
      <c r="E12" s="283" t="s">
        <v>34</v>
      </c>
      <c r="F12" s="283">
        <v>43</v>
      </c>
      <c r="G12" s="284">
        <v>22</v>
      </c>
      <c r="H12" s="277">
        <v>1</v>
      </c>
      <c r="I12" s="276">
        <v>0</v>
      </c>
      <c r="J12" s="276">
        <v>4</v>
      </c>
      <c r="K12" s="276">
        <v>4</v>
      </c>
      <c r="L12" s="276">
        <v>0</v>
      </c>
      <c r="M12" s="276">
        <v>5</v>
      </c>
      <c r="N12" s="276">
        <v>0</v>
      </c>
      <c r="O12" s="276">
        <v>0</v>
      </c>
      <c r="P12" s="276">
        <v>0</v>
      </c>
      <c r="Q12" s="283">
        <v>0</v>
      </c>
      <c r="R12" s="276">
        <v>1</v>
      </c>
      <c r="S12" s="278">
        <v>5128</v>
      </c>
      <c r="T12" s="650" t="s">
        <v>626</v>
      </c>
      <c r="U12" s="279" t="s">
        <v>627</v>
      </c>
      <c r="V12" s="278" t="s">
        <v>510</v>
      </c>
      <c r="W12" s="278" t="s">
        <v>347</v>
      </c>
      <c r="X12" s="280" t="s">
        <v>340</v>
      </c>
      <c r="Y12" s="278">
        <v>1</v>
      </c>
      <c r="Z12" s="278">
        <v>1</v>
      </c>
      <c r="AA12" s="278">
        <v>0</v>
      </c>
      <c r="AB12" s="281">
        <v>0</v>
      </c>
      <c r="AC12" s="278">
        <v>1</v>
      </c>
      <c r="AD12" s="278">
        <v>1</v>
      </c>
      <c r="AE12" s="278">
        <v>0</v>
      </c>
      <c r="AF12" s="281">
        <v>0</v>
      </c>
      <c r="AG12" s="278">
        <v>0</v>
      </c>
      <c r="AH12" s="278">
        <v>0</v>
      </c>
      <c r="AI12" s="278">
        <v>0</v>
      </c>
      <c r="AJ12" s="281">
        <v>0</v>
      </c>
      <c r="AL12" s="622" t="s">
        <v>501</v>
      </c>
    </row>
    <row r="13" spans="1:45" ht="15" customHeight="1" thickBot="1" x14ac:dyDescent="0.3">
      <c r="A13" s="239" t="s">
        <v>214</v>
      </c>
      <c r="B13" s="240" t="s">
        <v>54</v>
      </c>
      <c r="C13" s="122" t="s">
        <v>190</v>
      </c>
      <c r="D13" s="123" t="s">
        <v>351</v>
      </c>
      <c r="E13" s="123" t="s">
        <v>34</v>
      </c>
      <c r="F13" s="123">
        <v>71</v>
      </c>
      <c r="G13" s="241">
        <v>7</v>
      </c>
      <c r="H13" s="244">
        <v>1</v>
      </c>
      <c r="I13" s="242">
        <v>0</v>
      </c>
      <c r="J13" s="242">
        <v>11</v>
      </c>
      <c r="K13" s="242">
        <v>8</v>
      </c>
      <c r="L13" s="242">
        <v>0</v>
      </c>
      <c r="M13" s="242">
        <v>0</v>
      </c>
      <c r="N13" s="242">
        <v>0</v>
      </c>
      <c r="O13" s="242">
        <v>0</v>
      </c>
      <c r="P13" s="242">
        <v>0</v>
      </c>
      <c r="Q13" s="123">
        <v>0</v>
      </c>
      <c r="R13" s="242">
        <v>1</v>
      </c>
      <c r="S13" s="243">
        <v>5842</v>
      </c>
      <c r="T13" s="592" t="s">
        <v>646</v>
      </c>
      <c r="U13" s="245" t="s">
        <v>652</v>
      </c>
      <c r="V13" s="243" t="s">
        <v>354</v>
      </c>
      <c r="W13" s="243" t="s">
        <v>377</v>
      </c>
      <c r="X13" s="169" t="s">
        <v>340</v>
      </c>
      <c r="Y13" s="243">
        <v>1</v>
      </c>
      <c r="Z13" s="243">
        <v>1</v>
      </c>
      <c r="AA13" s="243">
        <v>0</v>
      </c>
      <c r="AB13" s="167">
        <v>0</v>
      </c>
      <c r="AC13" s="243">
        <v>1</v>
      </c>
      <c r="AD13" s="243">
        <v>1</v>
      </c>
      <c r="AE13" s="243">
        <v>0</v>
      </c>
      <c r="AF13" s="167">
        <v>0</v>
      </c>
      <c r="AG13" s="243">
        <v>0</v>
      </c>
      <c r="AH13" s="243">
        <v>0</v>
      </c>
      <c r="AI13" s="243">
        <v>0</v>
      </c>
      <c r="AJ13" s="167">
        <v>0</v>
      </c>
    </row>
    <row r="14" spans="1:45" ht="15" customHeight="1" thickBot="1" x14ac:dyDescent="0.3">
      <c r="A14" s="256" t="s">
        <v>112</v>
      </c>
      <c r="B14" s="255" t="s">
        <v>54</v>
      </c>
      <c r="C14" s="247" t="s">
        <v>30</v>
      </c>
      <c r="D14" s="257" t="s">
        <v>38</v>
      </c>
      <c r="E14" s="257" t="s">
        <v>36</v>
      </c>
      <c r="F14" s="257">
        <v>15</v>
      </c>
      <c r="G14" s="258">
        <v>31</v>
      </c>
      <c r="H14" s="258">
        <v>0</v>
      </c>
      <c r="I14" s="260">
        <v>0</v>
      </c>
      <c r="J14" s="260">
        <v>2</v>
      </c>
      <c r="K14" s="260">
        <v>1</v>
      </c>
      <c r="L14" s="260">
        <v>0</v>
      </c>
      <c r="M14" s="260">
        <v>1</v>
      </c>
      <c r="N14" s="260">
        <v>1</v>
      </c>
      <c r="O14" s="260">
        <v>0</v>
      </c>
      <c r="P14" s="260">
        <v>0</v>
      </c>
      <c r="Q14" s="257">
        <v>0</v>
      </c>
      <c r="R14" s="260">
        <v>3</v>
      </c>
      <c r="S14" s="261">
        <v>8878</v>
      </c>
      <c r="T14" s="662" t="s">
        <v>659</v>
      </c>
      <c r="U14" s="263" t="s">
        <v>485</v>
      </c>
      <c r="V14" s="261" t="s">
        <v>393</v>
      </c>
      <c r="W14" s="261" t="s">
        <v>347</v>
      </c>
      <c r="X14" s="264" t="s">
        <v>652</v>
      </c>
      <c r="Y14" s="261">
        <v>1</v>
      </c>
      <c r="Z14" s="261">
        <v>0</v>
      </c>
      <c r="AA14" s="261">
        <v>0</v>
      </c>
      <c r="AB14" s="168">
        <v>1</v>
      </c>
      <c r="AC14" s="261">
        <v>0</v>
      </c>
      <c r="AD14" s="261">
        <v>0</v>
      </c>
      <c r="AE14" s="261">
        <v>0</v>
      </c>
      <c r="AF14" s="168">
        <v>0</v>
      </c>
      <c r="AG14" s="261">
        <v>1</v>
      </c>
      <c r="AH14" s="261">
        <v>0</v>
      </c>
      <c r="AI14" s="261">
        <v>0</v>
      </c>
      <c r="AJ14" s="168">
        <v>1</v>
      </c>
      <c r="AL14" s="966" t="s">
        <v>505</v>
      </c>
      <c r="AM14" s="967"/>
      <c r="AN14" s="968" t="s">
        <v>502</v>
      </c>
      <c r="AO14" s="969"/>
      <c r="AP14" s="970" t="s">
        <v>503</v>
      </c>
      <c r="AQ14" s="971"/>
      <c r="AR14" s="972" t="s">
        <v>504</v>
      </c>
      <c r="AS14" s="973"/>
    </row>
    <row r="15" spans="1:45" ht="15" customHeight="1" thickBot="1" x14ac:dyDescent="0.3">
      <c r="A15" s="378" t="s">
        <v>154</v>
      </c>
      <c r="B15" s="379" t="s">
        <v>54</v>
      </c>
      <c r="C15" s="372" t="s">
        <v>28</v>
      </c>
      <c r="D15" s="380" t="s">
        <v>38</v>
      </c>
      <c r="E15" s="380" t="s">
        <v>36</v>
      </c>
      <c r="F15" s="380">
        <v>16</v>
      </c>
      <c r="G15" s="381">
        <v>18</v>
      </c>
      <c r="H15" s="382">
        <v>0</v>
      </c>
      <c r="I15" s="383">
        <v>1</v>
      </c>
      <c r="J15" s="383">
        <v>1</v>
      </c>
      <c r="K15" s="383">
        <v>1</v>
      </c>
      <c r="L15" s="383">
        <v>0</v>
      </c>
      <c r="M15" s="383">
        <v>3</v>
      </c>
      <c r="N15" s="380">
        <v>0</v>
      </c>
      <c r="O15" s="383">
        <v>0</v>
      </c>
      <c r="P15" s="383">
        <v>0</v>
      </c>
      <c r="Q15" s="380">
        <v>0</v>
      </c>
      <c r="R15" s="383">
        <v>0</v>
      </c>
      <c r="S15" s="261">
        <v>21907</v>
      </c>
      <c r="T15" s="516" t="s">
        <v>674</v>
      </c>
      <c r="U15" s="263" t="s">
        <v>360</v>
      </c>
      <c r="V15" s="261" t="s">
        <v>393</v>
      </c>
      <c r="W15" s="261" t="s">
        <v>601</v>
      </c>
      <c r="X15" s="264" t="s">
        <v>445</v>
      </c>
      <c r="Y15" s="384">
        <v>1</v>
      </c>
      <c r="Z15" s="384">
        <v>0</v>
      </c>
      <c r="AA15" s="384">
        <v>0</v>
      </c>
      <c r="AB15" s="387">
        <v>1</v>
      </c>
      <c r="AC15" s="384">
        <v>0</v>
      </c>
      <c r="AD15" s="384">
        <v>0</v>
      </c>
      <c r="AE15" s="384">
        <v>0</v>
      </c>
      <c r="AF15" s="387">
        <v>0</v>
      </c>
      <c r="AG15" s="384">
        <v>1</v>
      </c>
      <c r="AH15" s="384">
        <v>0</v>
      </c>
      <c r="AI15" s="384">
        <v>0</v>
      </c>
      <c r="AJ15" s="387">
        <v>1</v>
      </c>
      <c r="AL15" s="625" t="s">
        <v>497</v>
      </c>
      <c r="AM15" s="626">
        <f>SUM(78+AO15)</f>
        <v>84</v>
      </c>
      <c r="AN15" s="627" t="s">
        <v>497</v>
      </c>
      <c r="AO15" s="623">
        <f>Y37</f>
        <v>6</v>
      </c>
      <c r="AP15" s="629" t="s">
        <v>497</v>
      </c>
      <c r="AQ15" s="630">
        <v>40</v>
      </c>
      <c r="AR15" s="631" t="s">
        <v>497</v>
      </c>
      <c r="AS15" s="632">
        <f>SUM(AQ15+AM15)</f>
        <v>124</v>
      </c>
    </row>
    <row r="16" spans="1:45" ht="15" customHeight="1" thickBot="1" x14ac:dyDescent="0.3">
      <c r="A16" s="391" t="s">
        <v>697</v>
      </c>
      <c r="B16" s="392" t="s">
        <v>161</v>
      </c>
      <c r="C16" s="414" t="s">
        <v>222</v>
      </c>
      <c r="D16" s="394" t="s">
        <v>38</v>
      </c>
      <c r="E16" s="394" t="s">
        <v>34</v>
      </c>
      <c r="F16" s="394">
        <v>32</v>
      </c>
      <c r="G16" s="395">
        <v>17</v>
      </c>
      <c r="H16" s="396">
        <v>1</v>
      </c>
      <c r="I16" s="397">
        <v>0</v>
      </c>
      <c r="J16" s="397">
        <v>4</v>
      </c>
      <c r="K16" s="397">
        <v>3</v>
      </c>
      <c r="L16" s="397">
        <v>0</v>
      </c>
      <c r="M16" s="397">
        <v>2</v>
      </c>
      <c r="N16" s="397">
        <v>0</v>
      </c>
      <c r="O16" s="397">
        <v>0</v>
      </c>
      <c r="P16" s="397">
        <v>0</v>
      </c>
      <c r="Q16" s="394">
        <v>0</v>
      </c>
      <c r="R16" s="397">
        <v>2</v>
      </c>
      <c r="S16" s="398">
        <v>7204</v>
      </c>
      <c r="T16" s="523" t="s">
        <v>471</v>
      </c>
      <c r="U16" s="399" t="s">
        <v>536</v>
      </c>
      <c r="V16" s="398" t="s">
        <v>520</v>
      </c>
      <c r="W16" s="398" t="s">
        <v>562</v>
      </c>
      <c r="X16" s="400" t="s">
        <v>592</v>
      </c>
      <c r="Y16" s="398">
        <v>1</v>
      </c>
      <c r="Z16" s="398">
        <v>1</v>
      </c>
      <c r="AA16" s="398">
        <v>0</v>
      </c>
      <c r="AB16" s="401">
        <v>0</v>
      </c>
      <c r="AC16" s="398">
        <v>1</v>
      </c>
      <c r="AD16" s="398">
        <v>1</v>
      </c>
      <c r="AE16" s="398">
        <v>0</v>
      </c>
      <c r="AF16" s="401">
        <v>0</v>
      </c>
      <c r="AG16" s="398">
        <v>0</v>
      </c>
      <c r="AH16" s="398">
        <v>0</v>
      </c>
      <c r="AI16" s="398">
        <v>0</v>
      </c>
      <c r="AJ16" s="401">
        <v>0</v>
      </c>
      <c r="AL16" s="625" t="s">
        <v>1</v>
      </c>
      <c r="AM16" s="626">
        <f>SUM(51+AO16)</f>
        <v>54</v>
      </c>
      <c r="AN16" s="627" t="s">
        <v>1</v>
      </c>
      <c r="AO16" s="624">
        <f>Z37</f>
        <v>3</v>
      </c>
      <c r="AP16" s="629" t="s">
        <v>1</v>
      </c>
      <c r="AQ16" s="630">
        <v>32</v>
      </c>
      <c r="AR16" s="631" t="s">
        <v>1</v>
      </c>
      <c r="AS16" s="632">
        <f t="shared" ref="AS16:AS22" si="0">SUM(AQ16+AM16)</f>
        <v>86</v>
      </c>
    </row>
    <row r="17" spans="1:45" ht="15" customHeight="1" thickBot="1" x14ac:dyDescent="0.3">
      <c r="A17" s="402" t="s">
        <v>122</v>
      </c>
      <c r="B17" s="403" t="s">
        <v>161</v>
      </c>
      <c r="C17" s="404" t="s">
        <v>222</v>
      </c>
      <c r="D17" s="405" t="s">
        <v>351</v>
      </c>
      <c r="E17" s="405" t="s">
        <v>34</v>
      </c>
      <c r="F17" s="405">
        <v>44</v>
      </c>
      <c r="G17" s="406">
        <v>17</v>
      </c>
      <c r="H17" s="407">
        <v>1</v>
      </c>
      <c r="I17" s="408">
        <v>0</v>
      </c>
      <c r="J17" s="408">
        <v>7</v>
      </c>
      <c r="K17" s="408">
        <v>3</v>
      </c>
      <c r="L17" s="408">
        <v>0</v>
      </c>
      <c r="M17" s="408">
        <v>1</v>
      </c>
      <c r="N17" s="408">
        <v>0</v>
      </c>
      <c r="O17" s="408">
        <v>0</v>
      </c>
      <c r="P17" s="408">
        <v>0</v>
      </c>
      <c r="Q17" s="408">
        <v>0</v>
      </c>
      <c r="R17" s="408">
        <v>3</v>
      </c>
      <c r="S17" s="409">
        <v>6507</v>
      </c>
      <c r="T17" s="642" t="s">
        <v>714</v>
      </c>
      <c r="U17" s="411" t="s">
        <v>517</v>
      </c>
      <c r="V17" s="409" t="s">
        <v>715</v>
      </c>
      <c r="W17" s="409" t="s">
        <v>519</v>
      </c>
      <c r="X17" s="412" t="s">
        <v>716</v>
      </c>
      <c r="Y17" s="409">
        <v>1</v>
      </c>
      <c r="Z17" s="409">
        <v>1</v>
      </c>
      <c r="AA17" s="409">
        <v>0</v>
      </c>
      <c r="AB17" s="413">
        <v>0</v>
      </c>
      <c r="AC17" s="409">
        <v>1</v>
      </c>
      <c r="AD17" s="409">
        <v>1</v>
      </c>
      <c r="AE17" s="409">
        <v>0</v>
      </c>
      <c r="AF17" s="413">
        <v>0</v>
      </c>
      <c r="AG17" s="409">
        <v>0</v>
      </c>
      <c r="AH17" s="409">
        <v>0</v>
      </c>
      <c r="AI17" s="409">
        <v>0</v>
      </c>
      <c r="AJ17" s="413">
        <v>0</v>
      </c>
      <c r="AL17" s="625" t="s">
        <v>498</v>
      </c>
      <c r="AM17" s="626">
        <f>SUM(1+AO17)</f>
        <v>2</v>
      </c>
      <c r="AN17" s="627" t="s">
        <v>498</v>
      </c>
      <c r="AO17" s="624">
        <f>AA37</f>
        <v>1</v>
      </c>
      <c r="AP17" s="629" t="s">
        <v>498</v>
      </c>
      <c r="AQ17" s="630">
        <v>1</v>
      </c>
      <c r="AR17" s="631" t="s">
        <v>498</v>
      </c>
      <c r="AS17" s="632">
        <f t="shared" si="0"/>
        <v>3</v>
      </c>
    </row>
    <row r="18" spans="1:45" ht="15" customHeight="1" thickBot="1" x14ac:dyDescent="0.3">
      <c r="A18" s="239" t="s">
        <v>211</v>
      </c>
      <c r="B18" s="240" t="s">
        <v>54</v>
      </c>
      <c r="C18" s="122" t="s">
        <v>381</v>
      </c>
      <c r="D18" s="123" t="s">
        <v>756</v>
      </c>
      <c r="E18" s="123" t="s">
        <v>34</v>
      </c>
      <c r="F18" s="123">
        <v>48</v>
      </c>
      <c r="G18" s="241">
        <v>16</v>
      </c>
      <c r="H18" s="244">
        <v>1</v>
      </c>
      <c r="I18" s="242">
        <v>0</v>
      </c>
      <c r="J18" s="242">
        <v>4</v>
      </c>
      <c r="K18" s="242">
        <v>2</v>
      </c>
      <c r="L18" s="242">
        <v>0</v>
      </c>
      <c r="M18" s="242">
        <v>8</v>
      </c>
      <c r="N18" s="242">
        <v>0</v>
      </c>
      <c r="O18" s="242">
        <v>0</v>
      </c>
      <c r="P18" s="242">
        <v>0</v>
      </c>
      <c r="Q18" s="242">
        <v>0</v>
      </c>
      <c r="R18" s="242">
        <v>1</v>
      </c>
      <c r="S18" s="661">
        <v>28254</v>
      </c>
      <c r="T18" s="592" t="s">
        <v>681</v>
      </c>
      <c r="U18" s="245" t="s">
        <v>652</v>
      </c>
      <c r="V18" s="243" t="s">
        <v>393</v>
      </c>
      <c r="W18" s="243" t="s">
        <v>347</v>
      </c>
      <c r="X18" s="169" t="s">
        <v>363</v>
      </c>
      <c r="Y18" s="243">
        <v>1</v>
      </c>
      <c r="Z18" s="243">
        <v>1</v>
      </c>
      <c r="AA18" s="243">
        <v>0</v>
      </c>
      <c r="AB18" s="167">
        <v>0</v>
      </c>
      <c r="AC18" s="243">
        <v>1</v>
      </c>
      <c r="AD18" s="243">
        <v>1</v>
      </c>
      <c r="AE18" s="243">
        <v>0</v>
      </c>
      <c r="AF18" s="167">
        <v>0</v>
      </c>
      <c r="AG18" s="243">
        <v>0</v>
      </c>
      <c r="AH18" s="243">
        <v>0</v>
      </c>
      <c r="AI18" s="243">
        <v>0</v>
      </c>
      <c r="AJ18" s="167">
        <v>0</v>
      </c>
      <c r="AL18" s="625" t="s">
        <v>2</v>
      </c>
      <c r="AM18" s="626">
        <f>SUM(26+AO18)</f>
        <v>28</v>
      </c>
      <c r="AN18" s="627" t="s">
        <v>2</v>
      </c>
      <c r="AO18" s="624">
        <f>AB37</f>
        <v>2</v>
      </c>
      <c r="AP18" s="629" t="s">
        <v>2</v>
      </c>
      <c r="AQ18" s="630">
        <v>7</v>
      </c>
      <c r="AR18" s="631" t="s">
        <v>2</v>
      </c>
      <c r="AS18" s="632">
        <f t="shared" si="0"/>
        <v>35</v>
      </c>
    </row>
    <row r="19" spans="1:45" ht="15" customHeight="1" thickBot="1" x14ac:dyDescent="0.3">
      <c r="A19" s="256" t="s">
        <v>98</v>
      </c>
      <c r="B19" s="255" t="s">
        <v>54</v>
      </c>
      <c r="C19" s="247" t="s">
        <v>26</v>
      </c>
      <c r="D19" s="257" t="s">
        <v>38</v>
      </c>
      <c r="E19" s="257" t="s">
        <v>34</v>
      </c>
      <c r="F19" s="257">
        <v>30</v>
      </c>
      <c r="G19" s="258">
        <v>23</v>
      </c>
      <c r="H19" s="259">
        <v>0</v>
      </c>
      <c r="I19" s="260">
        <v>0</v>
      </c>
      <c r="J19" s="260">
        <v>3</v>
      </c>
      <c r="K19" s="260">
        <v>3</v>
      </c>
      <c r="L19" s="260">
        <v>0</v>
      </c>
      <c r="M19" s="260">
        <v>3</v>
      </c>
      <c r="N19" s="260">
        <v>0</v>
      </c>
      <c r="O19" s="260">
        <v>0</v>
      </c>
      <c r="P19" s="260">
        <v>0</v>
      </c>
      <c r="Q19" s="260">
        <v>1</v>
      </c>
      <c r="R19" s="260">
        <v>2</v>
      </c>
      <c r="S19" s="261">
        <v>16000</v>
      </c>
      <c r="T19" s="590" t="s">
        <v>767</v>
      </c>
      <c r="U19" s="263" t="s">
        <v>374</v>
      </c>
      <c r="V19" s="261" t="s">
        <v>375</v>
      </c>
      <c r="W19" s="261" t="s">
        <v>355</v>
      </c>
      <c r="X19" s="264" t="s">
        <v>362</v>
      </c>
      <c r="Y19" s="261">
        <v>1</v>
      </c>
      <c r="Z19" s="261">
        <v>1</v>
      </c>
      <c r="AA19" s="261">
        <v>0</v>
      </c>
      <c r="AB19" s="168">
        <v>0</v>
      </c>
      <c r="AC19" s="261">
        <v>0</v>
      </c>
      <c r="AD19" s="261">
        <v>0</v>
      </c>
      <c r="AE19" s="261">
        <v>0</v>
      </c>
      <c r="AF19" s="168">
        <v>0</v>
      </c>
      <c r="AG19" s="261">
        <v>1</v>
      </c>
      <c r="AH19" s="261">
        <v>1</v>
      </c>
      <c r="AI19" s="261">
        <v>0</v>
      </c>
      <c r="AJ19" s="168">
        <v>0</v>
      </c>
      <c r="AL19" s="625" t="s">
        <v>499</v>
      </c>
      <c r="AM19" s="626">
        <f>SUM(2224+AO19)</f>
        <v>2379</v>
      </c>
      <c r="AN19" s="627" t="s">
        <v>499</v>
      </c>
      <c r="AO19" s="624">
        <f>F37</f>
        <v>155</v>
      </c>
      <c r="AP19" s="629" t="s">
        <v>499</v>
      </c>
      <c r="AQ19" s="630">
        <v>1400</v>
      </c>
      <c r="AR19" s="631" t="s">
        <v>499</v>
      </c>
      <c r="AS19" s="632">
        <f t="shared" si="0"/>
        <v>3779</v>
      </c>
    </row>
    <row r="20" spans="1:45" ht="15" customHeight="1" thickBot="1" x14ac:dyDescent="0.3">
      <c r="A20" s="239" t="s">
        <v>216</v>
      </c>
      <c r="B20" s="240" t="s">
        <v>54</v>
      </c>
      <c r="C20" s="122" t="s">
        <v>29</v>
      </c>
      <c r="D20" s="123" t="s">
        <v>90</v>
      </c>
      <c r="E20" s="123" t="s">
        <v>34</v>
      </c>
      <c r="F20" s="123">
        <v>41</v>
      </c>
      <c r="G20" s="241">
        <v>16</v>
      </c>
      <c r="H20" s="244">
        <v>1</v>
      </c>
      <c r="I20" s="242">
        <v>0</v>
      </c>
      <c r="J20" s="242">
        <v>5</v>
      </c>
      <c r="K20" s="242">
        <v>5</v>
      </c>
      <c r="L20" s="242">
        <v>1</v>
      </c>
      <c r="M20" s="242">
        <v>1</v>
      </c>
      <c r="N20" s="242">
        <v>1</v>
      </c>
      <c r="O20" s="242">
        <v>0</v>
      </c>
      <c r="P20" s="242">
        <v>0</v>
      </c>
      <c r="Q20" s="242">
        <v>0</v>
      </c>
      <c r="R20" s="242">
        <v>1</v>
      </c>
      <c r="S20" s="243">
        <v>15343</v>
      </c>
      <c r="T20" s="592" t="s">
        <v>792</v>
      </c>
      <c r="U20" s="245" t="s">
        <v>367</v>
      </c>
      <c r="V20" s="243" t="s">
        <v>399</v>
      </c>
      <c r="W20" s="243" t="s">
        <v>600</v>
      </c>
      <c r="X20" s="169" t="s">
        <v>377</v>
      </c>
      <c r="Y20" s="243">
        <v>1</v>
      </c>
      <c r="Z20" s="243">
        <v>1</v>
      </c>
      <c r="AA20" s="243">
        <v>0</v>
      </c>
      <c r="AB20" s="167">
        <v>0</v>
      </c>
      <c r="AC20" s="243">
        <v>1</v>
      </c>
      <c r="AD20" s="243">
        <v>1</v>
      </c>
      <c r="AE20" s="243">
        <v>0</v>
      </c>
      <c r="AF20" s="167">
        <v>0</v>
      </c>
      <c r="AG20" s="243">
        <v>0</v>
      </c>
      <c r="AH20" s="243">
        <v>0</v>
      </c>
      <c r="AI20" s="243">
        <v>0</v>
      </c>
      <c r="AJ20" s="167">
        <v>0</v>
      </c>
      <c r="AL20" s="625" t="s">
        <v>500</v>
      </c>
      <c r="AM20" s="626">
        <f>SUM(1555+AO20)</f>
        <v>1660</v>
      </c>
      <c r="AN20" s="627" t="s">
        <v>500</v>
      </c>
      <c r="AO20" s="624">
        <f>G37</f>
        <v>105</v>
      </c>
      <c r="AP20" s="629" t="s">
        <v>500</v>
      </c>
      <c r="AQ20" s="630">
        <v>668</v>
      </c>
      <c r="AR20" s="631" t="s">
        <v>500</v>
      </c>
      <c r="AS20" s="632">
        <f t="shared" si="0"/>
        <v>2328</v>
      </c>
    </row>
    <row r="21" spans="1:45" ht="15" customHeight="1" thickBot="1" x14ac:dyDescent="0.3">
      <c r="A21" s="378" t="s">
        <v>100</v>
      </c>
      <c r="B21" s="379" t="s">
        <v>54</v>
      </c>
      <c r="C21" s="372" t="s">
        <v>24</v>
      </c>
      <c r="D21" s="380" t="s">
        <v>38</v>
      </c>
      <c r="E21" s="380" t="s">
        <v>36</v>
      </c>
      <c r="F21" s="380">
        <v>26</v>
      </c>
      <c r="G21" s="381">
        <v>39</v>
      </c>
      <c r="H21" s="382">
        <v>1</v>
      </c>
      <c r="I21" s="383">
        <v>0</v>
      </c>
      <c r="J21" s="383">
        <v>4</v>
      </c>
      <c r="K21" s="383">
        <v>3</v>
      </c>
      <c r="L21" s="383">
        <v>0</v>
      </c>
      <c r="M21" s="383">
        <v>0</v>
      </c>
      <c r="N21" s="383">
        <v>0</v>
      </c>
      <c r="O21" s="383">
        <v>0</v>
      </c>
      <c r="P21" s="383">
        <v>1</v>
      </c>
      <c r="Q21" s="383">
        <v>0</v>
      </c>
      <c r="R21" s="383">
        <v>5</v>
      </c>
      <c r="S21" s="261">
        <v>13352</v>
      </c>
      <c r="T21" s="266" t="s">
        <v>812</v>
      </c>
      <c r="U21" s="263" t="s">
        <v>353</v>
      </c>
      <c r="V21" s="261" t="s">
        <v>354</v>
      </c>
      <c r="W21" s="261" t="s">
        <v>367</v>
      </c>
      <c r="X21" s="264" t="s">
        <v>356</v>
      </c>
      <c r="Y21" s="384">
        <v>1</v>
      </c>
      <c r="Z21" s="384">
        <v>0</v>
      </c>
      <c r="AA21" s="384">
        <v>0</v>
      </c>
      <c r="AB21" s="387">
        <v>1</v>
      </c>
      <c r="AC21" s="384">
        <v>0</v>
      </c>
      <c r="AD21" s="384">
        <v>0</v>
      </c>
      <c r="AE21" s="384">
        <v>0</v>
      </c>
      <c r="AF21" s="387">
        <v>0</v>
      </c>
      <c r="AG21" s="384">
        <v>1</v>
      </c>
      <c r="AH21" s="384">
        <v>0</v>
      </c>
      <c r="AI21" s="384">
        <v>0</v>
      </c>
      <c r="AJ21" s="387">
        <v>1</v>
      </c>
      <c r="AL21" s="625" t="s">
        <v>81</v>
      </c>
      <c r="AM21" s="626">
        <f>SUM(245+AO21)</f>
        <v>263</v>
      </c>
      <c r="AN21" s="627" t="s">
        <v>81</v>
      </c>
      <c r="AO21" s="624">
        <f>J37</f>
        <v>18</v>
      </c>
      <c r="AP21" s="629" t="s">
        <v>81</v>
      </c>
      <c r="AQ21" s="630">
        <v>170</v>
      </c>
      <c r="AR21" s="631" t="s">
        <v>81</v>
      </c>
      <c r="AS21" s="632">
        <f t="shared" si="0"/>
        <v>433</v>
      </c>
    </row>
    <row r="22" spans="1:45" ht="15" customHeight="1" thickBot="1" x14ac:dyDescent="0.3">
      <c r="A22" s="391" t="s">
        <v>101</v>
      </c>
      <c r="B22" s="392" t="s">
        <v>161</v>
      </c>
      <c r="C22" s="414" t="s">
        <v>10</v>
      </c>
      <c r="D22" s="394" t="s">
        <v>38</v>
      </c>
      <c r="E22" s="394" t="s">
        <v>34</v>
      </c>
      <c r="F22" s="394">
        <v>23</v>
      </c>
      <c r="G22" s="395">
        <v>3</v>
      </c>
      <c r="H22" s="396">
        <v>0</v>
      </c>
      <c r="I22" s="397">
        <v>0</v>
      </c>
      <c r="J22" s="397">
        <v>2</v>
      </c>
      <c r="K22" s="397">
        <v>2</v>
      </c>
      <c r="L22" s="397">
        <v>0</v>
      </c>
      <c r="M22" s="397">
        <v>3</v>
      </c>
      <c r="N22" s="394">
        <v>1</v>
      </c>
      <c r="O22" s="397">
        <v>0</v>
      </c>
      <c r="P22" s="397">
        <v>0</v>
      </c>
      <c r="Q22" s="397">
        <v>0</v>
      </c>
      <c r="R22" s="397">
        <v>0</v>
      </c>
      <c r="S22" s="398">
        <v>14132</v>
      </c>
      <c r="T22" s="643" t="s">
        <v>378</v>
      </c>
      <c r="U22" s="399" t="s">
        <v>531</v>
      </c>
      <c r="V22" s="398" t="s">
        <v>528</v>
      </c>
      <c r="W22" s="398" t="s">
        <v>529</v>
      </c>
      <c r="X22" s="400" t="s">
        <v>700</v>
      </c>
      <c r="Y22" s="398">
        <v>1</v>
      </c>
      <c r="Z22" s="398">
        <v>1</v>
      </c>
      <c r="AA22" s="398">
        <v>0</v>
      </c>
      <c r="AB22" s="401">
        <v>0</v>
      </c>
      <c r="AC22" s="398">
        <v>0</v>
      </c>
      <c r="AD22" s="398">
        <v>0</v>
      </c>
      <c r="AE22" s="398">
        <v>0</v>
      </c>
      <c r="AF22" s="401">
        <v>0</v>
      </c>
      <c r="AG22" s="398">
        <v>1</v>
      </c>
      <c r="AH22" s="398">
        <v>1</v>
      </c>
      <c r="AI22" s="398">
        <v>0</v>
      </c>
      <c r="AJ22" s="401">
        <v>0</v>
      </c>
      <c r="AK22" s="65"/>
      <c r="AL22" s="625" t="s">
        <v>83</v>
      </c>
      <c r="AM22" s="626">
        <f>SUM(137+AO22)</f>
        <v>149</v>
      </c>
      <c r="AN22" s="627" t="s">
        <v>83</v>
      </c>
      <c r="AO22" s="624">
        <f>R37</f>
        <v>12</v>
      </c>
      <c r="AP22" s="629" t="s">
        <v>83</v>
      </c>
      <c r="AQ22" s="630">
        <v>62</v>
      </c>
      <c r="AR22" s="631" t="s">
        <v>83</v>
      </c>
      <c r="AS22" s="632">
        <f t="shared" si="0"/>
        <v>211</v>
      </c>
    </row>
    <row r="23" spans="1:45" ht="15" customHeight="1" thickBot="1" x14ac:dyDescent="0.3">
      <c r="A23" s="402" t="s">
        <v>102</v>
      </c>
      <c r="B23" s="403" t="s">
        <v>161</v>
      </c>
      <c r="C23" s="404" t="s">
        <v>227</v>
      </c>
      <c r="D23" s="405" t="s">
        <v>90</v>
      </c>
      <c r="E23" s="405" t="s">
        <v>35</v>
      </c>
      <c r="F23" s="405">
        <v>20</v>
      </c>
      <c r="G23" s="406">
        <v>20</v>
      </c>
      <c r="H23" s="407">
        <v>0</v>
      </c>
      <c r="I23" s="408">
        <v>0</v>
      </c>
      <c r="J23" s="408">
        <v>2</v>
      </c>
      <c r="K23" s="408">
        <v>2</v>
      </c>
      <c r="L23" s="408">
        <v>0</v>
      </c>
      <c r="M23" s="408">
        <v>2</v>
      </c>
      <c r="N23" s="408">
        <v>2</v>
      </c>
      <c r="O23" s="408">
        <v>0</v>
      </c>
      <c r="P23" s="408">
        <v>0</v>
      </c>
      <c r="Q23" s="408">
        <v>0</v>
      </c>
      <c r="R23" s="408">
        <v>2</v>
      </c>
      <c r="S23" s="409">
        <v>23493</v>
      </c>
      <c r="T23" s="519" t="s">
        <v>366</v>
      </c>
      <c r="U23" s="411" t="s">
        <v>512</v>
      </c>
      <c r="V23" s="409" t="s">
        <v>718</v>
      </c>
      <c r="W23" s="409" t="s">
        <v>535</v>
      </c>
      <c r="X23" s="412" t="s">
        <v>514</v>
      </c>
      <c r="Y23" s="409">
        <v>1</v>
      </c>
      <c r="Z23" s="409">
        <v>0</v>
      </c>
      <c r="AA23" s="409">
        <v>1</v>
      </c>
      <c r="AB23" s="413">
        <v>0</v>
      </c>
      <c r="AC23" s="409">
        <v>1</v>
      </c>
      <c r="AD23" s="409">
        <v>0</v>
      </c>
      <c r="AE23" s="409">
        <v>1</v>
      </c>
      <c r="AF23" s="413">
        <v>0</v>
      </c>
      <c r="AG23" s="409">
        <v>0</v>
      </c>
      <c r="AH23" s="409">
        <v>0</v>
      </c>
      <c r="AI23" s="409">
        <v>0</v>
      </c>
      <c r="AJ23" s="413">
        <v>0</v>
      </c>
    </row>
    <row r="24" spans="1:45" ht="15" customHeight="1" thickBot="1" x14ac:dyDescent="0.3">
      <c r="A24" s="248" t="s">
        <v>249</v>
      </c>
      <c r="B24" s="249" t="s">
        <v>96</v>
      </c>
      <c r="C24" s="250" t="s">
        <v>245</v>
      </c>
      <c r="D24" s="283" t="s">
        <v>90</v>
      </c>
      <c r="E24" s="283" t="s">
        <v>36</v>
      </c>
      <c r="F24" s="283">
        <v>42</v>
      </c>
      <c r="G24" s="284">
        <v>45</v>
      </c>
      <c r="H24" s="277">
        <v>1</v>
      </c>
      <c r="I24" s="276">
        <v>1</v>
      </c>
      <c r="J24" s="283">
        <v>6</v>
      </c>
      <c r="K24" s="276">
        <v>6</v>
      </c>
      <c r="L24" s="276">
        <v>0</v>
      </c>
      <c r="M24" s="276">
        <v>0</v>
      </c>
      <c r="N24" s="276">
        <v>0</v>
      </c>
      <c r="O24" s="276">
        <v>0</v>
      </c>
      <c r="P24" s="276">
        <v>1</v>
      </c>
      <c r="Q24" s="276">
        <v>0</v>
      </c>
      <c r="R24" s="276">
        <v>6</v>
      </c>
      <c r="S24" s="442">
        <v>9640</v>
      </c>
      <c r="T24" s="649" t="s">
        <v>861</v>
      </c>
      <c r="U24" s="279" t="s">
        <v>652</v>
      </c>
      <c r="V24" s="278" t="s">
        <v>510</v>
      </c>
      <c r="W24" s="278" t="s">
        <v>362</v>
      </c>
      <c r="X24" s="280" t="s">
        <v>862</v>
      </c>
      <c r="Y24" s="278">
        <v>1</v>
      </c>
      <c r="Z24" s="278">
        <v>0</v>
      </c>
      <c r="AA24" s="278">
        <v>0</v>
      </c>
      <c r="AB24" s="281">
        <v>1</v>
      </c>
      <c r="AC24" s="278">
        <v>1</v>
      </c>
      <c r="AD24" s="278">
        <v>0</v>
      </c>
      <c r="AE24" s="278">
        <v>0</v>
      </c>
      <c r="AF24" s="281">
        <v>1</v>
      </c>
      <c r="AG24" s="278">
        <v>0</v>
      </c>
      <c r="AH24" s="278">
        <v>0</v>
      </c>
      <c r="AI24" s="278">
        <v>0</v>
      </c>
      <c r="AJ24" s="281">
        <v>0</v>
      </c>
    </row>
    <row r="25" spans="1:45" ht="15" customHeight="1" thickBot="1" x14ac:dyDescent="0.3">
      <c r="A25" s="251" t="s">
        <v>111</v>
      </c>
      <c r="B25" s="252" t="s">
        <v>96</v>
      </c>
      <c r="C25" s="253" t="s">
        <v>27</v>
      </c>
      <c r="D25" s="269" t="s">
        <v>38</v>
      </c>
      <c r="E25" s="269" t="s">
        <v>36</v>
      </c>
      <c r="F25" s="269">
        <v>6</v>
      </c>
      <c r="G25" s="275">
        <v>29</v>
      </c>
      <c r="H25" s="268">
        <v>0</v>
      </c>
      <c r="I25" s="267">
        <v>0</v>
      </c>
      <c r="J25" s="267">
        <v>0</v>
      </c>
      <c r="K25" s="267">
        <v>0</v>
      </c>
      <c r="L25" s="267">
        <v>0</v>
      </c>
      <c r="M25" s="267">
        <v>2</v>
      </c>
      <c r="N25" s="267">
        <v>0</v>
      </c>
      <c r="O25" s="267">
        <v>0</v>
      </c>
      <c r="P25" s="267">
        <v>1</v>
      </c>
      <c r="Q25" s="267">
        <v>0</v>
      </c>
      <c r="R25" s="267">
        <v>4</v>
      </c>
      <c r="S25" s="272">
        <v>13362</v>
      </c>
      <c r="T25" s="651" t="s">
        <v>389</v>
      </c>
      <c r="U25" s="271" t="s">
        <v>601</v>
      </c>
      <c r="V25" s="272" t="s">
        <v>510</v>
      </c>
      <c r="W25" s="272" t="s">
        <v>686</v>
      </c>
      <c r="X25" s="273" t="s">
        <v>347</v>
      </c>
      <c r="Y25" s="272">
        <v>1</v>
      </c>
      <c r="Z25" s="272">
        <v>0</v>
      </c>
      <c r="AA25" s="272">
        <v>0</v>
      </c>
      <c r="AB25" s="274">
        <v>1</v>
      </c>
      <c r="AC25" s="272">
        <v>0</v>
      </c>
      <c r="AD25" s="272">
        <v>0</v>
      </c>
      <c r="AE25" s="272">
        <v>0</v>
      </c>
      <c r="AF25" s="274">
        <v>0</v>
      </c>
      <c r="AG25" s="272">
        <v>1</v>
      </c>
      <c r="AH25" s="272">
        <v>0</v>
      </c>
      <c r="AI25" s="272">
        <v>0</v>
      </c>
      <c r="AJ25" s="274">
        <v>1</v>
      </c>
    </row>
    <row r="26" spans="1:45" ht="15" customHeight="1" thickBot="1" x14ac:dyDescent="0.3">
      <c r="A26" s="239" t="s">
        <v>196</v>
      </c>
      <c r="B26" s="240" t="s">
        <v>54</v>
      </c>
      <c r="C26" s="122" t="s">
        <v>10</v>
      </c>
      <c r="D26" s="123" t="s">
        <v>90</v>
      </c>
      <c r="E26" s="123" t="s">
        <v>34</v>
      </c>
      <c r="F26" s="123">
        <v>37</v>
      </c>
      <c r="G26" s="241">
        <v>6</v>
      </c>
      <c r="H26" s="244">
        <v>1</v>
      </c>
      <c r="I26" s="242">
        <v>0</v>
      </c>
      <c r="J26" s="242">
        <v>4</v>
      </c>
      <c r="K26" s="242">
        <v>4</v>
      </c>
      <c r="L26" s="242">
        <v>0</v>
      </c>
      <c r="M26" s="242">
        <v>3</v>
      </c>
      <c r="N26" s="242">
        <v>0</v>
      </c>
      <c r="O26" s="242">
        <v>0</v>
      </c>
      <c r="P26" s="242">
        <v>0</v>
      </c>
      <c r="Q26" s="242">
        <v>0</v>
      </c>
      <c r="R26" s="242">
        <v>0</v>
      </c>
      <c r="S26" s="243">
        <v>16116</v>
      </c>
      <c r="T26" s="592" t="s">
        <v>884</v>
      </c>
      <c r="U26" s="245" t="s">
        <v>367</v>
      </c>
      <c r="V26" s="243" t="s">
        <v>346</v>
      </c>
      <c r="W26" s="243" t="s">
        <v>363</v>
      </c>
      <c r="X26" s="169" t="s">
        <v>387</v>
      </c>
      <c r="Y26" s="243">
        <v>1</v>
      </c>
      <c r="Z26" s="243">
        <v>1</v>
      </c>
      <c r="AA26" s="243">
        <v>0</v>
      </c>
      <c r="AB26" s="167">
        <v>0</v>
      </c>
      <c r="AC26" s="243">
        <v>1</v>
      </c>
      <c r="AD26" s="243">
        <v>1</v>
      </c>
      <c r="AE26" s="243">
        <v>0</v>
      </c>
      <c r="AF26" s="167">
        <v>0</v>
      </c>
      <c r="AG26" s="243">
        <v>0</v>
      </c>
      <c r="AH26" s="243">
        <v>0</v>
      </c>
      <c r="AI26" s="243">
        <v>0</v>
      </c>
      <c r="AJ26" s="167">
        <v>0</v>
      </c>
    </row>
    <row r="27" spans="1:45" ht="15" customHeight="1" thickBot="1" x14ac:dyDescent="0.3">
      <c r="A27" s="378" t="s">
        <v>218</v>
      </c>
      <c r="B27" s="379" t="s">
        <v>54</v>
      </c>
      <c r="C27" s="372" t="s">
        <v>66</v>
      </c>
      <c r="D27" s="380" t="s">
        <v>38</v>
      </c>
      <c r="E27" s="380" t="s">
        <v>35</v>
      </c>
      <c r="F27" s="380">
        <v>23</v>
      </c>
      <c r="G27" s="381">
        <v>23</v>
      </c>
      <c r="H27" s="382">
        <v>0</v>
      </c>
      <c r="I27" s="383">
        <v>0</v>
      </c>
      <c r="J27" s="383">
        <v>3</v>
      </c>
      <c r="K27" s="383">
        <v>1</v>
      </c>
      <c r="L27" s="383">
        <v>0</v>
      </c>
      <c r="M27" s="383">
        <v>2</v>
      </c>
      <c r="N27" s="383">
        <v>0</v>
      </c>
      <c r="O27" s="383">
        <v>0</v>
      </c>
      <c r="P27" s="383">
        <v>0</v>
      </c>
      <c r="Q27" s="383">
        <v>0</v>
      </c>
      <c r="R27" s="383">
        <v>3</v>
      </c>
      <c r="S27" s="373">
        <v>7547</v>
      </c>
      <c r="T27" s="590" t="s">
        <v>893</v>
      </c>
      <c r="U27" s="263" t="s">
        <v>345</v>
      </c>
      <c r="V27" s="261" t="s">
        <v>339</v>
      </c>
      <c r="W27" s="261" t="s">
        <v>452</v>
      </c>
      <c r="X27" s="264" t="s">
        <v>362</v>
      </c>
      <c r="Y27" s="384">
        <v>1</v>
      </c>
      <c r="Z27" s="384">
        <v>0</v>
      </c>
      <c r="AA27" s="384">
        <v>1</v>
      </c>
      <c r="AB27" s="387">
        <v>0</v>
      </c>
      <c r="AC27" s="384">
        <v>0</v>
      </c>
      <c r="AD27" s="384">
        <v>0</v>
      </c>
      <c r="AE27" s="384">
        <v>0</v>
      </c>
      <c r="AF27" s="387">
        <v>0</v>
      </c>
      <c r="AG27" s="384">
        <v>1</v>
      </c>
      <c r="AH27" s="384">
        <v>0</v>
      </c>
      <c r="AI27" s="384">
        <v>1</v>
      </c>
      <c r="AJ27" s="387">
        <v>0</v>
      </c>
    </row>
    <row r="28" spans="1:45" ht="15" customHeight="1" thickBot="1" x14ac:dyDescent="0.3">
      <c r="A28" s="239" t="s">
        <v>204</v>
      </c>
      <c r="B28" s="240" t="s">
        <v>54</v>
      </c>
      <c r="C28" s="122" t="s">
        <v>26</v>
      </c>
      <c r="D28" s="123" t="s">
        <v>90</v>
      </c>
      <c r="E28" s="123" t="s">
        <v>34</v>
      </c>
      <c r="F28" s="123">
        <v>32</v>
      </c>
      <c r="G28" s="241">
        <v>21</v>
      </c>
      <c r="H28" s="244">
        <v>1</v>
      </c>
      <c r="I28" s="242">
        <v>0</v>
      </c>
      <c r="J28" s="242">
        <v>5</v>
      </c>
      <c r="K28" s="242">
        <v>2</v>
      </c>
      <c r="L28" s="242">
        <v>0</v>
      </c>
      <c r="M28" s="242">
        <v>1</v>
      </c>
      <c r="N28" s="242">
        <v>1</v>
      </c>
      <c r="O28" s="242">
        <v>0</v>
      </c>
      <c r="P28" s="242">
        <v>0</v>
      </c>
      <c r="Q28" s="242">
        <v>0</v>
      </c>
      <c r="R28" s="242">
        <v>2</v>
      </c>
      <c r="S28" s="243">
        <v>14056</v>
      </c>
      <c r="T28" s="592" t="s">
        <v>392</v>
      </c>
      <c r="U28" s="245" t="s">
        <v>338</v>
      </c>
      <c r="V28" s="243" t="s">
        <v>346</v>
      </c>
      <c r="W28" s="243" t="s">
        <v>340</v>
      </c>
      <c r="X28" s="169" t="s">
        <v>376</v>
      </c>
      <c r="Y28" s="243">
        <v>1</v>
      </c>
      <c r="Z28" s="243">
        <v>1</v>
      </c>
      <c r="AA28" s="243">
        <v>0</v>
      </c>
      <c r="AB28" s="167">
        <v>0</v>
      </c>
      <c r="AC28" s="243">
        <v>1</v>
      </c>
      <c r="AD28" s="243">
        <v>1</v>
      </c>
      <c r="AE28" s="243">
        <v>0</v>
      </c>
      <c r="AF28" s="167">
        <v>0</v>
      </c>
      <c r="AG28" s="243">
        <v>0</v>
      </c>
      <c r="AH28" s="243">
        <v>0</v>
      </c>
      <c r="AI28" s="243">
        <v>0</v>
      </c>
      <c r="AJ28" s="167">
        <v>0</v>
      </c>
    </row>
    <row r="29" spans="1:45" ht="15" customHeight="1" thickBot="1" x14ac:dyDescent="0.3">
      <c r="A29" s="239" t="s">
        <v>208</v>
      </c>
      <c r="B29" s="240" t="s">
        <v>54</v>
      </c>
      <c r="C29" s="122" t="s">
        <v>21</v>
      </c>
      <c r="D29" s="123" t="s">
        <v>90</v>
      </c>
      <c r="E29" s="123" t="s">
        <v>36</v>
      </c>
      <c r="F29" s="123">
        <v>17</v>
      </c>
      <c r="G29" s="241">
        <v>26</v>
      </c>
      <c r="H29" s="244">
        <v>0</v>
      </c>
      <c r="I29" s="242">
        <v>0</v>
      </c>
      <c r="J29" s="242">
        <v>2</v>
      </c>
      <c r="K29" s="242">
        <v>2</v>
      </c>
      <c r="L29" s="242">
        <v>0</v>
      </c>
      <c r="M29" s="242">
        <v>1</v>
      </c>
      <c r="N29" s="242">
        <v>1</v>
      </c>
      <c r="O29" s="242">
        <v>0</v>
      </c>
      <c r="P29" s="242">
        <v>0</v>
      </c>
      <c r="Q29" s="242">
        <v>0</v>
      </c>
      <c r="R29" s="242">
        <v>2</v>
      </c>
      <c r="S29" s="243">
        <v>16874</v>
      </c>
      <c r="T29" s="514" t="s">
        <v>949</v>
      </c>
      <c r="U29" s="245" t="s">
        <v>419</v>
      </c>
      <c r="V29" s="243" t="s">
        <v>354</v>
      </c>
      <c r="W29" s="243" t="s">
        <v>363</v>
      </c>
      <c r="X29" s="169" t="s">
        <v>362</v>
      </c>
      <c r="Y29" s="243">
        <v>1</v>
      </c>
      <c r="Z29" s="243">
        <v>0</v>
      </c>
      <c r="AA29" s="243">
        <v>0</v>
      </c>
      <c r="AB29" s="167">
        <v>1</v>
      </c>
      <c r="AC29" s="243">
        <v>1</v>
      </c>
      <c r="AD29" s="243">
        <v>0</v>
      </c>
      <c r="AE29" s="243">
        <v>0</v>
      </c>
      <c r="AF29" s="167">
        <v>1</v>
      </c>
      <c r="AG29" s="243">
        <v>0</v>
      </c>
      <c r="AH29" s="243">
        <v>0</v>
      </c>
      <c r="AI29" s="243">
        <v>0</v>
      </c>
      <c r="AJ29" s="167">
        <v>0</v>
      </c>
    </row>
    <row r="30" spans="1:45" ht="15" customHeight="1" thickBot="1" x14ac:dyDescent="0.3">
      <c r="A30" s="256" t="s">
        <v>897</v>
      </c>
      <c r="B30" s="255" t="s">
        <v>54</v>
      </c>
      <c r="C30" s="247" t="s">
        <v>27</v>
      </c>
      <c r="D30" s="257" t="s">
        <v>38</v>
      </c>
      <c r="E30" s="257" t="s">
        <v>36</v>
      </c>
      <c r="F30" s="257">
        <v>30</v>
      </c>
      <c r="G30" s="258">
        <v>52</v>
      </c>
      <c r="H30" s="259">
        <v>0</v>
      </c>
      <c r="I30" s="260">
        <v>0</v>
      </c>
      <c r="J30" s="257">
        <v>3</v>
      </c>
      <c r="K30" s="260">
        <v>3</v>
      </c>
      <c r="L30" s="260">
        <v>0</v>
      </c>
      <c r="M30" s="260">
        <v>3</v>
      </c>
      <c r="N30" s="260">
        <v>0</v>
      </c>
      <c r="O30" s="260">
        <v>1</v>
      </c>
      <c r="P30" s="260">
        <v>1</v>
      </c>
      <c r="Q30" s="260">
        <v>0</v>
      </c>
      <c r="R30" s="260">
        <v>7</v>
      </c>
      <c r="S30" s="261">
        <v>13362</v>
      </c>
      <c r="T30" s="516" t="s">
        <v>840</v>
      </c>
      <c r="U30" s="263" t="s">
        <v>614</v>
      </c>
      <c r="V30" s="261" t="s">
        <v>368</v>
      </c>
      <c r="W30" s="261" t="s">
        <v>445</v>
      </c>
      <c r="X30" s="264" t="s">
        <v>363</v>
      </c>
      <c r="Y30" s="261">
        <v>1</v>
      </c>
      <c r="Z30" s="261">
        <v>0</v>
      </c>
      <c r="AA30" s="261">
        <v>0</v>
      </c>
      <c r="AB30" s="168">
        <v>1</v>
      </c>
      <c r="AC30" s="261">
        <v>0</v>
      </c>
      <c r="AD30" s="261">
        <v>0</v>
      </c>
      <c r="AE30" s="261">
        <v>0</v>
      </c>
      <c r="AF30" s="168">
        <v>0</v>
      </c>
      <c r="AG30" s="261">
        <v>1</v>
      </c>
      <c r="AH30" s="261">
        <v>0</v>
      </c>
      <c r="AI30" s="261">
        <v>0</v>
      </c>
      <c r="AJ30" s="168">
        <v>1</v>
      </c>
    </row>
    <row r="31" spans="1:45" ht="15" customHeight="1" thickBot="1" x14ac:dyDescent="0.3">
      <c r="A31" s="391" t="s">
        <v>144</v>
      </c>
      <c r="B31" s="392" t="s">
        <v>160</v>
      </c>
      <c r="C31" s="414" t="s">
        <v>232</v>
      </c>
      <c r="D31" s="394" t="s">
        <v>38</v>
      </c>
      <c r="E31" s="394" t="s">
        <v>36</v>
      </c>
      <c r="F31" s="394">
        <v>18</v>
      </c>
      <c r="G31" s="395">
        <v>32</v>
      </c>
      <c r="H31" s="396" t="s">
        <v>85</v>
      </c>
      <c r="I31" s="397" t="s">
        <v>85</v>
      </c>
      <c r="J31" s="397">
        <v>2</v>
      </c>
      <c r="K31" s="397">
        <v>1</v>
      </c>
      <c r="L31" s="397">
        <v>0</v>
      </c>
      <c r="M31" s="397">
        <v>2</v>
      </c>
      <c r="N31" s="397">
        <v>1</v>
      </c>
      <c r="O31" s="397">
        <v>0</v>
      </c>
      <c r="P31" s="397" t="s">
        <v>85</v>
      </c>
      <c r="Q31" s="397" t="s">
        <v>85</v>
      </c>
      <c r="R31" s="397">
        <v>2</v>
      </c>
      <c r="S31" s="398">
        <v>15228</v>
      </c>
      <c r="T31" s="523" t="s">
        <v>989</v>
      </c>
      <c r="U31" s="399" t="s">
        <v>536</v>
      </c>
      <c r="V31" s="398" t="s">
        <v>520</v>
      </c>
      <c r="W31" s="398" t="s">
        <v>752</v>
      </c>
      <c r="X31" s="400" t="s">
        <v>561</v>
      </c>
      <c r="Y31" s="398">
        <v>1</v>
      </c>
      <c r="Z31" s="398">
        <v>0</v>
      </c>
      <c r="AA31" s="398">
        <v>0</v>
      </c>
      <c r="AB31" s="401">
        <v>1</v>
      </c>
      <c r="AC31" s="398">
        <v>0</v>
      </c>
      <c r="AD31" s="398">
        <v>0</v>
      </c>
      <c r="AE31" s="398">
        <v>0</v>
      </c>
      <c r="AF31" s="401">
        <v>0</v>
      </c>
      <c r="AG31" s="398">
        <v>1</v>
      </c>
      <c r="AH31" s="398">
        <v>0</v>
      </c>
      <c r="AI31" s="398">
        <v>0</v>
      </c>
      <c r="AJ31" s="401">
        <v>1</v>
      </c>
    </row>
    <row r="32" spans="1:45" ht="15" customHeight="1" thickBot="1" x14ac:dyDescent="0.3">
      <c r="A32" s="378" t="s">
        <v>198</v>
      </c>
      <c r="B32" s="379" t="s">
        <v>54</v>
      </c>
      <c r="C32" s="372" t="s">
        <v>190</v>
      </c>
      <c r="D32" s="380" t="s">
        <v>38</v>
      </c>
      <c r="E32" s="380" t="s">
        <v>34</v>
      </c>
      <c r="F32" s="380">
        <v>40</v>
      </c>
      <c r="G32" s="381">
        <v>13</v>
      </c>
      <c r="H32" s="382">
        <v>1</v>
      </c>
      <c r="I32" s="383">
        <v>0</v>
      </c>
      <c r="J32" s="383">
        <v>6</v>
      </c>
      <c r="K32" s="383">
        <v>5</v>
      </c>
      <c r="L32" s="383">
        <v>0</v>
      </c>
      <c r="M32" s="383">
        <v>0</v>
      </c>
      <c r="N32" s="380">
        <v>1</v>
      </c>
      <c r="O32" s="383">
        <v>0</v>
      </c>
      <c r="P32" s="383">
        <v>0</v>
      </c>
      <c r="Q32" s="383">
        <v>0</v>
      </c>
      <c r="R32" s="383">
        <v>2</v>
      </c>
      <c r="S32" s="261">
        <v>4015</v>
      </c>
      <c r="T32" s="590" t="s">
        <v>665</v>
      </c>
      <c r="U32" s="263" t="s">
        <v>367</v>
      </c>
      <c r="V32" s="261" t="s">
        <v>375</v>
      </c>
      <c r="W32" s="261" t="s">
        <v>340</v>
      </c>
      <c r="X32" s="264" t="s">
        <v>356</v>
      </c>
      <c r="Y32" s="261">
        <v>1</v>
      </c>
      <c r="Z32" s="384">
        <v>1</v>
      </c>
      <c r="AA32" s="384">
        <v>0</v>
      </c>
      <c r="AB32" s="387">
        <v>0</v>
      </c>
      <c r="AC32" s="384">
        <v>0</v>
      </c>
      <c r="AD32" s="384">
        <v>0</v>
      </c>
      <c r="AE32" s="384">
        <v>0</v>
      </c>
      <c r="AF32" s="387">
        <v>0</v>
      </c>
      <c r="AG32" s="384">
        <v>1</v>
      </c>
      <c r="AH32" s="384">
        <v>1</v>
      </c>
      <c r="AI32" s="384">
        <v>0</v>
      </c>
      <c r="AJ32" s="387">
        <v>0</v>
      </c>
    </row>
    <row r="33" spans="1:36" ht="15" customHeight="1" thickBot="1" x14ac:dyDescent="0.3">
      <c r="A33" s="239" t="s">
        <v>899</v>
      </c>
      <c r="B33" s="240" t="s">
        <v>54</v>
      </c>
      <c r="C33" s="122" t="s">
        <v>30</v>
      </c>
      <c r="D33" s="123" t="s">
        <v>90</v>
      </c>
      <c r="E33" s="123" t="s">
        <v>34</v>
      </c>
      <c r="F33" s="123">
        <v>36</v>
      </c>
      <c r="G33" s="241">
        <v>29</v>
      </c>
      <c r="H33" s="244">
        <v>0</v>
      </c>
      <c r="I33" s="242">
        <v>0</v>
      </c>
      <c r="J33" s="242">
        <v>3</v>
      </c>
      <c r="K33" s="242">
        <v>3</v>
      </c>
      <c r="L33" s="242">
        <v>0</v>
      </c>
      <c r="M33" s="242">
        <v>5</v>
      </c>
      <c r="N33" s="242">
        <v>0</v>
      </c>
      <c r="O33" s="242">
        <v>0</v>
      </c>
      <c r="P33" s="242">
        <v>0</v>
      </c>
      <c r="Q33" s="242">
        <v>1</v>
      </c>
      <c r="R33" s="242">
        <v>2</v>
      </c>
      <c r="S33" s="243">
        <v>16712</v>
      </c>
      <c r="T33" s="592" t="s">
        <v>1003</v>
      </c>
      <c r="U33" s="245" t="s">
        <v>419</v>
      </c>
      <c r="V33" s="243" t="s">
        <v>339</v>
      </c>
      <c r="W33" s="243" t="s">
        <v>377</v>
      </c>
      <c r="X33" s="169" t="s">
        <v>355</v>
      </c>
      <c r="Y33" s="243">
        <v>1</v>
      </c>
      <c r="Z33" s="243">
        <v>1</v>
      </c>
      <c r="AA33" s="243">
        <v>0</v>
      </c>
      <c r="AB33" s="167">
        <v>0</v>
      </c>
      <c r="AC33" s="243">
        <v>1</v>
      </c>
      <c r="AD33" s="243">
        <v>1</v>
      </c>
      <c r="AE33" s="243">
        <v>0</v>
      </c>
      <c r="AF33" s="167">
        <v>0</v>
      </c>
      <c r="AG33" s="243">
        <v>0</v>
      </c>
      <c r="AH33" s="243">
        <v>0</v>
      </c>
      <c r="AI33" s="243">
        <v>0</v>
      </c>
      <c r="AJ33" s="167">
        <v>0</v>
      </c>
    </row>
    <row r="34" spans="1:36" ht="15" customHeight="1" thickBot="1" x14ac:dyDescent="0.3">
      <c r="A34" s="239" t="s">
        <v>164</v>
      </c>
      <c r="B34" s="240" t="s">
        <v>54</v>
      </c>
      <c r="C34" s="122" t="s">
        <v>28</v>
      </c>
      <c r="D34" s="123" t="s">
        <v>90</v>
      </c>
      <c r="E34" s="123" t="s">
        <v>36</v>
      </c>
      <c r="F34" s="123">
        <v>21</v>
      </c>
      <c r="G34" s="241">
        <v>26</v>
      </c>
      <c r="H34" s="244">
        <v>0</v>
      </c>
      <c r="I34" s="242">
        <v>1</v>
      </c>
      <c r="J34" s="242">
        <v>0</v>
      </c>
      <c r="K34" s="242">
        <v>0</v>
      </c>
      <c r="L34" s="242">
        <v>0</v>
      </c>
      <c r="M34" s="242">
        <v>7</v>
      </c>
      <c r="N34" s="242">
        <v>0</v>
      </c>
      <c r="O34" s="242">
        <v>0</v>
      </c>
      <c r="P34" s="242">
        <v>0</v>
      </c>
      <c r="Q34" s="242">
        <v>1</v>
      </c>
      <c r="R34" s="242">
        <v>3</v>
      </c>
      <c r="S34" s="807">
        <v>32019</v>
      </c>
      <c r="T34" s="514" t="s">
        <v>1012</v>
      </c>
      <c r="U34" s="245" t="s">
        <v>338</v>
      </c>
      <c r="V34" s="243" t="s">
        <v>339</v>
      </c>
      <c r="W34" s="243" t="s">
        <v>340</v>
      </c>
      <c r="X34" s="169" t="s">
        <v>390</v>
      </c>
      <c r="Y34" s="243">
        <v>1</v>
      </c>
      <c r="Z34" s="243">
        <v>0</v>
      </c>
      <c r="AA34" s="243">
        <v>0</v>
      </c>
      <c r="AB34" s="167">
        <v>1</v>
      </c>
      <c r="AC34" s="243">
        <v>1</v>
      </c>
      <c r="AD34" s="243">
        <v>0</v>
      </c>
      <c r="AE34" s="243">
        <v>0</v>
      </c>
      <c r="AF34" s="167">
        <v>1</v>
      </c>
      <c r="AG34" s="243">
        <v>0</v>
      </c>
      <c r="AH34" s="243">
        <v>0</v>
      </c>
      <c r="AI34" s="243">
        <v>0</v>
      </c>
      <c r="AJ34" s="167">
        <v>0</v>
      </c>
    </row>
    <row r="35" spans="1:36" ht="15" customHeight="1" thickBot="1" x14ac:dyDescent="0.3">
      <c r="A35" s="256" t="s">
        <v>820</v>
      </c>
      <c r="B35" s="255" t="s">
        <v>54</v>
      </c>
      <c r="C35" s="247" t="s">
        <v>91</v>
      </c>
      <c r="D35" s="257" t="s">
        <v>38</v>
      </c>
      <c r="E35" s="257" t="s">
        <v>35</v>
      </c>
      <c r="F35" s="257">
        <v>40</v>
      </c>
      <c r="G35" s="258">
        <v>40</v>
      </c>
      <c r="H35" s="259">
        <v>1</v>
      </c>
      <c r="I35" s="260">
        <v>0</v>
      </c>
      <c r="J35" s="260">
        <v>5</v>
      </c>
      <c r="K35" s="260">
        <v>3</v>
      </c>
      <c r="L35" s="260">
        <v>0</v>
      </c>
      <c r="M35" s="260">
        <v>3</v>
      </c>
      <c r="N35" s="260">
        <v>0</v>
      </c>
      <c r="O35" s="260">
        <v>0</v>
      </c>
      <c r="P35" s="260">
        <v>1</v>
      </c>
      <c r="Q35" s="260">
        <v>0</v>
      </c>
      <c r="R35" s="260">
        <v>5</v>
      </c>
      <c r="S35" s="374">
        <v>9295</v>
      </c>
      <c r="T35" s="522" t="s">
        <v>1043</v>
      </c>
      <c r="U35" s="375" t="s">
        <v>345</v>
      </c>
      <c r="V35" s="376" t="s">
        <v>361</v>
      </c>
      <c r="W35" s="376" t="s">
        <v>485</v>
      </c>
      <c r="X35" s="377" t="s">
        <v>370</v>
      </c>
      <c r="Y35" s="261">
        <v>1</v>
      </c>
      <c r="Z35" s="261">
        <v>0</v>
      </c>
      <c r="AA35" s="261">
        <v>1</v>
      </c>
      <c r="AB35" s="168">
        <v>0</v>
      </c>
      <c r="AC35" s="261">
        <v>0</v>
      </c>
      <c r="AD35" s="261">
        <v>0</v>
      </c>
      <c r="AE35" s="261">
        <v>0</v>
      </c>
      <c r="AF35" s="168">
        <v>0</v>
      </c>
      <c r="AG35" s="261">
        <v>1</v>
      </c>
      <c r="AH35" s="261">
        <v>0</v>
      </c>
      <c r="AI35" s="261">
        <v>1</v>
      </c>
      <c r="AJ35" s="168">
        <v>0</v>
      </c>
    </row>
    <row r="36" spans="1:36" ht="15" customHeight="1" thickBot="1" x14ac:dyDescent="0.3">
      <c r="A36" s="66"/>
      <c r="B36" s="67"/>
      <c r="C36" s="885" t="s">
        <v>149</v>
      </c>
      <c r="D36" s="886"/>
      <c r="E36" s="887"/>
      <c r="F36" s="291">
        <f t="shared" ref="F36:R36" si="1">SUM(F3+F4+F5+F6+F7+F8+F13+F14+F15+F18+F19+F20+F21+F26+F27+F28+F29+F30+F32+F33+F34+F35)</f>
        <v>672</v>
      </c>
      <c r="G36" s="291">
        <f t="shared" si="1"/>
        <v>527</v>
      </c>
      <c r="H36" s="291">
        <f t="shared" si="1"/>
        <v>9</v>
      </c>
      <c r="I36" s="291">
        <f t="shared" si="1"/>
        <v>4</v>
      </c>
      <c r="J36" s="291">
        <f t="shared" si="1"/>
        <v>77</v>
      </c>
      <c r="K36" s="291">
        <f t="shared" si="1"/>
        <v>59</v>
      </c>
      <c r="L36" s="291">
        <f t="shared" si="1"/>
        <v>1</v>
      </c>
      <c r="M36" s="291">
        <f t="shared" si="1"/>
        <v>56</v>
      </c>
      <c r="N36" s="291">
        <f t="shared" si="1"/>
        <v>9</v>
      </c>
      <c r="O36" s="291">
        <f t="shared" si="1"/>
        <v>1</v>
      </c>
      <c r="P36" s="291">
        <f t="shared" si="1"/>
        <v>4</v>
      </c>
      <c r="Q36" s="291">
        <f t="shared" si="1"/>
        <v>5</v>
      </c>
      <c r="R36" s="291">
        <f t="shared" si="1"/>
        <v>54</v>
      </c>
      <c r="S36" s="68"/>
      <c r="T36" s="68"/>
      <c r="U36" s="68"/>
      <c r="V36" s="68"/>
      <c r="W36" s="68"/>
      <c r="X36" s="310" t="s">
        <v>173</v>
      </c>
      <c r="Y36" s="291">
        <f t="shared" ref="Y36:AJ36" si="2">SUM(Y3+Y4+Y5+Y6+Y7+Y8+Y13+Y14+Y15+Y18+Y19+Y20+Y21+Y26+Y27+Y28+Y29+Y30+Y32+Y33+Y34+Y35)</f>
        <v>22</v>
      </c>
      <c r="Z36" s="291">
        <f t="shared" si="2"/>
        <v>11</v>
      </c>
      <c r="AA36" s="291">
        <f t="shared" si="2"/>
        <v>2</v>
      </c>
      <c r="AB36" s="291">
        <f t="shared" si="2"/>
        <v>9</v>
      </c>
      <c r="AC36" s="121">
        <f t="shared" si="2"/>
        <v>11</v>
      </c>
      <c r="AD36" s="121">
        <f t="shared" si="2"/>
        <v>9</v>
      </c>
      <c r="AE36" s="121">
        <f t="shared" si="2"/>
        <v>0</v>
      </c>
      <c r="AF36" s="121">
        <f t="shared" si="2"/>
        <v>2</v>
      </c>
      <c r="AG36" s="289">
        <f t="shared" si="2"/>
        <v>11</v>
      </c>
      <c r="AH36" s="289">
        <f t="shared" si="2"/>
        <v>2</v>
      </c>
      <c r="AI36" s="289">
        <f t="shared" si="2"/>
        <v>2</v>
      </c>
      <c r="AJ36" s="289">
        <f t="shared" si="2"/>
        <v>7</v>
      </c>
    </row>
    <row r="37" spans="1:36" ht="15" customHeight="1" thickBot="1" x14ac:dyDescent="0.3">
      <c r="A37" s="68"/>
      <c r="B37" s="68"/>
      <c r="C37" s="888" t="s">
        <v>178</v>
      </c>
      <c r="D37" s="889"/>
      <c r="E37" s="890"/>
      <c r="F37" s="417">
        <f t="shared" ref="F37:R37" si="3">SUM(F9+F10+F16+F17+F22+F23)</f>
        <v>155</v>
      </c>
      <c r="G37" s="417">
        <f t="shared" si="3"/>
        <v>105</v>
      </c>
      <c r="H37" s="417">
        <f t="shared" si="3"/>
        <v>2</v>
      </c>
      <c r="I37" s="417">
        <f t="shared" si="3"/>
        <v>2</v>
      </c>
      <c r="J37" s="417">
        <f t="shared" si="3"/>
        <v>18</v>
      </c>
      <c r="K37" s="417">
        <f t="shared" si="3"/>
        <v>13</v>
      </c>
      <c r="L37" s="417">
        <f t="shared" si="3"/>
        <v>0</v>
      </c>
      <c r="M37" s="417">
        <f t="shared" si="3"/>
        <v>13</v>
      </c>
      <c r="N37" s="417">
        <f t="shared" si="3"/>
        <v>3</v>
      </c>
      <c r="O37" s="417">
        <f t="shared" si="3"/>
        <v>0</v>
      </c>
      <c r="P37" s="417">
        <f t="shared" si="3"/>
        <v>0</v>
      </c>
      <c r="Q37" s="417">
        <f t="shared" si="3"/>
        <v>0</v>
      </c>
      <c r="R37" s="417">
        <f t="shared" si="3"/>
        <v>12</v>
      </c>
      <c r="S37" s="418"/>
      <c r="T37" s="418"/>
      <c r="U37" s="418"/>
      <c r="V37" s="418"/>
      <c r="W37" s="419"/>
      <c r="X37" s="420" t="s">
        <v>178</v>
      </c>
      <c r="Y37" s="421">
        <f t="shared" ref="Y37:AJ37" si="4">SUM(Y9+Y10+Y16+Y17+Y22+Y23)</f>
        <v>6</v>
      </c>
      <c r="Z37" s="417">
        <f t="shared" si="4"/>
        <v>3</v>
      </c>
      <c r="AA37" s="417">
        <f t="shared" si="4"/>
        <v>1</v>
      </c>
      <c r="AB37" s="417">
        <f t="shared" si="4"/>
        <v>2</v>
      </c>
      <c r="AC37" s="423">
        <f t="shared" si="4"/>
        <v>4</v>
      </c>
      <c r="AD37" s="423">
        <f t="shared" si="4"/>
        <v>2</v>
      </c>
      <c r="AE37" s="423">
        <f t="shared" si="4"/>
        <v>1</v>
      </c>
      <c r="AF37" s="423">
        <f t="shared" si="4"/>
        <v>1</v>
      </c>
      <c r="AG37" s="422">
        <f t="shared" si="4"/>
        <v>2</v>
      </c>
      <c r="AH37" s="422">
        <f t="shared" si="4"/>
        <v>1</v>
      </c>
      <c r="AI37" s="422">
        <f t="shared" si="4"/>
        <v>0</v>
      </c>
      <c r="AJ37" s="422">
        <f t="shared" si="4"/>
        <v>1</v>
      </c>
    </row>
    <row r="38" spans="1:36" ht="15" customHeight="1" thickBot="1" x14ac:dyDescent="0.3">
      <c r="A38" s="68"/>
      <c r="B38" s="68"/>
      <c r="C38" s="888" t="s">
        <v>179</v>
      </c>
      <c r="D38" s="889"/>
      <c r="E38" s="890"/>
      <c r="F38" s="417">
        <f>SUM(F31)</f>
        <v>18</v>
      </c>
      <c r="G38" s="417">
        <f>SUM(G31)</f>
        <v>32</v>
      </c>
      <c r="H38" s="417" t="s">
        <v>85</v>
      </c>
      <c r="I38" s="417" t="s">
        <v>85</v>
      </c>
      <c r="J38" s="417">
        <f t="shared" ref="J38:O38" si="5">SUM(J31)</f>
        <v>2</v>
      </c>
      <c r="K38" s="417">
        <f t="shared" si="5"/>
        <v>1</v>
      </c>
      <c r="L38" s="417">
        <f t="shared" si="5"/>
        <v>0</v>
      </c>
      <c r="M38" s="417">
        <f t="shared" si="5"/>
        <v>2</v>
      </c>
      <c r="N38" s="417">
        <f t="shared" si="5"/>
        <v>1</v>
      </c>
      <c r="O38" s="417">
        <f t="shared" si="5"/>
        <v>0</v>
      </c>
      <c r="P38" s="417" t="s">
        <v>85</v>
      </c>
      <c r="Q38" s="417" t="s">
        <v>85</v>
      </c>
      <c r="R38" s="417">
        <f>SUM(R31)</f>
        <v>2</v>
      </c>
      <c r="S38" s="418"/>
      <c r="T38" s="418"/>
      <c r="U38" s="418"/>
      <c r="V38" s="418"/>
      <c r="W38" s="419"/>
      <c r="X38" s="420" t="s">
        <v>179</v>
      </c>
      <c r="Y38" s="417">
        <f t="shared" ref="Y38:AJ38" si="6">SUM(Y31)</f>
        <v>1</v>
      </c>
      <c r="Z38" s="417">
        <f t="shared" si="6"/>
        <v>0</v>
      </c>
      <c r="AA38" s="417">
        <f t="shared" si="6"/>
        <v>0</v>
      </c>
      <c r="AB38" s="417">
        <f t="shared" si="6"/>
        <v>1</v>
      </c>
      <c r="AC38" s="423">
        <f t="shared" si="6"/>
        <v>0</v>
      </c>
      <c r="AD38" s="423">
        <f t="shared" si="6"/>
        <v>0</v>
      </c>
      <c r="AE38" s="423">
        <f t="shared" si="6"/>
        <v>0</v>
      </c>
      <c r="AF38" s="423">
        <f t="shared" si="6"/>
        <v>0</v>
      </c>
      <c r="AG38" s="422">
        <f t="shared" si="6"/>
        <v>1</v>
      </c>
      <c r="AH38" s="422">
        <f t="shared" si="6"/>
        <v>0</v>
      </c>
      <c r="AI38" s="422">
        <f t="shared" si="6"/>
        <v>0</v>
      </c>
      <c r="AJ38" s="422">
        <f t="shared" si="6"/>
        <v>1</v>
      </c>
    </row>
    <row r="39" spans="1:36" ht="15" customHeight="1" thickBot="1" x14ac:dyDescent="0.3">
      <c r="A39" s="68"/>
      <c r="B39" s="68"/>
      <c r="C39" s="891" t="s">
        <v>168</v>
      </c>
      <c r="D39" s="892"/>
      <c r="E39" s="893"/>
      <c r="F39" s="319">
        <f t="shared" ref="F39:R39" si="7">SUM(F11+F12+F24+F25)</f>
        <v>120</v>
      </c>
      <c r="G39" s="319">
        <f t="shared" si="7"/>
        <v>128</v>
      </c>
      <c r="H39" s="319">
        <f t="shared" si="7"/>
        <v>3</v>
      </c>
      <c r="I39" s="319">
        <f t="shared" si="7"/>
        <v>2</v>
      </c>
      <c r="J39" s="319">
        <f t="shared" si="7"/>
        <v>14</v>
      </c>
      <c r="K39" s="319">
        <f t="shared" si="7"/>
        <v>13</v>
      </c>
      <c r="L39" s="319">
        <f t="shared" si="7"/>
        <v>0</v>
      </c>
      <c r="M39" s="319">
        <f t="shared" si="7"/>
        <v>8</v>
      </c>
      <c r="N39" s="319">
        <f t="shared" si="7"/>
        <v>0</v>
      </c>
      <c r="O39" s="319">
        <f t="shared" si="7"/>
        <v>0</v>
      </c>
      <c r="P39" s="319">
        <f t="shared" si="7"/>
        <v>3</v>
      </c>
      <c r="Q39" s="319">
        <f t="shared" si="7"/>
        <v>0</v>
      </c>
      <c r="R39" s="319">
        <f t="shared" si="7"/>
        <v>15</v>
      </c>
      <c r="S39" s="321"/>
      <c r="T39" s="321"/>
      <c r="U39" s="321"/>
      <c r="V39" s="321"/>
      <c r="W39" s="329"/>
      <c r="X39" s="322" t="s">
        <v>168</v>
      </c>
      <c r="Y39" s="320">
        <f t="shared" ref="Y39:AJ39" si="8">SUM(Y11+Y12+Y24+Y25)</f>
        <v>4</v>
      </c>
      <c r="Z39" s="319">
        <f t="shared" si="8"/>
        <v>1</v>
      </c>
      <c r="AA39" s="319">
        <f t="shared" si="8"/>
        <v>0</v>
      </c>
      <c r="AB39" s="319">
        <f t="shared" si="8"/>
        <v>3</v>
      </c>
      <c r="AC39" s="324">
        <f t="shared" si="8"/>
        <v>2</v>
      </c>
      <c r="AD39" s="324">
        <f t="shared" si="8"/>
        <v>1</v>
      </c>
      <c r="AE39" s="324">
        <f t="shared" si="8"/>
        <v>0</v>
      </c>
      <c r="AF39" s="324">
        <f t="shared" si="8"/>
        <v>1</v>
      </c>
      <c r="AG39" s="323">
        <f t="shared" si="8"/>
        <v>2</v>
      </c>
      <c r="AH39" s="323">
        <f t="shared" si="8"/>
        <v>0</v>
      </c>
      <c r="AI39" s="323">
        <f t="shared" si="8"/>
        <v>0</v>
      </c>
      <c r="AJ39" s="323">
        <f t="shared" si="8"/>
        <v>2</v>
      </c>
    </row>
    <row r="40" spans="1:36" ht="15.75" thickBot="1" x14ac:dyDescent="0.3">
      <c r="C40" s="458" t="s">
        <v>166</v>
      </c>
      <c r="D40" s="459"/>
      <c r="E40" s="460"/>
      <c r="F40" s="461">
        <v>0</v>
      </c>
      <c r="G40" s="461">
        <v>0</v>
      </c>
      <c r="H40" s="465">
        <v>0</v>
      </c>
      <c r="I40" s="465">
        <v>0</v>
      </c>
      <c r="J40" s="461">
        <v>0</v>
      </c>
      <c r="K40" s="461">
        <v>0</v>
      </c>
      <c r="L40" s="461">
        <v>0</v>
      </c>
      <c r="M40" s="461">
        <v>0</v>
      </c>
      <c r="N40" s="461">
        <v>0</v>
      </c>
      <c r="O40" s="461">
        <v>0</v>
      </c>
      <c r="P40" s="461">
        <v>0</v>
      </c>
      <c r="Q40" s="461">
        <v>0</v>
      </c>
      <c r="R40" s="461">
        <v>0</v>
      </c>
      <c r="S40" s="462"/>
      <c r="T40" s="462"/>
      <c r="U40" s="462"/>
      <c r="V40" s="462"/>
      <c r="W40" s="463"/>
      <c r="X40" s="464" t="s">
        <v>166</v>
      </c>
      <c r="Y40" s="465">
        <v>0</v>
      </c>
      <c r="Z40" s="461">
        <v>0</v>
      </c>
      <c r="AA40" s="461">
        <v>0</v>
      </c>
      <c r="AB40" s="461">
        <v>0</v>
      </c>
      <c r="AC40" s="468">
        <v>0</v>
      </c>
      <c r="AD40" s="469">
        <v>0</v>
      </c>
      <c r="AE40" s="469">
        <v>0</v>
      </c>
      <c r="AF40" s="469">
        <v>0</v>
      </c>
      <c r="AG40" s="466">
        <v>0</v>
      </c>
      <c r="AH40" s="467">
        <v>0</v>
      </c>
      <c r="AI40" s="467">
        <v>0</v>
      </c>
      <c r="AJ40" s="467">
        <v>0</v>
      </c>
    </row>
    <row r="41" spans="1:36" ht="15.75" thickBot="1" x14ac:dyDescent="0.3">
      <c r="C41" s="882" t="s">
        <v>70</v>
      </c>
      <c r="D41" s="883"/>
      <c r="E41" s="884"/>
      <c r="F41" s="293">
        <f t="shared" ref="F41:R41" si="9">SUM(F3:F35)</f>
        <v>965</v>
      </c>
      <c r="G41" s="293">
        <f t="shared" si="9"/>
        <v>792</v>
      </c>
      <c r="H41" s="292">
        <f t="shared" si="9"/>
        <v>14</v>
      </c>
      <c r="I41" s="292">
        <f t="shared" si="9"/>
        <v>8</v>
      </c>
      <c r="J41" s="293">
        <f t="shared" si="9"/>
        <v>111</v>
      </c>
      <c r="K41" s="293">
        <f t="shared" si="9"/>
        <v>86</v>
      </c>
      <c r="L41" s="293">
        <f t="shared" si="9"/>
        <v>1</v>
      </c>
      <c r="M41" s="293">
        <f t="shared" si="9"/>
        <v>79</v>
      </c>
      <c r="N41" s="293">
        <f t="shared" si="9"/>
        <v>13</v>
      </c>
      <c r="O41" s="293">
        <f t="shared" si="9"/>
        <v>1</v>
      </c>
      <c r="P41" s="293">
        <f t="shared" si="9"/>
        <v>7</v>
      </c>
      <c r="Q41" s="293">
        <f t="shared" si="9"/>
        <v>5</v>
      </c>
      <c r="R41" s="293">
        <f t="shared" si="9"/>
        <v>83</v>
      </c>
      <c r="S41" s="68"/>
      <c r="T41" s="68"/>
      <c r="U41" s="68"/>
      <c r="V41" s="68"/>
      <c r="W41" s="331"/>
      <c r="X41" s="309" t="s">
        <v>70</v>
      </c>
      <c r="Y41" s="292">
        <f t="shared" ref="Y41:AJ41" si="10">SUM(Y3:Y35)</f>
        <v>33</v>
      </c>
      <c r="Z41" s="293">
        <f t="shared" si="10"/>
        <v>15</v>
      </c>
      <c r="AA41" s="293">
        <f t="shared" si="10"/>
        <v>3</v>
      </c>
      <c r="AB41" s="293">
        <f t="shared" si="10"/>
        <v>15</v>
      </c>
      <c r="AC41" s="198">
        <f t="shared" si="10"/>
        <v>17</v>
      </c>
      <c r="AD41" s="390">
        <f t="shared" si="10"/>
        <v>12</v>
      </c>
      <c r="AE41" s="390">
        <f t="shared" si="10"/>
        <v>1</v>
      </c>
      <c r="AF41" s="390">
        <f t="shared" si="10"/>
        <v>4</v>
      </c>
      <c r="AG41" s="290">
        <f t="shared" si="10"/>
        <v>16</v>
      </c>
      <c r="AH41" s="133">
        <f t="shared" si="10"/>
        <v>3</v>
      </c>
      <c r="AI41" s="133">
        <f t="shared" si="10"/>
        <v>2</v>
      </c>
      <c r="AJ41" s="133">
        <f t="shared" si="10"/>
        <v>11</v>
      </c>
    </row>
    <row r="42" spans="1:36" x14ac:dyDescent="0.25">
      <c r="A42" t="s">
        <v>546</v>
      </c>
    </row>
    <row r="43" spans="1:36" x14ac:dyDescent="0.25">
      <c r="A43" s="667" t="s">
        <v>1011</v>
      </c>
    </row>
    <row r="44" spans="1:36" x14ac:dyDescent="0.25">
      <c r="A44" s="470" t="s">
        <v>253</v>
      </c>
    </row>
  </sheetData>
  <mergeCells count="15">
    <mergeCell ref="C36:E36"/>
    <mergeCell ref="C39:E39"/>
    <mergeCell ref="C41:E41"/>
    <mergeCell ref="A1:D1"/>
    <mergeCell ref="E1:G1"/>
    <mergeCell ref="C37:E37"/>
    <mergeCell ref="C38:E38"/>
    <mergeCell ref="AL14:AM14"/>
    <mergeCell ref="AN14:AO14"/>
    <mergeCell ref="AP14:AQ14"/>
    <mergeCell ref="AR14:AS14"/>
    <mergeCell ref="H1:I1"/>
    <mergeCell ref="J1:M1"/>
    <mergeCell ref="N1:O1"/>
    <mergeCell ref="P1:R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workbookViewId="0">
      <selection activeCell="C21" sqref="C21"/>
    </sheetView>
  </sheetViews>
  <sheetFormatPr defaultRowHeight="15" x14ac:dyDescent="0.25"/>
  <sheetData>
    <row r="1" spans="1:12" x14ac:dyDescent="0.25">
      <c r="A1" s="18"/>
      <c r="B1" s="18"/>
      <c r="C1" s="18" t="s">
        <v>934</v>
      </c>
      <c r="D1" s="18"/>
      <c r="E1" s="18"/>
      <c r="F1" s="18"/>
      <c r="G1" s="18"/>
      <c r="H1" s="18"/>
      <c r="I1" s="18" t="s">
        <v>935</v>
      </c>
      <c r="J1" s="18"/>
      <c r="K1" s="18"/>
      <c r="L1" s="18"/>
    </row>
    <row r="2" spans="1:12" x14ac:dyDescent="0.25">
      <c r="A2" s="18"/>
      <c r="B2" s="747" t="s">
        <v>33</v>
      </c>
      <c r="C2" s="747" t="s">
        <v>34</v>
      </c>
      <c r="D2" s="747" t="s">
        <v>35</v>
      </c>
      <c r="E2" s="747" t="s">
        <v>36</v>
      </c>
      <c r="F2" s="747" t="s">
        <v>933</v>
      </c>
      <c r="G2" s="748"/>
      <c r="H2" s="747" t="s">
        <v>33</v>
      </c>
      <c r="I2" s="747" t="s">
        <v>34</v>
      </c>
      <c r="J2" s="747" t="s">
        <v>35</v>
      </c>
      <c r="K2" s="747" t="s">
        <v>36</v>
      </c>
      <c r="L2" s="747" t="s">
        <v>933</v>
      </c>
    </row>
    <row r="3" spans="1:12" x14ac:dyDescent="0.25">
      <c r="A3" s="18" t="s">
        <v>932</v>
      </c>
      <c r="B3">
        <v>132</v>
      </c>
      <c r="C3">
        <v>82</v>
      </c>
      <c r="D3">
        <v>4</v>
      </c>
      <c r="E3">
        <v>46</v>
      </c>
      <c r="F3" s="746">
        <f>SUM(C3+D3*0.5)/B3*100</f>
        <v>63.636363636363633</v>
      </c>
      <c r="G3" s="745"/>
      <c r="H3">
        <v>132</v>
      </c>
      <c r="I3">
        <v>46</v>
      </c>
      <c r="J3">
        <v>4</v>
      </c>
      <c r="K3">
        <v>82</v>
      </c>
      <c r="L3" s="746">
        <f>SUM(I3+J3*0.5)/H3*100</f>
        <v>36.363636363636367</v>
      </c>
    </row>
    <row r="4" spans="1:12" x14ac:dyDescent="0.25">
      <c r="A4" s="18" t="s">
        <v>916</v>
      </c>
      <c r="B4">
        <v>182</v>
      </c>
      <c r="C4">
        <v>109</v>
      </c>
      <c r="D4">
        <v>4</v>
      </c>
      <c r="E4">
        <v>69</v>
      </c>
      <c r="F4" s="746">
        <f t="shared" ref="F4:F21" si="0">SUM(C4+D4*0.5)/B4*100</f>
        <v>60.989010989010993</v>
      </c>
      <c r="G4" s="745"/>
      <c r="H4">
        <v>182</v>
      </c>
      <c r="I4">
        <v>69</v>
      </c>
      <c r="J4">
        <v>4</v>
      </c>
      <c r="K4">
        <v>109</v>
      </c>
      <c r="L4" s="746">
        <f t="shared" ref="L4:L21" si="1">SUM(I4+J4*0.5)/H4*100</f>
        <v>39.010989010989015</v>
      </c>
    </row>
    <row r="5" spans="1:12" x14ac:dyDescent="0.25">
      <c r="A5" s="18" t="s">
        <v>917</v>
      </c>
      <c r="B5">
        <v>132</v>
      </c>
      <c r="C5">
        <v>79</v>
      </c>
      <c r="D5">
        <v>4</v>
      </c>
      <c r="E5">
        <v>49</v>
      </c>
      <c r="F5" s="746">
        <f t="shared" si="0"/>
        <v>61.363636363636367</v>
      </c>
      <c r="G5" s="745"/>
      <c r="H5">
        <v>132</v>
      </c>
      <c r="I5">
        <v>49</v>
      </c>
      <c r="J5">
        <v>4</v>
      </c>
      <c r="K5">
        <v>79</v>
      </c>
      <c r="L5" s="746">
        <f t="shared" si="1"/>
        <v>38.636363636363633</v>
      </c>
    </row>
    <row r="6" spans="1:12" x14ac:dyDescent="0.25">
      <c r="A6" s="18" t="s">
        <v>918</v>
      </c>
      <c r="B6">
        <v>132</v>
      </c>
      <c r="C6">
        <v>89</v>
      </c>
      <c r="D6">
        <v>2</v>
      </c>
      <c r="E6">
        <v>41</v>
      </c>
      <c r="F6" s="746">
        <f t="shared" si="0"/>
        <v>68.181818181818173</v>
      </c>
      <c r="G6" s="745"/>
      <c r="H6">
        <v>132</v>
      </c>
      <c r="I6">
        <v>41</v>
      </c>
      <c r="J6">
        <v>2</v>
      </c>
      <c r="K6">
        <v>89</v>
      </c>
      <c r="L6" s="746">
        <f t="shared" si="1"/>
        <v>31.818181818181817</v>
      </c>
    </row>
    <row r="7" spans="1:12" x14ac:dyDescent="0.25">
      <c r="A7" s="18" t="s">
        <v>919</v>
      </c>
      <c r="B7">
        <v>132</v>
      </c>
      <c r="C7">
        <v>87</v>
      </c>
      <c r="D7">
        <v>5</v>
      </c>
      <c r="E7">
        <v>40</v>
      </c>
      <c r="F7" s="746">
        <f t="shared" si="0"/>
        <v>67.803030303030297</v>
      </c>
      <c r="G7" s="745"/>
      <c r="H7">
        <v>132</v>
      </c>
      <c r="I7">
        <v>40</v>
      </c>
      <c r="J7">
        <v>5</v>
      </c>
      <c r="K7">
        <v>87</v>
      </c>
      <c r="L7" s="746">
        <f t="shared" si="1"/>
        <v>32.196969696969695</v>
      </c>
    </row>
    <row r="8" spans="1:12" x14ac:dyDescent="0.25">
      <c r="A8" s="18" t="s">
        <v>920</v>
      </c>
      <c r="B8">
        <v>133</v>
      </c>
      <c r="C8">
        <v>89</v>
      </c>
      <c r="D8">
        <v>6</v>
      </c>
      <c r="E8">
        <v>38</v>
      </c>
      <c r="F8" s="746">
        <f t="shared" si="0"/>
        <v>69.172932330827066</v>
      </c>
      <c r="G8" s="745"/>
      <c r="H8">
        <v>133</v>
      </c>
      <c r="I8">
        <v>38</v>
      </c>
      <c r="J8">
        <v>6</v>
      </c>
      <c r="K8">
        <v>89</v>
      </c>
      <c r="L8" s="746">
        <f t="shared" si="1"/>
        <v>30.82706766917293</v>
      </c>
    </row>
    <row r="9" spans="1:12" x14ac:dyDescent="0.25">
      <c r="A9" s="18" t="s">
        <v>921</v>
      </c>
      <c r="B9">
        <v>133</v>
      </c>
      <c r="C9">
        <v>77</v>
      </c>
      <c r="D9">
        <v>7</v>
      </c>
      <c r="E9">
        <v>49</v>
      </c>
      <c r="F9" s="746">
        <f t="shared" si="0"/>
        <v>60.526315789473685</v>
      </c>
      <c r="G9" s="745"/>
      <c r="H9">
        <v>133</v>
      </c>
      <c r="I9">
        <v>49</v>
      </c>
      <c r="J9">
        <v>7</v>
      </c>
      <c r="K9">
        <v>77</v>
      </c>
      <c r="L9" s="746">
        <f t="shared" si="1"/>
        <v>39.473684210526315</v>
      </c>
    </row>
    <row r="10" spans="1:12" x14ac:dyDescent="0.25">
      <c r="A10" s="18" t="s">
        <v>922</v>
      </c>
      <c r="B10">
        <v>133</v>
      </c>
      <c r="C10">
        <v>75</v>
      </c>
      <c r="D10">
        <v>6</v>
      </c>
      <c r="E10">
        <v>52</v>
      </c>
      <c r="F10" s="746">
        <f t="shared" si="0"/>
        <v>58.646616541353382</v>
      </c>
      <c r="G10" s="745"/>
      <c r="H10">
        <v>133</v>
      </c>
      <c r="I10">
        <v>52</v>
      </c>
      <c r="J10">
        <v>6</v>
      </c>
      <c r="K10">
        <v>75</v>
      </c>
      <c r="L10" s="746">
        <f t="shared" si="1"/>
        <v>41.353383458646611</v>
      </c>
    </row>
    <row r="11" spans="1:12" x14ac:dyDescent="0.25">
      <c r="A11" s="18" t="s">
        <v>923</v>
      </c>
      <c r="B11">
        <v>134</v>
      </c>
      <c r="C11">
        <v>79</v>
      </c>
      <c r="D11">
        <v>7</v>
      </c>
      <c r="E11">
        <v>48</v>
      </c>
      <c r="F11" s="746">
        <f t="shared" si="0"/>
        <v>61.567164179104473</v>
      </c>
      <c r="G11" s="745"/>
      <c r="H11">
        <v>134</v>
      </c>
      <c r="I11">
        <v>48</v>
      </c>
      <c r="J11">
        <v>7</v>
      </c>
      <c r="K11">
        <v>79</v>
      </c>
      <c r="L11" s="746">
        <f t="shared" si="1"/>
        <v>38.432835820895519</v>
      </c>
    </row>
    <row r="12" spans="1:12" x14ac:dyDescent="0.25">
      <c r="A12" s="18" t="s">
        <v>924</v>
      </c>
      <c r="B12">
        <v>134</v>
      </c>
      <c r="C12">
        <v>92</v>
      </c>
      <c r="D12">
        <v>6</v>
      </c>
      <c r="E12">
        <v>36</v>
      </c>
      <c r="F12" s="746">
        <f t="shared" si="0"/>
        <v>70.895522388059703</v>
      </c>
      <c r="G12" s="745"/>
      <c r="H12">
        <v>134</v>
      </c>
      <c r="I12">
        <v>36</v>
      </c>
      <c r="J12">
        <v>6</v>
      </c>
      <c r="K12">
        <v>92</v>
      </c>
      <c r="L12" s="746">
        <f t="shared" si="1"/>
        <v>29.1044776119403</v>
      </c>
    </row>
    <row r="13" spans="1:12" x14ac:dyDescent="0.25">
      <c r="A13" s="18" t="s">
        <v>925</v>
      </c>
      <c r="B13">
        <v>134</v>
      </c>
      <c r="C13">
        <v>87</v>
      </c>
      <c r="D13">
        <v>3</v>
      </c>
      <c r="E13">
        <v>44</v>
      </c>
      <c r="F13" s="746">
        <f t="shared" si="0"/>
        <v>66.044776119402982</v>
      </c>
      <c r="G13" s="745"/>
      <c r="H13">
        <v>134</v>
      </c>
      <c r="I13">
        <v>44</v>
      </c>
      <c r="J13">
        <v>3</v>
      </c>
      <c r="K13">
        <v>87</v>
      </c>
      <c r="L13" s="746">
        <f t="shared" si="1"/>
        <v>33.955223880597011</v>
      </c>
    </row>
    <row r="14" spans="1:12" x14ac:dyDescent="0.25">
      <c r="A14" s="18" t="s">
        <v>926</v>
      </c>
      <c r="B14">
        <v>134</v>
      </c>
      <c r="C14">
        <v>91</v>
      </c>
      <c r="D14">
        <v>5</v>
      </c>
      <c r="E14">
        <v>38</v>
      </c>
      <c r="F14" s="746">
        <f t="shared" si="0"/>
        <v>69.776119402985074</v>
      </c>
      <c r="G14" s="745"/>
      <c r="H14">
        <v>134</v>
      </c>
      <c r="I14">
        <v>38</v>
      </c>
      <c r="J14">
        <v>5</v>
      </c>
      <c r="K14">
        <v>91</v>
      </c>
      <c r="L14" s="746">
        <f t="shared" si="1"/>
        <v>30.223880597014922</v>
      </c>
    </row>
    <row r="15" spans="1:12" x14ac:dyDescent="0.25">
      <c r="A15" s="18" t="s">
        <v>927</v>
      </c>
      <c r="B15">
        <v>134</v>
      </c>
      <c r="C15">
        <v>78</v>
      </c>
      <c r="D15">
        <v>10</v>
      </c>
      <c r="E15">
        <v>46</v>
      </c>
      <c r="F15" s="746">
        <f t="shared" si="0"/>
        <v>61.940298507462686</v>
      </c>
      <c r="G15" s="745"/>
      <c r="H15">
        <v>134</v>
      </c>
      <c r="I15">
        <v>46</v>
      </c>
      <c r="J15">
        <v>10</v>
      </c>
      <c r="K15">
        <v>78</v>
      </c>
      <c r="L15" s="746">
        <f t="shared" si="1"/>
        <v>38.059701492537314</v>
      </c>
    </row>
    <row r="16" spans="1:12" x14ac:dyDescent="0.25">
      <c r="A16" s="18" t="s">
        <v>928</v>
      </c>
      <c r="B16">
        <v>134</v>
      </c>
      <c r="C16">
        <v>86</v>
      </c>
      <c r="D16">
        <v>4</v>
      </c>
      <c r="E16">
        <v>44</v>
      </c>
      <c r="F16" s="746">
        <f t="shared" si="0"/>
        <v>65.671641791044777</v>
      </c>
      <c r="G16" s="745"/>
      <c r="H16">
        <v>134</v>
      </c>
      <c r="I16">
        <v>44</v>
      </c>
      <c r="J16">
        <v>4</v>
      </c>
      <c r="K16">
        <v>86</v>
      </c>
      <c r="L16" s="746">
        <f t="shared" si="1"/>
        <v>34.328358208955223</v>
      </c>
    </row>
    <row r="17" spans="1:12" x14ac:dyDescent="0.25">
      <c r="A17" s="18" t="s">
        <v>929</v>
      </c>
      <c r="B17">
        <v>134</v>
      </c>
      <c r="C17">
        <v>79</v>
      </c>
      <c r="D17">
        <v>4</v>
      </c>
      <c r="E17">
        <v>51</v>
      </c>
      <c r="F17" s="746">
        <f t="shared" si="0"/>
        <v>60.447761194029844</v>
      </c>
      <c r="G17" s="745"/>
      <c r="H17">
        <v>134</v>
      </c>
      <c r="I17">
        <v>51</v>
      </c>
      <c r="J17">
        <v>4</v>
      </c>
      <c r="K17">
        <v>79</v>
      </c>
      <c r="L17" s="746">
        <f t="shared" si="1"/>
        <v>39.552238805970148</v>
      </c>
    </row>
    <row r="18" spans="1:12" x14ac:dyDescent="0.25">
      <c r="A18" s="18" t="s">
        <v>930</v>
      </c>
      <c r="B18">
        <v>134</v>
      </c>
      <c r="C18">
        <v>89</v>
      </c>
      <c r="D18">
        <v>4</v>
      </c>
      <c r="E18">
        <v>41</v>
      </c>
      <c r="F18" s="746">
        <f t="shared" si="0"/>
        <v>67.910447761194021</v>
      </c>
      <c r="G18" s="745"/>
      <c r="H18">
        <v>134</v>
      </c>
      <c r="I18">
        <v>41</v>
      </c>
      <c r="J18">
        <v>4</v>
      </c>
      <c r="K18">
        <v>89</v>
      </c>
      <c r="L18" s="746">
        <f t="shared" si="1"/>
        <v>32.089552238805972</v>
      </c>
    </row>
    <row r="19" spans="1:12" x14ac:dyDescent="0.25">
      <c r="A19" s="18" t="s">
        <v>88</v>
      </c>
      <c r="B19">
        <v>134</v>
      </c>
      <c r="C19">
        <v>73</v>
      </c>
      <c r="D19">
        <v>3</v>
      </c>
      <c r="E19">
        <v>58</v>
      </c>
      <c r="F19" s="746">
        <f t="shared" si="0"/>
        <v>55.597014925373131</v>
      </c>
      <c r="G19" s="745"/>
      <c r="H19">
        <v>134</v>
      </c>
      <c r="I19">
        <v>58</v>
      </c>
      <c r="J19">
        <v>3</v>
      </c>
      <c r="K19">
        <v>73</v>
      </c>
      <c r="L19" s="746">
        <f t="shared" si="1"/>
        <v>44.402985074626869</v>
      </c>
    </row>
    <row r="20" spans="1:12" x14ac:dyDescent="0.25">
      <c r="A20" s="18" t="s">
        <v>254</v>
      </c>
      <c r="B20">
        <v>134</v>
      </c>
      <c r="C20">
        <v>85</v>
      </c>
      <c r="D20">
        <v>4</v>
      </c>
      <c r="E20">
        <v>45</v>
      </c>
      <c r="F20" s="746">
        <f t="shared" si="0"/>
        <v>64.925373134328353</v>
      </c>
      <c r="G20" s="745"/>
      <c r="H20">
        <v>134</v>
      </c>
      <c r="I20">
        <v>45</v>
      </c>
      <c r="J20">
        <v>4</v>
      </c>
      <c r="K20">
        <v>85</v>
      </c>
      <c r="L20" s="746">
        <f t="shared" si="1"/>
        <v>35.074626865671647</v>
      </c>
    </row>
    <row r="21" spans="1:12" x14ac:dyDescent="0.25">
      <c r="B21">
        <f>SUM(C21:E21)</f>
        <v>2449</v>
      </c>
      <c r="C21">
        <f t="shared" ref="C21:E21" si="2">SUM(C3:C20)</f>
        <v>1526</v>
      </c>
      <c r="D21">
        <f t="shared" si="2"/>
        <v>88</v>
      </c>
      <c r="E21">
        <f t="shared" si="2"/>
        <v>835</v>
      </c>
      <c r="F21" s="746">
        <f t="shared" si="0"/>
        <v>64.107799101674161</v>
      </c>
      <c r="H21">
        <f>SUM(H3:H20)</f>
        <v>2449</v>
      </c>
      <c r="I21">
        <f t="shared" ref="I21" si="3">SUM(I3:I20)</f>
        <v>835</v>
      </c>
      <c r="J21">
        <f t="shared" ref="J21" si="4">SUM(J3:J20)</f>
        <v>88</v>
      </c>
      <c r="K21">
        <f t="shared" ref="K21" si="5">SUM(K3:K20)</f>
        <v>1526</v>
      </c>
      <c r="L21" s="746">
        <f t="shared" si="1"/>
        <v>35.892200898325846</v>
      </c>
    </row>
    <row r="22" spans="1:12" x14ac:dyDescent="0.25">
      <c r="A22" s="18" t="s">
        <v>1063</v>
      </c>
    </row>
    <row r="23" spans="1:12" x14ac:dyDescent="0.25">
      <c r="A23" s="18" t="s">
        <v>950</v>
      </c>
    </row>
    <row r="24" spans="1:12" x14ac:dyDescent="0.25">
      <c r="A24" s="470" t="s">
        <v>253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workbookViewId="0">
      <selection activeCell="C17" sqref="C17"/>
    </sheetView>
  </sheetViews>
  <sheetFormatPr defaultRowHeight="15" x14ac:dyDescent="0.25"/>
  <cols>
    <col min="1" max="1" width="10.28515625" customWidth="1"/>
    <col min="2" max="2" width="3.7109375" customWidth="1"/>
    <col min="3" max="3" width="65.85546875" customWidth="1"/>
    <col min="4" max="4" width="3.7109375" customWidth="1"/>
    <col min="5" max="5" width="6.85546875" customWidth="1"/>
    <col min="6" max="6" width="3.28515625" customWidth="1"/>
    <col min="7" max="7" width="5.42578125" customWidth="1"/>
    <col min="8" max="8" width="13.140625" bestFit="1" customWidth="1"/>
    <col min="19" max="19" width="7.140625" customWidth="1"/>
    <col min="20" max="20" width="4.85546875" customWidth="1"/>
  </cols>
  <sheetData>
    <row r="1" spans="1:20" ht="15.75" thickBot="1" x14ac:dyDescent="0.3"/>
    <row r="2" spans="1:20" ht="15" customHeight="1" thickBot="1" x14ac:dyDescent="0.3">
      <c r="A2" s="111"/>
      <c r="B2" s="96"/>
      <c r="C2" s="97" t="s">
        <v>132</v>
      </c>
      <c r="D2" s="861" t="s">
        <v>133</v>
      </c>
      <c r="E2" s="862"/>
      <c r="F2" s="757" t="s">
        <v>56</v>
      </c>
      <c r="G2" s="754"/>
      <c r="H2" s="863" t="s">
        <v>121</v>
      </c>
      <c r="I2" s="859" t="s">
        <v>134</v>
      </c>
      <c r="J2" s="860"/>
      <c r="K2" s="859" t="s">
        <v>130</v>
      </c>
      <c r="L2" s="865"/>
      <c r="M2" s="865"/>
      <c r="N2" s="865"/>
      <c r="O2" s="860"/>
      <c r="P2" s="213" t="s">
        <v>138</v>
      </c>
      <c r="Q2" s="859" t="s">
        <v>131</v>
      </c>
      <c r="R2" s="860"/>
      <c r="S2" s="859" t="s">
        <v>44</v>
      </c>
      <c r="T2" s="860"/>
    </row>
    <row r="3" spans="1:20" ht="15" customHeight="1" thickBot="1" x14ac:dyDescent="0.3">
      <c r="A3" s="758" t="s">
        <v>66</v>
      </c>
      <c r="B3" s="750">
        <f>newcyellow</f>
        <v>6</v>
      </c>
      <c r="C3" s="741" t="s">
        <v>968</v>
      </c>
      <c r="D3" s="101">
        <f>newcred</f>
        <v>0</v>
      </c>
      <c r="E3" s="102"/>
      <c r="F3" s="756">
        <f>SUM(B3+D3*2)</f>
        <v>6</v>
      </c>
      <c r="G3" s="753"/>
      <c r="H3" s="864"/>
      <c r="I3" s="139" t="s">
        <v>37</v>
      </c>
      <c r="J3" s="139" t="s">
        <v>38</v>
      </c>
      <c r="K3" s="155" t="s">
        <v>128</v>
      </c>
      <c r="L3" s="156" t="s">
        <v>129</v>
      </c>
      <c r="M3" s="156" t="s">
        <v>146</v>
      </c>
      <c r="N3" s="232" t="s">
        <v>147</v>
      </c>
      <c r="O3" s="140" t="s">
        <v>135</v>
      </c>
      <c r="P3" s="214" t="s">
        <v>139</v>
      </c>
      <c r="Q3" s="155" t="s">
        <v>37</v>
      </c>
      <c r="R3" s="140" t="s">
        <v>38</v>
      </c>
      <c r="S3" s="155" t="s">
        <v>132</v>
      </c>
      <c r="T3" s="140" t="s">
        <v>133</v>
      </c>
    </row>
    <row r="4" spans="1:20" ht="15" customHeight="1" thickBot="1" x14ac:dyDescent="0.3">
      <c r="A4" s="99" t="s">
        <v>24</v>
      </c>
      <c r="B4" s="100">
        <f>bathyellow+bathpoyellow</f>
        <v>11</v>
      </c>
      <c r="C4" s="106" t="s">
        <v>1059</v>
      </c>
      <c r="D4" s="101">
        <f>bathred+bathpored</f>
        <v>0</v>
      </c>
      <c r="E4" s="102"/>
      <c r="F4" s="756">
        <f>SUM(B4+D4*2)</f>
        <v>11</v>
      </c>
      <c r="G4" s="753"/>
      <c r="H4" s="149" t="s">
        <v>24</v>
      </c>
      <c r="I4" s="143">
        <v>21</v>
      </c>
      <c r="J4" s="111">
        <v>57</v>
      </c>
      <c r="K4" s="143">
        <v>79</v>
      </c>
      <c r="L4" s="146">
        <v>10</v>
      </c>
      <c r="M4" s="147">
        <v>0</v>
      </c>
      <c r="N4" s="146">
        <v>0</v>
      </c>
      <c r="O4" s="141">
        <f t="shared" ref="O4:O15" si="0">SUM(K4:N4)</f>
        <v>89</v>
      </c>
      <c r="P4" s="215">
        <v>0</v>
      </c>
      <c r="Q4" s="151">
        <f>SUM(I4/O4)*10</f>
        <v>2.3595505617977528</v>
      </c>
      <c r="R4" s="151">
        <f>SUM(J4/O4)*10</f>
        <v>6.404494382022472</v>
      </c>
      <c r="S4" s="157">
        <f>bathyellow</f>
        <v>9</v>
      </c>
      <c r="T4" s="158">
        <f>bathred</f>
        <v>0</v>
      </c>
    </row>
    <row r="5" spans="1:20" ht="15" customHeight="1" thickBot="1" x14ac:dyDescent="0.3">
      <c r="A5" s="99" t="s">
        <v>189</v>
      </c>
      <c r="B5" s="104">
        <f>waspsyellow</f>
        <v>9</v>
      </c>
      <c r="C5" s="741" t="s">
        <v>981</v>
      </c>
      <c r="D5" s="107" t="s">
        <v>1020</v>
      </c>
      <c r="E5" s="102"/>
      <c r="F5" s="756">
        <v>9</v>
      </c>
      <c r="G5" s="753"/>
      <c r="H5" s="149" t="s">
        <v>30</v>
      </c>
      <c r="I5" s="144">
        <v>31</v>
      </c>
      <c r="J5" s="111">
        <v>42</v>
      </c>
      <c r="K5" s="144">
        <v>97</v>
      </c>
      <c r="L5" s="147">
        <v>7</v>
      </c>
      <c r="M5" s="147">
        <v>0</v>
      </c>
      <c r="N5" s="147">
        <v>0</v>
      </c>
      <c r="O5" s="141">
        <f t="shared" si="0"/>
        <v>104</v>
      </c>
      <c r="P5" s="215">
        <v>4</v>
      </c>
      <c r="Q5" s="152">
        <f>SUM(I5/O5)*10</f>
        <v>2.9807692307692308</v>
      </c>
      <c r="R5" s="142">
        <f t="shared" ref="R5:R16" si="1">SUM(J5/O5)*10</f>
        <v>4.0384615384615383</v>
      </c>
      <c r="S5" s="159">
        <f>exeteryellow</f>
        <v>14</v>
      </c>
      <c r="T5" s="158">
        <f>exeterred</f>
        <v>0</v>
      </c>
    </row>
    <row r="6" spans="1:20" ht="15" customHeight="1" thickBot="1" x14ac:dyDescent="0.3">
      <c r="A6" s="103" t="s">
        <v>28</v>
      </c>
      <c r="B6" s="104">
        <f>leicsyellow+leicesterpoyellow</f>
        <v>8</v>
      </c>
      <c r="C6" s="110" t="s">
        <v>979</v>
      </c>
      <c r="D6" s="101">
        <f>leicsred+leicesterpored</f>
        <v>2</v>
      </c>
      <c r="E6" s="102" t="s">
        <v>1014</v>
      </c>
      <c r="F6" s="756">
        <f t="shared" ref="F6:F14" si="2">SUM(B6+D6*2)</f>
        <v>12</v>
      </c>
      <c r="G6" s="753"/>
      <c r="H6" s="149" t="s">
        <v>26</v>
      </c>
      <c r="I6" s="144">
        <v>44</v>
      </c>
      <c r="J6" s="111">
        <v>76</v>
      </c>
      <c r="K6" s="144">
        <v>141</v>
      </c>
      <c r="L6" s="147">
        <v>10</v>
      </c>
      <c r="M6" s="147">
        <v>0</v>
      </c>
      <c r="N6" s="147">
        <v>0</v>
      </c>
      <c r="O6" s="141">
        <f t="shared" si="0"/>
        <v>151</v>
      </c>
      <c r="P6" s="215">
        <v>27</v>
      </c>
      <c r="Q6" s="152">
        <f>SUM(I6/O6)*10</f>
        <v>2.9139072847682117</v>
      </c>
      <c r="R6" s="142">
        <f t="shared" si="1"/>
        <v>5.0331125827814569</v>
      </c>
      <c r="S6" s="159">
        <f>glosyellow</f>
        <v>12</v>
      </c>
      <c r="T6" s="158">
        <f>glosred</f>
        <v>1</v>
      </c>
    </row>
    <row r="7" spans="1:20" ht="15" customHeight="1" thickBot="1" x14ac:dyDescent="0.3">
      <c r="A7" s="99" t="s">
        <v>30</v>
      </c>
      <c r="B7" s="100">
        <f>exeteryellow</f>
        <v>14</v>
      </c>
      <c r="C7" s="106" t="s">
        <v>1034</v>
      </c>
      <c r="D7" s="101">
        <f>exeterred</f>
        <v>0</v>
      </c>
      <c r="E7" s="105"/>
      <c r="F7" s="756">
        <f t="shared" si="2"/>
        <v>14</v>
      </c>
      <c r="G7" s="753"/>
      <c r="H7" s="149" t="s">
        <v>10</v>
      </c>
      <c r="I7" s="144">
        <v>12</v>
      </c>
      <c r="J7" s="111">
        <v>63</v>
      </c>
      <c r="K7" s="144">
        <v>111</v>
      </c>
      <c r="L7" s="147">
        <v>8</v>
      </c>
      <c r="M7" s="147">
        <v>3</v>
      </c>
      <c r="N7" s="147">
        <v>0</v>
      </c>
      <c r="O7" s="141">
        <f t="shared" si="0"/>
        <v>122</v>
      </c>
      <c r="P7" s="215">
        <v>4</v>
      </c>
      <c r="Q7" s="152">
        <f>SUM(I7/O7)*10</f>
        <v>0.98360655737704916</v>
      </c>
      <c r="R7" s="142">
        <f t="shared" si="1"/>
        <v>5.1639344262295079</v>
      </c>
      <c r="S7" s="159">
        <f>haryellow</f>
        <v>16</v>
      </c>
      <c r="T7" s="158">
        <f>harred</f>
        <v>0</v>
      </c>
    </row>
    <row r="8" spans="1:20" ht="15" customHeight="1" thickBot="1" x14ac:dyDescent="0.3">
      <c r="A8" s="99" t="s">
        <v>26</v>
      </c>
      <c r="B8" s="100">
        <f>glosyellow</f>
        <v>12</v>
      </c>
      <c r="C8" s="109" t="s">
        <v>1033</v>
      </c>
      <c r="D8" s="101">
        <f>glosred</f>
        <v>1</v>
      </c>
      <c r="E8" s="102" t="s">
        <v>1015</v>
      </c>
      <c r="F8" s="756">
        <f t="shared" si="2"/>
        <v>14</v>
      </c>
      <c r="G8" s="753"/>
      <c r="H8" s="149" t="s">
        <v>28</v>
      </c>
      <c r="I8" s="144">
        <v>11</v>
      </c>
      <c r="J8" s="111">
        <v>56</v>
      </c>
      <c r="K8" s="144">
        <v>109</v>
      </c>
      <c r="L8" s="147">
        <v>0</v>
      </c>
      <c r="M8" s="147">
        <v>0</v>
      </c>
      <c r="N8" s="147">
        <v>0</v>
      </c>
      <c r="O8" s="141">
        <f t="shared" si="0"/>
        <v>109</v>
      </c>
      <c r="P8" s="215">
        <v>10</v>
      </c>
      <c r="Q8" s="152">
        <f t="shared" ref="Q8:Q16" si="3">SUM(I8/O8)*10</f>
        <v>1.0091743119266057</v>
      </c>
      <c r="R8" s="142">
        <f t="shared" si="1"/>
        <v>5.1376146788990829</v>
      </c>
      <c r="S8" s="159">
        <f>leicsyellow</f>
        <v>8</v>
      </c>
      <c r="T8" s="158">
        <f>leicsred</f>
        <v>2</v>
      </c>
    </row>
    <row r="9" spans="1:20" ht="15" customHeight="1" thickBot="1" x14ac:dyDescent="0.3">
      <c r="A9" s="99" t="s">
        <v>21</v>
      </c>
      <c r="B9" s="100">
        <f>sarriesyellow+saracenspoyellow</f>
        <v>16</v>
      </c>
      <c r="C9" s="106" t="s">
        <v>1055</v>
      </c>
      <c r="D9" s="101">
        <f>sarriesred+saracenspored</f>
        <v>0</v>
      </c>
      <c r="E9" s="102"/>
      <c r="F9" s="756">
        <f t="shared" si="2"/>
        <v>16</v>
      </c>
      <c r="G9" s="753"/>
      <c r="H9" s="149" t="s">
        <v>13</v>
      </c>
      <c r="I9" s="144">
        <v>72</v>
      </c>
      <c r="J9" s="111">
        <v>107</v>
      </c>
      <c r="K9" s="144">
        <v>193</v>
      </c>
      <c r="L9" s="147">
        <v>4</v>
      </c>
      <c r="M9" s="147">
        <v>0</v>
      </c>
      <c r="N9" s="147">
        <v>0</v>
      </c>
      <c r="O9" s="141">
        <f t="shared" si="0"/>
        <v>197</v>
      </c>
      <c r="P9" s="215">
        <v>89</v>
      </c>
      <c r="Q9" s="152">
        <f t="shared" si="3"/>
        <v>3.6548223350253806</v>
      </c>
      <c r="R9" s="142">
        <f t="shared" si="1"/>
        <v>5.4314720812182742</v>
      </c>
      <c r="S9" s="159">
        <f>liyellow</f>
        <v>22</v>
      </c>
      <c r="T9" s="158">
        <f>lired</f>
        <v>1</v>
      </c>
    </row>
    <row r="10" spans="1:20" ht="15" customHeight="1" thickBot="1" x14ac:dyDescent="0.3">
      <c r="A10" s="99" t="s">
        <v>29</v>
      </c>
      <c r="B10" s="100">
        <f>saleyellow</f>
        <v>13</v>
      </c>
      <c r="C10" s="109" t="s">
        <v>1037</v>
      </c>
      <c r="D10" s="101">
        <f>salered</f>
        <v>1</v>
      </c>
      <c r="E10" s="102" t="s">
        <v>1038</v>
      </c>
      <c r="F10" s="756">
        <f t="shared" si="2"/>
        <v>15</v>
      </c>
      <c r="G10" s="753"/>
      <c r="H10" s="149" t="s">
        <v>15</v>
      </c>
      <c r="I10" s="144">
        <v>13</v>
      </c>
      <c r="J10" s="111">
        <v>154</v>
      </c>
      <c r="K10" s="144">
        <v>202</v>
      </c>
      <c r="L10" s="147">
        <v>0</v>
      </c>
      <c r="M10" s="147">
        <v>0</v>
      </c>
      <c r="N10" s="147">
        <v>0</v>
      </c>
      <c r="O10" s="141">
        <f t="shared" si="0"/>
        <v>202</v>
      </c>
      <c r="P10" s="215">
        <v>46</v>
      </c>
      <c r="Q10" s="152">
        <f t="shared" si="3"/>
        <v>0.64356435643564358</v>
      </c>
      <c r="R10" s="142">
        <f t="shared" si="1"/>
        <v>7.6237623762376234</v>
      </c>
      <c r="S10" s="159">
        <f>lweyellow</f>
        <v>15</v>
      </c>
      <c r="T10" s="158">
        <f>lwered</f>
        <v>2</v>
      </c>
    </row>
    <row r="11" spans="1:20" ht="15" customHeight="1" thickBot="1" x14ac:dyDescent="0.3">
      <c r="A11" s="99" t="s">
        <v>10</v>
      </c>
      <c r="B11" s="100">
        <f>haryellow</f>
        <v>16</v>
      </c>
      <c r="C11" s="781" t="s">
        <v>1008</v>
      </c>
      <c r="D11" s="101">
        <f>harred</f>
        <v>0</v>
      </c>
      <c r="E11" s="102"/>
      <c r="F11" s="756">
        <f t="shared" si="2"/>
        <v>16</v>
      </c>
      <c r="G11" s="753"/>
      <c r="H11" s="149" t="s">
        <v>66</v>
      </c>
      <c r="I11" s="144">
        <v>17</v>
      </c>
      <c r="J11" s="111">
        <v>22</v>
      </c>
      <c r="K11" s="144">
        <v>49</v>
      </c>
      <c r="L11" s="147">
        <v>0</v>
      </c>
      <c r="M11" s="147">
        <v>0</v>
      </c>
      <c r="N11" s="147">
        <v>0</v>
      </c>
      <c r="O11" s="141">
        <f t="shared" si="0"/>
        <v>49</v>
      </c>
      <c r="P11" s="215">
        <v>0</v>
      </c>
      <c r="Q11" s="152">
        <f t="shared" si="3"/>
        <v>3.4693877551020407</v>
      </c>
      <c r="R11" s="142">
        <f t="shared" si="1"/>
        <v>4.4897959183673466</v>
      </c>
      <c r="S11" s="159">
        <f>newcyellow</f>
        <v>6</v>
      </c>
      <c r="T11" s="158">
        <f>newcred</f>
        <v>0</v>
      </c>
    </row>
    <row r="12" spans="1:20" ht="15" customHeight="1" thickBot="1" x14ac:dyDescent="0.3">
      <c r="A12" s="103" t="s">
        <v>958</v>
      </c>
      <c r="B12" s="104">
        <f>saintsyellow+Saintspoyellow</f>
        <v>14</v>
      </c>
      <c r="C12" s="109" t="s">
        <v>1041</v>
      </c>
      <c r="D12" s="101">
        <f>saintsred+saintspored</f>
        <v>1</v>
      </c>
      <c r="E12" s="102" t="s">
        <v>725</v>
      </c>
      <c r="F12" s="756">
        <f t="shared" si="2"/>
        <v>16</v>
      </c>
      <c r="G12" s="753"/>
      <c r="H12" s="149" t="s">
        <v>27</v>
      </c>
      <c r="I12" s="144">
        <v>45</v>
      </c>
      <c r="J12" s="111">
        <v>71</v>
      </c>
      <c r="K12" s="144">
        <v>175</v>
      </c>
      <c r="L12" s="147">
        <v>14</v>
      </c>
      <c r="M12" s="147">
        <v>0</v>
      </c>
      <c r="N12" s="147">
        <v>0</v>
      </c>
      <c r="O12" s="141">
        <f t="shared" si="0"/>
        <v>189</v>
      </c>
      <c r="P12" s="215">
        <v>30</v>
      </c>
      <c r="Q12" s="152">
        <f t="shared" si="3"/>
        <v>2.3809523809523809</v>
      </c>
      <c r="R12" s="142">
        <f t="shared" si="1"/>
        <v>3.7566137566137563</v>
      </c>
      <c r="S12" s="159">
        <f>saintsyellow</f>
        <v>14</v>
      </c>
      <c r="T12" s="158">
        <f>saintsred</f>
        <v>1</v>
      </c>
    </row>
    <row r="13" spans="1:20" ht="15" customHeight="1" thickBot="1" x14ac:dyDescent="0.3">
      <c r="A13" s="99" t="s">
        <v>190</v>
      </c>
      <c r="B13" s="100">
        <f>lweyellow</f>
        <v>15</v>
      </c>
      <c r="C13" s="106" t="s">
        <v>1044</v>
      </c>
      <c r="D13" s="101">
        <f>lwered</f>
        <v>2</v>
      </c>
      <c r="E13" s="102" t="s">
        <v>994</v>
      </c>
      <c r="F13" s="756">
        <f t="shared" si="2"/>
        <v>19</v>
      </c>
      <c r="G13" s="753"/>
      <c r="H13" s="149" t="s">
        <v>29</v>
      </c>
      <c r="I13" s="144">
        <v>14</v>
      </c>
      <c r="J13" s="111">
        <v>72</v>
      </c>
      <c r="K13" s="144">
        <v>104</v>
      </c>
      <c r="L13" s="147">
        <v>4</v>
      </c>
      <c r="M13" s="147">
        <v>0</v>
      </c>
      <c r="N13" s="147">
        <v>0</v>
      </c>
      <c r="O13" s="141">
        <f t="shared" si="0"/>
        <v>108</v>
      </c>
      <c r="P13" s="215">
        <v>23</v>
      </c>
      <c r="Q13" s="152">
        <f t="shared" si="3"/>
        <v>1.2962962962962963</v>
      </c>
      <c r="R13" s="142">
        <f t="shared" si="1"/>
        <v>6.6666666666666661</v>
      </c>
      <c r="S13" s="159">
        <f>saleyellow</f>
        <v>13</v>
      </c>
      <c r="T13" s="158">
        <f>salered</f>
        <v>1</v>
      </c>
    </row>
    <row r="14" spans="1:20" ht="15" customHeight="1" thickBot="1" x14ac:dyDescent="0.3">
      <c r="A14" s="99" t="s">
        <v>91</v>
      </c>
      <c r="B14" s="104">
        <f>liyellow</f>
        <v>22</v>
      </c>
      <c r="C14" s="110" t="s">
        <v>1016</v>
      </c>
      <c r="D14" s="101">
        <f>lired</f>
        <v>1</v>
      </c>
      <c r="E14" s="102" t="s">
        <v>757</v>
      </c>
      <c r="F14" s="756">
        <f t="shared" si="2"/>
        <v>24</v>
      </c>
      <c r="G14" s="753"/>
      <c r="H14" s="149" t="s">
        <v>21</v>
      </c>
      <c r="I14" s="144">
        <v>55</v>
      </c>
      <c r="J14" s="111">
        <v>43</v>
      </c>
      <c r="K14" s="144">
        <v>145</v>
      </c>
      <c r="L14" s="147">
        <v>1</v>
      </c>
      <c r="M14" s="147">
        <v>0</v>
      </c>
      <c r="N14" s="147">
        <v>0</v>
      </c>
      <c r="O14" s="141">
        <f t="shared" si="0"/>
        <v>146</v>
      </c>
      <c r="P14" s="215">
        <v>13</v>
      </c>
      <c r="Q14" s="152">
        <f t="shared" si="3"/>
        <v>3.7671232876712328</v>
      </c>
      <c r="R14" s="142">
        <f t="shared" si="1"/>
        <v>2.945205479452055</v>
      </c>
      <c r="S14" s="159">
        <f>sarriesyellow</f>
        <v>15</v>
      </c>
      <c r="T14" s="158">
        <f>sarriesred</f>
        <v>0</v>
      </c>
    </row>
    <row r="15" spans="1:20" ht="15" customHeight="1" thickBot="1" x14ac:dyDescent="0.3">
      <c r="A15" s="99" t="s">
        <v>65</v>
      </c>
      <c r="B15" s="100">
        <f>SUM(B3:B14)</f>
        <v>156</v>
      </c>
      <c r="C15" s="106"/>
      <c r="D15" s="107">
        <f>SUM(D3:D14)</f>
        <v>8</v>
      </c>
      <c r="E15" s="108"/>
      <c r="F15" s="757" t="s">
        <v>121</v>
      </c>
      <c r="G15" s="754"/>
      <c r="H15" s="150" t="s">
        <v>189</v>
      </c>
      <c r="I15" s="145">
        <v>22</v>
      </c>
      <c r="J15" s="111">
        <v>64</v>
      </c>
      <c r="K15" s="145">
        <v>120</v>
      </c>
      <c r="L15" s="148">
        <v>0</v>
      </c>
      <c r="M15" s="147">
        <v>0</v>
      </c>
      <c r="N15" s="147">
        <v>0</v>
      </c>
      <c r="O15" s="141">
        <f t="shared" si="0"/>
        <v>120</v>
      </c>
      <c r="P15" s="216">
        <v>15</v>
      </c>
      <c r="Q15" s="153">
        <f t="shared" si="3"/>
        <v>1.8333333333333333</v>
      </c>
      <c r="R15" s="142">
        <f t="shared" si="1"/>
        <v>5.333333333333333</v>
      </c>
      <c r="S15" s="160">
        <f>waspsyellow</f>
        <v>9</v>
      </c>
      <c r="T15" s="161">
        <f>waspsred</f>
        <v>1</v>
      </c>
    </row>
    <row r="16" spans="1:20" ht="15.75" thickBot="1" x14ac:dyDescent="0.3">
      <c r="C16" s="783" t="s">
        <v>1021</v>
      </c>
      <c r="D16" s="782"/>
      <c r="H16" s="154" t="s">
        <v>125</v>
      </c>
      <c r="I16" s="162">
        <f t="shared" ref="I16:O16" si="4">SUM(I4:I15)</f>
        <v>357</v>
      </c>
      <c r="J16" s="163">
        <f t="shared" si="4"/>
        <v>827</v>
      </c>
      <c r="K16" s="162">
        <f t="shared" si="4"/>
        <v>1525</v>
      </c>
      <c r="L16" s="164">
        <f t="shared" si="4"/>
        <v>58</v>
      </c>
      <c r="M16" s="164">
        <f t="shared" si="4"/>
        <v>3</v>
      </c>
      <c r="N16" s="164">
        <f t="shared" si="4"/>
        <v>0</v>
      </c>
      <c r="O16" s="163">
        <f t="shared" si="4"/>
        <v>1586</v>
      </c>
      <c r="P16" s="217">
        <v>0</v>
      </c>
      <c r="Q16" s="233">
        <f t="shared" si="3"/>
        <v>2.2509457755359392</v>
      </c>
      <c r="R16" s="234">
        <f t="shared" si="1"/>
        <v>5.2143757881462802</v>
      </c>
      <c r="S16" s="165">
        <f>SUM(S4:S15)</f>
        <v>153</v>
      </c>
      <c r="T16" s="166">
        <f>SUM(T4:T15)</f>
        <v>9</v>
      </c>
    </row>
    <row r="17" spans="1:19" x14ac:dyDescent="0.25">
      <c r="A17" s="18" t="s">
        <v>120</v>
      </c>
    </row>
    <row r="18" spans="1:19" x14ac:dyDescent="0.25">
      <c r="A18" s="857" t="s">
        <v>1063</v>
      </c>
      <c r="B18" s="858"/>
      <c r="C18" s="858"/>
      <c r="H18" s="229"/>
    </row>
    <row r="19" spans="1:19" x14ac:dyDescent="0.25">
      <c r="A19" s="470" t="s">
        <v>253</v>
      </c>
      <c r="D19" t="s">
        <v>121</v>
      </c>
      <c r="H19" s="229"/>
      <c r="S19" s="98"/>
    </row>
    <row r="20" spans="1:19" x14ac:dyDescent="0.25">
      <c r="H20" s="229"/>
    </row>
    <row r="21" spans="1:19" x14ac:dyDescent="0.25">
      <c r="H21" s="229"/>
    </row>
    <row r="22" spans="1:19" x14ac:dyDescent="0.25">
      <c r="H22" s="229"/>
    </row>
  </sheetData>
  <sortState xmlns:xlrd2="http://schemas.microsoft.com/office/spreadsheetml/2017/richdata2" ref="A3:F14">
    <sortCondition ref="F3:F14"/>
    <sortCondition ref="D3:D14"/>
    <sortCondition ref="A3:A14"/>
  </sortState>
  <mergeCells count="7">
    <mergeCell ref="A18:C18"/>
    <mergeCell ref="S2:T2"/>
    <mergeCell ref="D2:E2"/>
    <mergeCell ref="H2:H3"/>
    <mergeCell ref="I2:J2"/>
    <mergeCell ref="Q2:R2"/>
    <mergeCell ref="K2:O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zoomScale="115" zoomScaleNormal="115" workbookViewId="0">
      <selection activeCell="G20" sqref="G20"/>
    </sheetView>
  </sheetViews>
  <sheetFormatPr defaultRowHeight="15" x14ac:dyDescent="0.25"/>
  <cols>
    <col min="1" max="1" width="17.7109375" customWidth="1"/>
    <col min="2" max="2" width="4.42578125" bestFit="1" customWidth="1"/>
    <col min="3" max="3" width="17.7109375" customWidth="1"/>
    <col min="4" max="4" width="3.7109375" customWidth="1"/>
    <col min="5" max="5" width="17.7109375" customWidth="1"/>
    <col min="6" max="6" width="4.42578125" bestFit="1" customWidth="1"/>
    <col min="7" max="7" width="20.7109375" customWidth="1"/>
    <col min="8" max="8" width="3.7109375" customWidth="1"/>
  </cols>
  <sheetData>
    <row r="1" spans="1:8" ht="15.75" thickBot="1" x14ac:dyDescent="0.3"/>
    <row r="2" spans="1:8" ht="16.5" customHeight="1" thickBot="1" x14ac:dyDescent="0.3">
      <c r="A2" s="134" t="s">
        <v>81</v>
      </c>
      <c r="B2" s="135"/>
      <c r="C2" s="136" t="s">
        <v>82</v>
      </c>
      <c r="D2" s="136"/>
      <c r="E2" s="137" t="s">
        <v>83</v>
      </c>
      <c r="F2" s="137"/>
      <c r="G2" s="138" t="s">
        <v>84</v>
      </c>
      <c r="H2" s="138"/>
    </row>
    <row r="3" spans="1:8" ht="16.5" customHeight="1" thickBot="1" x14ac:dyDescent="0.3">
      <c r="A3" s="91" t="s">
        <v>24</v>
      </c>
      <c r="B3" s="84">
        <f>bathtriesscored+bathpotriesscored</f>
        <v>80</v>
      </c>
      <c r="C3" s="76" t="s">
        <v>24</v>
      </c>
      <c r="D3" s="77">
        <f>bathtrybonus</f>
        <v>9</v>
      </c>
      <c r="E3" s="92" t="s">
        <v>21</v>
      </c>
      <c r="F3" s="93">
        <f>sarriestriesconceded+saracenspotriesconceded</f>
        <v>43</v>
      </c>
      <c r="G3" s="94" t="s">
        <v>27</v>
      </c>
      <c r="H3" s="95">
        <f>saintstrybonusconceded</f>
        <v>1</v>
      </c>
    </row>
    <row r="4" spans="1:8" ht="16.5" customHeight="1" thickBot="1" x14ac:dyDescent="0.3">
      <c r="A4" s="91" t="s">
        <v>27</v>
      </c>
      <c r="B4" s="84">
        <f>saintstriesscored+saintspotriesscored</f>
        <v>77</v>
      </c>
      <c r="C4" s="76" t="s">
        <v>189</v>
      </c>
      <c r="D4" s="77">
        <f>waspstrybonus</f>
        <v>9</v>
      </c>
      <c r="E4" s="92" t="s">
        <v>27</v>
      </c>
      <c r="F4" s="93">
        <f>saintstriesconceded+sainstpotriesconcededcorrect</f>
        <v>43</v>
      </c>
      <c r="G4" s="94" t="s">
        <v>21</v>
      </c>
      <c r="H4" s="95">
        <f>sarriestrybonusconceded</f>
        <v>1</v>
      </c>
    </row>
    <row r="5" spans="1:8" ht="16.5" customHeight="1" thickBot="1" x14ac:dyDescent="0.3">
      <c r="A5" s="91" t="s">
        <v>189</v>
      </c>
      <c r="B5" s="84">
        <f>waspstriesscored</f>
        <v>77</v>
      </c>
      <c r="C5" s="76" t="s">
        <v>27</v>
      </c>
      <c r="D5" s="77">
        <f>saintstrybonus</f>
        <v>8</v>
      </c>
      <c r="E5" s="92" t="s">
        <v>24</v>
      </c>
      <c r="F5" s="93">
        <f>bathtriesconceded+bathpotriesconceded</f>
        <v>47</v>
      </c>
      <c r="G5" s="94" t="s">
        <v>30</v>
      </c>
      <c r="H5" s="95">
        <f>exetertrybonusconceded</f>
        <v>2</v>
      </c>
    </row>
    <row r="6" spans="1:8" ht="16.5" customHeight="1" thickBot="1" x14ac:dyDescent="0.3">
      <c r="A6" s="91" t="s">
        <v>21</v>
      </c>
      <c r="B6" s="84">
        <f>sarriestriesscored+saracenspotriesscored</f>
        <v>75</v>
      </c>
      <c r="C6" s="76" t="s">
        <v>29</v>
      </c>
      <c r="D6" s="77">
        <f>saletrybonus</f>
        <v>6</v>
      </c>
      <c r="E6" s="92" t="s">
        <v>30</v>
      </c>
      <c r="F6" s="93">
        <f>exetertriesconceded</f>
        <v>46</v>
      </c>
      <c r="G6" s="94" t="s">
        <v>28</v>
      </c>
      <c r="H6" s="95">
        <f>leicstrybonusconceded</f>
        <v>3</v>
      </c>
    </row>
    <row r="7" spans="1:8" ht="16.5" customHeight="1" thickBot="1" x14ac:dyDescent="0.3">
      <c r="A7" s="91" t="s">
        <v>30</v>
      </c>
      <c r="B7" s="84">
        <f>exetertriesscored</f>
        <v>70</v>
      </c>
      <c r="C7" s="76" t="s">
        <v>30</v>
      </c>
      <c r="D7" s="77">
        <f>exetertrybonusscored</f>
        <v>5</v>
      </c>
      <c r="E7" s="92" t="s">
        <v>28</v>
      </c>
      <c r="F7" s="93">
        <f>leicstriesconceded+leicesterpotriesconceded</f>
        <v>46</v>
      </c>
      <c r="G7" s="94" t="s">
        <v>24</v>
      </c>
      <c r="H7" s="95">
        <f>bathtrybonusconceded</f>
        <v>4</v>
      </c>
    </row>
    <row r="8" spans="1:8" ht="16.5" customHeight="1" thickBot="1" x14ac:dyDescent="0.3">
      <c r="A8" s="91" t="s">
        <v>29</v>
      </c>
      <c r="B8" s="84">
        <f>saletriesscored</f>
        <v>62</v>
      </c>
      <c r="C8" s="76" t="s">
        <v>21</v>
      </c>
      <c r="D8" s="77">
        <f>sarriestrybonus</f>
        <v>5</v>
      </c>
      <c r="E8" s="92" t="s">
        <v>10</v>
      </c>
      <c r="F8" s="93">
        <f>hartriesconceded</f>
        <v>50</v>
      </c>
      <c r="G8" s="94" t="s">
        <v>10</v>
      </c>
      <c r="H8" s="95">
        <f>hartrybonusconceded</f>
        <v>4</v>
      </c>
    </row>
    <row r="9" spans="1:8" ht="16.5" customHeight="1" thickBot="1" x14ac:dyDescent="0.3">
      <c r="A9" s="91" t="s">
        <v>66</v>
      </c>
      <c r="B9" s="84">
        <f>newctriesscored</f>
        <v>57</v>
      </c>
      <c r="C9" s="76" t="s">
        <v>26</v>
      </c>
      <c r="D9" s="77">
        <f>glostrybonus</f>
        <v>4</v>
      </c>
      <c r="E9" s="92" t="s">
        <v>29</v>
      </c>
      <c r="F9" s="93">
        <f>saletriesconceded</f>
        <v>54</v>
      </c>
      <c r="G9" s="94" t="s">
        <v>189</v>
      </c>
      <c r="H9" s="95">
        <f>waspstrybonusconceded</f>
        <v>4</v>
      </c>
    </row>
    <row r="10" spans="1:8" ht="16.5" customHeight="1" thickBot="1" x14ac:dyDescent="0.3">
      <c r="A10" s="91" t="s">
        <v>26</v>
      </c>
      <c r="B10" s="84">
        <f>glostries</f>
        <v>53</v>
      </c>
      <c r="C10" s="76" t="s">
        <v>10</v>
      </c>
      <c r="D10" s="77">
        <f>hartrybonus</f>
        <v>4</v>
      </c>
      <c r="E10" s="92" t="s">
        <v>189</v>
      </c>
      <c r="F10" s="93">
        <f>waspstriesconceded</f>
        <v>54</v>
      </c>
      <c r="G10" s="94" t="s">
        <v>26</v>
      </c>
      <c r="H10" s="95">
        <f>glostrybonusconceded</f>
        <v>5</v>
      </c>
    </row>
    <row r="11" spans="1:8" ht="16.5" customHeight="1" thickBot="1" x14ac:dyDescent="0.3">
      <c r="A11" s="91" t="s">
        <v>13</v>
      </c>
      <c r="B11" s="84">
        <f>litries</f>
        <v>46</v>
      </c>
      <c r="C11" s="76" t="s">
        <v>28</v>
      </c>
      <c r="D11" s="77">
        <f>leicstrybonus</f>
        <v>4</v>
      </c>
      <c r="E11" s="92" t="s">
        <v>13</v>
      </c>
      <c r="F11" s="93">
        <f>litriesconceded</f>
        <v>57</v>
      </c>
      <c r="G11" s="94" t="s">
        <v>13</v>
      </c>
      <c r="H11" s="95">
        <f>litrybonusconceded</f>
        <v>5</v>
      </c>
    </row>
    <row r="12" spans="1:8" ht="16.5" customHeight="1" thickBot="1" x14ac:dyDescent="0.3">
      <c r="A12" s="91" t="s">
        <v>10</v>
      </c>
      <c r="B12" s="84">
        <f>hartriesscored</f>
        <v>45</v>
      </c>
      <c r="C12" s="76" t="s">
        <v>13</v>
      </c>
      <c r="D12" s="77">
        <f>litrybonus</f>
        <v>4</v>
      </c>
      <c r="E12" s="92" t="s">
        <v>26</v>
      </c>
      <c r="F12" s="93">
        <f>glostriesconceded</f>
        <v>61</v>
      </c>
      <c r="G12" s="94" t="s">
        <v>29</v>
      </c>
      <c r="H12" s="95">
        <f>saletrybonusconceded</f>
        <v>6</v>
      </c>
    </row>
    <row r="13" spans="1:8" ht="16.5" customHeight="1" thickBot="1" x14ac:dyDescent="0.3">
      <c r="A13" s="91" t="s">
        <v>28</v>
      </c>
      <c r="B13" s="84">
        <f>leicstries+leicesterpotriesscored</f>
        <v>38</v>
      </c>
      <c r="C13" s="76" t="s">
        <v>66</v>
      </c>
      <c r="D13" s="77">
        <f>newctrybonus</f>
        <v>4</v>
      </c>
      <c r="E13" s="92" t="s">
        <v>66</v>
      </c>
      <c r="F13" s="93">
        <f>newctriesconceded</f>
        <v>61</v>
      </c>
      <c r="G13" s="94" t="s">
        <v>66</v>
      </c>
      <c r="H13" s="95">
        <f>newctrybonusconceded</f>
        <v>8</v>
      </c>
    </row>
    <row r="14" spans="1:8" ht="16.5" customHeight="1" thickBot="1" x14ac:dyDescent="0.3">
      <c r="A14" s="91" t="s">
        <v>15</v>
      </c>
      <c r="B14" s="84">
        <f>lwetriesscored</f>
        <v>29</v>
      </c>
      <c r="C14" s="76" t="s">
        <v>15</v>
      </c>
      <c r="D14" s="77">
        <f>lwetrybonus</f>
        <v>1</v>
      </c>
      <c r="E14" s="92" t="s">
        <v>15</v>
      </c>
      <c r="F14" s="93">
        <f>lwetriesconceded</f>
        <v>147</v>
      </c>
      <c r="G14" s="94" t="s">
        <v>15</v>
      </c>
      <c r="H14" s="95">
        <f>lwetrybonusconceded</f>
        <v>20</v>
      </c>
    </row>
    <row r="15" spans="1:8" x14ac:dyDescent="0.25">
      <c r="A15" s="670" t="s">
        <v>1067</v>
      </c>
      <c r="B15">
        <f>SUM(B3:B14)</f>
        <v>709</v>
      </c>
      <c r="D15">
        <f>SUM(D3:D14)</f>
        <v>63</v>
      </c>
      <c r="F15">
        <f>SUM(F3:F14)</f>
        <v>709</v>
      </c>
      <c r="H15">
        <f>SUM(H3:H14)</f>
        <v>63</v>
      </c>
    </row>
    <row r="16" spans="1:8" x14ac:dyDescent="0.25">
      <c r="A16" s="470" t="s">
        <v>253</v>
      </c>
    </row>
  </sheetData>
  <sortState xmlns:xlrd2="http://schemas.microsoft.com/office/spreadsheetml/2017/richdata2" ref="E3:F14">
    <sortCondition ref="F3:F14"/>
    <sortCondition ref="E3:E14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103"/>
  <sheetViews>
    <sheetView workbookViewId="0">
      <pane xSplit="1" topLeftCell="B1" activePane="topRight" state="frozen"/>
      <selection activeCell="A34" sqref="A34"/>
      <selection pane="topRight" activeCell="S36" sqref="S36"/>
    </sheetView>
  </sheetViews>
  <sheetFormatPr defaultRowHeight="15" x14ac:dyDescent="0.25"/>
  <cols>
    <col min="1" max="1" width="15.7109375" customWidth="1"/>
    <col min="2" max="44" width="5.7109375" customWidth="1"/>
    <col min="46" max="46" width="15.7109375" customWidth="1"/>
    <col min="50" max="50" width="12.7109375" bestFit="1" customWidth="1"/>
  </cols>
  <sheetData>
    <row r="1" spans="1:14" x14ac:dyDescent="0.25">
      <c r="A1" s="218" t="s">
        <v>55</v>
      </c>
      <c r="B1" s="878">
        <v>17</v>
      </c>
      <c r="C1" s="879"/>
      <c r="D1" s="878">
        <v>18</v>
      </c>
      <c r="E1" s="879"/>
      <c r="F1" s="878">
        <v>19</v>
      </c>
      <c r="G1" s="879"/>
      <c r="H1" s="878">
        <v>20</v>
      </c>
      <c r="I1" s="879"/>
      <c r="J1" s="878">
        <v>21</v>
      </c>
      <c r="K1" s="879"/>
      <c r="L1" s="878">
        <v>22</v>
      </c>
      <c r="M1" s="880"/>
      <c r="N1" s="657" t="s">
        <v>41</v>
      </c>
    </row>
    <row r="2" spans="1:14" x14ac:dyDescent="0.25">
      <c r="A2" s="220"/>
      <c r="B2" s="6" t="s">
        <v>56</v>
      </c>
      <c r="C2" s="7" t="s">
        <v>57</v>
      </c>
      <c r="D2" s="6" t="s">
        <v>56</v>
      </c>
      <c r="E2" s="7" t="s">
        <v>57</v>
      </c>
      <c r="F2" s="6" t="s">
        <v>56</v>
      </c>
      <c r="G2" s="7" t="s">
        <v>57</v>
      </c>
      <c r="H2" s="226" t="s">
        <v>56</v>
      </c>
      <c r="I2" s="228" t="s">
        <v>57</v>
      </c>
      <c r="J2" s="6" t="s">
        <v>56</v>
      </c>
      <c r="K2" s="7" t="s">
        <v>57</v>
      </c>
      <c r="L2" s="226" t="s">
        <v>56</v>
      </c>
      <c r="M2" s="228" t="s">
        <v>57</v>
      </c>
      <c r="N2" s="658"/>
    </row>
    <row r="3" spans="1:14" ht="15" customHeight="1" x14ac:dyDescent="0.25">
      <c r="A3" s="222" t="s">
        <v>24</v>
      </c>
      <c r="B3" s="560">
        <v>4</v>
      </c>
      <c r="C3" s="192" t="s">
        <v>59</v>
      </c>
      <c r="D3" s="6">
        <v>5</v>
      </c>
      <c r="E3" s="191" t="s">
        <v>58</v>
      </c>
      <c r="F3" s="6">
        <v>5</v>
      </c>
      <c r="G3" s="191" t="s">
        <v>58</v>
      </c>
      <c r="H3" s="560">
        <v>5</v>
      </c>
      <c r="I3" s="192" t="s">
        <v>58</v>
      </c>
      <c r="J3" s="6">
        <v>4</v>
      </c>
      <c r="K3" s="191" t="s">
        <v>59</v>
      </c>
      <c r="L3" s="560">
        <v>5</v>
      </c>
      <c r="M3" s="192" t="s">
        <v>58</v>
      </c>
      <c r="N3" s="659">
        <f t="shared" ref="N3:N14" si="0">SUM(B3+D3+F3+H3+J3+L3)</f>
        <v>28</v>
      </c>
    </row>
    <row r="4" spans="1:14" ht="15" customHeight="1" x14ac:dyDescent="0.25">
      <c r="A4" s="222" t="s">
        <v>28</v>
      </c>
      <c r="B4" s="6">
        <v>4</v>
      </c>
      <c r="C4" s="191" t="s">
        <v>59</v>
      </c>
      <c r="D4" s="560">
        <v>4</v>
      </c>
      <c r="E4" s="192" t="s">
        <v>59</v>
      </c>
      <c r="F4" s="6">
        <v>0</v>
      </c>
      <c r="G4" s="191" t="s">
        <v>61</v>
      </c>
      <c r="H4" s="560">
        <v>5</v>
      </c>
      <c r="I4" s="192" t="s">
        <v>58</v>
      </c>
      <c r="J4" s="6">
        <v>4</v>
      </c>
      <c r="K4" s="191" t="s">
        <v>59</v>
      </c>
      <c r="L4" s="560">
        <v>4</v>
      </c>
      <c r="M4" s="192" t="s">
        <v>59</v>
      </c>
      <c r="N4" s="659">
        <f t="shared" si="0"/>
        <v>21</v>
      </c>
    </row>
    <row r="5" spans="1:14" ht="15" customHeight="1" x14ac:dyDescent="0.25">
      <c r="A5" s="222" t="s">
        <v>30</v>
      </c>
      <c r="B5" s="560">
        <v>5</v>
      </c>
      <c r="C5" s="192" t="s">
        <v>58</v>
      </c>
      <c r="D5" s="6">
        <v>1</v>
      </c>
      <c r="E5" s="191" t="s">
        <v>60</v>
      </c>
      <c r="F5" s="560">
        <v>4</v>
      </c>
      <c r="G5" s="192" t="s">
        <v>59</v>
      </c>
      <c r="H5" s="6">
        <v>1</v>
      </c>
      <c r="I5" s="191" t="s">
        <v>60</v>
      </c>
      <c r="J5" s="6">
        <v>4</v>
      </c>
      <c r="K5" s="191" t="s">
        <v>59</v>
      </c>
      <c r="L5" s="560">
        <v>5</v>
      </c>
      <c r="M5" s="192" t="s">
        <v>58</v>
      </c>
      <c r="N5" s="659">
        <f t="shared" si="0"/>
        <v>20</v>
      </c>
    </row>
    <row r="6" spans="1:14" ht="15" customHeight="1" x14ac:dyDescent="0.25">
      <c r="A6" s="222" t="s">
        <v>21</v>
      </c>
      <c r="B6" s="6">
        <v>4</v>
      </c>
      <c r="C6" s="191" t="s">
        <v>59</v>
      </c>
      <c r="D6" s="560">
        <v>5</v>
      </c>
      <c r="E6" s="192" t="s">
        <v>58</v>
      </c>
      <c r="F6" s="560">
        <v>4</v>
      </c>
      <c r="G6" s="192" t="s">
        <v>59</v>
      </c>
      <c r="H6" s="6">
        <v>1</v>
      </c>
      <c r="I6" s="191" t="s">
        <v>60</v>
      </c>
      <c r="J6" s="560">
        <v>1</v>
      </c>
      <c r="K6" s="192" t="s">
        <v>60</v>
      </c>
      <c r="L6" s="6">
        <v>5</v>
      </c>
      <c r="M6" s="191" t="s">
        <v>58</v>
      </c>
      <c r="N6" s="659">
        <f t="shared" si="0"/>
        <v>20</v>
      </c>
    </row>
    <row r="7" spans="1:14" ht="15" customHeight="1" x14ac:dyDescent="0.25">
      <c r="A7" s="222" t="s">
        <v>27</v>
      </c>
      <c r="B7" s="6">
        <v>2</v>
      </c>
      <c r="C7" s="191" t="s">
        <v>64</v>
      </c>
      <c r="D7" s="560">
        <v>5</v>
      </c>
      <c r="E7" s="192" t="s">
        <v>58</v>
      </c>
      <c r="F7" s="6">
        <v>0</v>
      </c>
      <c r="G7" s="191" t="s">
        <v>61</v>
      </c>
      <c r="H7" s="560">
        <v>4</v>
      </c>
      <c r="I7" s="192" t="s">
        <v>59</v>
      </c>
      <c r="J7" s="560">
        <v>5</v>
      </c>
      <c r="K7" s="192" t="s">
        <v>58</v>
      </c>
      <c r="L7" s="6">
        <v>0</v>
      </c>
      <c r="M7" s="191" t="s">
        <v>61</v>
      </c>
      <c r="N7" s="659">
        <f t="shared" si="0"/>
        <v>16</v>
      </c>
    </row>
    <row r="8" spans="1:14" ht="15" customHeight="1" x14ac:dyDescent="0.25">
      <c r="A8" s="222" t="s">
        <v>10</v>
      </c>
      <c r="B8" s="560">
        <v>4</v>
      </c>
      <c r="C8" s="192" t="s">
        <v>59</v>
      </c>
      <c r="D8" s="6">
        <v>0</v>
      </c>
      <c r="E8" s="191" t="s">
        <v>61</v>
      </c>
      <c r="F8" s="560">
        <v>4</v>
      </c>
      <c r="G8" s="192" t="s">
        <v>59</v>
      </c>
      <c r="H8" s="6">
        <v>5</v>
      </c>
      <c r="I8" s="191" t="s">
        <v>58</v>
      </c>
      <c r="J8" s="560">
        <v>1</v>
      </c>
      <c r="K8" s="192" t="s">
        <v>60</v>
      </c>
      <c r="L8" s="6">
        <v>0</v>
      </c>
      <c r="M8" s="191" t="s">
        <v>61</v>
      </c>
      <c r="N8" s="659">
        <f t="shared" si="0"/>
        <v>14</v>
      </c>
    </row>
    <row r="9" spans="1:14" ht="15" customHeight="1" x14ac:dyDescent="0.25">
      <c r="A9" s="222" t="s">
        <v>26</v>
      </c>
      <c r="B9" s="560">
        <v>2</v>
      </c>
      <c r="C9" s="192" t="s">
        <v>64</v>
      </c>
      <c r="D9" s="6">
        <v>0</v>
      </c>
      <c r="E9" s="191" t="s">
        <v>61</v>
      </c>
      <c r="F9" s="6">
        <v>1</v>
      </c>
      <c r="G9" s="191" t="s">
        <v>60</v>
      </c>
      <c r="H9" s="560">
        <v>5</v>
      </c>
      <c r="I9" s="192" t="s">
        <v>58</v>
      </c>
      <c r="J9" s="560">
        <v>4</v>
      </c>
      <c r="K9" s="192" t="s">
        <v>59</v>
      </c>
      <c r="L9" s="6">
        <v>1</v>
      </c>
      <c r="M9" s="191" t="s">
        <v>1054</v>
      </c>
      <c r="N9" s="659">
        <f t="shared" si="0"/>
        <v>13</v>
      </c>
    </row>
    <row r="10" spans="1:14" ht="15" customHeight="1" x14ac:dyDescent="0.25">
      <c r="A10" s="222" t="s">
        <v>189</v>
      </c>
      <c r="B10" s="560">
        <v>0</v>
      </c>
      <c r="C10" s="192" t="s">
        <v>61</v>
      </c>
      <c r="D10" s="6">
        <v>0</v>
      </c>
      <c r="E10" s="191" t="s">
        <v>61</v>
      </c>
      <c r="F10" s="6">
        <v>5</v>
      </c>
      <c r="G10" s="191" t="s">
        <v>58</v>
      </c>
      <c r="H10" s="560">
        <v>4</v>
      </c>
      <c r="I10" s="192" t="s">
        <v>59</v>
      </c>
      <c r="J10" s="560">
        <v>1</v>
      </c>
      <c r="K10" s="191" t="s">
        <v>60</v>
      </c>
      <c r="L10" s="6">
        <v>3</v>
      </c>
      <c r="M10" s="191" t="s">
        <v>62</v>
      </c>
      <c r="N10" s="659">
        <f t="shared" si="0"/>
        <v>13</v>
      </c>
    </row>
    <row r="11" spans="1:14" ht="15" customHeight="1" x14ac:dyDescent="0.25">
      <c r="A11" s="222" t="s">
        <v>91</v>
      </c>
      <c r="B11" s="6">
        <v>1</v>
      </c>
      <c r="C11" s="191" t="s">
        <v>60</v>
      </c>
      <c r="D11" s="560">
        <v>4</v>
      </c>
      <c r="E11" s="192" t="s">
        <v>59</v>
      </c>
      <c r="F11" s="560">
        <v>4</v>
      </c>
      <c r="G11" s="192" t="s">
        <v>59</v>
      </c>
      <c r="H11" s="6">
        <v>0</v>
      </c>
      <c r="I11" s="191" t="s">
        <v>61</v>
      </c>
      <c r="J11" s="6">
        <v>0</v>
      </c>
      <c r="K11" s="191" t="s">
        <v>61</v>
      </c>
      <c r="L11" s="560">
        <v>3</v>
      </c>
      <c r="M11" s="192" t="s">
        <v>62</v>
      </c>
      <c r="N11" s="659">
        <f t="shared" si="0"/>
        <v>12</v>
      </c>
    </row>
    <row r="12" spans="1:14" ht="15" customHeight="1" x14ac:dyDescent="0.25">
      <c r="A12" s="222" t="s">
        <v>29</v>
      </c>
      <c r="B12" s="6">
        <v>0</v>
      </c>
      <c r="C12" s="191">
        <v>1</v>
      </c>
      <c r="D12" s="560">
        <v>4</v>
      </c>
      <c r="E12" s="192" t="s">
        <v>59</v>
      </c>
      <c r="F12" s="6">
        <v>1</v>
      </c>
      <c r="G12" s="191" t="s">
        <v>60</v>
      </c>
      <c r="H12" s="560">
        <v>1</v>
      </c>
      <c r="I12" s="192" t="s">
        <v>60</v>
      </c>
      <c r="J12" s="560">
        <v>5</v>
      </c>
      <c r="K12" s="192" t="s">
        <v>58</v>
      </c>
      <c r="L12" s="6">
        <v>0</v>
      </c>
      <c r="M12" s="191" t="s">
        <v>61</v>
      </c>
      <c r="N12" s="659">
        <f t="shared" si="0"/>
        <v>11</v>
      </c>
    </row>
    <row r="13" spans="1:14" ht="15" customHeight="1" x14ac:dyDescent="0.25">
      <c r="A13" s="222" t="s">
        <v>66</v>
      </c>
      <c r="B13" s="560">
        <v>1</v>
      </c>
      <c r="C13" s="192" t="s">
        <v>60</v>
      </c>
      <c r="D13" s="6">
        <v>1</v>
      </c>
      <c r="E13" s="191" t="s">
        <v>60</v>
      </c>
      <c r="F13" s="560">
        <v>0</v>
      </c>
      <c r="G13" s="192" t="s">
        <v>61</v>
      </c>
      <c r="H13" s="6">
        <v>2</v>
      </c>
      <c r="I13" s="191" t="s">
        <v>801</v>
      </c>
      <c r="J13" s="6">
        <v>1</v>
      </c>
      <c r="K13" s="191" t="s">
        <v>60</v>
      </c>
      <c r="L13" s="560">
        <v>5</v>
      </c>
      <c r="M13" s="192" t="s">
        <v>58</v>
      </c>
      <c r="N13" s="659">
        <f t="shared" si="0"/>
        <v>10</v>
      </c>
    </row>
    <row r="14" spans="1:14" ht="14.45" customHeight="1" thickBot="1" x14ac:dyDescent="0.3">
      <c r="A14" s="224" t="s">
        <v>190</v>
      </c>
      <c r="B14" s="601">
        <v>0</v>
      </c>
      <c r="C14" s="597" t="s">
        <v>61</v>
      </c>
      <c r="D14" s="600">
        <v>0</v>
      </c>
      <c r="E14" s="599" t="s">
        <v>61</v>
      </c>
      <c r="F14" s="600">
        <v>0</v>
      </c>
      <c r="G14" s="599" t="s">
        <v>61</v>
      </c>
      <c r="H14" s="601">
        <v>0</v>
      </c>
      <c r="I14" s="597" t="s">
        <v>61</v>
      </c>
      <c r="J14" s="601">
        <v>0</v>
      </c>
      <c r="K14" s="597" t="s">
        <v>61</v>
      </c>
      <c r="L14" s="600">
        <v>0</v>
      </c>
      <c r="M14" s="599" t="s">
        <v>61</v>
      </c>
      <c r="N14" s="660">
        <f t="shared" si="0"/>
        <v>0</v>
      </c>
    </row>
    <row r="15" spans="1:14" ht="15" customHeight="1" x14ac:dyDescent="0.25">
      <c r="A15" s="20"/>
      <c r="B15" s="192"/>
      <c r="C15" s="23"/>
      <c r="D15" s="192"/>
      <c r="E15" s="23"/>
      <c r="F15" s="11"/>
      <c r="G15" s="11"/>
      <c r="H15" s="23"/>
      <c r="I15" s="23"/>
      <c r="J15" s="11"/>
      <c r="K15" s="11"/>
      <c r="L15" s="193"/>
    </row>
    <row r="16" spans="1:14" ht="30" x14ac:dyDescent="0.25">
      <c r="A16" s="20" t="s">
        <v>87</v>
      </c>
    </row>
    <row r="17" spans="1:46" x14ac:dyDescent="0.25">
      <c r="A17" s="20"/>
    </row>
    <row r="18" spans="1:46" x14ac:dyDescent="0.25">
      <c r="A18" s="20" t="s">
        <v>254</v>
      </c>
    </row>
    <row r="19" spans="1:46" ht="15.75" thickBot="1" x14ac:dyDescent="0.3">
      <c r="A19" s="18" t="s">
        <v>86</v>
      </c>
    </row>
    <row r="20" spans="1:46" x14ac:dyDescent="0.25">
      <c r="A20" s="218" t="s">
        <v>55</v>
      </c>
      <c r="B20" s="878">
        <v>1</v>
      </c>
      <c r="C20" s="880"/>
      <c r="D20" s="878">
        <v>2</v>
      </c>
      <c r="E20" s="880"/>
      <c r="F20" s="878">
        <v>3</v>
      </c>
      <c r="G20" s="879"/>
      <c r="H20" s="878">
        <v>4</v>
      </c>
      <c r="I20" s="879"/>
      <c r="J20" s="878">
        <v>5</v>
      </c>
      <c r="K20" s="879"/>
      <c r="L20" s="878">
        <v>6</v>
      </c>
      <c r="M20" s="879"/>
      <c r="N20" s="878">
        <v>7</v>
      </c>
      <c r="O20" s="880"/>
      <c r="P20" s="878">
        <v>8</v>
      </c>
      <c r="Q20" s="880"/>
      <c r="R20" s="878">
        <v>9</v>
      </c>
      <c r="S20" s="879"/>
      <c r="T20" s="878">
        <v>10</v>
      </c>
      <c r="U20" s="879"/>
      <c r="V20" s="878">
        <v>11</v>
      </c>
      <c r="W20" s="879"/>
      <c r="X20" s="878">
        <v>12</v>
      </c>
      <c r="Y20" s="879"/>
      <c r="Z20" s="878">
        <v>13</v>
      </c>
      <c r="AA20" s="880"/>
      <c r="AB20" s="878">
        <v>14</v>
      </c>
      <c r="AC20" s="880"/>
      <c r="AD20" s="878">
        <v>15</v>
      </c>
      <c r="AE20" s="879"/>
      <c r="AF20" s="878">
        <v>16</v>
      </c>
      <c r="AG20" s="880"/>
      <c r="AH20" s="878">
        <v>17</v>
      </c>
      <c r="AI20" s="879"/>
      <c r="AJ20" s="878">
        <v>18</v>
      </c>
      <c r="AK20" s="879"/>
      <c r="AL20" s="878">
        <v>19</v>
      </c>
      <c r="AM20" s="879"/>
      <c r="AN20" s="878">
        <v>20</v>
      </c>
      <c r="AO20" s="879"/>
      <c r="AP20" s="878">
        <v>21</v>
      </c>
      <c r="AQ20" s="879"/>
      <c r="AR20" s="878">
        <v>22</v>
      </c>
      <c r="AS20" s="880"/>
      <c r="AT20" s="219" t="s">
        <v>41</v>
      </c>
    </row>
    <row r="21" spans="1:46" x14ac:dyDescent="0.25">
      <c r="A21" s="220"/>
      <c r="B21" s="226" t="s">
        <v>56</v>
      </c>
      <c r="C21" s="228" t="s">
        <v>57</v>
      </c>
      <c r="D21" s="226" t="s">
        <v>56</v>
      </c>
      <c r="E21" s="228" t="s">
        <v>57</v>
      </c>
      <c r="F21" s="6" t="s">
        <v>56</v>
      </c>
      <c r="G21" s="7" t="s">
        <v>57</v>
      </c>
      <c r="H21" s="226" t="s">
        <v>56</v>
      </c>
      <c r="I21" s="228" t="s">
        <v>57</v>
      </c>
      <c r="J21" s="6" t="s">
        <v>56</v>
      </c>
      <c r="K21" s="7" t="s">
        <v>57</v>
      </c>
      <c r="L21" s="226" t="s">
        <v>56</v>
      </c>
      <c r="M21" s="228" t="s">
        <v>57</v>
      </c>
      <c r="N21" s="6" t="s">
        <v>56</v>
      </c>
      <c r="O21" s="7" t="s">
        <v>57</v>
      </c>
      <c r="P21" s="6" t="s">
        <v>56</v>
      </c>
      <c r="Q21" s="7" t="s">
        <v>57</v>
      </c>
      <c r="R21" s="6" t="s">
        <v>56</v>
      </c>
      <c r="S21" s="7" t="s">
        <v>57</v>
      </c>
      <c r="T21" s="6" t="s">
        <v>56</v>
      </c>
      <c r="U21" s="7" t="s">
        <v>57</v>
      </c>
      <c r="V21" s="6" t="s">
        <v>56</v>
      </c>
      <c r="W21" s="7" t="s">
        <v>57</v>
      </c>
      <c r="X21" s="6" t="s">
        <v>56</v>
      </c>
      <c r="Y21" s="7" t="s">
        <v>57</v>
      </c>
      <c r="Z21" s="6" t="s">
        <v>56</v>
      </c>
      <c r="AA21" s="7" t="s">
        <v>57</v>
      </c>
      <c r="AB21" s="6" t="s">
        <v>56</v>
      </c>
      <c r="AC21" s="7" t="s">
        <v>57</v>
      </c>
      <c r="AD21" s="6" t="s">
        <v>56</v>
      </c>
      <c r="AE21" s="7" t="s">
        <v>57</v>
      </c>
      <c r="AF21" s="6" t="s">
        <v>56</v>
      </c>
      <c r="AG21" s="7" t="s">
        <v>57</v>
      </c>
      <c r="AH21" s="6" t="s">
        <v>56</v>
      </c>
      <c r="AI21" s="7" t="s">
        <v>57</v>
      </c>
      <c r="AJ21" s="6" t="s">
        <v>56</v>
      </c>
      <c r="AK21" s="7" t="s">
        <v>57</v>
      </c>
      <c r="AL21" s="6" t="s">
        <v>56</v>
      </c>
      <c r="AM21" s="7" t="s">
        <v>57</v>
      </c>
      <c r="AN21" s="226" t="s">
        <v>56</v>
      </c>
      <c r="AO21" s="228" t="s">
        <v>57</v>
      </c>
      <c r="AP21" s="6" t="s">
        <v>56</v>
      </c>
      <c r="AQ21" s="7" t="s">
        <v>57</v>
      </c>
      <c r="AR21" s="226" t="s">
        <v>56</v>
      </c>
      <c r="AS21" s="228" t="s">
        <v>57</v>
      </c>
      <c r="AT21" s="221"/>
    </row>
    <row r="22" spans="1:46" x14ac:dyDescent="0.25">
      <c r="A22" s="222" t="s">
        <v>24</v>
      </c>
      <c r="B22" s="560">
        <v>4</v>
      </c>
      <c r="C22" s="192" t="s">
        <v>59</v>
      </c>
      <c r="D22" s="560">
        <v>5</v>
      </c>
      <c r="E22" s="192" t="s">
        <v>58</v>
      </c>
      <c r="F22" s="560">
        <v>5</v>
      </c>
      <c r="G22" s="192" t="s">
        <v>58</v>
      </c>
      <c r="H22" s="6">
        <v>1</v>
      </c>
      <c r="I22" s="191" t="s">
        <v>60</v>
      </c>
      <c r="J22" s="560">
        <v>4</v>
      </c>
      <c r="K22" s="192" t="s">
        <v>59</v>
      </c>
      <c r="L22" s="6">
        <v>1</v>
      </c>
      <c r="M22" s="191" t="s">
        <v>60</v>
      </c>
      <c r="N22" s="560">
        <v>4</v>
      </c>
      <c r="O22" s="192" t="s">
        <v>59</v>
      </c>
      <c r="P22" s="6">
        <v>4</v>
      </c>
      <c r="Q22" s="191" t="s">
        <v>59</v>
      </c>
      <c r="R22" s="560">
        <v>5</v>
      </c>
      <c r="S22" s="192" t="s">
        <v>58</v>
      </c>
      <c r="T22" s="6">
        <v>4</v>
      </c>
      <c r="U22" s="191" t="s">
        <v>59</v>
      </c>
      <c r="V22" s="560">
        <v>5</v>
      </c>
      <c r="W22" s="192" t="s">
        <v>58</v>
      </c>
      <c r="X22" s="10">
        <v>0</v>
      </c>
      <c r="Y22" s="191" t="s">
        <v>61</v>
      </c>
      <c r="Z22" s="21">
        <v>5</v>
      </c>
      <c r="AA22" s="192" t="s">
        <v>58</v>
      </c>
      <c r="AB22" s="10">
        <v>0</v>
      </c>
      <c r="AC22" s="191" t="s">
        <v>61</v>
      </c>
      <c r="AD22" s="560">
        <v>0</v>
      </c>
      <c r="AE22" s="192" t="s">
        <v>61</v>
      </c>
      <c r="AF22" s="6">
        <v>0</v>
      </c>
      <c r="AG22" s="191" t="s">
        <v>61</v>
      </c>
      <c r="AH22" s="560">
        <v>4</v>
      </c>
      <c r="AI22" s="192" t="s">
        <v>59</v>
      </c>
      <c r="AJ22" s="6">
        <v>5</v>
      </c>
      <c r="AK22" s="191" t="s">
        <v>58</v>
      </c>
      <c r="AL22" s="6">
        <v>5</v>
      </c>
      <c r="AM22" s="191" t="s">
        <v>58</v>
      </c>
      <c r="AN22" s="560">
        <v>5</v>
      </c>
      <c r="AO22" s="192" t="s">
        <v>58</v>
      </c>
      <c r="AP22" s="6">
        <v>4</v>
      </c>
      <c r="AQ22" s="191" t="s">
        <v>59</v>
      </c>
      <c r="AR22" s="560">
        <v>5</v>
      </c>
      <c r="AS22" s="192" t="s">
        <v>58</v>
      </c>
      <c r="AT22" s="223">
        <f t="shared" ref="AT22:AT33" si="1">SUM(B22+D22+F22+H22+J22+L22+N22+P22+R22+T22+V22+X22+Z22+AB22+AD22+AF22+AH22+AJ22+AL22+AN22+AP22+AR22)</f>
        <v>75</v>
      </c>
    </row>
    <row r="23" spans="1:46" x14ac:dyDescent="0.25">
      <c r="A23" s="222" t="s">
        <v>30</v>
      </c>
      <c r="B23" s="560">
        <v>5</v>
      </c>
      <c r="C23" s="192" t="s">
        <v>58</v>
      </c>
      <c r="D23" s="560">
        <v>1</v>
      </c>
      <c r="E23" s="192" t="s">
        <v>60</v>
      </c>
      <c r="F23" s="6">
        <v>4</v>
      </c>
      <c r="G23" s="191" t="s">
        <v>59</v>
      </c>
      <c r="H23" s="560">
        <v>4</v>
      </c>
      <c r="I23" s="192" t="s">
        <v>59</v>
      </c>
      <c r="J23" s="6">
        <v>1</v>
      </c>
      <c r="K23" s="191" t="s">
        <v>60</v>
      </c>
      <c r="L23" s="560">
        <v>5</v>
      </c>
      <c r="M23" s="192" t="s">
        <v>58</v>
      </c>
      <c r="N23" s="6">
        <v>4</v>
      </c>
      <c r="O23" s="191" t="s">
        <v>59</v>
      </c>
      <c r="P23" s="560">
        <v>4</v>
      </c>
      <c r="Q23" s="192" t="s">
        <v>59</v>
      </c>
      <c r="R23" s="560">
        <v>4</v>
      </c>
      <c r="S23" s="192" t="s">
        <v>59</v>
      </c>
      <c r="T23" s="6">
        <v>1</v>
      </c>
      <c r="U23" s="191" t="s">
        <v>60</v>
      </c>
      <c r="V23" s="6">
        <v>0</v>
      </c>
      <c r="W23" s="191" t="s">
        <v>61</v>
      </c>
      <c r="X23" s="21">
        <v>1</v>
      </c>
      <c r="Y23" s="192" t="s">
        <v>60</v>
      </c>
      <c r="Z23" s="10">
        <v>1</v>
      </c>
      <c r="AA23" s="191" t="s">
        <v>60</v>
      </c>
      <c r="AB23" s="21">
        <v>5</v>
      </c>
      <c r="AC23" s="192" t="s">
        <v>58</v>
      </c>
      <c r="AD23" s="6">
        <v>4</v>
      </c>
      <c r="AE23" s="191" t="s">
        <v>59</v>
      </c>
      <c r="AF23" s="560">
        <v>4</v>
      </c>
      <c r="AG23" s="192" t="s">
        <v>59</v>
      </c>
      <c r="AH23" s="560">
        <v>5</v>
      </c>
      <c r="AI23" s="192" t="s">
        <v>58</v>
      </c>
      <c r="AJ23" s="6">
        <v>1</v>
      </c>
      <c r="AK23" s="191" t="s">
        <v>60</v>
      </c>
      <c r="AL23" s="560">
        <v>4</v>
      </c>
      <c r="AM23" s="192" t="s">
        <v>59</v>
      </c>
      <c r="AN23" s="6">
        <v>1</v>
      </c>
      <c r="AO23" s="191" t="s">
        <v>60</v>
      </c>
      <c r="AP23" s="6">
        <v>4</v>
      </c>
      <c r="AQ23" s="191" t="s">
        <v>59</v>
      </c>
      <c r="AR23" s="560">
        <v>5</v>
      </c>
      <c r="AS23" s="192" t="s">
        <v>58</v>
      </c>
      <c r="AT23" s="223">
        <f t="shared" si="1"/>
        <v>68</v>
      </c>
    </row>
    <row r="24" spans="1:46" x14ac:dyDescent="0.25">
      <c r="A24" s="222" t="s">
        <v>26</v>
      </c>
      <c r="B24" s="6">
        <v>0</v>
      </c>
      <c r="C24" s="191" t="s">
        <v>61</v>
      </c>
      <c r="D24" s="560">
        <v>4</v>
      </c>
      <c r="E24" s="192" t="s">
        <v>59</v>
      </c>
      <c r="F24" s="560">
        <v>1</v>
      </c>
      <c r="G24" s="192" t="s">
        <v>60</v>
      </c>
      <c r="H24" s="6">
        <v>5</v>
      </c>
      <c r="I24" s="191" t="s">
        <v>58</v>
      </c>
      <c r="J24" s="560">
        <v>4</v>
      </c>
      <c r="K24" s="192" t="s">
        <v>59</v>
      </c>
      <c r="L24" s="6">
        <v>1</v>
      </c>
      <c r="M24" s="191" t="s">
        <v>60</v>
      </c>
      <c r="N24" s="560">
        <v>1</v>
      </c>
      <c r="O24" s="192" t="s">
        <v>60</v>
      </c>
      <c r="P24" s="6">
        <v>0</v>
      </c>
      <c r="Q24" s="191" t="s">
        <v>61</v>
      </c>
      <c r="R24" s="6">
        <v>4</v>
      </c>
      <c r="S24" s="191" t="s">
        <v>59</v>
      </c>
      <c r="T24" s="560">
        <v>0</v>
      </c>
      <c r="U24" s="192" t="s">
        <v>61</v>
      </c>
      <c r="V24" s="560">
        <v>1</v>
      </c>
      <c r="W24" s="192" t="s">
        <v>60</v>
      </c>
      <c r="X24" s="10">
        <v>4</v>
      </c>
      <c r="Y24" s="191" t="s">
        <v>59</v>
      </c>
      <c r="Z24" s="21">
        <v>4</v>
      </c>
      <c r="AA24" s="192" t="s">
        <v>59</v>
      </c>
      <c r="AB24" s="10">
        <v>1</v>
      </c>
      <c r="AC24" s="191" t="s">
        <v>60</v>
      </c>
      <c r="AD24" s="560">
        <v>5</v>
      </c>
      <c r="AE24" s="192" t="s">
        <v>58</v>
      </c>
      <c r="AF24" s="6">
        <v>0</v>
      </c>
      <c r="AG24" s="191" t="s">
        <v>61</v>
      </c>
      <c r="AH24" s="560">
        <v>2</v>
      </c>
      <c r="AI24" s="192" t="s">
        <v>64</v>
      </c>
      <c r="AJ24" s="6">
        <v>0</v>
      </c>
      <c r="AK24" s="191" t="s">
        <v>61</v>
      </c>
      <c r="AL24" s="6">
        <v>1</v>
      </c>
      <c r="AM24" s="191" t="s">
        <v>60</v>
      </c>
      <c r="AN24" s="560">
        <v>5</v>
      </c>
      <c r="AO24" s="192" t="s">
        <v>58</v>
      </c>
      <c r="AP24" s="560">
        <v>4</v>
      </c>
      <c r="AQ24" s="192" t="s">
        <v>59</v>
      </c>
      <c r="AR24" s="6">
        <v>1</v>
      </c>
      <c r="AS24" s="191" t="s">
        <v>1054</v>
      </c>
      <c r="AT24" s="223">
        <f t="shared" si="1"/>
        <v>48</v>
      </c>
    </row>
    <row r="25" spans="1:46" x14ac:dyDescent="0.25">
      <c r="A25" s="222" t="s">
        <v>10</v>
      </c>
      <c r="B25" s="6">
        <v>4</v>
      </c>
      <c r="C25" s="191" t="s">
        <v>59</v>
      </c>
      <c r="D25" s="560">
        <v>0</v>
      </c>
      <c r="E25" s="192" t="s">
        <v>61</v>
      </c>
      <c r="F25" s="560">
        <v>4</v>
      </c>
      <c r="G25" s="192" t="s">
        <v>59</v>
      </c>
      <c r="H25" s="6">
        <v>0</v>
      </c>
      <c r="I25" s="191" t="s">
        <v>61</v>
      </c>
      <c r="J25" s="560">
        <v>5</v>
      </c>
      <c r="K25" s="192" t="s">
        <v>58</v>
      </c>
      <c r="L25" s="6">
        <v>1</v>
      </c>
      <c r="M25" s="191" t="s">
        <v>60</v>
      </c>
      <c r="N25" s="6">
        <v>4</v>
      </c>
      <c r="O25" s="191" t="s">
        <v>59</v>
      </c>
      <c r="P25" s="560">
        <v>1</v>
      </c>
      <c r="Q25" s="192" t="s">
        <v>60</v>
      </c>
      <c r="R25" s="6">
        <v>0</v>
      </c>
      <c r="S25" s="191" t="s">
        <v>61</v>
      </c>
      <c r="T25" s="560">
        <v>4</v>
      </c>
      <c r="U25" s="192" t="s">
        <v>59</v>
      </c>
      <c r="V25" s="560">
        <v>1</v>
      </c>
      <c r="W25" s="192" t="s">
        <v>60</v>
      </c>
      <c r="X25" s="10">
        <v>5</v>
      </c>
      <c r="Y25" s="191" t="s">
        <v>58</v>
      </c>
      <c r="Z25" s="21">
        <v>5</v>
      </c>
      <c r="AA25" s="192" t="s">
        <v>58</v>
      </c>
      <c r="AB25" s="10">
        <v>0</v>
      </c>
      <c r="AC25" s="191" t="s">
        <v>61</v>
      </c>
      <c r="AD25" s="560">
        <v>0</v>
      </c>
      <c r="AE25" s="192" t="s">
        <v>61</v>
      </c>
      <c r="AF25" s="560">
        <v>1</v>
      </c>
      <c r="AG25" s="192" t="s">
        <v>60</v>
      </c>
      <c r="AH25" s="560">
        <v>4</v>
      </c>
      <c r="AI25" s="192" t="s">
        <v>59</v>
      </c>
      <c r="AJ25" s="6">
        <v>0</v>
      </c>
      <c r="AK25" s="191" t="s">
        <v>61</v>
      </c>
      <c r="AL25" s="560">
        <v>4</v>
      </c>
      <c r="AM25" s="192" t="s">
        <v>59</v>
      </c>
      <c r="AN25" s="6">
        <v>5</v>
      </c>
      <c r="AO25" s="191" t="s">
        <v>58</v>
      </c>
      <c r="AP25" s="560">
        <v>1</v>
      </c>
      <c r="AQ25" s="192" t="s">
        <v>60</v>
      </c>
      <c r="AR25" s="6">
        <v>0</v>
      </c>
      <c r="AS25" s="191" t="s">
        <v>61</v>
      </c>
      <c r="AT25" s="223">
        <f t="shared" si="1"/>
        <v>49</v>
      </c>
    </row>
    <row r="26" spans="1:46" x14ac:dyDescent="0.25">
      <c r="A26" s="222" t="s">
        <v>91</v>
      </c>
      <c r="B26" s="560">
        <v>1</v>
      </c>
      <c r="C26" s="192" t="s">
        <v>60</v>
      </c>
      <c r="D26" s="6">
        <v>4</v>
      </c>
      <c r="E26" s="191" t="s">
        <v>59</v>
      </c>
      <c r="F26" s="560">
        <v>2</v>
      </c>
      <c r="G26" s="192" t="s">
        <v>397</v>
      </c>
      <c r="H26" s="6">
        <v>4</v>
      </c>
      <c r="I26" s="191" t="s">
        <v>59</v>
      </c>
      <c r="J26" s="560">
        <v>1</v>
      </c>
      <c r="K26" s="192" t="s">
        <v>60</v>
      </c>
      <c r="L26" s="6">
        <v>0</v>
      </c>
      <c r="M26" s="191" t="s">
        <v>61</v>
      </c>
      <c r="N26" s="6">
        <v>0</v>
      </c>
      <c r="O26" s="191" t="s">
        <v>61</v>
      </c>
      <c r="P26" s="6">
        <v>0</v>
      </c>
      <c r="Q26" s="191" t="s">
        <v>61</v>
      </c>
      <c r="R26" s="560">
        <v>0</v>
      </c>
      <c r="S26" s="192" t="s">
        <v>61</v>
      </c>
      <c r="T26" s="6">
        <v>0</v>
      </c>
      <c r="U26" s="191" t="s">
        <v>61</v>
      </c>
      <c r="V26" s="560">
        <v>4</v>
      </c>
      <c r="W26" s="192" t="s">
        <v>59</v>
      </c>
      <c r="X26" s="10">
        <v>0</v>
      </c>
      <c r="Y26" s="191" t="s">
        <v>61</v>
      </c>
      <c r="Z26" s="21">
        <v>5</v>
      </c>
      <c r="AA26" s="192" t="s">
        <v>58</v>
      </c>
      <c r="AB26" s="10">
        <v>1</v>
      </c>
      <c r="AC26" s="191" t="s">
        <v>60</v>
      </c>
      <c r="AD26" s="560">
        <v>1</v>
      </c>
      <c r="AE26" s="192" t="s">
        <v>60</v>
      </c>
      <c r="AF26" s="6">
        <v>5</v>
      </c>
      <c r="AG26" s="191" t="s">
        <v>58</v>
      </c>
      <c r="AH26" s="6">
        <v>1</v>
      </c>
      <c r="AI26" s="191" t="s">
        <v>60</v>
      </c>
      <c r="AJ26" s="560">
        <v>4</v>
      </c>
      <c r="AK26" s="192" t="s">
        <v>59</v>
      </c>
      <c r="AL26" s="560">
        <v>4</v>
      </c>
      <c r="AM26" s="192" t="s">
        <v>59</v>
      </c>
      <c r="AN26" s="6">
        <v>0</v>
      </c>
      <c r="AO26" s="191" t="s">
        <v>61</v>
      </c>
      <c r="AP26" s="6">
        <v>0</v>
      </c>
      <c r="AQ26" s="191" t="s">
        <v>61</v>
      </c>
      <c r="AR26" s="560">
        <v>3</v>
      </c>
      <c r="AS26" s="192" t="s">
        <v>62</v>
      </c>
      <c r="AT26" s="223">
        <f t="shared" si="1"/>
        <v>40</v>
      </c>
    </row>
    <row r="27" spans="1:46" x14ac:dyDescent="0.25">
      <c r="A27" s="222" t="s">
        <v>190</v>
      </c>
      <c r="B27" s="560">
        <v>0</v>
      </c>
      <c r="C27" s="192" t="s">
        <v>61</v>
      </c>
      <c r="D27" s="6">
        <v>1</v>
      </c>
      <c r="E27" s="191" t="s">
        <v>410</v>
      </c>
      <c r="F27" s="6">
        <v>0</v>
      </c>
      <c r="G27" s="191" t="s">
        <v>61</v>
      </c>
      <c r="H27" s="560">
        <v>0</v>
      </c>
      <c r="I27" s="192" t="s">
        <v>61</v>
      </c>
      <c r="J27" s="6">
        <v>0</v>
      </c>
      <c r="K27" s="191" t="s">
        <v>61</v>
      </c>
      <c r="L27" s="560">
        <v>0</v>
      </c>
      <c r="M27" s="192" t="s">
        <v>61</v>
      </c>
      <c r="N27" s="6">
        <v>0</v>
      </c>
      <c r="O27" s="191" t="s">
        <v>61</v>
      </c>
      <c r="P27" s="6">
        <v>0</v>
      </c>
      <c r="Q27" s="191" t="s">
        <v>61</v>
      </c>
      <c r="R27" s="560">
        <v>0</v>
      </c>
      <c r="S27" s="192" t="s">
        <v>61</v>
      </c>
      <c r="T27" s="6">
        <v>0</v>
      </c>
      <c r="U27" s="191" t="s">
        <v>61</v>
      </c>
      <c r="V27" s="6">
        <v>0</v>
      </c>
      <c r="W27" s="191" t="s">
        <v>61</v>
      </c>
      <c r="X27" s="10">
        <v>0</v>
      </c>
      <c r="Y27" s="191" t="s">
        <v>61</v>
      </c>
      <c r="Z27" s="10">
        <v>0</v>
      </c>
      <c r="AA27" s="191" t="s">
        <v>61</v>
      </c>
      <c r="AB27" s="10">
        <v>0</v>
      </c>
      <c r="AC27" s="191" t="s">
        <v>61</v>
      </c>
      <c r="AD27" s="6">
        <v>0</v>
      </c>
      <c r="AE27" s="191" t="s">
        <v>61</v>
      </c>
      <c r="AF27" s="6">
        <v>0</v>
      </c>
      <c r="AG27" s="191" t="s">
        <v>61</v>
      </c>
      <c r="AH27" s="6">
        <v>0</v>
      </c>
      <c r="AI27" s="191" t="s">
        <v>61</v>
      </c>
      <c r="AJ27" s="560">
        <v>0</v>
      </c>
      <c r="AK27" s="192" t="s">
        <v>61</v>
      </c>
      <c r="AL27" s="560">
        <v>0</v>
      </c>
      <c r="AM27" s="192" t="s">
        <v>61</v>
      </c>
      <c r="AN27" s="6">
        <v>0</v>
      </c>
      <c r="AO27" s="191" t="s">
        <v>61</v>
      </c>
      <c r="AP27" s="6">
        <v>0</v>
      </c>
      <c r="AQ27" s="191" t="s">
        <v>61</v>
      </c>
      <c r="AR27" s="560">
        <v>0</v>
      </c>
      <c r="AS27" s="192" t="s">
        <v>61</v>
      </c>
      <c r="AT27" s="223">
        <f t="shared" si="1"/>
        <v>1</v>
      </c>
    </row>
    <row r="28" spans="1:46" x14ac:dyDescent="0.25">
      <c r="A28" s="222" t="s">
        <v>28</v>
      </c>
      <c r="B28" s="560">
        <v>5</v>
      </c>
      <c r="C28" s="192" t="s">
        <v>58</v>
      </c>
      <c r="D28" s="6">
        <v>4</v>
      </c>
      <c r="E28" s="191" t="s">
        <v>59</v>
      </c>
      <c r="F28" s="6">
        <v>0</v>
      </c>
      <c r="G28" s="191" t="s">
        <v>61</v>
      </c>
      <c r="H28" s="560">
        <v>1</v>
      </c>
      <c r="I28" s="192" t="s">
        <v>60</v>
      </c>
      <c r="J28" s="6">
        <v>0</v>
      </c>
      <c r="K28" s="191" t="s">
        <v>61</v>
      </c>
      <c r="L28" s="560">
        <v>4</v>
      </c>
      <c r="M28" s="192" t="s">
        <v>59</v>
      </c>
      <c r="N28" s="560">
        <v>2</v>
      </c>
      <c r="O28" s="192" t="s">
        <v>64</v>
      </c>
      <c r="P28" s="6">
        <v>5</v>
      </c>
      <c r="Q28" s="191" t="s">
        <v>58</v>
      </c>
      <c r="R28" s="560">
        <v>4</v>
      </c>
      <c r="S28" s="192" t="s">
        <v>59</v>
      </c>
      <c r="T28" s="6">
        <v>1</v>
      </c>
      <c r="U28" s="191" t="s">
        <v>60</v>
      </c>
      <c r="V28" s="6">
        <v>5</v>
      </c>
      <c r="W28" s="191" t="s">
        <v>58</v>
      </c>
      <c r="X28" s="21">
        <v>4</v>
      </c>
      <c r="Y28" s="192" t="s">
        <v>59</v>
      </c>
      <c r="Z28" s="10">
        <v>0</v>
      </c>
      <c r="AA28" s="191" t="s">
        <v>61</v>
      </c>
      <c r="AB28" s="21">
        <v>4</v>
      </c>
      <c r="AC28" s="192" t="s">
        <v>59</v>
      </c>
      <c r="AD28" s="6">
        <v>4</v>
      </c>
      <c r="AE28" s="191" t="s">
        <v>59</v>
      </c>
      <c r="AF28" s="560">
        <v>4</v>
      </c>
      <c r="AG28" s="192" t="s">
        <v>59</v>
      </c>
      <c r="AH28" s="6">
        <v>4</v>
      </c>
      <c r="AI28" s="191" t="s">
        <v>59</v>
      </c>
      <c r="AJ28" s="560">
        <v>4</v>
      </c>
      <c r="AK28" s="192" t="s">
        <v>59</v>
      </c>
      <c r="AL28" s="6">
        <v>0</v>
      </c>
      <c r="AM28" s="191" t="s">
        <v>61</v>
      </c>
      <c r="AN28" s="560">
        <v>5</v>
      </c>
      <c r="AO28" s="192" t="s">
        <v>58</v>
      </c>
      <c r="AP28" s="6">
        <v>4</v>
      </c>
      <c r="AQ28" s="191" t="s">
        <v>59</v>
      </c>
      <c r="AR28" s="560">
        <v>4</v>
      </c>
      <c r="AS28" s="192" t="s">
        <v>59</v>
      </c>
      <c r="AT28" s="223">
        <f t="shared" si="1"/>
        <v>68</v>
      </c>
    </row>
    <row r="29" spans="1:46" x14ac:dyDescent="0.25">
      <c r="A29" s="222" t="s">
        <v>66</v>
      </c>
      <c r="B29" s="6">
        <v>0</v>
      </c>
      <c r="C29" s="191" t="s">
        <v>61</v>
      </c>
      <c r="D29" s="560">
        <v>1</v>
      </c>
      <c r="E29" s="192" t="s">
        <v>60</v>
      </c>
      <c r="F29" s="6">
        <v>0</v>
      </c>
      <c r="G29" s="191" t="s">
        <v>61</v>
      </c>
      <c r="H29" s="6">
        <v>0</v>
      </c>
      <c r="I29" s="191" t="s">
        <v>61</v>
      </c>
      <c r="J29" s="560">
        <v>4</v>
      </c>
      <c r="K29" s="192" t="s">
        <v>59</v>
      </c>
      <c r="L29" s="6">
        <v>4</v>
      </c>
      <c r="M29" s="191" t="s">
        <v>59</v>
      </c>
      <c r="N29" s="6">
        <v>0</v>
      </c>
      <c r="O29" s="191" t="s">
        <v>61</v>
      </c>
      <c r="P29" s="560">
        <v>4</v>
      </c>
      <c r="Q29" s="192" t="s">
        <v>59</v>
      </c>
      <c r="R29" s="560">
        <v>1</v>
      </c>
      <c r="S29" s="192" t="s">
        <v>60</v>
      </c>
      <c r="T29" s="6">
        <v>0</v>
      </c>
      <c r="U29" s="191" t="s">
        <v>61</v>
      </c>
      <c r="V29" s="560">
        <v>1</v>
      </c>
      <c r="W29" s="192" t="s">
        <v>60</v>
      </c>
      <c r="X29" s="10">
        <v>1</v>
      </c>
      <c r="Y29" s="191" t="s">
        <v>801</v>
      </c>
      <c r="Z29" s="21">
        <v>5</v>
      </c>
      <c r="AA29" s="192" t="s">
        <v>58</v>
      </c>
      <c r="AB29" s="10">
        <v>0</v>
      </c>
      <c r="AC29" s="191" t="s">
        <v>61</v>
      </c>
      <c r="AD29" s="560">
        <v>2</v>
      </c>
      <c r="AE29" s="192" t="s">
        <v>64</v>
      </c>
      <c r="AF29" s="6">
        <v>1</v>
      </c>
      <c r="AG29" s="191" t="s">
        <v>60</v>
      </c>
      <c r="AH29" s="560">
        <v>1</v>
      </c>
      <c r="AI29" s="192" t="s">
        <v>60</v>
      </c>
      <c r="AJ29" s="6">
        <v>1</v>
      </c>
      <c r="AK29" s="191" t="s">
        <v>60</v>
      </c>
      <c r="AL29" s="560">
        <v>0</v>
      </c>
      <c r="AM29" s="192" t="s">
        <v>61</v>
      </c>
      <c r="AN29" s="6">
        <v>2</v>
      </c>
      <c r="AO29" s="191" t="s">
        <v>801</v>
      </c>
      <c r="AP29" s="6">
        <v>1</v>
      </c>
      <c r="AQ29" s="191" t="s">
        <v>60</v>
      </c>
      <c r="AR29" s="560">
        <v>5</v>
      </c>
      <c r="AS29" s="192" t="s">
        <v>58</v>
      </c>
      <c r="AT29" s="223">
        <f t="shared" si="1"/>
        <v>34</v>
      </c>
    </row>
    <row r="30" spans="1:46" x14ac:dyDescent="0.25">
      <c r="A30" s="222" t="s">
        <v>27</v>
      </c>
      <c r="B30" s="560">
        <v>5</v>
      </c>
      <c r="C30" s="192" t="s">
        <v>58</v>
      </c>
      <c r="D30" s="6">
        <v>1</v>
      </c>
      <c r="E30" s="191" t="s">
        <v>60</v>
      </c>
      <c r="F30" s="560">
        <v>5</v>
      </c>
      <c r="G30" s="192" t="s">
        <v>58</v>
      </c>
      <c r="H30" s="560">
        <v>5</v>
      </c>
      <c r="I30" s="192" t="s">
        <v>58</v>
      </c>
      <c r="J30" s="6">
        <v>4</v>
      </c>
      <c r="K30" s="191" t="s">
        <v>59</v>
      </c>
      <c r="L30" s="560">
        <v>5</v>
      </c>
      <c r="M30" s="192" t="s">
        <v>58</v>
      </c>
      <c r="N30" s="560">
        <v>1</v>
      </c>
      <c r="O30" s="192" t="s">
        <v>60</v>
      </c>
      <c r="P30" s="6">
        <v>4</v>
      </c>
      <c r="Q30" s="191" t="s">
        <v>59</v>
      </c>
      <c r="R30" s="6">
        <v>5</v>
      </c>
      <c r="S30" s="191" t="s">
        <v>58</v>
      </c>
      <c r="T30" s="560">
        <v>4</v>
      </c>
      <c r="U30" s="192" t="s">
        <v>59</v>
      </c>
      <c r="V30" s="6">
        <v>4</v>
      </c>
      <c r="W30" s="191" t="s">
        <v>59</v>
      </c>
      <c r="X30" s="21">
        <v>5</v>
      </c>
      <c r="Y30" s="192" t="s">
        <v>58</v>
      </c>
      <c r="Z30" s="10">
        <v>0</v>
      </c>
      <c r="AA30" s="191" t="s">
        <v>61</v>
      </c>
      <c r="AB30" s="21">
        <v>4</v>
      </c>
      <c r="AC30" s="192" t="s">
        <v>59</v>
      </c>
      <c r="AD30" s="6">
        <v>4</v>
      </c>
      <c r="AE30" s="191" t="s">
        <v>59</v>
      </c>
      <c r="AF30" s="560">
        <v>4</v>
      </c>
      <c r="AG30" s="192" t="s">
        <v>59</v>
      </c>
      <c r="AH30" s="6">
        <v>2</v>
      </c>
      <c r="AI30" s="191" t="s">
        <v>64</v>
      </c>
      <c r="AJ30" s="560">
        <v>5</v>
      </c>
      <c r="AK30" s="192" t="s">
        <v>58</v>
      </c>
      <c r="AL30" s="6">
        <v>0</v>
      </c>
      <c r="AM30" s="191" t="s">
        <v>61</v>
      </c>
      <c r="AN30" s="560">
        <v>4</v>
      </c>
      <c r="AO30" s="192" t="s">
        <v>59</v>
      </c>
      <c r="AP30" s="560">
        <v>5</v>
      </c>
      <c r="AQ30" s="192" t="s">
        <v>58</v>
      </c>
      <c r="AR30" s="6">
        <v>0</v>
      </c>
      <c r="AS30" s="191" t="s">
        <v>61</v>
      </c>
      <c r="AT30" s="223">
        <f t="shared" si="1"/>
        <v>76</v>
      </c>
    </row>
    <row r="31" spans="1:46" x14ac:dyDescent="0.25">
      <c r="A31" s="222" t="s">
        <v>29</v>
      </c>
      <c r="B31" s="6">
        <v>0</v>
      </c>
      <c r="C31" s="191" t="s">
        <v>61</v>
      </c>
      <c r="D31" s="6">
        <v>2</v>
      </c>
      <c r="E31" s="191" t="s">
        <v>63</v>
      </c>
      <c r="F31" s="560">
        <v>5</v>
      </c>
      <c r="G31" s="192" t="s">
        <v>58</v>
      </c>
      <c r="H31" s="6">
        <v>0</v>
      </c>
      <c r="I31" s="191" t="s">
        <v>61</v>
      </c>
      <c r="J31" s="560">
        <v>4</v>
      </c>
      <c r="K31" s="192" t="s">
        <v>59</v>
      </c>
      <c r="L31" s="6">
        <v>0</v>
      </c>
      <c r="M31" s="191" t="s">
        <v>61</v>
      </c>
      <c r="N31" s="560">
        <v>5</v>
      </c>
      <c r="O31" s="192" t="s">
        <v>58</v>
      </c>
      <c r="P31" s="560">
        <v>4</v>
      </c>
      <c r="Q31" s="192" t="s">
        <v>59</v>
      </c>
      <c r="R31" s="6">
        <v>4</v>
      </c>
      <c r="S31" s="191" t="s">
        <v>59</v>
      </c>
      <c r="T31" s="560">
        <v>4</v>
      </c>
      <c r="U31" s="192" t="s">
        <v>59</v>
      </c>
      <c r="V31" s="560">
        <v>2</v>
      </c>
      <c r="W31" s="192" t="s">
        <v>63</v>
      </c>
      <c r="X31" s="10">
        <v>0</v>
      </c>
      <c r="Y31" s="191" t="s">
        <v>61</v>
      </c>
      <c r="Z31" s="21">
        <v>4</v>
      </c>
      <c r="AA31" s="192" t="s">
        <v>59</v>
      </c>
      <c r="AB31" s="21">
        <v>5</v>
      </c>
      <c r="AC31" s="192" t="s">
        <v>58</v>
      </c>
      <c r="AD31" s="560">
        <v>4</v>
      </c>
      <c r="AE31" s="192" t="s">
        <v>59</v>
      </c>
      <c r="AF31" s="6">
        <v>0</v>
      </c>
      <c r="AG31" s="191" t="s">
        <v>61</v>
      </c>
      <c r="AH31" s="6">
        <v>0</v>
      </c>
      <c r="AI31" s="191">
        <v>1</v>
      </c>
      <c r="AJ31" s="560">
        <v>4</v>
      </c>
      <c r="AK31" s="192" t="s">
        <v>59</v>
      </c>
      <c r="AL31" s="6">
        <v>1</v>
      </c>
      <c r="AM31" s="191" t="s">
        <v>60</v>
      </c>
      <c r="AN31" s="560">
        <v>1</v>
      </c>
      <c r="AO31" s="192" t="s">
        <v>60</v>
      </c>
      <c r="AP31" s="560">
        <v>5</v>
      </c>
      <c r="AQ31" s="192" t="s">
        <v>58</v>
      </c>
      <c r="AR31" s="6">
        <v>0</v>
      </c>
      <c r="AS31" s="191" t="s">
        <v>61</v>
      </c>
      <c r="AT31" s="223">
        <f t="shared" si="1"/>
        <v>54</v>
      </c>
    </row>
    <row r="32" spans="1:46" x14ac:dyDescent="0.25">
      <c r="A32" s="222" t="s">
        <v>21</v>
      </c>
      <c r="B32" s="560">
        <v>5</v>
      </c>
      <c r="C32" s="192" t="s">
        <v>58</v>
      </c>
      <c r="D32" s="6">
        <v>4</v>
      </c>
      <c r="E32" s="191" t="s">
        <v>59</v>
      </c>
      <c r="F32" s="560">
        <v>4</v>
      </c>
      <c r="G32" s="192" t="s">
        <v>59</v>
      </c>
      <c r="H32" s="560">
        <v>5</v>
      </c>
      <c r="I32" s="192" t="s">
        <v>58</v>
      </c>
      <c r="J32" s="6">
        <v>0</v>
      </c>
      <c r="K32" s="191" t="s">
        <v>61</v>
      </c>
      <c r="L32" s="560">
        <v>4</v>
      </c>
      <c r="M32" s="192" t="s">
        <v>59</v>
      </c>
      <c r="N32" s="6">
        <v>2</v>
      </c>
      <c r="O32" s="191" t="s">
        <v>64</v>
      </c>
      <c r="P32" s="560">
        <v>1</v>
      </c>
      <c r="Q32" s="192" t="s">
        <v>60</v>
      </c>
      <c r="R32" s="6">
        <v>0</v>
      </c>
      <c r="S32" s="191" t="s">
        <v>61</v>
      </c>
      <c r="T32" s="560">
        <v>5</v>
      </c>
      <c r="U32" s="192" t="s">
        <v>58</v>
      </c>
      <c r="V32" s="6">
        <v>4</v>
      </c>
      <c r="W32" s="191" t="s">
        <v>59</v>
      </c>
      <c r="X32" s="21">
        <v>4</v>
      </c>
      <c r="Y32" s="192" t="s">
        <v>59</v>
      </c>
      <c r="Z32" s="10">
        <v>1</v>
      </c>
      <c r="AA32" s="191" t="s">
        <v>60</v>
      </c>
      <c r="AB32" s="21">
        <v>4</v>
      </c>
      <c r="AC32" s="192" t="s">
        <v>59</v>
      </c>
      <c r="AD32" s="6">
        <v>1</v>
      </c>
      <c r="AE32" s="191" t="s">
        <v>60</v>
      </c>
      <c r="AF32" s="560">
        <v>4</v>
      </c>
      <c r="AG32" s="192" t="s">
        <v>59</v>
      </c>
      <c r="AH32" s="6">
        <v>4</v>
      </c>
      <c r="AI32" s="191" t="s">
        <v>59</v>
      </c>
      <c r="AJ32" s="560">
        <v>5</v>
      </c>
      <c r="AK32" s="192" t="s">
        <v>58</v>
      </c>
      <c r="AL32" s="560">
        <v>4</v>
      </c>
      <c r="AM32" s="192" t="s">
        <v>59</v>
      </c>
      <c r="AN32" s="6">
        <v>1</v>
      </c>
      <c r="AO32" s="191" t="s">
        <v>60</v>
      </c>
      <c r="AP32" s="560">
        <v>1</v>
      </c>
      <c r="AQ32" s="192" t="s">
        <v>60</v>
      </c>
      <c r="AR32" s="6">
        <v>5</v>
      </c>
      <c r="AS32" s="191" t="s">
        <v>58</v>
      </c>
      <c r="AT32" s="223">
        <f t="shared" si="1"/>
        <v>68</v>
      </c>
    </row>
    <row r="33" spans="1:58" ht="15.75" thickBot="1" x14ac:dyDescent="0.3">
      <c r="A33" s="224" t="s">
        <v>189</v>
      </c>
      <c r="B33" s="601">
        <v>1</v>
      </c>
      <c r="C33" s="597" t="s">
        <v>60</v>
      </c>
      <c r="D33" s="600">
        <v>4</v>
      </c>
      <c r="E33" s="599" t="s">
        <v>59</v>
      </c>
      <c r="F33" s="601">
        <v>1</v>
      </c>
      <c r="G33" s="597" t="s">
        <v>60</v>
      </c>
      <c r="H33" s="600">
        <v>5</v>
      </c>
      <c r="I33" s="599" t="s">
        <v>58</v>
      </c>
      <c r="J33" s="601">
        <v>0</v>
      </c>
      <c r="K33" s="597" t="s">
        <v>61</v>
      </c>
      <c r="L33" s="600">
        <v>4</v>
      </c>
      <c r="M33" s="599" t="s">
        <v>59</v>
      </c>
      <c r="N33" s="600">
        <v>5</v>
      </c>
      <c r="O33" s="599" t="s">
        <v>58</v>
      </c>
      <c r="P33" s="601">
        <v>0</v>
      </c>
      <c r="Q33" s="597" t="s">
        <v>61</v>
      </c>
      <c r="R33" s="601">
        <v>1</v>
      </c>
      <c r="S33" s="597" t="s">
        <v>60</v>
      </c>
      <c r="T33" s="600">
        <v>5</v>
      </c>
      <c r="U33" s="599" t="s">
        <v>58</v>
      </c>
      <c r="V33" s="601">
        <v>4</v>
      </c>
      <c r="W33" s="597" t="s">
        <v>59</v>
      </c>
      <c r="X33" s="598">
        <v>5</v>
      </c>
      <c r="Y33" s="599" t="s">
        <v>58</v>
      </c>
      <c r="Z33" s="596">
        <v>1</v>
      </c>
      <c r="AA33" s="597" t="s">
        <v>801</v>
      </c>
      <c r="AB33" s="598">
        <v>5</v>
      </c>
      <c r="AC33" s="599" t="s">
        <v>58</v>
      </c>
      <c r="AD33" s="601">
        <v>2</v>
      </c>
      <c r="AE33" s="597" t="s">
        <v>64</v>
      </c>
      <c r="AF33" s="600">
        <v>5</v>
      </c>
      <c r="AG33" s="599" t="s">
        <v>58</v>
      </c>
      <c r="AH33" s="600">
        <v>0</v>
      </c>
      <c r="AI33" s="599" t="s">
        <v>61</v>
      </c>
      <c r="AJ33" s="601">
        <v>0</v>
      </c>
      <c r="AK33" s="597" t="s">
        <v>61</v>
      </c>
      <c r="AL33" s="601">
        <v>5</v>
      </c>
      <c r="AM33" s="597" t="s">
        <v>58</v>
      </c>
      <c r="AN33" s="600">
        <v>4</v>
      </c>
      <c r="AO33" s="599" t="s">
        <v>59</v>
      </c>
      <c r="AP33" s="600">
        <v>1</v>
      </c>
      <c r="AQ33" s="597" t="s">
        <v>60</v>
      </c>
      <c r="AR33" s="601">
        <v>3</v>
      </c>
      <c r="AS33" s="597" t="s">
        <v>62</v>
      </c>
      <c r="AT33" s="225">
        <f t="shared" si="1"/>
        <v>61</v>
      </c>
    </row>
    <row r="34" spans="1:58" x14ac:dyDescent="0.25">
      <c r="B34" s="191"/>
      <c r="C34" s="11"/>
      <c r="D34" s="192"/>
      <c r="E34" s="23"/>
      <c r="F34" s="192"/>
      <c r="G34" s="23"/>
      <c r="H34" s="11"/>
      <c r="I34" s="11"/>
      <c r="J34" s="23"/>
      <c r="K34" s="23"/>
      <c r="L34" s="11"/>
      <c r="M34" s="11"/>
      <c r="N34" s="192"/>
      <c r="O34" s="23"/>
      <c r="P34" s="191"/>
      <c r="Q34" s="11"/>
      <c r="R34" s="192"/>
      <c r="S34" s="23"/>
      <c r="T34" s="11"/>
      <c r="U34" s="11"/>
      <c r="V34" s="23"/>
      <c r="W34" s="23"/>
      <c r="X34" s="11"/>
      <c r="Y34" s="11"/>
      <c r="Z34" s="192"/>
      <c r="AA34" s="23"/>
      <c r="AB34" s="191"/>
      <c r="AC34" s="11"/>
      <c r="AD34" s="472"/>
      <c r="AE34" s="23"/>
      <c r="AF34" s="228"/>
      <c r="AG34" s="11"/>
      <c r="AH34" s="472"/>
      <c r="AI34" s="23"/>
      <c r="AJ34" s="228"/>
      <c r="AK34" s="11"/>
      <c r="AL34" s="472"/>
      <c r="AM34" s="23"/>
      <c r="AN34" s="228"/>
      <c r="AO34" s="11"/>
      <c r="AP34" s="228"/>
      <c r="AQ34" s="11"/>
      <c r="AR34" s="472"/>
      <c r="AS34" s="23"/>
      <c r="AT34" s="193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</row>
    <row r="35" spans="1:58" ht="30" x14ac:dyDescent="0.25">
      <c r="A35" s="20" t="s">
        <v>87</v>
      </c>
    </row>
    <row r="36" spans="1:58" ht="45" x14ac:dyDescent="0.25">
      <c r="A36" s="20" t="s">
        <v>802</v>
      </c>
      <c r="AX36" s="20" t="s">
        <v>804</v>
      </c>
    </row>
    <row r="37" spans="1:58" ht="15.75" thickBot="1" x14ac:dyDescent="0.3">
      <c r="A37" s="18" t="s">
        <v>86</v>
      </c>
      <c r="B37" s="876" t="s">
        <v>803</v>
      </c>
      <c r="C37" s="876"/>
      <c r="D37" s="876"/>
      <c r="E37" s="876"/>
      <c r="F37" s="876"/>
      <c r="G37" s="876"/>
      <c r="H37" s="876"/>
      <c r="I37" s="876"/>
      <c r="J37" s="876"/>
      <c r="K37" s="876"/>
      <c r="L37" s="876"/>
      <c r="M37" s="876"/>
      <c r="N37" s="876"/>
      <c r="O37" s="876"/>
      <c r="P37" s="876"/>
      <c r="Q37" s="876"/>
      <c r="R37" s="876"/>
      <c r="S37" s="876"/>
      <c r="T37" s="876"/>
      <c r="U37" s="876"/>
      <c r="V37" s="876" t="s">
        <v>141</v>
      </c>
      <c r="W37" s="876"/>
      <c r="X37" s="876"/>
      <c r="Y37" s="876"/>
      <c r="Z37" s="876"/>
      <c r="AA37" s="876"/>
      <c r="AB37" s="876"/>
      <c r="AC37" s="876"/>
      <c r="AD37" s="876"/>
      <c r="AE37" s="876"/>
      <c r="AF37" s="876"/>
      <c r="AG37" s="876"/>
      <c r="AH37" s="876"/>
      <c r="AI37" s="876"/>
      <c r="AJ37" s="876"/>
      <c r="AK37" s="876"/>
      <c r="AL37" s="876"/>
      <c r="AM37" s="876"/>
      <c r="AN37" s="876"/>
      <c r="AO37" s="876"/>
      <c r="AP37" s="876"/>
      <c r="AQ37" s="876"/>
      <c r="AR37" s="473"/>
      <c r="AS37" s="473"/>
      <c r="AT37" s="473"/>
    </row>
    <row r="38" spans="1:58" ht="15.75" thickBot="1" x14ac:dyDescent="0.3">
      <c r="A38" s="218" t="s">
        <v>55</v>
      </c>
      <c r="B38" s="878">
        <v>12</v>
      </c>
      <c r="C38" s="879"/>
      <c r="D38" s="878">
        <v>13</v>
      </c>
      <c r="E38" s="880"/>
      <c r="F38" s="878">
        <v>14</v>
      </c>
      <c r="G38" s="880"/>
      <c r="H38" s="878">
        <v>15</v>
      </c>
      <c r="I38" s="879"/>
      <c r="J38" s="878">
        <v>16</v>
      </c>
      <c r="K38" s="880"/>
      <c r="L38" s="878">
        <v>17</v>
      </c>
      <c r="M38" s="879"/>
      <c r="N38" s="878">
        <v>18</v>
      </c>
      <c r="O38" s="879"/>
      <c r="P38" s="878">
        <v>19</v>
      </c>
      <c r="Q38" s="879"/>
      <c r="R38" s="878">
        <v>20</v>
      </c>
      <c r="S38" s="879"/>
      <c r="T38" s="878">
        <v>21</v>
      </c>
      <c r="U38" s="879"/>
      <c r="V38" s="878">
        <v>22</v>
      </c>
      <c r="W38" s="880"/>
      <c r="X38" s="874">
        <v>1</v>
      </c>
      <c r="Y38" s="875"/>
      <c r="Z38" s="874">
        <v>2</v>
      </c>
      <c r="AA38" s="875"/>
      <c r="AB38" s="874">
        <v>3</v>
      </c>
      <c r="AC38" s="875"/>
      <c r="AD38" s="874">
        <v>4</v>
      </c>
      <c r="AE38" s="875"/>
      <c r="AF38" s="874">
        <v>5</v>
      </c>
      <c r="AG38" s="877"/>
      <c r="AH38" s="874">
        <v>6</v>
      </c>
      <c r="AI38" s="877"/>
      <c r="AJ38" s="874">
        <v>7</v>
      </c>
      <c r="AK38" s="875"/>
      <c r="AL38" s="874">
        <v>8</v>
      </c>
      <c r="AM38" s="875"/>
      <c r="AN38" s="874">
        <v>9</v>
      </c>
      <c r="AO38" s="875"/>
      <c r="AP38" s="874">
        <v>10</v>
      </c>
      <c r="AQ38" s="875"/>
      <c r="AR38" s="874">
        <v>11</v>
      </c>
      <c r="AS38" s="875"/>
      <c r="AT38" s="657" t="s">
        <v>41</v>
      </c>
    </row>
    <row r="39" spans="1:58" x14ac:dyDescent="0.25">
      <c r="A39" s="220"/>
      <c r="B39" s="6" t="s">
        <v>56</v>
      </c>
      <c r="C39" s="7" t="s">
        <v>57</v>
      </c>
      <c r="D39" s="6" t="s">
        <v>56</v>
      </c>
      <c r="E39" s="7" t="s">
        <v>57</v>
      </c>
      <c r="F39" s="6" t="s">
        <v>56</v>
      </c>
      <c r="G39" s="7" t="s">
        <v>57</v>
      </c>
      <c r="H39" s="6" t="s">
        <v>56</v>
      </c>
      <c r="I39" s="7" t="s">
        <v>57</v>
      </c>
      <c r="J39" s="6" t="s">
        <v>56</v>
      </c>
      <c r="K39" s="7" t="s">
        <v>57</v>
      </c>
      <c r="L39" s="6" t="s">
        <v>56</v>
      </c>
      <c r="M39" s="7" t="s">
        <v>57</v>
      </c>
      <c r="N39" s="6" t="s">
        <v>56</v>
      </c>
      <c r="O39" s="7" t="s">
        <v>57</v>
      </c>
      <c r="P39" s="6" t="s">
        <v>56</v>
      </c>
      <c r="Q39" s="7" t="s">
        <v>57</v>
      </c>
      <c r="R39" s="226" t="s">
        <v>56</v>
      </c>
      <c r="S39" s="228" t="s">
        <v>57</v>
      </c>
      <c r="T39" s="6" t="s">
        <v>56</v>
      </c>
      <c r="U39" s="7" t="s">
        <v>57</v>
      </c>
      <c r="V39" s="226" t="s">
        <v>56</v>
      </c>
      <c r="W39" s="228" t="s">
        <v>57</v>
      </c>
      <c r="X39" s="6" t="s">
        <v>56</v>
      </c>
      <c r="Y39" s="7" t="s">
        <v>57</v>
      </c>
      <c r="Z39" s="6" t="s">
        <v>56</v>
      </c>
      <c r="AA39" s="7" t="s">
        <v>57</v>
      </c>
      <c r="AB39" s="6" t="s">
        <v>56</v>
      </c>
      <c r="AC39" s="7" t="s">
        <v>57</v>
      </c>
      <c r="AD39" s="6" t="s">
        <v>56</v>
      </c>
      <c r="AE39" s="7" t="s">
        <v>57</v>
      </c>
      <c r="AF39" s="6" t="s">
        <v>56</v>
      </c>
      <c r="AG39" s="7" t="s">
        <v>57</v>
      </c>
      <c r="AH39" s="226" t="s">
        <v>56</v>
      </c>
      <c r="AI39" s="228" t="s">
        <v>57</v>
      </c>
      <c r="AJ39" s="6" t="s">
        <v>56</v>
      </c>
      <c r="AK39" s="7" t="s">
        <v>57</v>
      </c>
      <c r="AL39" s="6" t="s">
        <v>56</v>
      </c>
      <c r="AM39" s="7" t="s">
        <v>57</v>
      </c>
      <c r="AN39" s="6" t="s">
        <v>56</v>
      </c>
      <c r="AO39" s="7" t="s">
        <v>57</v>
      </c>
      <c r="AP39" s="6" t="s">
        <v>56</v>
      </c>
      <c r="AQ39" s="7" t="s">
        <v>57</v>
      </c>
      <c r="AR39" s="6" t="s">
        <v>56</v>
      </c>
      <c r="AS39" s="7" t="s">
        <v>57</v>
      </c>
      <c r="AT39" s="658"/>
      <c r="AX39" s="218"/>
      <c r="AY39" s="554" t="s">
        <v>33</v>
      </c>
      <c r="AZ39" s="559" t="s">
        <v>41</v>
      </c>
    </row>
    <row r="40" spans="1:58" x14ac:dyDescent="0.25">
      <c r="A40" s="222" t="s">
        <v>24</v>
      </c>
      <c r="B40" s="10">
        <v>0</v>
      </c>
      <c r="C40" s="191" t="s">
        <v>61</v>
      </c>
      <c r="D40" s="21">
        <v>5</v>
      </c>
      <c r="E40" s="192" t="s">
        <v>58</v>
      </c>
      <c r="F40" s="10">
        <v>0</v>
      </c>
      <c r="G40" s="191" t="s">
        <v>61</v>
      </c>
      <c r="H40" s="560">
        <v>0</v>
      </c>
      <c r="I40" s="192" t="s">
        <v>61</v>
      </c>
      <c r="J40" s="6">
        <v>0</v>
      </c>
      <c r="K40" s="191" t="s">
        <v>61</v>
      </c>
      <c r="L40" s="560">
        <v>4</v>
      </c>
      <c r="M40" s="192" t="s">
        <v>59</v>
      </c>
      <c r="N40" s="6">
        <v>5</v>
      </c>
      <c r="O40" s="191" t="s">
        <v>58</v>
      </c>
      <c r="P40" s="6">
        <v>5</v>
      </c>
      <c r="Q40" s="191" t="s">
        <v>58</v>
      </c>
      <c r="R40" s="560">
        <v>5</v>
      </c>
      <c r="S40" s="192" t="s">
        <v>58</v>
      </c>
      <c r="T40" s="6">
        <v>4</v>
      </c>
      <c r="U40" s="191" t="s">
        <v>59</v>
      </c>
      <c r="V40" s="560">
        <v>5</v>
      </c>
      <c r="W40" s="192" t="s">
        <v>58</v>
      </c>
      <c r="X40" s="21"/>
      <c r="Y40" s="192"/>
      <c r="Z40" s="21"/>
      <c r="AA40" s="192"/>
      <c r="AB40" s="21"/>
      <c r="AC40" s="192"/>
      <c r="AD40" s="6"/>
      <c r="AE40" s="191"/>
      <c r="AF40" s="560"/>
      <c r="AG40" s="192"/>
      <c r="AH40" s="6"/>
      <c r="AI40" s="191"/>
      <c r="AJ40" s="21"/>
      <c r="AK40" s="192"/>
      <c r="AL40" s="6"/>
      <c r="AM40" s="191"/>
      <c r="AN40" s="560"/>
      <c r="AO40" s="192"/>
      <c r="AP40" s="6"/>
      <c r="AQ40" s="191"/>
      <c r="AR40" s="560"/>
      <c r="AS40" s="192"/>
      <c r="AT40" s="659">
        <f t="shared" ref="AT40:AT51" si="2">SUM(B40+D40+F40+H40+J40+L40+N40+P40+R40+T40+V40+X40+Z40+AB40+AD40+AF40+AH40+AJ40+AL40+AN40+AP40+AR40)</f>
        <v>33</v>
      </c>
      <c r="AX40" s="220"/>
      <c r="AY40" s="6"/>
      <c r="AZ40" s="221"/>
    </row>
    <row r="41" spans="1:58" ht="14.45" customHeight="1" x14ac:dyDescent="0.25">
      <c r="A41" s="222" t="s">
        <v>30</v>
      </c>
      <c r="B41" s="21">
        <v>1</v>
      </c>
      <c r="C41" s="192" t="s">
        <v>60</v>
      </c>
      <c r="D41" s="10">
        <v>1</v>
      </c>
      <c r="E41" s="191" t="s">
        <v>60</v>
      </c>
      <c r="F41" s="21">
        <v>5</v>
      </c>
      <c r="G41" s="192" t="s">
        <v>58</v>
      </c>
      <c r="H41" s="6">
        <v>4</v>
      </c>
      <c r="I41" s="191" t="s">
        <v>59</v>
      </c>
      <c r="J41" s="560">
        <v>4</v>
      </c>
      <c r="K41" s="192" t="s">
        <v>59</v>
      </c>
      <c r="L41" s="560">
        <v>5</v>
      </c>
      <c r="M41" s="192" t="s">
        <v>58</v>
      </c>
      <c r="N41" s="6">
        <v>1</v>
      </c>
      <c r="O41" s="191" t="s">
        <v>60</v>
      </c>
      <c r="P41" s="560">
        <v>4</v>
      </c>
      <c r="Q41" s="192" t="s">
        <v>59</v>
      </c>
      <c r="R41" s="6">
        <v>1</v>
      </c>
      <c r="S41" s="191" t="s">
        <v>60</v>
      </c>
      <c r="T41" s="6">
        <v>4</v>
      </c>
      <c r="U41" s="191" t="s">
        <v>59</v>
      </c>
      <c r="V41" s="560">
        <v>5</v>
      </c>
      <c r="W41" s="192" t="s">
        <v>58</v>
      </c>
      <c r="X41" s="21"/>
      <c r="Y41" s="192"/>
      <c r="Z41" s="21"/>
      <c r="AA41" s="192"/>
      <c r="AB41" s="10"/>
      <c r="AC41" s="191"/>
      <c r="AD41" s="560"/>
      <c r="AE41" s="192"/>
      <c r="AF41" s="6"/>
      <c r="AG41" s="191"/>
      <c r="AH41" s="560"/>
      <c r="AI41" s="192"/>
      <c r="AJ41" s="10"/>
      <c r="AK41" s="191"/>
      <c r="AL41" s="560"/>
      <c r="AM41" s="192"/>
      <c r="AN41" s="560"/>
      <c r="AO41" s="192"/>
      <c r="AP41" s="6"/>
      <c r="AQ41" s="191"/>
      <c r="AR41" s="6"/>
      <c r="AS41" s="191"/>
      <c r="AT41" s="659">
        <f t="shared" si="2"/>
        <v>35</v>
      </c>
      <c r="AX41" s="222" t="s">
        <v>28</v>
      </c>
      <c r="AY41" s="6">
        <v>11</v>
      </c>
      <c r="AZ41" s="223">
        <v>37</v>
      </c>
    </row>
    <row r="42" spans="1:58" ht="14.45" customHeight="1" x14ac:dyDescent="0.25">
      <c r="A42" s="222" t="s">
        <v>26</v>
      </c>
      <c r="B42" s="10">
        <v>4</v>
      </c>
      <c r="C42" s="191" t="s">
        <v>59</v>
      </c>
      <c r="D42" s="21">
        <v>4</v>
      </c>
      <c r="E42" s="192" t="s">
        <v>59</v>
      </c>
      <c r="F42" s="10">
        <v>1</v>
      </c>
      <c r="G42" s="191" t="s">
        <v>60</v>
      </c>
      <c r="H42" s="560">
        <v>5</v>
      </c>
      <c r="I42" s="192" t="s">
        <v>58</v>
      </c>
      <c r="J42" s="6">
        <v>0</v>
      </c>
      <c r="K42" s="191" t="s">
        <v>61</v>
      </c>
      <c r="L42" s="560">
        <v>2</v>
      </c>
      <c r="M42" s="192" t="s">
        <v>64</v>
      </c>
      <c r="N42" s="6">
        <v>0</v>
      </c>
      <c r="O42" s="191" t="s">
        <v>61</v>
      </c>
      <c r="P42" s="6">
        <v>1</v>
      </c>
      <c r="Q42" s="191" t="s">
        <v>60</v>
      </c>
      <c r="R42" s="560">
        <v>5</v>
      </c>
      <c r="S42" s="192" t="s">
        <v>58</v>
      </c>
      <c r="T42" s="560">
        <v>4</v>
      </c>
      <c r="U42" s="192" t="s">
        <v>59</v>
      </c>
      <c r="V42" s="6">
        <v>1</v>
      </c>
      <c r="W42" s="191" t="s">
        <v>1054</v>
      </c>
      <c r="X42" s="10"/>
      <c r="Y42" s="191"/>
      <c r="Z42" s="21"/>
      <c r="AA42" s="192"/>
      <c r="AB42" s="21"/>
      <c r="AC42" s="192"/>
      <c r="AD42" s="6"/>
      <c r="AE42" s="191"/>
      <c r="AF42" s="560"/>
      <c r="AG42" s="192"/>
      <c r="AH42" s="6"/>
      <c r="AI42" s="191"/>
      <c r="AJ42" s="21"/>
      <c r="AK42" s="192"/>
      <c r="AL42" s="6"/>
      <c r="AM42" s="191"/>
      <c r="AN42" s="6"/>
      <c r="AO42" s="191"/>
      <c r="AP42" s="560"/>
      <c r="AQ42" s="192"/>
      <c r="AR42" s="560"/>
      <c r="AS42" s="192"/>
      <c r="AT42" s="659">
        <f t="shared" si="2"/>
        <v>27</v>
      </c>
      <c r="AX42" s="222" t="s">
        <v>30</v>
      </c>
      <c r="AY42" s="6">
        <v>11</v>
      </c>
      <c r="AZ42" s="223">
        <v>35</v>
      </c>
    </row>
    <row r="43" spans="1:58" ht="14.45" customHeight="1" x14ac:dyDescent="0.25">
      <c r="A43" s="222" t="s">
        <v>10</v>
      </c>
      <c r="B43" s="10">
        <v>5</v>
      </c>
      <c r="C43" s="191" t="s">
        <v>58</v>
      </c>
      <c r="D43" s="21">
        <v>5</v>
      </c>
      <c r="E43" s="192" t="s">
        <v>58</v>
      </c>
      <c r="F43" s="10">
        <v>0</v>
      </c>
      <c r="G43" s="191" t="s">
        <v>61</v>
      </c>
      <c r="H43" s="560">
        <v>0</v>
      </c>
      <c r="I43" s="192" t="s">
        <v>61</v>
      </c>
      <c r="J43" s="560">
        <v>1</v>
      </c>
      <c r="K43" s="192" t="s">
        <v>60</v>
      </c>
      <c r="L43" s="560">
        <v>4</v>
      </c>
      <c r="M43" s="192" t="s">
        <v>59</v>
      </c>
      <c r="N43" s="6">
        <v>0</v>
      </c>
      <c r="O43" s="191" t="s">
        <v>61</v>
      </c>
      <c r="P43" s="560">
        <v>4</v>
      </c>
      <c r="Q43" s="192" t="s">
        <v>59</v>
      </c>
      <c r="R43" s="6">
        <v>5</v>
      </c>
      <c r="S43" s="191" t="s">
        <v>58</v>
      </c>
      <c r="T43" s="560">
        <v>1</v>
      </c>
      <c r="U43" s="192" t="s">
        <v>60</v>
      </c>
      <c r="V43" s="6">
        <v>0</v>
      </c>
      <c r="W43" s="191" t="s">
        <v>61</v>
      </c>
      <c r="X43" s="10"/>
      <c r="Y43" s="191"/>
      <c r="Z43" s="21"/>
      <c r="AA43" s="192"/>
      <c r="AB43" s="21"/>
      <c r="AC43" s="192"/>
      <c r="AD43" s="6"/>
      <c r="AE43" s="191"/>
      <c r="AF43" s="560"/>
      <c r="AG43" s="192"/>
      <c r="AH43" s="6"/>
      <c r="AI43" s="191"/>
      <c r="AJ43" s="10"/>
      <c r="AK43" s="191"/>
      <c r="AL43" s="560"/>
      <c r="AM43" s="192"/>
      <c r="AN43" s="6"/>
      <c r="AO43" s="191"/>
      <c r="AP43" s="560"/>
      <c r="AQ43" s="192"/>
      <c r="AR43" s="560"/>
      <c r="AS43" s="192"/>
      <c r="AT43" s="659">
        <f t="shared" si="2"/>
        <v>25</v>
      </c>
      <c r="AX43" s="222" t="s">
        <v>21</v>
      </c>
      <c r="AY43" s="6">
        <v>11</v>
      </c>
      <c r="AZ43" s="223">
        <v>34</v>
      </c>
    </row>
    <row r="44" spans="1:58" ht="14.45" customHeight="1" x14ac:dyDescent="0.25">
      <c r="A44" s="222" t="s">
        <v>91</v>
      </c>
      <c r="B44" s="10">
        <v>0</v>
      </c>
      <c r="C44" s="191" t="s">
        <v>61</v>
      </c>
      <c r="D44" s="21">
        <v>5</v>
      </c>
      <c r="E44" s="192" t="s">
        <v>58</v>
      </c>
      <c r="F44" s="10">
        <v>1</v>
      </c>
      <c r="G44" s="191" t="s">
        <v>60</v>
      </c>
      <c r="H44" s="560">
        <v>1</v>
      </c>
      <c r="I44" s="192" t="s">
        <v>60</v>
      </c>
      <c r="J44" s="6">
        <v>5</v>
      </c>
      <c r="K44" s="191" t="s">
        <v>58</v>
      </c>
      <c r="L44" s="6">
        <v>1</v>
      </c>
      <c r="M44" s="191" t="s">
        <v>60</v>
      </c>
      <c r="N44" s="560">
        <v>4</v>
      </c>
      <c r="O44" s="192" t="s">
        <v>59</v>
      </c>
      <c r="P44" s="560">
        <v>4</v>
      </c>
      <c r="Q44" s="192" t="s">
        <v>59</v>
      </c>
      <c r="R44" s="6">
        <v>0</v>
      </c>
      <c r="S44" s="191" t="s">
        <v>61</v>
      </c>
      <c r="T44" s="6">
        <v>0</v>
      </c>
      <c r="U44" s="191" t="s">
        <v>61</v>
      </c>
      <c r="V44" s="560">
        <v>3</v>
      </c>
      <c r="W44" s="192" t="s">
        <v>62</v>
      </c>
      <c r="X44" s="21"/>
      <c r="Y44" s="192"/>
      <c r="Z44" s="10"/>
      <c r="AA44" s="191"/>
      <c r="AB44" s="21"/>
      <c r="AC44" s="192"/>
      <c r="AD44" s="6"/>
      <c r="AE44" s="191"/>
      <c r="AF44" s="560"/>
      <c r="AG44" s="192"/>
      <c r="AH44" s="6"/>
      <c r="AI44" s="191"/>
      <c r="AJ44" s="10"/>
      <c r="AK44" s="191"/>
      <c r="AL44" s="6"/>
      <c r="AM44" s="191"/>
      <c r="AN44" s="560"/>
      <c r="AO44" s="192"/>
      <c r="AP44" s="6"/>
      <c r="AQ44" s="191"/>
      <c r="AR44" s="560"/>
      <c r="AS44" s="192"/>
      <c r="AT44" s="659">
        <f t="shared" si="2"/>
        <v>24</v>
      </c>
      <c r="AX44" s="222" t="s">
        <v>24</v>
      </c>
      <c r="AY44" s="6">
        <v>11</v>
      </c>
      <c r="AZ44" s="223">
        <v>33</v>
      </c>
    </row>
    <row r="45" spans="1:58" ht="14.45" customHeight="1" x14ac:dyDescent="0.25">
      <c r="A45" s="222" t="s">
        <v>190</v>
      </c>
      <c r="B45" s="10">
        <v>0</v>
      </c>
      <c r="C45" s="191" t="s">
        <v>61</v>
      </c>
      <c r="D45" s="10">
        <v>0</v>
      </c>
      <c r="E45" s="191" t="s">
        <v>61</v>
      </c>
      <c r="F45" s="10">
        <v>0</v>
      </c>
      <c r="G45" s="191" t="s">
        <v>61</v>
      </c>
      <c r="H45" s="6">
        <v>0</v>
      </c>
      <c r="I45" s="191" t="s">
        <v>61</v>
      </c>
      <c r="J45" s="6">
        <v>0</v>
      </c>
      <c r="K45" s="191" t="s">
        <v>61</v>
      </c>
      <c r="L45" s="6">
        <v>0</v>
      </c>
      <c r="M45" s="191" t="s">
        <v>61</v>
      </c>
      <c r="N45" s="560">
        <v>0</v>
      </c>
      <c r="O45" s="192" t="s">
        <v>61</v>
      </c>
      <c r="P45" s="560">
        <v>0</v>
      </c>
      <c r="Q45" s="192" t="s">
        <v>61</v>
      </c>
      <c r="R45" s="6">
        <v>0</v>
      </c>
      <c r="S45" s="191" t="s">
        <v>61</v>
      </c>
      <c r="T45" s="6">
        <v>0</v>
      </c>
      <c r="U45" s="191" t="s">
        <v>61</v>
      </c>
      <c r="V45" s="560">
        <v>0</v>
      </c>
      <c r="W45" s="192" t="s">
        <v>61</v>
      </c>
      <c r="X45" s="21"/>
      <c r="Y45" s="192"/>
      <c r="Z45" s="10"/>
      <c r="AA45" s="191"/>
      <c r="AB45" s="10"/>
      <c r="AC45" s="191"/>
      <c r="AD45" s="560"/>
      <c r="AE45" s="192"/>
      <c r="AF45" s="6"/>
      <c r="AG45" s="191"/>
      <c r="AH45" s="560"/>
      <c r="AI45" s="192"/>
      <c r="AJ45" s="10"/>
      <c r="AK45" s="191"/>
      <c r="AL45" s="6"/>
      <c r="AM45" s="191"/>
      <c r="AN45" s="560"/>
      <c r="AO45" s="192"/>
      <c r="AP45" s="6"/>
      <c r="AQ45" s="191"/>
      <c r="AR45" s="6"/>
      <c r="AS45" s="191"/>
      <c r="AT45" s="659">
        <f t="shared" si="2"/>
        <v>0</v>
      </c>
      <c r="AX45" s="222" t="s">
        <v>27</v>
      </c>
      <c r="AY45" s="6">
        <v>11</v>
      </c>
      <c r="AZ45" s="223">
        <v>33</v>
      </c>
    </row>
    <row r="46" spans="1:58" ht="14.45" customHeight="1" x14ac:dyDescent="0.25">
      <c r="A46" s="222" t="s">
        <v>28</v>
      </c>
      <c r="B46" s="21">
        <v>4</v>
      </c>
      <c r="C46" s="192" t="s">
        <v>59</v>
      </c>
      <c r="D46" s="10">
        <v>0</v>
      </c>
      <c r="E46" s="191" t="s">
        <v>61</v>
      </c>
      <c r="F46" s="21">
        <v>4</v>
      </c>
      <c r="G46" s="192" t="s">
        <v>59</v>
      </c>
      <c r="H46" s="6">
        <v>4</v>
      </c>
      <c r="I46" s="191" t="s">
        <v>59</v>
      </c>
      <c r="J46" s="560">
        <v>4</v>
      </c>
      <c r="K46" s="192" t="s">
        <v>59</v>
      </c>
      <c r="L46" s="6">
        <v>4</v>
      </c>
      <c r="M46" s="191" t="s">
        <v>59</v>
      </c>
      <c r="N46" s="560">
        <v>4</v>
      </c>
      <c r="O46" s="192" t="s">
        <v>59</v>
      </c>
      <c r="P46" s="6">
        <v>0</v>
      </c>
      <c r="Q46" s="191" t="s">
        <v>61</v>
      </c>
      <c r="R46" s="560">
        <v>5</v>
      </c>
      <c r="S46" s="192" t="s">
        <v>58</v>
      </c>
      <c r="T46" s="6">
        <v>4</v>
      </c>
      <c r="U46" s="191" t="s">
        <v>59</v>
      </c>
      <c r="V46" s="560">
        <v>4</v>
      </c>
      <c r="W46" s="192" t="s">
        <v>59</v>
      </c>
      <c r="X46" s="21"/>
      <c r="Y46" s="192"/>
      <c r="Z46" s="10"/>
      <c r="AA46" s="191"/>
      <c r="AB46" s="10"/>
      <c r="AC46" s="191"/>
      <c r="AD46" s="560"/>
      <c r="AE46" s="192"/>
      <c r="AF46" s="6"/>
      <c r="AG46" s="191"/>
      <c r="AH46" s="560"/>
      <c r="AI46" s="192"/>
      <c r="AJ46" s="21"/>
      <c r="AK46" s="192"/>
      <c r="AL46" s="6"/>
      <c r="AM46" s="191"/>
      <c r="AN46" s="560"/>
      <c r="AO46" s="192"/>
      <c r="AP46" s="6"/>
      <c r="AQ46" s="191"/>
      <c r="AR46" s="6"/>
      <c r="AS46" s="191"/>
      <c r="AT46" s="659">
        <f t="shared" si="2"/>
        <v>37</v>
      </c>
      <c r="AX46" s="222" t="s">
        <v>189</v>
      </c>
      <c r="AY46" s="6">
        <v>11</v>
      </c>
      <c r="AZ46" s="223">
        <v>31</v>
      </c>
    </row>
    <row r="47" spans="1:58" ht="14.45" customHeight="1" x14ac:dyDescent="0.25">
      <c r="A47" s="222" t="s">
        <v>66</v>
      </c>
      <c r="B47" s="10">
        <v>1</v>
      </c>
      <c r="C47" s="191" t="s">
        <v>801</v>
      </c>
      <c r="D47" s="21">
        <v>5</v>
      </c>
      <c r="E47" s="192" t="s">
        <v>58</v>
      </c>
      <c r="F47" s="10">
        <v>0</v>
      </c>
      <c r="G47" s="191" t="s">
        <v>61</v>
      </c>
      <c r="H47" s="560">
        <v>2</v>
      </c>
      <c r="I47" s="192" t="s">
        <v>64</v>
      </c>
      <c r="J47" s="6">
        <v>1</v>
      </c>
      <c r="K47" s="191" t="s">
        <v>60</v>
      </c>
      <c r="L47" s="560">
        <v>1</v>
      </c>
      <c r="M47" s="192" t="s">
        <v>60</v>
      </c>
      <c r="N47" s="6">
        <v>1</v>
      </c>
      <c r="O47" s="191" t="s">
        <v>60</v>
      </c>
      <c r="P47" s="560">
        <v>0</v>
      </c>
      <c r="Q47" s="192" t="s">
        <v>61</v>
      </c>
      <c r="R47" s="6">
        <v>2</v>
      </c>
      <c r="S47" s="191" t="s">
        <v>801</v>
      </c>
      <c r="T47" s="6">
        <v>1</v>
      </c>
      <c r="U47" s="191" t="s">
        <v>60</v>
      </c>
      <c r="V47" s="560">
        <v>5</v>
      </c>
      <c r="W47" s="192" t="s">
        <v>58</v>
      </c>
      <c r="X47" s="10"/>
      <c r="Y47" s="191"/>
      <c r="Z47" s="21"/>
      <c r="AA47" s="192"/>
      <c r="AB47" s="10"/>
      <c r="AC47" s="191"/>
      <c r="AD47" s="6"/>
      <c r="AE47" s="191"/>
      <c r="AF47" s="560"/>
      <c r="AG47" s="192"/>
      <c r="AH47" s="6"/>
      <c r="AI47" s="191"/>
      <c r="AJ47" s="10"/>
      <c r="AK47" s="191"/>
      <c r="AL47" s="560"/>
      <c r="AM47" s="192"/>
      <c r="AN47" s="560"/>
      <c r="AO47" s="192"/>
      <c r="AP47" s="6"/>
      <c r="AQ47" s="191"/>
      <c r="AR47" s="560"/>
      <c r="AS47" s="192"/>
      <c r="AT47" s="659">
        <f t="shared" si="2"/>
        <v>19</v>
      </c>
      <c r="AX47" s="222" t="s">
        <v>26</v>
      </c>
      <c r="AY47" s="6">
        <v>11</v>
      </c>
      <c r="AZ47" s="223">
        <v>27</v>
      </c>
    </row>
    <row r="48" spans="1:58" ht="14.45" customHeight="1" x14ac:dyDescent="0.25">
      <c r="A48" s="222" t="s">
        <v>27</v>
      </c>
      <c r="B48" s="21">
        <v>5</v>
      </c>
      <c r="C48" s="192" t="s">
        <v>58</v>
      </c>
      <c r="D48" s="10">
        <v>0</v>
      </c>
      <c r="E48" s="191" t="s">
        <v>61</v>
      </c>
      <c r="F48" s="21">
        <v>4</v>
      </c>
      <c r="G48" s="192" t="s">
        <v>59</v>
      </c>
      <c r="H48" s="6">
        <v>4</v>
      </c>
      <c r="I48" s="191" t="s">
        <v>59</v>
      </c>
      <c r="J48" s="560">
        <v>4</v>
      </c>
      <c r="K48" s="192" t="s">
        <v>59</v>
      </c>
      <c r="L48" s="6">
        <v>2</v>
      </c>
      <c r="M48" s="191" t="s">
        <v>64</v>
      </c>
      <c r="N48" s="560">
        <v>5</v>
      </c>
      <c r="O48" s="192" t="s">
        <v>58</v>
      </c>
      <c r="P48" s="6">
        <v>0</v>
      </c>
      <c r="Q48" s="191" t="s">
        <v>61</v>
      </c>
      <c r="R48" s="560">
        <v>4</v>
      </c>
      <c r="S48" s="192" t="s">
        <v>59</v>
      </c>
      <c r="T48" s="560">
        <v>5</v>
      </c>
      <c r="U48" s="192" t="s">
        <v>58</v>
      </c>
      <c r="V48" s="6">
        <v>0</v>
      </c>
      <c r="W48" s="191" t="s">
        <v>61</v>
      </c>
      <c r="X48" s="21"/>
      <c r="Y48" s="192"/>
      <c r="Z48" s="10"/>
      <c r="AA48" s="191"/>
      <c r="AB48" s="21"/>
      <c r="AC48" s="192"/>
      <c r="AD48" s="560"/>
      <c r="AE48" s="192"/>
      <c r="AF48" s="6"/>
      <c r="AG48" s="191"/>
      <c r="AH48" s="560"/>
      <c r="AI48" s="192"/>
      <c r="AJ48" s="21"/>
      <c r="AK48" s="192"/>
      <c r="AL48" s="6"/>
      <c r="AM48" s="191"/>
      <c r="AN48" s="6"/>
      <c r="AO48" s="191"/>
      <c r="AP48" s="560"/>
      <c r="AQ48" s="192"/>
      <c r="AR48" s="6"/>
      <c r="AS48" s="191"/>
      <c r="AT48" s="659">
        <f t="shared" si="2"/>
        <v>33</v>
      </c>
      <c r="AX48" s="222" t="s">
        <v>10</v>
      </c>
      <c r="AY48" s="6">
        <v>11</v>
      </c>
      <c r="AZ48" s="223">
        <v>25</v>
      </c>
    </row>
    <row r="49" spans="1:52" ht="14.45" customHeight="1" x14ac:dyDescent="0.25">
      <c r="A49" s="222" t="s">
        <v>29</v>
      </c>
      <c r="B49" s="10">
        <v>0</v>
      </c>
      <c r="C49" s="191" t="s">
        <v>61</v>
      </c>
      <c r="D49" s="21">
        <v>4</v>
      </c>
      <c r="E49" s="192" t="s">
        <v>59</v>
      </c>
      <c r="F49" s="21">
        <v>5</v>
      </c>
      <c r="G49" s="192" t="s">
        <v>58</v>
      </c>
      <c r="H49" s="560">
        <v>4</v>
      </c>
      <c r="I49" s="192" t="s">
        <v>59</v>
      </c>
      <c r="J49" s="6">
        <v>0</v>
      </c>
      <c r="K49" s="191" t="s">
        <v>61</v>
      </c>
      <c r="L49" s="6">
        <v>0</v>
      </c>
      <c r="M49" s="191">
        <v>1</v>
      </c>
      <c r="N49" s="560">
        <v>4</v>
      </c>
      <c r="O49" s="192" t="s">
        <v>59</v>
      </c>
      <c r="P49" s="6">
        <v>1</v>
      </c>
      <c r="Q49" s="191" t="s">
        <v>60</v>
      </c>
      <c r="R49" s="560">
        <v>1</v>
      </c>
      <c r="S49" s="192" t="s">
        <v>60</v>
      </c>
      <c r="T49" s="560">
        <v>4</v>
      </c>
      <c r="U49" s="192" t="s">
        <v>59</v>
      </c>
      <c r="V49" s="6">
        <v>0</v>
      </c>
      <c r="W49" s="191" t="s">
        <v>61</v>
      </c>
      <c r="X49" s="10"/>
      <c r="Y49" s="191"/>
      <c r="Z49" s="10"/>
      <c r="AA49" s="191"/>
      <c r="AB49" s="21"/>
      <c r="AC49" s="192"/>
      <c r="AD49" s="6"/>
      <c r="AE49" s="191"/>
      <c r="AF49" s="560"/>
      <c r="AG49" s="192"/>
      <c r="AH49" s="6"/>
      <c r="AI49" s="191"/>
      <c r="AJ49" s="21"/>
      <c r="AK49" s="192"/>
      <c r="AL49" s="560"/>
      <c r="AM49" s="192"/>
      <c r="AN49" s="6"/>
      <c r="AO49" s="191"/>
      <c r="AP49" s="560"/>
      <c r="AQ49" s="192"/>
      <c r="AR49" s="560"/>
      <c r="AS49" s="192"/>
      <c r="AT49" s="659">
        <f t="shared" si="2"/>
        <v>23</v>
      </c>
      <c r="AX49" s="222" t="s">
        <v>91</v>
      </c>
      <c r="AY49" s="6">
        <v>11</v>
      </c>
      <c r="AZ49" s="223">
        <v>24</v>
      </c>
    </row>
    <row r="50" spans="1:52" ht="14.45" customHeight="1" x14ac:dyDescent="0.25">
      <c r="A50" s="222" t="s">
        <v>21</v>
      </c>
      <c r="B50" s="21">
        <v>4</v>
      </c>
      <c r="C50" s="192" t="s">
        <v>59</v>
      </c>
      <c r="D50" s="10">
        <v>1</v>
      </c>
      <c r="E50" s="191" t="s">
        <v>60</v>
      </c>
      <c r="F50" s="21">
        <v>4</v>
      </c>
      <c r="G50" s="192" t="s">
        <v>59</v>
      </c>
      <c r="H50" s="6">
        <v>1</v>
      </c>
      <c r="I50" s="191" t="s">
        <v>60</v>
      </c>
      <c r="J50" s="560">
        <v>4</v>
      </c>
      <c r="K50" s="192" t="s">
        <v>59</v>
      </c>
      <c r="L50" s="6">
        <v>4</v>
      </c>
      <c r="M50" s="191" t="s">
        <v>59</v>
      </c>
      <c r="N50" s="560">
        <v>5</v>
      </c>
      <c r="O50" s="192" t="s">
        <v>58</v>
      </c>
      <c r="P50" s="560">
        <v>4</v>
      </c>
      <c r="Q50" s="192" t="s">
        <v>59</v>
      </c>
      <c r="R50" s="6">
        <v>1</v>
      </c>
      <c r="S50" s="191" t="s">
        <v>60</v>
      </c>
      <c r="T50" s="560">
        <v>1</v>
      </c>
      <c r="U50" s="192" t="s">
        <v>60</v>
      </c>
      <c r="V50" s="6">
        <v>5</v>
      </c>
      <c r="W50" s="191" t="s">
        <v>58</v>
      </c>
      <c r="X50" s="21"/>
      <c r="Y50" s="192"/>
      <c r="Z50" s="10"/>
      <c r="AA50" s="191"/>
      <c r="AB50" s="21"/>
      <c r="AC50" s="192"/>
      <c r="AD50" s="560"/>
      <c r="AE50" s="192"/>
      <c r="AF50" s="6"/>
      <c r="AG50" s="191"/>
      <c r="AH50" s="560"/>
      <c r="AI50" s="192"/>
      <c r="AJ50" s="10"/>
      <c r="AK50" s="191"/>
      <c r="AL50" s="560"/>
      <c r="AM50" s="192"/>
      <c r="AN50" s="6"/>
      <c r="AO50" s="191"/>
      <c r="AP50" s="560"/>
      <c r="AQ50" s="192"/>
      <c r="AR50" s="6"/>
      <c r="AS50" s="191"/>
      <c r="AT50" s="659">
        <f t="shared" si="2"/>
        <v>34</v>
      </c>
      <c r="AX50" s="222" t="s">
        <v>29</v>
      </c>
      <c r="AY50" s="6">
        <v>11</v>
      </c>
      <c r="AZ50" s="223">
        <v>23</v>
      </c>
    </row>
    <row r="51" spans="1:52" ht="14.45" customHeight="1" thickBot="1" x14ac:dyDescent="0.3">
      <c r="A51" s="224" t="s">
        <v>189</v>
      </c>
      <c r="B51" s="598">
        <v>5</v>
      </c>
      <c r="C51" s="599" t="s">
        <v>58</v>
      </c>
      <c r="D51" s="596">
        <v>1</v>
      </c>
      <c r="E51" s="597" t="s">
        <v>801</v>
      </c>
      <c r="F51" s="598">
        <v>5</v>
      </c>
      <c r="G51" s="599" t="s">
        <v>58</v>
      </c>
      <c r="H51" s="601">
        <v>2</v>
      </c>
      <c r="I51" s="597" t="s">
        <v>64</v>
      </c>
      <c r="J51" s="600">
        <v>5</v>
      </c>
      <c r="K51" s="599" t="s">
        <v>58</v>
      </c>
      <c r="L51" s="600">
        <v>0</v>
      </c>
      <c r="M51" s="599" t="s">
        <v>61</v>
      </c>
      <c r="N51" s="601">
        <v>0</v>
      </c>
      <c r="O51" s="597" t="s">
        <v>61</v>
      </c>
      <c r="P51" s="601">
        <v>5</v>
      </c>
      <c r="Q51" s="597" t="s">
        <v>58</v>
      </c>
      <c r="R51" s="600">
        <v>4</v>
      </c>
      <c r="S51" s="599" t="s">
        <v>59</v>
      </c>
      <c r="T51" s="600">
        <v>1</v>
      </c>
      <c r="U51" s="597" t="s">
        <v>60</v>
      </c>
      <c r="V51" s="601">
        <v>3</v>
      </c>
      <c r="W51" s="597" t="s">
        <v>62</v>
      </c>
      <c r="X51" s="596"/>
      <c r="Y51" s="597"/>
      <c r="Z51" s="598"/>
      <c r="AA51" s="599"/>
      <c r="AB51" s="596"/>
      <c r="AC51" s="597"/>
      <c r="AD51" s="600"/>
      <c r="AE51" s="599"/>
      <c r="AF51" s="601"/>
      <c r="AG51" s="597"/>
      <c r="AH51" s="600"/>
      <c r="AI51" s="599"/>
      <c r="AJ51" s="598"/>
      <c r="AK51" s="599"/>
      <c r="AL51" s="601"/>
      <c r="AM51" s="597"/>
      <c r="AN51" s="601"/>
      <c r="AO51" s="597"/>
      <c r="AP51" s="600"/>
      <c r="AQ51" s="599"/>
      <c r="AR51" s="601"/>
      <c r="AS51" s="597"/>
      <c r="AT51" s="660">
        <f t="shared" si="2"/>
        <v>31</v>
      </c>
      <c r="AX51" s="222" t="s">
        <v>66</v>
      </c>
      <c r="AY51" s="6">
        <v>11</v>
      </c>
      <c r="AZ51" s="223">
        <v>19</v>
      </c>
    </row>
    <row r="52" spans="1:52" ht="14.45" customHeight="1" thickBot="1" x14ac:dyDescent="0.3">
      <c r="AX52" s="224" t="s">
        <v>190</v>
      </c>
      <c r="AY52" s="601">
        <v>11</v>
      </c>
      <c r="AZ52" s="225">
        <v>0</v>
      </c>
    </row>
    <row r="53" spans="1:52" ht="14.45" customHeight="1" x14ac:dyDescent="0.25">
      <c r="A53" s="20" t="s">
        <v>140</v>
      </c>
      <c r="AU53" s="228"/>
      <c r="AV53" s="193"/>
    </row>
    <row r="54" spans="1:52" ht="45.75" thickBot="1" x14ac:dyDescent="0.3">
      <c r="A54" s="18" t="s">
        <v>86</v>
      </c>
      <c r="B54" s="876" t="s">
        <v>142</v>
      </c>
      <c r="C54" s="876"/>
      <c r="D54" s="876"/>
      <c r="E54" s="876"/>
      <c r="F54" s="876"/>
      <c r="G54" s="876"/>
      <c r="H54" s="876"/>
      <c r="I54" s="876"/>
      <c r="J54" s="876"/>
      <c r="K54" s="876"/>
      <c r="L54" s="876"/>
      <c r="M54" s="876"/>
      <c r="N54" s="876"/>
      <c r="O54" s="876"/>
      <c r="P54" s="876"/>
      <c r="Q54" s="876"/>
      <c r="R54" s="876"/>
      <c r="S54" s="876"/>
      <c r="T54" s="876"/>
      <c r="U54" s="876"/>
      <c r="V54" s="876" t="s">
        <v>141</v>
      </c>
      <c r="W54" s="876"/>
      <c r="X54" s="876"/>
      <c r="Y54" s="876"/>
      <c r="Z54" s="876"/>
      <c r="AA54" s="876"/>
      <c r="AB54" s="876"/>
      <c r="AC54" s="876"/>
      <c r="AD54" s="876"/>
      <c r="AE54" s="876"/>
      <c r="AF54" s="876"/>
      <c r="AG54" s="876"/>
      <c r="AH54" s="876"/>
      <c r="AI54" s="876"/>
      <c r="AJ54" s="876"/>
      <c r="AK54" s="876"/>
      <c r="AL54" s="876"/>
      <c r="AM54" s="876"/>
      <c r="AN54" s="876"/>
      <c r="AO54" s="876"/>
      <c r="AP54" s="876"/>
      <c r="AQ54" s="876"/>
      <c r="AR54" s="473"/>
      <c r="AS54" s="473"/>
      <c r="AT54" s="473"/>
      <c r="AX54" s="20" t="s">
        <v>805</v>
      </c>
    </row>
    <row r="55" spans="1:52" ht="15.75" thickBot="1" x14ac:dyDescent="0.3">
      <c r="A55" s="218" t="s">
        <v>55</v>
      </c>
      <c r="B55" s="878">
        <v>12</v>
      </c>
      <c r="C55" s="879"/>
      <c r="D55" s="878">
        <v>13</v>
      </c>
      <c r="E55" s="880"/>
      <c r="F55" s="878">
        <v>14</v>
      </c>
      <c r="G55" s="880"/>
      <c r="H55" s="878">
        <v>15</v>
      </c>
      <c r="I55" s="879"/>
      <c r="J55" s="878">
        <v>16</v>
      </c>
      <c r="K55" s="880"/>
      <c r="L55" s="878">
        <v>17</v>
      </c>
      <c r="M55" s="879"/>
      <c r="N55" s="878">
        <v>18</v>
      </c>
      <c r="O55" s="879"/>
      <c r="P55" s="878">
        <v>19</v>
      </c>
      <c r="Q55" s="879"/>
      <c r="R55" s="878">
        <v>20</v>
      </c>
      <c r="S55" s="879"/>
      <c r="T55" s="878">
        <v>21</v>
      </c>
      <c r="U55" s="879"/>
      <c r="V55" s="878">
        <v>22</v>
      </c>
      <c r="W55" s="880"/>
      <c r="X55" s="874">
        <v>1</v>
      </c>
      <c r="Y55" s="875"/>
      <c r="Z55" s="874">
        <v>2</v>
      </c>
      <c r="AA55" s="875"/>
      <c r="AB55" s="874">
        <v>3</v>
      </c>
      <c r="AC55" s="875"/>
      <c r="AD55" s="874">
        <v>4</v>
      </c>
      <c r="AE55" s="875"/>
      <c r="AF55" s="874">
        <v>5</v>
      </c>
      <c r="AG55" s="877"/>
      <c r="AH55" s="874">
        <v>6</v>
      </c>
      <c r="AI55" s="877"/>
      <c r="AJ55" s="874">
        <v>7</v>
      </c>
      <c r="AK55" s="875"/>
      <c r="AL55" s="874">
        <v>8</v>
      </c>
      <c r="AM55" s="875"/>
      <c r="AN55" s="874">
        <v>9</v>
      </c>
      <c r="AO55" s="875"/>
      <c r="AP55" s="874">
        <v>10</v>
      </c>
      <c r="AQ55" s="875"/>
      <c r="AR55" s="874">
        <v>11</v>
      </c>
      <c r="AS55" s="875"/>
      <c r="AT55" s="657" t="s">
        <v>41</v>
      </c>
      <c r="AU55" s="98"/>
      <c r="AV55" s="98"/>
    </row>
    <row r="56" spans="1:52" x14ac:dyDescent="0.25">
      <c r="A56" s="220"/>
      <c r="B56" s="6" t="s">
        <v>56</v>
      </c>
      <c r="C56" s="7" t="s">
        <v>57</v>
      </c>
      <c r="D56" s="6" t="s">
        <v>56</v>
      </c>
      <c r="E56" s="7" t="s">
        <v>57</v>
      </c>
      <c r="F56" s="6" t="s">
        <v>56</v>
      </c>
      <c r="G56" s="7" t="s">
        <v>57</v>
      </c>
      <c r="H56" s="6" t="s">
        <v>56</v>
      </c>
      <c r="I56" s="7" t="s">
        <v>57</v>
      </c>
      <c r="J56" s="6" t="s">
        <v>56</v>
      </c>
      <c r="K56" s="7" t="s">
        <v>57</v>
      </c>
      <c r="L56" s="6" t="s">
        <v>56</v>
      </c>
      <c r="M56" s="7" t="s">
        <v>57</v>
      </c>
      <c r="N56" s="6" t="s">
        <v>56</v>
      </c>
      <c r="O56" s="7" t="s">
        <v>57</v>
      </c>
      <c r="P56" s="6" t="s">
        <v>56</v>
      </c>
      <c r="Q56" s="7" t="s">
        <v>57</v>
      </c>
      <c r="R56" s="6" t="s">
        <v>56</v>
      </c>
      <c r="S56" s="7" t="s">
        <v>57</v>
      </c>
      <c r="T56" s="6" t="s">
        <v>56</v>
      </c>
      <c r="U56" s="7" t="s">
        <v>57</v>
      </c>
      <c r="V56" s="6" t="s">
        <v>56</v>
      </c>
      <c r="W56" s="7" t="s">
        <v>57</v>
      </c>
      <c r="X56" s="6" t="s">
        <v>56</v>
      </c>
      <c r="Y56" s="7" t="s">
        <v>57</v>
      </c>
      <c r="Z56" s="6" t="s">
        <v>56</v>
      </c>
      <c r="AA56" s="7" t="s">
        <v>57</v>
      </c>
      <c r="AB56" s="6" t="s">
        <v>56</v>
      </c>
      <c r="AC56" s="7" t="s">
        <v>57</v>
      </c>
      <c r="AD56" s="6" t="s">
        <v>56</v>
      </c>
      <c r="AE56" s="7" t="s">
        <v>57</v>
      </c>
      <c r="AF56" s="6" t="s">
        <v>56</v>
      </c>
      <c r="AG56" s="7" t="s">
        <v>57</v>
      </c>
      <c r="AH56" s="226" t="s">
        <v>56</v>
      </c>
      <c r="AI56" s="228" t="s">
        <v>57</v>
      </c>
      <c r="AJ56" s="6" t="s">
        <v>56</v>
      </c>
      <c r="AK56" s="7" t="s">
        <v>57</v>
      </c>
      <c r="AL56" s="6" t="s">
        <v>56</v>
      </c>
      <c r="AM56" s="7" t="s">
        <v>57</v>
      </c>
      <c r="AN56" s="6" t="s">
        <v>56</v>
      </c>
      <c r="AO56" s="7" t="s">
        <v>57</v>
      </c>
      <c r="AP56" s="6" t="s">
        <v>56</v>
      </c>
      <c r="AQ56" s="7" t="s">
        <v>57</v>
      </c>
      <c r="AR56" s="6" t="s">
        <v>56</v>
      </c>
      <c r="AS56" s="7" t="s">
        <v>57</v>
      </c>
      <c r="AT56" s="658"/>
      <c r="AU56" s="676"/>
      <c r="AV56" s="676"/>
      <c r="AX56" s="672"/>
      <c r="AY56" s="671" t="s">
        <v>33</v>
      </c>
      <c r="AZ56" s="219" t="s">
        <v>41</v>
      </c>
    </row>
    <row r="57" spans="1:52" x14ac:dyDescent="0.25">
      <c r="A57" s="222" t="s">
        <v>24</v>
      </c>
      <c r="B57" s="6">
        <v>2</v>
      </c>
      <c r="C57" s="191" t="s">
        <v>64</v>
      </c>
      <c r="D57" s="560">
        <v>4</v>
      </c>
      <c r="E57" s="192" t="s">
        <v>59</v>
      </c>
      <c r="F57" s="6">
        <v>4</v>
      </c>
      <c r="G57" s="191" t="s">
        <v>59</v>
      </c>
      <c r="H57" s="560">
        <v>5</v>
      </c>
      <c r="I57" s="192" t="s">
        <v>58</v>
      </c>
      <c r="J57" s="560">
        <v>0</v>
      </c>
      <c r="K57" s="192" t="s">
        <v>61</v>
      </c>
      <c r="L57" s="6">
        <v>5</v>
      </c>
      <c r="M57" s="191" t="s">
        <v>58</v>
      </c>
      <c r="N57" s="560">
        <v>1</v>
      </c>
      <c r="O57" s="192" t="s">
        <v>60</v>
      </c>
      <c r="P57" s="6">
        <v>4</v>
      </c>
      <c r="Q57" s="191" t="s">
        <v>59</v>
      </c>
      <c r="R57" s="560">
        <v>5</v>
      </c>
      <c r="S57" s="192" t="s">
        <v>58</v>
      </c>
      <c r="T57" s="560">
        <v>2</v>
      </c>
      <c r="U57" s="191" t="s">
        <v>64</v>
      </c>
      <c r="V57" s="6">
        <v>1</v>
      </c>
      <c r="W57" s="191" t="s">
        <v>60</v>
      </c>
      <c r="X57" s="21">
        <v>4</v>
      </c>
      <c r="Y57" s="192" t="s">
        <v>59</v>
      </c>
      <c r="Z57" s="21">
        <v>5</v>
      </c>
      <c r="AA57" s="192" t="s">
        <v>58</v>
      </c>
      <c r="AB57" s="21">
        <v>5</v>
      </c>
      <c r="AC57" s="192" t="s">
        <v>58</v>
      </c>
      <c r="AD57" s="6">
        <v>1</v>
      </c>
      <c r="AE57" s="191" t="s">
        <v>60</v>
      </c>
      <c r="AF57" s="560">
        <v>4</v>
      </c>
      <c r="AG57" s="192" t="s">
        <v>59</v>
      </c>
      <c r="AH57" s="6">
        <v>1</v>
      </c>
      <c r="AI57" s="191" t="s">
        <v>60</v>
      </c>
      <c r="AJ57" s="21">
        <v>4</v>
      </c>
      <c r="AK57" s="192" t="s">
        <v>59</v>
      </c>
      <c r="AL57" s="6">
        <v>4</v>
      </c>
      <c r="AM57" s="191" t="s">
        <v>59</v>
      </c>
      <c r="AN57" s="560">
        <v>5</v>
      </c>
      <c r="AO57" s="192" t="s">
        <v>58</v>
      </c>
      <c r="AP57" s="6">
        <v>4</v>
      </c>
      <c r="AQ57" s="191" t="s">
        <v>59</v>
      </c>
      <c r="AR57" s="560">
        <v>5</v>
      </c>
      <c r="AS57" s="192" t="s">
        <v>58</v>
      </c>
      <c r="AT57" s="659">
        <f t="shared" ref="AT57:AT68" si="3">SUM(B57+D57+F57+H57+J57+L57+N57+P57+R57+T57+V57+X57+Z57+AB57+AD57+AF57+AH57+AJ57+AL57+AN57+AP57+AR57)</f>
        <v>75</v>
      </c>
      <c r="AU57" s="7"/>
      <c r="AV57" s="676"/>
      <c r="AX57" s="673"/>
      <c r="AY57" s="6"/>
      <c r="AZ57" s="221"/>
    </row>
    <row r="58" spans="1:52" ht="30" x14ac:dyDescent="0.25">
      <c r="A58" s="222" t="s">
        <v>30</v>
      </c>
      <c r="B58" s="6">
        <v>1</v>
      </c>
      <c r="C58" s="191" t="s">
        <v>60</v>
      </c>
      <c r="D58" s="560">
        <v>1</v>
      </c>
      <c r="E58" s="192" t="s">
        <v>60</v>
      </c>
      <c r="F58" s="560">
        <v>1</v>
      </c>
      <c r="G58" s="192" t="s">
        <v>60</v>
      </c>
      <c r="H58" s="6">
        <v>0</v>
      </c>
      <c r="I58" s="191" t="s">
        <v>61</v>
      </c>
      <c r="J58" s="560">
        <v>4</v>
      </c>
      <c r="K58" s="192" t="s">
        <v>59</v>
      </c>
      <c r="L58" s="6">
        <v>0</v>
      </c>
      <c r="M58" s="191" t="s">
        <v>61</v>
      </c>
      <c r="N58" s="560">
        <v>1</v>
      </c>
      <c r="O58" s="192" t="s">
        <v>60</v>
      </c>
      <c r="P58" s="6">
        <v>5</v>
      </c>
      <c r="Q58" s="191" t="s">
        <v>58</v>
      </c>
      <c r="R58" s="560">
        <v>0</v>
      </c>
      <c r="S58" s="192" t="s">
        <v>61</v>
      </c>
      <c r="T58" s="560">
        <v>1</v>
      </c>
      <c r="U58" s="191" t="s">
        <v>60</v>
      </c>
      <c r="V58" s="6">
        <v>4</v>
      </c>
      <c r="W58" s="191" t="s">
        <v>59</v>
      </c>
      <c r="X58" s="21">
        <v>5</v>
      </c>
      <c r="Y58" s="192" t="s">
        <v>58</v>
      </c>
      <c r="Z58" s="21">
        <v>1</v>
      </c>
      <c r="AA58" s="192" t="s">
        <v>60</v>
      </c>
      <c r="AB58" s="10">
        <v>4</v>
      </c>
      <c r="AC58" s="191" t="s">
        <v>59</v>
      </c>
      <c r="AD58" s="560">
        <v>4</v>
      </c>
      <c r="AE58" s="192" t="s">
        <v>59</v>
      </c>
      <c r="AF58" s="6">
        <v>1</v>
      </c>
      <c r="AG58" s="191" t="s">
        <v>60</v>
      </c>
      <c r="AH58" s="560">
        <v>5</v>
      </c>
      <c r="AI58" s="192" t="s">
        <v>58</v>
      </c>
      <c r="AJ58" s="10">
        <v>4</v>
      </c>
      <c r="AK58" s="191" t="s">
        <v>59</v>
      </c>
      <c r="AL58" s="560">
        <v>4</v>
      </c>
      <c r="AM58" s="192" t="s">
        <v>59</v>
      </c>
      <c r="AN58" s="560">
        <v>4</v>
      </c>
      <c r="AO58" s="192" t="s">
        <v>59</v>
      </c>
      <c r="AP58" s="6">
        <v>1</v>
      </c>
      <c r="AQ58" s="191" t="s">
        <v>60</v>
      </c>
      <c r="AR58" s="6">
        <v>0</v>
      </c>
      <c r="AS58" s="191" t="s">
        <v>61</v>
      </c>
      <c r="AT58" s="659">
        <f t="shared" si="3"/>
        <v>51</v>
      </c>
      <c r="AU58" s="228"/>
      <c r="AV58" s="193"/>
      <c r="AX58" s="222" t="s">
        <v>27</v>
      </c>
      <c r="AY58" s="226">
        <v>22</v>
      </c>
      <c r="AZ58" s="223">
        <v>78</v>
      </c>
    </row>
    <row r="59" spans="1:52" x14ac:dyDescent="0.25">
      <c r="A59" s="222" t="s">
        <v>26</v>
      </c>
      <c r="B59" s="560">
        <v>0</v>
      </c>
      <c r="C59" s="192" t="s">
        <v>61</v>
      </c>
      <c r="D59" s="6">
        <v>1</v>
      </c>
      <c r="E59" s="191" t="s">
        <v>60</v>
      </c>
      <c r="F59" s="6">
        <v>1</v>
      </c>
      <c r="G59" s="191" t="s">
        <v>60</v>
      </c>
      <c r="H59" s="560">
        <v>4</v>
      </c>
      <c r="I59" s="192" t="s">
        <v>59</v>
      </c>
      <c r="J59" s="6">
        <v>0</v>
      </c>
      <c r="K59" s="191" t="s">
        <v>61</v>
      </c>
      <c r="L59" s="560">
        <v>5</v>
      </c>
      <c r="M59" s="192" t="s">
        <v>58</v>
      </c>
      <c r="N59" s="6">
        <v>4</v>
      </c>
      <c r="O59" s="191" t="s">
        <v>59</v>
      </c>
      <c r="P59" s="560">
        <v>1</v>
      </c>
      <c r="Q59" s="192" t="s">
        <v>60</v>
      </c>
      <c r="R59" s="6">
        <v>0</v>
      </c>
      <c r="S59" s="191" t="s">
        <v>61</v>
      </c>
      <c r="T59" s="560">
        <v>5</v>
      </c>
      <c r="U59" s="191" t="s">
        <v>58</v>
      </c>
      <c r="V59" s="6">
        <v>2</v>
      </c>
      <c r="W59" s="191" t="s">
        <v>63</v>
      </c>
      <c r="X59" s="10">
        <v>0</v>
      </c>
      <c r="Y59" s="191" t="s">
        <v>61</v>
      </c>
      <c r="Z59" s="21">
        <v>4</v>
      </c>
      <c r="AA59" s="192" t="s">
        <v>59</v>
      </c>
      <c r="AB59" s="21">
        <v>1</v>
      </c>
      <c r="AC59" s="192" t="s">
        <v>60</v>
      </c>
      <c r="AD59" s="6">
        <v>5</v>
      </c>
      <c r="AE59" s="191" t="s">
        <v>58</v>
      </c>
      <c r="AF59" s="560">
        <v>4</v>
      </c>
      <c r="AG59" s="192" t="s">
        <v>59</v>
      </c>
      <c r="AH59" s="6">
        <v>1</v>
      </c>
      <c r="AI59" s="191" t="s">
        <v>60</v>
      </c>
      <c r="AJ59" s="21">
        <v>1</v>
      </c>
      <c r="AK59" s="192" t="s">
        <v>60</v>
      </c>
      <c r="AL59" s="6">
        <v>0</v>
      </c>
      <c r="AM59" s="191" t="s">
        <v>61</v>
      </c>
      <c r="AN59" s="6">
        <v>4</v>
      </c>
      <c r="AO59" s="191" t="s">
        <v>59</v>
      </c>
      <c r="AP59" s="560">
        <v>0</v>
      </c>
      <c r="AQ59" s="192" t="s">
        <v>61</v>
      </c>
      <c r="AR59" s="560">
        <v>1</v>
      </c>
      <c r="AS59" s="192" t="s">
        <v>60</v>
      </c>
      <c r="AT59" s="659">
        <f t="shared" si="3"/>
        <v>44</v>
      </c>
      <c r="AU59" s="228"/>
      <c r="AV59" s="193"/>
      <c r="AX59" s="675" t="s">
        <v>21</v>
      </c>
      <c r="AY59" s="226">
        <v>22</v>
      </c>
      <c r="AZ59" s="223">
        <v>75</v>
      </c>
    </row>
    <row r="60" spans="1:52" x14ac:dyDescent="0.25">
      <c r="A60" s="222" t="s">
        <v>10</v>
      </c>
      <c r="B60" s="6">
        <v>0</v>
      </c>
      <c r="C60" s="191" t="s">
        <v>61</v>
      </c>
      <c r="D60" s="560">
        <v>4</v>
      </c>
      <c r="E60" s="192" t="s">
        <v>59</v>
      </c>
      <c r="F60" s="560">
        <v>4</v>
      </c>
      <c r="G60" s="192" t="s">
        <v>59</v>
      </c>
      <c r="H60" s="6">
        <v>1</v>
      </c>
      <c r="I60" s="191" t="s">
        <v>60</v>
      </c>
      <c r="J60" s="560">
        <v>4</v>
      </c>
      <c r="K60" s="192" t="s">
        <v>59</v>
      </c>
      <c r="L60" s="6">
        <v>0</v>
      </c>
      <c r="M60" s="191" t="s">
        <v>61</v>
      </c>
      <c r="N60" s="560">
        <v>4</v>
      </c>
      <c r="O60" s="192" t="s">
        <v>59</v>
      </c>
      <c r="P60" s="6">
        <v>5</v>
      </c>
      <c r="Q60" s="191" t="s">
        <v>58</v>
      </c>
      <c r="R60" s="560">
        <v>4</v>
      </c>
      <c r="S60" s="192" t="s">
        <v>59</v>
      </c>
      <c r="T60" s="6">
        <v>5</v>
      </c>
      <c r="U60" s="191" t="s">
        <v>58</v>
      </c>
      <c r="V60" s="560">
        <v>4</v>
      </c>
      <c r="W60" s="192" t="s">
        <v>59</v>
      </c>
      <c r="X60" s="10">
        <v>4</v>
      </c>
      <c r="Y60" s="191" t="s">
        <v>59</v>
      </c>
      <c r="Z60" s="21">
        <v>0</v>
      </c>
      <c r="AA60" s="192" t="s">
        <v>61</v>
      </c>
      <c r="AB60" s="21">
        <v>4</v>
      </c>
      <c r="AC60" s="192" t="s">
        <v>59</v>
      </c>
      <c r="AD60" s="6">
        <v>0</v>
      </c>
      <c r="AE60" s="191" t="s">
        <v>61</v>
      </c>
      <c r="AF60" s="560">
        <v>5</v>
      </c>
      <c r="AG60" s="192" t="s">
        <v>58</v>
      </c>
      <c r="AH60" s="6">
        <v>1</v>
      </c>
      <c r="AI60" s="191" t="s">
        <v>60</v>
      </c>
      <c r="AJ60" s="10">
        <v>4</v>
      </c>
      <c r="AK60" s="191" t="s">
        <v>59</v>
      </c>
      <c r="AL60" s="560">
        <v>1</v>
      </c>
      <c r="AM60" s="192" t="s">
        <v>60</v>
      </c>
      <c r="AN60" s="6">
        <v>0</v>
      </c>
      <c r="AO60" s="191" t="s">
        <v>61</v>
      </c>
      <c r="AP60" s="560">
        <v>4</v>
      </c>
      <c r="AQ60" s="192" t="s">
        <v>59</v>
      </c>
      <c r="AR60" s="560">
        <v>1</v>
      </c>
      <c r="AS60" s="192" t="s">
        <v>60</v>
      </c>
      <c r="AT60" s="659">
        <f t="shared" si="3"/>
        <v>59</v>
      </c>
      <c r="AU60" s="228"/>
      <c r="AV60" s="193"/>
      <c r="AX60" s="675" t="s">
        <v>24</v>
      </c>
      <c r="AY60" s="226">
        <v>22</v>
      </c>
      <c r="AZ60" s="223">
        <v>75</v>
      </c>
    </row>
    <row r="61" spans="1:52" x14ac:dyDescent="0.25">
      <c r="A61" s="222" t="s">
        <v>28</v>
      </c>
      <c r="B61" s="560">
        <v>2</v>
      </c>
      <c r="C61" s="192" t="s">
        <v>64</v>
      </c>
      <c r="D61" s="6">
        <v>4</v>
      </c>
      <c r="E61" s="191" t="s">
        <v>59</v>
      </c>
      <c r="F61" s="560">
        <v>4</v>
      </c>
      <c r="G61" s="192" t="s">
        <v>59</v>
      </c>
      <c r="H61" s="6">
        <v>4</v>
      </c>
      <c r="I61" s="191" t="s">
        <v>59</v>
      </c>
      <c r="J61" s="6">
        <v>5</v>
      </c>
      <c r="K61" s="191" t="s">
        <v>58</v>
      </c>
      <c r="L61" s="560">
        <v>5</v>
      </c>
      <c r="M61" s="192" t="s">
        <v>58</v>
      </c>
      <c r="N61" s="6">
        <v>4</v>
      </c>
      <c r="O61" s="191" t="s">
        <v>59</v>
      </c>
      <c r="P61" s="560">
        <v>5</v>
      </c>
      <c r="Q61" s="192" t="s">
        <v>58</v>
      </c>
      <c r="R61" s="6">
        <v>1</v>
      </c>
      <c r="S61" s="191" t="s">
        <v>60</v>
      </c>
      <c r="T61" s="6">
        <v>5</v>
      </c>
      <c r="U61" s="191" t="s">
        <v>58</v>
      </c>
      <c r="V61" s="560">
        <v>5</v>
      </c>
      <c r="W61" s="192" t="s">
        <v>58</v>
      </c>
      <c r="X61" s="21">
        <v>5</v>
      </c>
      <c r="Y61" s="192" t="s">
        <v>58</v>
      </c>
      <c r="Z61" s="10">
        <v>4</v>
      </c>
      <c r="AA61" s="191" t="s">
        <v>59</v>
      </c>
      <c r="AB61" s="10">
        <v>0</v>
      </c>
      <c r="AC61" s="191" t="s">
        <v>61</v>
      </c>
      <c r="AD61" s="560">
        <v>1</v>
      </c>
      <c r="AE61" s="192" t="s">
        <v>60</v>
      </c>
      <c r="AF61" s="6">
        <v>0</v>
      </c>
      <c r="AG61" s="191" t="s">
        <v>61</v>
      </c>
      <c r="AH61" s="560">
        <v>4</v>
      </c>
      <c r="AI61" s="192" t="s">
        <v>59</v>
      </c>
      <c r="AJ61" s="21">
        <v>2</v>
      </c>
      <c r="AK61" s="192" t="s">
        <v>64</v>
      </c>
      <c r="AL61" s="6">
        <v>5</v>
      </c>
      <c r="AM61" s="191" t="s">
        <v>58</v>
      </c>
      <c r="AN61" s="560">
        <v>4</v>
      </c>
      <c r="AO61" s="192" t="s">
        <v>59</v>
      </c>
      <c r="AP61" s="6">
        <v>1</v>
      </c>
      <c r="AQ61" s="191" t="s">
        <v>60</v>
      </c>
      <c r="AR61" s="6">
        <v>5</v>
      </c>
      <c r="AS61" s="191" t="s">
        <v>58</v>
      </c>
      <c r="AT61" s="659">
        <f t="shared" si="3"/>
        <v>75</v>
      </c>
      <c r="AU61" s="228"/>
      <c r="AV61" s="193"/>
      <c r="AX61" s="675" t="s">
        <v>28</v>
      </c>
      <c r="AY61" s="226">
        <v>22</v>
      </c>
      <c r="AZ61" s="223">
        <v>75</v>
      </c>
    </row>
    <row r="62" spans="1:52" x14ac:dyDescent="0.25">
      <c r="A62" s="222" t="s">
        <v>91</v>
      </c>
      <c r="B62" s="560">
        <v>4</v>
      </c>
      <c r="C62" s="192" t="s">
        <v>59</v>
      </c>
      <c r="D62" s="6">
        <v>4</v>
      </c>
      <c r="E62" s="191" t="s">
        <v>59</v>
      </c>
      <c r="F62" s="6">
        <v>4</v>
      </c>
      <c r="G62" s="191" t="s">
        <v>59</v>
      </c>
      <c r="H62" s="560">
        <v>1</v>
      </c>
      <c r="I62" s="192" t="s">
        <v>60</v>
      </c>
      <c r="J62" s="6">
        <v>0</v>
      </c>
      <c r="K62" s="191" t="s">
        <v>61</v>
      </c>
      <c r="L62" s="560">
        <v>0</v>
      </c>
      <c r="M62" s="192" t="s">
        <v>61</v>
      </c>
      <c r="N62" s="6">
        <v>0</v>
      </c>
      <c r="O62" s="191" t="s">
        <v>61</v>
      </c>
      <c r="P62" s="560">
        <v>5</v>
      </c>
      <c r="Q62" s="192" t="s">
        <v>58</v>
      </c>
      <c r="R62" s="6">
        <v>0</v>
      </c>
      <c r="S62" s="191" t="s">
        <v>61</v>
      </c>
      <c r="T62" s="6">
        <v>1</v>
      </c>
      <c r="U62" s="191" t="s">
        <v>60</v>
      </c>
      <c r="V62" s="560">
        <v>4</v>
      </c>
      <c r="W62" s="192" t="s">
        <v>59</v>
      </c>
      <c r="X62" s="21">
        <v>1</v>
      </c>
      <c r="Y62" s="192" t="s">
        <v>60</v>
      </c>
      <c r="Z62" s="10">
        <v>4</v>
      </c>
      <c r="AA62" s="191" t="s">
        <v>59</v>
      </c>
      <c r="AB62" s="21">
        <v>2</v>
      </c>
      <c r="AC62" s="192" t="s">
        <v>397</v>
      </c>
      <c r="AD62" s="6">
        <v>4</v>
      </c>
      <c r="AE62" s="191" t="s">
        <v>59</v>
      </c>
      <c r="AF62" s="560">
        <v>1</v>
      </c>
      <c r="AG62" s="192" t="s">
        <v>60</v>
      </c>
      <c r="AH62" s="6">
        <v>0</v>
      </c>
      <c r="AI62" s="191" t="s">
        <v>61</v>
      </c>
      <c r="AJ62" s="10">
        <v>0</v>
      </c>
      <c r="AK62" s="191" t="s">
        <v>61</v>
      </c>
      <c r="AL62" s="6">
        <v>0</v>
      </c>
      <c r="AM62" s="191" t="s">
        <v>61</v>
      </c>
      <c r="AN62" s="560">
        <v>0</v>
      </c>
      <c r="AO62" s="192" t="s">
        <v>61</v>
      </c>
      <c r="AP62" s="6">
        <v>0</v>
      </c>
      <c r="AQ62" s="191" t="s">
        <v>61</v>
      </c>
      <c r="AR62" s="560">
        <v>4</v>
      </c>
      <c r="AS62" s="192" t="s">
        <v>59</v>
      </c>
      <c r="AT62" s="659">
        <f t="shared" si="3"/>
        <v>39</v>
      </c>
      <c r="AU62" s="228"/>
      <c r="AV62" s="193"/>
      <c r="AX62" s="675" t="s">
        <v>29</v>
      </c>
      <c r="AY62" s="226">
        <v>22</v>
      </c>
      <c r="AZ62" s="223">
        <v>62</v>
      </c>
    </row>
    <row r="63" spans="1:52" x14ac:dyDescent="0.25">
      <c r="A63" s="222" t="s">
        <v>190</v>
      </c>
      <c r="B63" s="6">
        <v>0</v>
      </c>
      <c r="C63" s="191">
        <v>0</v>
      </c>
      <c r="D63" s="560">
        <v>0</v>
      </c>
      <c r="E63" s="192">
        <v>0</v>
      </c>
      <c r="F63" s="6">
        <v>0</v>
      </c>
      <c r="G63" s="191">
        <v>0</v>
      </c>
      <c r="H63" s="560">
        <v>0</v>
      </c>
      <c r="I63" s="192">
        <v>0</v>
      </c>
      <c r="J63" s="6">
        <v>0</v>
      </c>
      <c r="K63" s="191">
        <v>0</v>
      </c>
      <c r="L63" s="560">
        <v>0</v>
      </c>
      <c r="M63" s="192">
        <v>0</v>
      </c>
      <c r="N63" s="6">
        <v>0</v>
      </c>
      <c r="O63" s="191">
        <v>0</v>
      </c>
      <c r="P63" s="560">
        <v>0</v>
      </c>
      <c r="Q63" s="192">
        <v>0</v>
      </c>
      <c r="R63" s="6">
        <v>0</v>
      </c>
      <c r="S63" s="191">
        <v>0</v>
      </c>
      <c r="T63" s="6">
        <v>0</v>
      </c>
      <c r="U63" s="191">
        <v>0</v>
      </c>
      <c r="V63" s="560">
        <v>0</v>
      </c>
      <c r="W63" s="192">
        <v>0</v>
      </c>
      <c r="X63" s="21">
        <v>0</v>
      </c>
      <c r="Y63" s="192" t="s">
        <v>61</v>
      </c>
      <c r="Z63" s="10">
        <v>1</v>
      </c>
      <c r="AA63" s="191" t="s">
        <v>410</v>
      </c>
      <c r="AB63" s="10">
        <v>0</v>
      </c>
      <c r="AC63" s="191" t="s">
        <v>61</v>
      </c>
      <c r="AD63" s="560">
        <v>0</v>
      </c>
      <c r="AE63" s="192" t="s">
        <v>61</v>
      </c>
      <c r="AF63" s="6">
        <v>0</v>
      </c>
      <c r="AG63" s="191" t="s">
        <v>61</v>
      </c>
      <c r="AH63" s="560">
        <v>0</v>
      </c>
      <c r="AI63" s="192" t="s">
        <v>61</v>
      </c>
      <c r="AJ63" s="10">
        <v>0</v>
      </c>
      <c r="AK63" s="191" t="s">
        <v>61</v>
      </c>
      <c r="AL63" s="6">
        <v>0</v>
      </c>
      <c r="AM63" s="191" t="s">
        <v>61</v>
      </c>
      <c r="AN63" s="560">
        <v>0</v>
      </c>
      <c r="AO63" s="192" t="s">
        <v>61</v>
      </c>
      <c r="AP63" s="6">
        <v>0</v>
      </c>
      <c r="AQ63" s="191" t="s">
        <v>61</v>
      </c>
      <c r="AR63" s="6">
        <v>0</v>
      </c>
      <c r="AS63" s="191" t="s">
        <v>61</v>
      </c>
      <c r="AT63" s="659">
        <f t="shared" si="3"/>
        <v>1</v>
      </c>
      <c r="AU63" s="228"/>
      <c r="AV63" s="193"/>
      <c r="AX63" s="675" t="s">
        <v>10</v>
      </c>
      <c r="AY63" s="226">
        <v>22</v>
      </c>
      <c r="AZ63" s="223">
        <v>59</v>
      </c>
    </row>
    <row r="64" spans="1:52" x14ac:dyDescent="0.25">
      <c r="A64" s="222" t="s">
        <v>66</v>
      </c>
      <c r="B64" s="560">
        <v>0</v>
      </c>
      <c r="C64" s="192" t="s">
        <v>61</v>
      </c>
      <c r="D64" s="6">
        <v>0</v>
      </c>
      <c r="E64" s="191" t="s">
        <v>61</v>
      </c>
      <c r="F64" s="6">
        <v>1</v>
      </c>
      <c r="G64" s="191" t="s">
        <v>60</v>
      </c>
      <c r="H64" s="560">
        <v>1</v>
      </c>
      <c r="I64" s="192" t="s">
        <v>60</v>
      </c>
      <c r="J64" s="560">
        <v>0</v>
      </c>
      <c r="K64" s="192" t="s">
        <v>61</v>
      </c>
      <c r="L64" s="6">
        <v>2</v>
      </c>
      <c r="M64" s="191" t="s">
        <v>63</v>
      </c>
      <c r="N64" s="560">
        <v>1</v>
      </c>
      <c r="O64" s="192" t="s">
        <v>60</v>
      </c>
      <c r="P64" s="6">
        <v>0</v>
      </c>
      <c r="Q64" s="191" t="s">
        <v>61</v>
      </c>
      <c r="R64" s="560">
        <v>1</v>
      </c>
      <c r="S64" s="192" t="s">
        <v>60</v>
      </c>
      <c r="T64" s="6">
        <v>2</v>
      </c>
      <c r="U64" s="191" t="s">
        <v>63</v>
      </c>
      <c r="V64" s="560">
        <v>0</v>
      </c>
      <c r="W64" s="192" t="s">
        <v>61</v>
      </c>
      <c r="X64" s="10">
        <v>0</v>
      </c>
      <c r="Y64" s="191" t="s">
        <v>61</v>
      </c>
      <c r="Z64" s="21">
        <v>1</v>
      </c>
      <c r="AA64" s="192" t="s">
        <v>60</v>
      </c>
      <c r="AB64" s="10">
        <v>0</v>
      </c>
      <c r="AC64" s="191" t="s">
        <v>61</v>
      </c>
      <c r="AD64" s="6">
        <v>0</v>
      </c>
      <c r="AE64" s="191" t="s">
        <v>61</v>
      </c>
      <c r="AF64" s="560">
        <v>4</v>
      </c>
      <c r="AG64" s="192" t="s">
        <v>59</v>
      </c>
      <c r="AH64" s="6">
        <v>4</v>
      </c>
      <c r="AI64" s="191" t="s">
        <v>59</v>
      </c>
      <c r="AJ64" s="10">
        <v>0</v>
      </c>
      <c r="AK64" s="191" t="s">
        <v>61</v>
      </c>
      <c r="AL64" s="560">
        <v>4</v>
      </c>
      <c r="AM64" s="192" t="s">
        <v>59</v>
      </c>
      <c r="AN64" s="560">
        <v>1</v>
      </c>
      <c r="AO64" s="192" t="s">
        <v>60</v>
      </c>
      <c r="AP64" s="6">
        <v>0</v>
      </c>
      <c r="AQ64" s="191" t="s">
        <v>61</v>
      </c>
      <c r="AR64" s="560">
        <v>1</v>
      </c>
      <c r="AS64" s="192" t="s">
        <v>60</v>
      </c>
      <c r="AT64" s="659">
        <f t="shared" si="3"/>
        <v>23</v>
      </c>
      <c r="AU64" s="228"/>
      <c r="AV64" s="193"/>
      <c r="AX64" s="675" t="s">
        <v>189</v>
      </c>
      <c r="AY64" s="226">
        <v>22</v>
      </c>
      <c r="AZ64" s="223">
        <v>52</v>
      </c>
    </row>
    <row r="65" spans="1:52" x14ac:dyDescent="0.25">
      <c r="A65" s="222" t="s">
        <v>27</v>
      </c>
      <c r="B65" s="560">
        <v>4</v>
      </c>
      <c r="C65" s="192" t="s">
        <v>59</v>
      </c>
      <c r="D65" s="6">
        <v>4</v>
      </c>
      <c r="E65" s="191" t="s">
        <v>59</v>
      </c>
      <c r="F65" s="560">
        <v>4</v>
      </c>
      <c r="G65" s="192" t="s">
        <v>59</v>
      </c>
      <c r="H65" s="6">
        <v>4</v>
      </c>
      <c r="I65" s="191" t="s">
        <v>59</v>
      </c>
      <c r="J65" s="560">
        <v>5</v>
      </c>
      <c r="K65" s="192" t="s">
        <v>58</v>
      </c>
      <c r="L65" s="6">
        <v>0</v>
      </c>
      <c r="M65" s="191" t="s">
        <v>61</v>
      </c>
      <c r="N65" s="560">
        <v>1</v>
      </c>
      <c r="O65" s="192" t="s">
        <v>60</v>
      </c>
      <c r="P65" s="6">
        <v>1</v>
      </c>
      <c r="Q65" s="191" t="s">
        <v>60</v>
      </c>
      <c r="R65" s="560">
        <v>5</v>
      </c>
      <c r="S65" s="192" t="s">
        <v>58</v>
      </c>
      <c r="T65" s="6">
        <v>2</v>
      </c>
      <c r="U65" s="191" t="s">
        <v>64</v>
      </c>
      <c r="V65" s="560">
        <v>5</v>
      </c>
      <c r="W65" s="192" t="s">
        <v>58</v>
      </c>
      <c r="X65" s="21">
        <v>5</v>
      </c>
      <c r="Y65" s="192" t="s">
        <v>58</v>
      </c>
      <c r="Z65" s="10">
        <v>1</v>
      </c>
      <c r="AA65" s="191" t="s">
        <v>60</v>
      </c>
      <c r="AB65" s="21">
        <v>5</v>
      </c>
      <c r="AC65" s="192" t="s">
        <v>58</v>
      </c>
      <c r="AD65" s="560">
        <v>5</v>
      </c>
      <c r="AE65" s="192" t="s">
        <v>58</v>
      </c>
      <c r="AF65" s="6">
        <v>4</v>
      </c>
      <c r="AG65" s="191" t="s">
        <v>59</v>
      </c>
      <c r="AH65" s="560">
        <v>5</v>
      </c>
      <c r="AI65" s="192" t="s">
        <v>58</v>
      </c>
      <c r="AJ65" s="21">
        <v>1</v>
      </c>
      <c r="AK65" s="192" t="s">
        <v>60</v>
      </c>
      <c r="AL65" s="6">
        <v>4</v>
      </c>
      <c r="AM65" s="191" t="s">
        <v>59</v>
      </c>
      <c r="AN65" s="6">
        <v>5</v>
      </c>
      <c r="AO65" s="191" t="s">
        <v>58</v>
      </c>
      <c r="AP65" s="560">
        <v>4</v>
      </c>
      <c r="AQ65" s="192" t="s">
        <v>59</v>
      </c>
      <c r="AR65" s="6">
        <v>4</v>
      </c>
      <c r="AS65" s="191" t="s">
        <v>59</v>
      </c>
      <c r="AT65" s="659">
        <f t="shared" si="3"/>
        <v>78</v>
      </c>
      <c r="AU65" s="228"/>
      <c r="AV65" s="193"/>
      <c r="AX65" s="675" t="s">
        <v>30</v>
      </c>
      <c r="AY65" s="226">
        <v>22</v>
      </c>
      <c r="AZ65" s="223">
        <v>51</v>
      </c>
    </row>
    <row r="66" spans="1:52" x14ac:dyDescent="0.25">
      <c r="A66" s="222" t="s">
        <v>29</v>
      </c>
      <c r="B66" s="6">
        <v>4</v>
      </c>
      <c r="C66" s="191" t="s">
        <v>59</v>
      </c>
      <c r="D66" s="560">
        <v>5</v>
      </c>
      <c r="E66" s="192" t="s">
        <v>58</v>
      </c>
      <c r="F66" s="560">
        <v>1</v>
      </c>
      <c r="G66" s="192" t="s">
        <v>60</v>
      </c>
      <c r="H66" s="6">
        <v>4</v>
      </c>
      <c r="I66" s="191" t="s">
        <v>59</v>
      </c>
      <c r="J66" s="6">
        <v>4</v>
      </c>
      <c r="K66" s="191" t="s">
        <v>59</v>
      </c>
      <c r="L66" s="560">
        <v>4</v>
      </c>
      <c r="M66" s="192" t="s">
        <v>59</v>
      </c>
      <c r="N66" s="6">
        <v>4</v>
      </c>
      <c r="O66" s="191" t="s">
        <v>59</v>
      </c>
      <c r="P66" s="560">
        <v>0</v>
      </c>
      <c r="Q66" s="192" t="s">
        <v>61</v>
      </c>
      <c r="R66" s="6">
        <v>5</v>
      </c>
      <c r="S66" s="191" t="s">
        <v>58</v>
      </c>
      <c r="T66" s="560">
        <v>0</v>
      </c>
      <c r="U66" s="191" t="s">
        <v>61</v>
      </c>
      <c r="V66" s="6">
        <v>1</v>
      </c>
      <c r="W66" s="191" t="s">
        <v>60</v>
      </c>
      <c r="X66" s="10">
        <v>0</v>
      </c>
      <c r="Y66" s="191" t="s">
        <v>61</v>
      </c>
      <c r="Z66" s="10">
        <v>2</v>
      </c>
      <c r="AA66" s="191" t="s">
        <v>397</v>
      </c>
      <c r="AB66" s="21">
        <v>5</v>
      </c>
      <c r="AC66" s="192" t="s">
        <v>58</v>
      </c>
      <c r="AD66" s="6">
        <v>0</v>
      </c>
      <c r="AE66" s="191" t="s">
        <v>61</v>
      </c>
      <c r="AF66" s="560">
        <v>4</v>
      </c>
      <c r="AG66" s="192" t="s">
        <v>59</v>
      </c>
      <c r="AH66" s="6">
        <v>0</v>
      </c>
      <c r="AI66" s="191" t="s">
        <v>61</v>
      </c>
      <c r="AJ66" s="21">
        <v>5</v>
      </c>
      <c r="AK66" s="192" t="s">
        <v>58</v>
      </c>
      <c r="AL66" s="560">
        <v>4</v>
      </c>
      <c r="AM66" s="192" t="s">
        <v>59</v>
      </c>
      <c r="AN66" s="6">
        <v>4</v>
      </c>
      <c r="AO66" s="191" t="s">
        <v>59</v>
      </c>
      <c r="AP66" s="560">
        <v>4</v>
      </c>
      <c r="AQ66" s="192" t="s">
        <v>59</v>
      </c>
      <c r="AR66" s="560">
        <v>2</v>
      </c>
      <c r="AS66" s="192" t="s">
        <v>63</v>
      </c>
      <c r="AT66" s="659">
        <f t="shared" si="3"/>
        <v>62</v>
      </c>
      <c r="AU66" s="228"/>
      <c r="AV66" s="193"/>
      <c r="AX66" s="675" t="s">
        <v>26</v>
      </c>
      <c r="AY66" s="226">
        <v>22</v>
      </c>
      <c r="AZ66" s="223">
        <v>44</v>
      </c>
    </row>
    <row r="67" spans="1:52" x14ac:dyDescent="0.25">
      <c r="A67" s="222" t="s">
        <v>21</v>
      </c>
      <c r="B67" s="6">
        <v>4</v>
      </c>
      <c r="C67" s="191" t="s">
        <v>59</v>
      </c>
      <c r="D67" s="560">
        <v>0</v>
      </c>
      <c r="E67" s="192" t="s">
        <v>61</v>
      </c>
      <c r="F67" s="6">
        <v>4</v>
      </c>
      <c r="G67" s="191" t="s">
        <v>59</v>
      </c>
      <c r="H67" s="560">
        <v>4</v>
      </c>
      <c r="I67" s="192" t="s">
        <v>59</v>
      </c>
      <c r="J67" s="6">
        <v>4</v>
      </c>
      <c r="K67" s="191" t="s">
        <v>59</v>
      </c>
      <c r="L67" s="560">
        <v>5</v>
      </c>
      <c r="M67" s="192" t="s">
        <v>58</v>
      </c>
      <c r="N67" s="6">
        <v>5</v>
      </c>
      <c r="O67" s="191" t="s">
        <v>58</v>
      </c>
      <c r="P67" s="560">
        <v>4</v>
      </c>
      <c r="Q67" s="192" t="s">
        <v>59</v>
      </c>
      <c r="R67" s="6">
        <v>4</v>
      </c>
      <c r="S67" s="191" t="s">
        <v>59</v>
      </c>
      <c r="T67" s="560">
        <v>5</v>
      </c>
      <c r="U67" s="191" t="s">
        <v>58</v>
      </c>
      <c r="V67" s="6">
        <v>2</v>
      </c>
      <c r="W67" s="191" t="s">
        <v>63</v>
      </c>
      <c r="X67" s="21">
        <v>5</v>
      </c>
      <c r="Y67" s="192" t="s">
        <v>58</v>
      </c>
      <c r="Z67" s="10">
        <v>4</v>
      </c>
      <c r="AA67" s="191" t="s">
        <v>59</v>
      </c>
      <c r="AB67" s="21">
        <v>4</v>
      </c>
      <c r="AC67" s="192" t="s">
        <v>59</v>
      </c>
      <c r="AD67" s="560">
        <v>5</v>
      </c>
      <c r="AE67" s="192" t="s">
        <v>58</v>
      </c>
      <c r="AF67" s="6">
        <v>0</v>
      </c>
      <c r="AG67" s="191" t="s">
        <v>61</v>
      </c>
      <c r="AH67" s="560">
        <v>4</v>
      </c>
      <c r="AI67" s="192" t="s">
        <v>59</v>
      </c>
      <c r="AJ67" s="10">
        <v>2</v>
      </c>
      <c r="AK67" s="191" t="s">
        <v>64</v>
      </c>
      <c r="AL67" s="560">
        <v>1</v>
      </c>
      <c r="AM67" s="192" t="s">
        <v>60</v>
      </c>
      <c r="AN67" s="6">
        <v>0</v>
      </c>
      <c r="AO67" s="191" t="s">
        <v>61</v>
      </c>
      <c r="AP67" s="560">
        <v>5</v>
      </c>
      <c r="AQ67" s="192" t="s">
        <v>58</v>
      </c>
      <c r="AR67" s="6">
        <v>4</v>
      </c>
      <c r="AS67" s="191" t="s">
        <v>59</v>
      </c>
      <c r="AT67" s="659">
        <f t="shared" si="3"/>
        <v>75</v>
      </c>
      <c r="AU67" s="228"/>
      <c r="AV67" s="193"/>
      <c r="AX67" s="675" t="s">
        <v>91</v>
      </c>
      <c r="AY67" s="226">
        <v>22</v>
      </c>
      <c r="AZ67" s="223">
        <v>39</v>
      </c>
    </row>
    <row r="68" spans="1:52" ht="15.75" thickBot="1" x14ac:dyDescent="0.3">
      <c r="A68" s="224" t="s">
        <v>189</v>
      </c>
      <c r="B68" s="600">
        <v>4</v>
      </c>
      <c r="C68" s="599" t="s">
        <v>59</v>
      </c>
      <c r="D68" s="601">
        <v>1</v>
      </c>
      <c r="E68" s="597" t="s">
        <v>60</v>
      </c>
      <c r="F68" s="600">
        <v>1</v>
      </c>
      <c r="G68" s="599" t="s">
        <v>60</v>
      </c>
      <c r="H68" s="601">
        <v>1</v>
      </c>
      <c r="I68" s="597" t="s">
        <v>60</v>
      </c>
      <c r="J68" s="600">
        <v>1</v>
      </c>
      <c r="K68" s="599" t="s">
        <v>60</v>
      </c>
      <c r="L68" s="601">
        <v>4</v>
      </c>
      <c r="M68" s="597" t="s">
        <v>59</v>
      </c>
      <c r="N68" s="600">
        <v>0</v>
      </c>
      <c r="O68" s="599" t="s">
        <v>61</v>
      </c>
      <c r="P68" s="601">
        <v>0</v>
      </c>
      <c r="Q68" s="597" t="s">
        <v>61</v>
      </c>
      <c r="R68" s="600">
        <v>5</v>
      </c>
      <c r="S68" s="599" t="s">
        <v>58</v>
      </c>
      <c r="T68" s="600">
        <v>5</v>
      </c>
      <c r="U68" s="597" t="s">
        <v>58</v>
      </c>
      <c r="V68" s="601">
        <v>0</v>
      </c>
      <c r="W68" s="597" t="s">
        <v>61</v>
      </c>
      <c r="X68" s="596">
        <v>1</v>
      </c>
      <c r="Y68" s="597" t="s">
        <v>60</v>
      </c>
      <c r="Z68" s="598">
        <v>4</v>
      </c>
      <c r="AA68" s="599" t="s">
        <v>59</v>
      </c>
      <c r="AB68" s="596">
        <v>1</v>
      </c>
      <c r="AC68" s="597" t="s">
        <v>60</v>
      </c>
      <c r="AD68" s="600">
        <v>5</v>
      </c>
      <c r="AE68" s="599" t="s">
        <v>58</v>
      </c>
      <c r="AF68" s="601">
        <v>0</v>
      </c>
      <c r="AG68" s="597" t="s">
        <v>61</v>
      </c>
      <c r="AH68" s="600">
        <v>4</v>
      </c>
      <c r="AI68" s="599" t="s">
        <v>59</v>
      </c>
      <c r="AJ68" s="598">
        <v>5</v>
      </c>
      <c r="AK68" s="599" t="s">
        <v>58</v>
      </c>
      <c r="AL68" s="601">
        <v>0</v>
      </c>
      <c r="AM68" s="597" t="s">
        <v>61</v>
      </c>
      <c r="AN68" s="601">
        <v>1</v>
      </c>
      <c r="AO68" s="597" t="s">
        <v>60</v>
      </c>
      <c r="AP68" s="600">
        <v>5</v>
      </c>
      <c r="AQ68" s="599" t="s">
        <v>58</v>
      </c>
      <c r="AR68" s="601">
        <v>4</v>
      </c>
      <c r="AS68" s="597" t="s">
        <v>59</v>
      </c>
      <c r="AT68" s="660">
        <f t="shared" si="3"/>
        <v>52</v>
      </c>
      <c r="AU68" s="228"/>
      <c r="AV68" s="193"/>
      <c r="AX68" s="675" t="s">
        <v>66</v>
      </c>
      <c r="AY68" s="226">
        <v>22</v>
      </c>
      <c r="AZ68" s="223">
        <v>23</v>
      </c>
    </row>
    <row r="69" spans="1:52" ht="15.75" thickBot="1" x14ac:dyDescent="0.3">
      <c r="A69" s="20"/>
      <c r="B69" s="11"/>
      <c r="C69" s="11"/>
      <c r="D69" s="11"/>
      <c r="E69" s="11"/>
      <c r="F69" s="11"/>
      <c r="G69" s="11"/>
      <c r="H69" s="11"/>
      <c r="I69" s="11"/>
      <c r="J69" s="191"/>
      <c r="K69" s="11"/>
      <c r="L69" s="191"/>
      <c r="M69" s="11"/>
      <c r="N69" s="11"/>
      <c r="O69" s="11"/>
      <c r="P69" s="11"/>
      <c r="Q69" s="11"/>
      <c r="R69" s="11"/>
      <c r="S69" s="11"/>
      <c r="T69" s="191"/>
      <c r="U69" s="11"/>
      <c r="V69" s="192"/>
      <c r="W69" s="23"/>
      <c r="X69" s="192"/>
      <c r="Y69" s="23"/>
      <c r="Z69" s="11"/>
      <c r="AA69" s="11"/>
      <c r="AB69" s="23"/>
      <c r="AC69" s="23"/>
      <c r="AD69" s="11"/>
      <c r="AE69" s="11"/>
      <c r="AF69" s="192"/>
      <c r="AG69" s="23"/>
      <c r="AH69" s="191"/>
      <c r="AI69" s="11"/>
      <c r="AJ69" s="192"/>
      <c r="AK69" s="23"/>
      <c r="AL69" s="11"/>
      <c r="AM69" s="11"/>
      <c r="AN69" s="23"/>
      <c r="AO69" s="23"/>
      <c r="AP69" s="193"/>
      <c r="AT69" s="20"/>
      <c r="AU69" s="228"/>
      <c r="AV69" s="193"/>
      <c r="AX69" s="224" t="s">
        <v>190</v>
      </c>
      <c r="AY69" s="674">
        <v>11</v>
      </c>
      <c r="AZ69" s="225">
        <v>1</v>
      </c>
    </row>
    <row r="70" spans="1:52" x14ac:dyDescent="0.25">
      <c r="A70" s="20" t="s">
        <v>88</v>
      </c>
      <c r="AU70" s="228"/>
      <c r="AV70" s="193"/>
    </row>
    <row r="71" spans="1:52" x14ac:dyDescent="0.25">
      <c r="A71" s="18" t="s">
        <v>86</v>
      </c>
    </row>
    <row r="72" spans="1:52" x14ac:dyDescent="0.25">
      <c r="A72" s="3" t="s">
        <v>55</v>
      </c>
      <c r="B72" s="871">
        <v>1</v>
      </c>
      <c r="C72" s="873"/>
      <c r="D72" s="871">
        <v>2</v>
      </c>
      <c r="E72" s="873"/>
      <c r="F72" s="871">
        <v>3</v>
      </c>
      <c r="G72" s="872"/>
      <c r="H72" s="871">
        <v>4</v>
      </c>
      <c r="I72" s="872"/>
      <c r="J72" s="871">
        <v>5</v>
      </c>
      <c r="K72" s="872"/>
      <c r="L72" s="871">
        <v>6</v>
      </c>
      <c r="M72" s="872"/>
      <c r="N72" s="871">
        <v>7</v>
      </c>
      <c r="O72" s="873"/>
      <c r="P72" s="871">
        <v>8</v>
      </c>
      <c r="Q72" s="873"/>
      <c r="R72" s="871">
        <v>9</v>
      </c>
      <c r="S72" s="872"/>
      <c r="T72" s="871">
        <v>10</v>
      </c>
      <c r="U72" s="872"/>
      <c r="V72" s="871">
        <v>11</v>
      </c>
      <c r="W72" s="872"/>
      <c r="X72" s="871">
        <v>12</v>
      </c>
      <c r="Y72" s="872"/>
      <c r="Z72" s="871">
        <v>13</v>
      </c>
      <c r="AA72" s="873"/>
      <c r="AB72" s="871">
        <v>14</v>
      </c>
      <c r="AC72" s="873"/>
      <c r="AD72" s="871">
        <v>15</v>
      </c>
      <c r="AE72" s="872"/>
      <c r="AF72" s="871">
        <v>16</v>
      </c>
      <c r="AG72" s="873"/>
      <c r="AH72" s="871">
        <v>17</v>
      </c>
      <c r="AI72" s="872"/>
      <c r="AJ72" s="871">
        <v>18</v>
      </c>
      <c r="AK72" s="872"/>
      <c r="AL72" s="871">
        <v>19</v>
      </c>
      <c r="AM72" s="872"/>
      <c r="AN72" s="871">
        <v>20</v>
      </c>
      <c r="AO72" s="872"/>
      <c r="AP72" s="871">
        <v>21</v>
      </c>
      <c r="AQ72" s="872"/>
      <c r="AR72" s="871">
        <v>22</v>
      </c>
      <c r="AS72" s="873"/>
      <c r="AT72" s="4" t="s">
        <v>41</v>
      </c>
    </row>
    <row r="73" spans="1:52" x14ac:dyDescent="0.25">
      <c r="A73" s="5"/>
      <c r="B73" s="6" t="s">
        <v>56</v>
      </c>
      <c r="C73" s="7" t="s">
        <v>57</v>
      </c>
      <c r="D73" s="6" t="s">
        <v>56</v>
      </c>
      <c r="E73" s="7" t="s">
        <v>57</v>
      </c>
      <c r="F73" s="6" t="s">
        <v>56</v>
      </c>
      <c r="G73" s="7" t="s">
        <v>57</v>
      </c>
      <c r="H73" s="6" t="s">
        <v>56</v>
      </c>
      <c r="I73" s="7" t="s">
        <v>57</v>
      </c>
      <c r="J73" s="6" t="s">
        <v>56</v>
      </c>
      <c r="K73" s="7" t="s">
        <v>57</v>
      </c>
      <c r="L73" s="6" t="s">
        <v>56</v>
      </c>
      <c r="M73" s="7" t="s">
        <v>57</v>
      </c>
      <c r="N73" s="6" t="s">
        <v>56</v>
      </c>
      <c r="O73" s="7" t="s">
        <v>57</v>
      </c>
      <c r="P73" s="6" t="s">
        <v>56</v>
      </c>
      <c r="Q73" s="7" t="s">
        <v>57</v>
      </c>
      <c r="R73" s="6" t="s">
        <v>56</v>
      </c>
      <c r="S73" s="7" t="s">
        <v>57</v>
      </c>
      <c r="T73" s="6" t="s">
        <v>56</v>
      </c>
      <c r="U73" s="7" t="s">
        <v>57</v>
      </c>
      <c r="V73" s="6" t="s">
        <v>56</v>
      </c>
      <c r="W73" s="7" t="s">
        <v>57</v>
      </c>
      <c r="X73" s="6" t="s">
        <v>56</v>
      </c>
      <c r="Y73" s="7" t="s">
        <v>57</v>
      </c>
      <c r="Z73" s="6" t="s">
        <v>56</v>
      </c>
      <c r="AA73" s="7" t="s">
        <v>57</v>
      </c>
      <c r="AB73" s="6" t="s">
        <v>56</v>
      </c>
      <c r="AC73" s="7" t="s">
        <v>57</v>
      </c>
      <c r="AD73" s="6" t="s">
        <v>56</v>
      </c>
      <c r="AE73" s="7" t="s">
        <v>57</v>
      </c>
      <c r="AF73" s="6" t="s">
        <v>56</v>
      </c>
      <c r="AG73" s="7" t="s">
        <v>57</v>
      </c>
      <c r="AH73" s="6" t="s">
        <v>56</v>
      </c>
      <c r="AI73" s="7" t="s">
        <v>57</v>
      </c>
      <c r="AJ73" s="6" t="s">
        <v>56</v>
      </c>
      <c r="AK73" s="7" t="s">
        <v>57</v>
      </c>
      <c r="AL73" s="6" t="s">
        <v>56</v>
      </c>
      <c r="AM73" s="7" t="s">
        <v>57</v>
      </c>
      <c r="AN73" s="226" t="s">
        <v>56</v>
      </c>
      <c r="AO73" s="228" t="s">
        <v>57</v>
      </c>
      <c r="AP73" s="6" t="s">
        <v>56</v>
      </c>
      <c r="AQ73" s="7" t="s">
        <v>57</v>
      </c>
      <c r="AR73" s="226" t="s">
        <v>56</v>
      </c>
      <c r="AS73" s="228" t="s">
        <v>57</v>
      </c>
      <c r="AT73" s="8"/>
    </row>
    <row r="74" spans="1:52" x14ac:dyDescent="0.25">
      <c r="A74" s="9" t="s">
        <v>24</v>
      </c>
      <c r="B74" s="21">
        <v>4</v>
      </c>
      <c r="C74" s="23" t="s">
        <v>59</v>
      </c>
      <c r="D74" s="21">
        <v>4</v>
      </c>
      <c r="E74" s="23" t="s">
        <v>59</v>
      </c>
      <c r="F74" s="10">
        <v>0</v>
      </c>
      <c r="G74" s="11" t="s">
        <v>61</v>
      </c>
      <c r="H74" s="179">
        <v>5</v>
      </c>
      <c r="I74" s="23" t="s">
        <v>58</v>
      </c>
      <c r="J74" s="12">
        <v>1</v>
      </c>
      <c r="K74" s="11" t="s">
        <v>60</v>
      </c>
      <c r="L74" s="179">
        <v>4</v>
      </c>
      <c r="M74" s="23" t="s">
        <v>59</v>
      </c>
      <c r="N74" s="10">
        <v>4</v>
      </c>
      <c r="O74" s="11" t="s">
        <v>59</v>
      </c>
      <c r="P74" s="10">
        <v>4</v>
      </c>
      <c r="Q74" s="11" t="s">
        <v>59</v>
      </c>
      <c r="R74" s="21">
        <v>4</v>
      </c>
      <c r="S74" s="23" t="s">
        <v>59</v>
      </c>
      <c r="T74" s="179">
        <v>4</v>
      </c>
      <c r="U74" s="23" t="s">
        <v>59</v>
      </c>
      <c r="V74" s="12">
        <v>0</v>
      </c>
      <c r="W74" s="11" t="s">
        <v>61</v>
      </c>
      <c r="X74" s="12">
        <v>2</v>
      </c>
      <c r="Y74" s="11" t="s">
        <v>64</v>
      </c>
      <c r="Z74" s="21">
        <v>4</v>
      </c>
      <c r="AA74" s="23" t="s">
        <v>59</v>
      </c>
      <c r="AB74" s="10">
        <v>4</v>
      </c>
      <c r="AC74" s="11" t="s">
        <v>59</v>
      </c>
      <c r="AD74" s="230">
        <v>5</v>
      </c>
      <c r="AE74" s="23" t="s">
        <v>58</v>
      </c>
      <c r="AF74" s="230">
        <v>0</v>
      </c>
      <c r="AG74" s="23" t="s">
        <v>61</v>
      </c>
      <c r="AH74" s="226">
        <v>5</v>
      </c>
      <c r="AI74" s="11" t="s">
        <v>58</v>
      </c>
      <c r="AJ74" s="230">
        <v>1</v>
      </c>
      <c r="AK74" s="23" t="s">
        <v>60</v>
      </c>
      <c r="AL74" s="226">
        <v>4</v>
      </c>
      <c r="AM74" s="11" t="s">
        <v>59</v>
      </c>
      <c r="AN74" s="230">
        <v>5</v>
      </c>
      <c r="AO74" s="23" t="s">
        <v>58</v>
      </c>
      <c r="AP74" s="230">
        <v>2</v>
      </c>
      <c r="AQ74" s="11" t="s">
        <v>64</v>
      </c>
      <c r="AR74" s="226">
        <v>1</v>
      </c>
      <c r="AS74" s="11" t="s">
        <v>60</v>
      </c>
      <c r="AT74" s="13">
        <f t="shared" ref="AT74:AT85" si="4">SUM(B74+D74+F74+H74+J74+L74+N74+P74+R74+T74+V74+X74+Z74+AB74+AD74+AF74+AH74+AJ74+AL74+AN74+AP74+AR74)</f>
        <v>67</v>
      </c>
    </row>
    <row r="75" spans="1:52" x14ac:dyDescent="0.25">
      <c r="A75" s="9" t="s">
        <v>30</v>
      </c>
      <c r="B75" s="21">
        <v>0</v>
      </c>
      <c r="C75" s="23" t="s">
        <v>61</v>
      </c>
      <c r="D75" s="21">
        <v>4</v>
      </c>
      <c r="E75" s="23" t="s">
        <v>59</v>
      </c>
      <c r="F75" s="10">
        <v>4</v>
      </c>
      <c r="G75" s="11" t="s">
        <v>59</v>
      </c>
      <c r="H75" s="179">
        <v>0</v>
      </c>
      <c r="I75" s="23" t="s">
        <v>61</v>
      </c>
      <c r="J75" s="12">
        <v>4</v>
      </c>
      <c r="K75" s="11" t="s">
        <v>59</v>
      </c>
      <c r="L75" s="179">
        <v>5</v>
      </c>
      <c r="M75" s="23" t="s">
        <v>58</v>
      </c>
      <c r="N75" s="10">
        <v>4</v>
      </c>
      <c r="O75" s="11" t="s">
        <v>59</v>
      </c>
      <c r="P75" s="21">
        <v>1</v>
      </c>
      <c r="Q75" s="23" t="s">
        <v>60</v>
      </c>
      <c r="R75" s="10">
        <v>1</v>
      </c>
      <c r="S75" s="11" t="s">
        <v>60</v>
      </c>
      <c r="T75" s="179">
        <v>4</v>
      </c>
      <c r="U75" s="23" t="s">
        <v>59</v>
      </c>
      <c r="V75" s="12">
        <v>0</v>
      </c>
      <c r="W75" s="11" t="s">
        <v>61</v>
      </c>
      <c r="X75" s="12">
        <v>1</v>
      </c>
      <c r="Y75" s="11" t="s">
        <v>60</v>
      </c>
      <c r="Z75" s="21">
        <v>1</v>
      </c>
      <c r="AA75" s="23" t="s">
        <v>60</v>
      </c>
      <c r="AB75" s="21">
        <v>1</v>
      </c>
      <c r="AC75" s="23" t="s">
        <v>60</v>
      </c>
      <c r="AD75" s="226">
        <v>0</v>
      </c>
      <c r="AE75" s="11" t="s">
        <v>61</v>
      </c>
      <c r="AF75" s="230">
        <v>4</v>
      </c>
      <c r="AG75" s="23" t="s">
        <v>59</v>
      </c>
      <c r="AH75" s="226">
        <v>0</v>
      </c>
      <c r="AI75" s="11" t="s">
        <v>61</v>
      </c>
      <c r="AJ75" s="230">
        <v>1</v>
      </c>
      <c r="AK75" s="23" t="s">
        <v>60</v>
      </c>
      <c r="AL75" s="226">
        <v>5</v>
      </c>
      <c r="AM75" s="11" t="s">
        <v>58</v>
      </c>
      <c r="AN75" s="230">
        <v>0</v>
      </c>
      <c r="AO75" s="23" t="s">
        <v>61</v>
      </c>
      <c r="AP75" s="230">
        <v>1</v>
      </c>
      <c r="AQ75" s="11" t="s">
        <v>60</v>
      </c>
      <c r="AR75" s="226">
        <v>4</v>
      </c>
      <c r="AS75" s="11" t="s">
        <v>59</v>
      </c>
      <c r="AT75" s="13">
        <f t="shared" si="4"/>
        <v>45</v>
      </c>
    </row>
    <row r="76" spans="1:52" x14ac:dyDescent="0.25">
      <c r="A76" s="9" t="s">
        <v>26</v>
      </c>
      <c r="B76" s="10">
        <v>1</v>
      </c>
      <c r="C76" s="11" t="s">
        <v>60</v>
      </c>
      <c r="D76" s="10">
        <v>0</v>
      </c>
      <c r="E76" s="11" t="s">
        <v>61</v>
      </c>
      <c r="F76" s="21">
        <v>4</v>
      </c>
      <c r="G76" s="23" t="s">
        <v>59</v>
      </c>
      <c r="H76" s="12">
        <v>4</v>
      </c>
      <c r="I76" s="11" t="s">
        <v>59</v>
      </c>
      <c r="J76" s="12">
        <v>0</v>
      </c>
      <c r="K76" s="11" t="s">
        <v>61</v>
      </c>
      <c r="L76" s="12">
        <v>1</v>
      </c>
      <c r="M76" s="11" t="s">
        <v>60</v>
      </c>
      <c r="N76" s="21">
        <v>2</v>
      </c>
      <c r="O76" s="23" t="s">
        <v>63</v>
      </c>
      <c r="P76" s="10">
        <v>0</v>
      </c>
      <c r="Q76" s="11" t="s">
        <v>61</v>
      </c>
      <c r="R76" s="21">
        <v>1</v>
      </c>
      <c r="S76" s="23" t="s">
        <v>60</v>
      </c>
      <c r="T76" s="179">
        <v>4</v>
      </c>
      <c r="U76" s="23" t="s">
        <v>59</v>
      </c>
      <c r="V76" s="12">
        <v>4</v>
      </c>
      <c r="W76" s="11" t="s">
        <v>59</v>
      </c>
      <c r="X76" s="12">
        <v>0</v>
      </c>
      <c r="Y76" s="11" t="s">
        <v>61</v>
      </c>
      <c r="Z76" s="10">
        <v>1</v>
      </c>
      <c r="AA76" s="11" t="s">
        <v>60</v>
      </c>
      <c r="AB76" s="10">
        <v>1</v>
      </c>
      <c r="AC76" s="11" t="s">
        <v>60</v>
      </c>
      <c r="AD76" s="230">
        <v>4</v>
      </c>
      <c r="AE76" s="23" t="s">
        <v>59</v>
      </c>
      <c r="AF76" s="226">
        <v>0</v>
      </c>
      <c r="AG76" s="11" t="s">
        <v>61</v>
      </c>
      <c r="AH76" s="230">
        <v>5</v>
      </c>
      <c r="AI76" s="23" t="s">
        <v>58</v>
      </c>
      <c r="AJ76" s="226">
        <v>4</v>
      </c>
      <c r="AK76" s="11" t="s">
        <v>59</v>
      </c>
      <c r="AL76" s="230">
        <v>1</v>
      </c>
      <c r="AM76" s="23" t="s">
        <v>60</v>
      </c>
      <c r="AN76" s="226">
        <v>0</v>
      </c>
      <c r="AO76" s="11" t="s">
        <v>61</v>
      </c>
      <c r="AP76" s="230">
        <v>5</v>
      </c>
      <c r="AQ76" s="11" t="s">
        <v>58</v>
      </c>
      <c r="AR76" s="226">
        <v>2</v>
      </c>
      <c r="AS76" s="11" t="s">
        <v>63</v>
      </c>
      <c r="AT76" s="13">
        <f t="shared" si="4"/>
        <v>44</v>
      </c>
    </row>
    <row r="77" spans="1:52" x14ac:dyDescent="0.25">
      <c r="A77" s="9" t="s">
        <v>10</v>
      </c>
      <c r="B77" s="21">
        <v>4</v>
      </c>
      <c r="C77" s="23" t="s">
        <v>59</v>
      </c>
      <c r="D77" s="21">
        <v>1</v>
      </c>
      <c r="E77" s="23" t="s">
        <v>60</v>
      </c>
      <c r="F77" s="10">
        <v>5</v>
      </c>
      <c r="G77" s="11" t="s">
        <v>58</v>
      </c>
      <c r="H77" s="179">
        <v>0</v>
      </c>
      <c r="I77" s="23" t="s">
        <v>61</v>
      </c>
      <c r="J77" s="12">
        <v>1</v>
      </c>
      <c r="K77" s="11" t="s">
        <v>60</v>
      </c>
      <c r="L77" s="179">
        <v>4</v>
      </c>
      <c r="M77" s="23" t="s">
        <v>59</v>
      </c>
      <c r="N77" s="10">
        <v>4</v>
      </c>
      <c r="O77" s="11" t="s">
        <v>59</v>
      </c>
      <c r="P77" s="21">
        <v>4</v>
      </c>
      <c r="Q77" s="23" t="s">
        <v>59</v>
      </c>
      <c r="R77" s="12">
        <v>5</v>
      </c>
      <c r="S77" s="11" t="s">
        <v>58</v>
      </c>
      <c r="T77" s="12">
        <v>0</v>
      </c>
      <c r="U77" s="11" t="s">
        <v>61</v>
      </c>
      <c r="V77" s="179">
        <v>4</v>
      </c>
      <c r="W77" s="23" t="s">
        <v>59</v>
      </c>
      <c r="X77" s="12">
        <v>0</v>
      </c>
      <c r="Y77" s="11" t="s">
        <v>61</v>
      </c>
      <c r="Z77" s="21">
        <v>4</v>
      </c>
      <c r="AA77" s="23" t="s">
        <v>59</v>
      </c>
      <c r="AB77" s="21">
        <v>4</v>
      </c>
      <c r="AC77" s="23" t="s">
        <v>59</v>
      </c>
      <c r="AD77" s="226">
        <v>1</v>
      </c>
      <c r="AE77" s="11" t="s">
        <v>60</v>
      </c>
      <c r="AF77" s="230">
        <v>4</v>
      </c>
      <c r="AG77" s="23" t="s">
        <v>59</v>
      </c>
      <c r="AH77" s="226">
        <v>0</v>
      </c>
      <c r="AI77" s="11" t="s">
        <v>61</v>
      </c>
      <c r="AJ77" s="230">
        <v>4</v>
      </c>
      <c r="AK77" s="23" t="s">
        <v>59</v>
      </c>
      <c r="AL77" s="226">
        <v>5</v>
      </c>
      <c r="AM77" s="11" t="s">
        <v>58</v>
      </c>
      <c r="AN77" s="230">
        <v>4</v>
      </c>
      <c r="AO77" s="23" t="s">
        <v>59</v>
      </c>
      <c r="AP77" s="226">
        <v>5</v>
      </c>
      <c r="AQ77" s="11" t="s">
        <v>58</v>
      </c>
      <c r="AR77" s="230">
        <v>4</v>
      </c>
      <c r="AS77" s="23" t="s">
        <v>59</v>
      </c>
      <c r="AT77" s="13">
        <f t="shared" si="4"/>
        <v>67</v>
      </c>
    </row>
    <row r="78" spans="1:52" x14ac:dyDescent="0.25">
      <c r="A78" s="9" t="s">
        <v>28</v>
      </c>
      <c r="B78" s="21">
        <v>5</v>
      </c>
      <c r="C78" s="23" t="s">
        <v>58</v>
      </c>
      <c r="D78" s="10">
        <v>1</v>
      </c>
      <c r="E78" s="11" t="s">
        <v>60</v>
      </c>
      <c r="F78" s="21">
        <v>5</v>
      </c>
      <c r="G78" s="23" t="s">
        <v>58</v>
      </c>
      <c r="H78" s="12">
        <v>4</v>
      </c>
      <c r="I78" s="11" t="s">
        <v>59</v>
      </c>
      <c r="J78" s="179">
        <v>2</v>
      </c>
      <c r="K78" s="23" t="s">
        <v>64</v>
      </c>
      <c r="L78" s="12">
        <v>0</v>
      </c>
      <c r="M78" s="11" t="s">
        <v>61</v>
      </c>
      <c r="N78" s="21">
        <v>1</v>
      </c>
      <c r="O78" s="23" t="s">
        <v>60</v>
      </c>
      <c r="P78" s="21">
        <v>4</v>
      </c>
      <c r="Q78" s="23" t="s">
        <v>59</v>
      </c>
      <c r="R78" s="10">
        <v>4</v>
      </c>
      <c r="S78" s="11" t="s">
        <v>59</v>
      </c>
      <c r="T78" s="12">
        <v>0</v>
      </c>
      <c r="U78" s="11" t="s">
        <v>61</v>
      </c>
      <c r="V78" s="179">
        <v>4</v>
      </c>
      <c r="W78" s="23" t="s">
        <v>59</v>
      </c>
      <c r="X78" s="12">
        <v>2</v>
      </c>
      <c r="Y78" s="11" t="s">
        <v>64</v>
      </c>
      <c r="Z78" s="10">
        <v>4</v>
      </c>
      <c r="AA78" s="11" t="s">
        <v>59</v>
      </c>
      <c r="AB78" s="21">
        <v>4</v>
      </c>
      <c r="AC78" s="23" t="s">
        <v>59</v>
      </c>
      <c r="AD78" s="226">
        <v>4</v>
      </c>
      <c r="AE78" s="11" t="s">
        <v>59</v>
      </c>
      <c r="AF78" s="226">
        <v>5</v>
      </c>
      <c r="AG78" s="11" t="s">
        <v>58</v>
      </c>
      <c r="AH78" s="230">
        <v>5</v>
      </c>
      <c r="AI78" s="23" t="s">
        <v>58</v>
      </c>
      <c r="AJ78" s="226">
        <v>4</v>
      </c>
      <c r="AK78" s="11" t="s">
        <v>59</v>
      </c>
      <c r="AL78" s="230">
        <v>5</v>
      </c>
      <c r="AM78" s="23" t="s">
        <v>58</v>
      </c>
      <c r="AN78" s="226">
        <v>1</v>
      </c>
      <c r="AO78" s="11" t="s">
        <v>60</v>
      </c>
      <c r="AP78" s="226">
        <v>5</v>
      </c>
      <c r="AQ78" s="11" t="s">
        <v>58</v>
      </c>
      <c r="AR78" s="230">
        <v>5</v>
      </c>
      <c r="AS78" s="23" t="s">
        <v>58</v>
      </c>
      <c r="AT78" s="13">
        <f t="shared" si="4"/>
        <v>74</v>
      </c>
    </row>
    <row r="79" spans="1:52" x14ac:dyDescent="0.25">
      <c r="A79" s="9" t="s">
        <v>91</v>
      </c>
      <c r="B79" s="10">
        <v>0</v>
      </c>
      <c r="C79" s="11" t="s">
        <v>61</v>
      </c>
      <c r="D79" s="10">
        <v>4</v>
      </c>
      <c r="E79" s="11" t="s">
        <v>59</v>
      </c>
      <c r="F79" s="21">
        <v>1</v>
      </c>
      <c r="G79" s="23" t="s">
        <v>60</v>
      </c>
      <c r="H79" s="12">
        <v>0</v>
      </c>
      <c r="I79" s="11" t="s">
        <v>61</v>
      </c>
      <c r="J79" s="179">
        <v>4</v>
      </c>
      <c r="K79" s="23" t="s">
        <v>59</v>
      </c>
      <c r="L79" s="12">
        <v>1</v>
      </c>
      <c r="M79" s="11" t="s">
        <v>60</v>
      </c>
      <c r="N79" s="21">
        <v>1</v>
      </c>
      <c r="O79" s="23" t="s">
        <v>60</v>
      </c>
      <c r="P79" s="10">
        <v>0</v>
      </c>
      <c r="Q79" s="11" t="s">
        <v>61</v>
      </c>
      <c r="R79" s="21">
        <v>1</v>
      </c>
      <c r="S79" s="23" t="s">
        <v>60</v>
      </c>
      <c r="T79" s="12">
        <v>0</v>
      </c>
      <c r="U79" s="11" t="s">
        <v>61</v>
      </c>
      <c r="V79" s="179">
        <v>1</v>
      </c>
      <c r="W79" s="23" t="s">
        <v>60</v>
      </c>
      <c r="X79" s="12">
        <v>4</v>
      </c>
      <c r="Y79" s="11" t="s">
        <v>59</v>
      </c>
      <c r="Z79" s="10">
        <v>4</v>
      </c>
      <c r="AA79" s="11" t="s">
        <v>59</v>
      </c>
      <c r="AB79" s="10">
        <v>4</v>
      </c>
      <c r="AC79" s="11" t="s">
        <v>59</v>
      </c>
      <c r="AD79" s="230">
        <v>1</v>
      </c>
      <c r="AE79" s="23" t="s">
        <v>60</v>
      </c>
      <c r="AF79" s="226">
        <v>0</v>
      </c>
      <c r="AG79" s="11" t="s">
        <v>61</v>
      </c>
      <c r="AH79" s="230">
        <v>0</v>
      </c>
      <c r="AI79" s="23" t="s">
        <v>61</v>
      </c>
      <c r="AJ79" s="226">
        <v>0</v>
      </c>
      <c r="AK79" s="11" t="s">
        <v>61</v>
      </c>
      <c r="AL79" s="230">
        <v>5</v>
      </c>
      <c r="AM79" s="23" t="s">
        <v>58</v>
      </c>
      <c r="AN79" s="226">
        <v>0</v>
      </c>
      <c r="AO79" s="11" t="s">
        <v>61</v>
      </c>
      <c r="AP79" s="226">
        <v>1</v>
      </c>
      <c r="AQ79" s="11" t="s">
        <v>60</v>
      </c>
      <c r="AR79" s="230">
        <v>4</v>
      </c>
      <c r="AS79" s="23" t="s">
        <v>59</v>
      </c>
      <c r="AT79" s="13">
        <f t="shared" si="4"/>
        <v>36</v>
      </c>
    </row>
    <row r="80" spans="1:52" x14ac:dyDescent="0.25">
      <c r="A80" s="9" t="s">
        <v>190</v>
      </c>
      <c r="B80" s="10">
        <v>0</v>
      </c>
      <c r="C80" s="11">
        <v>0</v>
      </c>
      <c r="D80" s="21">
        <v>0</v>
      </c>
      <c r="E80" s="23">
        <v>0</v>
      </c>
      <c r="F80" s="21">
        <v>0</v>
      </c>
      <c r="G80" s="23">
        <v>0</v>
      </c>
      <c r="H80" s="12">
        <v>0</v>
      </c>
      <c r="I80" s="11">
        <v>0</v>
      </c>
      <c r="J80" s="179">
        <v>0</v>
      </c>
      <c r="K80" s="23">
        <v>0</v>
      </c>
      <c r="L80" s="12">
        <v>0</v>
      </c>
      <c r="M80" s="11">
        <v>0</v>
      </c>
      <c r="N80" s="21">
        <v>0</v>
      </c>
      <c r="O80" s="23">
        <v>0</v>
      </c>
      <c r="P80" s="10">
        <v>0</v>
      </c>
      <c r="Q80" s="11">
        <v>0</v>
      </c>
      <c r="R80" s="21">
        <v>0</v>
      </c>
      <c r="S80" s="23">
        <v>0</v>
      </c>
      <c r="T80" s="12">
        <v>0</v>
      </c>
      <c r="U80" s="11">
        <v>0</v>
      </c>
      <c r="V80" s="179">
        <v>0</v>
      </c>
      <c r="W80" s="23">
        <v>0</v>
      </c>
      <c r="X80" s="12">
        <v>0</v>
      </c>
      <c r="Y80" s="11">
        <v>0</v>
      </c>
      <c r="Z80" s="21">
        <v>0</v>
      </c>
      <c r="AA80" s="23">
        <v>0</v>
      </c>
      <c r="AB80" s="10">
        <v>0</v>
      </c>
      <c r="AC80" s="11">
        <v>0</v>
      </c>
      <c r="AD80" s="230">
        <v>0</v>
      </c>
      <c r="AE80" s="23">
        <v>0</v>
      </c>
      <c r="AF80" s="226">
        <v>0</v>
      </c>
      <c r="AG80" s="11">
        <v>0</v>
      </c>
      <c r="AH80" s="230">
        <v>0</v>
      </c>
      <c r="AI80" s="23">
        <v>0</v>
      </c>
      <c r="AJ80" s="226">
        <v>0</v>
      </c>
      <c r="AK80" s="11">
        <v>0</v>
      </c>
      <c r="AL80" s="230">
        <v>0</v>
      </c>
      <c r="AM80" s="23">
        <v>0</v>
      </c>
      <c r="AN80" s="226">
        <v>0</v>
      </c>
      <c r="AO80" s="11" t="s">
        <v>61</v>
      </c>
      <c r="AP80" s="226">
        <v>0</v>
      </c>
      <c r="AQ80" s="11">
        <v>0</v>
      </c>
      <c r="AR80" s="230">
        <v>0</v>
      </c>
      <c r="AS80" s="23">
        <v>0</v>
      </c>
      <c r="AT80" s="13">
        <f t="shared" si="4"/>
        <v>0</v>
      </c>
    </row>
    <row r="81" spans="1:46" x14ac:dyDescent="0.25">
      <c r="A81" s="9" t="s">
        <v>66</v>
      </c>
      <c r="B81" s="21">
        <v>0</v>
      </c>
      <c r="C81" s="23" t="s">
        <v>61</v>
      </c>
      <c r="D81" s="10">
        <v>4</v>
      </c>
      <c r="E81" s="11" t="s">
        <v>59</v>
      </c>
      <c r="F81" s="10">
        <v>0</v>
      </c>
      <c r="G81" s="11" t="s">
        <v>61</v>
      </c>
      <c r="H81" s="179">
        <v>1</v>
      </c>
      <c r="I81" s="23" t="s">
        <v>60</v>
      </c>
      <c r="J81" s="12">
        <v>4</v>
      </c>
      <c r="K81" s="11" t="s">
        <v>59</v>
      </c>
      <c r="L81" s="179">
        <v>4</v>
      </c>
      <c r="M81" s="23" t="s">
        <v>59</v>
      </c>
      <c r="N81" s="10">
        <v>0</v>
      </c>
      <c r="O81" s="11" t="s">
        <v>61</v>
      </c>
      <c r="P81" s="10">
        <v>0</v>
      </c>
      <c r="Q81" s="11" t="s">
        <v>61</v>
      </c>
      <c r="R81" s="21">
        <v>0</v>
      </c>
      <c r="S81" s="23" t="s">
        <v>61</v>
      </c>
      <c r="T81" s="12">
        <v>0</v>
      </c>
      <c r="U81" s="11" t="s">
        <v>61</v>
      </c>
      <c r="V81" s="179">
        <v>1</v>
      </c>
      <c r="W81" s="23" t="s">
        <v>60</v>
      </c>
      <c r="X81" s="12">
        <v>0</v>
      </c>
      <c r="Y81" s="11" t="s">
        <v>61</v>
      </c>
      <c r="Z81" s="10">
        <v>0</v>
      </c>
      <c r="AA81" s="11" t="s">
        <v>61</v>
      </c>
      <c r="AB81" s="10">
        <v>1</v>
      </c>
      <c r="AC81" s="11" t="s">
        <v>60</v>
      </c>
      <c r="AD81" s="230">
        <v>1</v>
      </c>
      <c r="AE81" s="23" t="s">
        <v>60</v>
      </c>
      <c r="AF81" s="230">
        <v>0</v>
      </c>
      <c r="AG81" s="23" t="s">
        <v>61</v>
      </c>
      <c r="AH81" s="226">
        <v>2</v>
      </c>
      <c r="AI81" s="11" t="s">
        <v>63</v>
      </c>
      <c r="AJ81" s="230">
        <v>1</v>
      </c>
      <c r="AK81" s="23" t="s">
        <v>60</v>
      </c>
      <c r="AL81" s="226">
        <v>0</v>
      </c>
      <c r="AM81" s="11" t="s">
        <v>61</v>
      </c>
      <c r="AN81" s="230">
        <v>1</v>
      </c>
      <c r="AO81" s="23" t="s">
        <v>60</v>
      </c>
      <c r="AP81" s="226">
        <v>2</v>
      </c>
      <c r="AQ81" s="11" t="s">
        <v>63</v>
      </c>
      <c r="AR81" s="230">
        <v>0</v>
      </c>
      <c r="AS81" s="23" t="s">
        <v>61</v>
      </c>
      <c r="AT81" s="13">
        <f t="shared" si="4"/>
        <v>22</v>
      </c>
    </row>
    <row r="82" spans="1:46" x14ac:dyDescent="0.25">
      <c r="A82" s="9" t="s">
        <v>27</v>
      </c>
      <c r="B82" s="10">
        <v>5</v>
      </c>
      <c r="C82" s="11" t="s">
        <v>58</v>
      </c>
      <c r="D82" s="10">
        <v>4</v>
      </c>
      <c r="E82" s="11" t="s">
        <v>59</v>
      </c>
      <c r="F82" s="10">
        <v>1</v>
      </c>
      <c r="G82" s="11" t="s">
        <v>60</v>
      </c>
      <c r="H82" s="179">
        <v>5</v>
      </c>
      <c r="I82" s="23" t="s">
        <v>58</v>
      </c>
      <c r="J82" s="12">
        <v>2</v>
      </c>
      <c r="K82" s="11" t="s">
        <v>64</v>
      </c>
      <c r="L82" s="179">
        <v>5</v>
      </c>
      <c r="M82" s="23" t="s">
        <v>58</v>
      </c>
      <c r="N82" s="10">
        <v>4</v>
      </c>
      <c r="O82" s="11" t="s">
        <v>59</v>
      </c>
      <c r="P82" s="21">
        <v>4</v>
      </c>
      <c r="Q82" s="23" t="s">
        <v>59</v>
      </c>
      <c r="R82" s="10">
        <v>4</v>
      </c>
      <c r="S82" s="11" t="s">
        <v>59</v>
      </c>
      <c r="T82" s="12">
        <v>4</v>
      </c>
      <c r="U82" s="11" t="s">
        <v>59</v>
      </c>
      <c r="V82" s="179">
        <v>5</v>
      </c>
      <c r="W82" s="23" t="s">
        <v>58</v>
      </c>
      <c r="X82" s="12">
        <v>4</v>
      </c>
      <c r="Y82" s="11" t="s">
        <v>59</v>
      </c>
      <c r="Z82" s="10">
        <v>4</v>
      </c>
      <c r="AA82" s="11" t="s">
        <v>59</v>
      </c>
      <c r="AB82" s="21">
        <v>4</v>
      </c>
      <c r="AC82" s="23" t="s">
        <v>59</v>
      </c>
      <c r="AD82" s="226">
        <v>4</v>
      </c>
      <c r="AE82" s="11" t="s">
        <v>59</v>
      </c>
      <c r="AF82" s="230">
        <v>5</v>
      </c>
      <c r="AG82" s="23" t="s">
        <v>58</v>
      </c>
      <c r="AH82" s="226">
        <v>0</v>
      </c>
      <c r="AI82" s="11" t="s">
        <v>61</v>
      </c>
      <c r="AJ82" s="230">
        <v>1</v>
      </c>
      <c r="AK82" s="23" t="s">
        <v>60</v>
      </c>
      <c r="AL82" s="226">
        <v>1</v>
      </c>
      <c r="AM82" s="11" t="s">
        <v>60</v>
      </c>
      <c r="AN82" s="230">
        <v>5</v>
      </c>
      <c r="AO82" s="23" t="s">
        <v>58</v>
      </c>
      <c r="AP82" s="226">
        <v>2</v>
      </c>
      <c r="AQ82" s="11" t="s">
        <v>64</v>
      </c>
      <c r="AR82" s="230">
        <v>5</v>
      </c>
      <c r="AS82" s="23" t="s">
        <v>58</v>
      </c>
      <c r="AT82" s="13">
        <f t="shared" si="4"/>
        <v>78</v>
      </c>
    </row>
    <row r="83" spans="1:46" x14ac:dyDescent="0.25">
      <c r="A83" s="9" t="s">
        <v>29</v>
      </c>
      <c r="B83" s="10">
        <v>4</v>
      </c>
      <c r="C83" s="11" t="s">
        <v>59</v>
      </c>
      <c r="D83" s="21">
        <v>1</v>
      </c>
      <c r="E83" s="23" t="s">
        <v>60</v>
      </c>
      <c r="F83" s="21">
        <v>4</v>
      </c>
      <c r="G83" s="23" t="s">
        <v>59</v>
      </c>
      <c r="H83" s="12">
        <v>0</v>
      </c>
      <c r="I83" s="11" t="s">
        <v>61</v>
      </c>
      <c r="J83" s="179">
        <v>4</v>
      </c>
      <c r="K83" s="23" t="s">
        <v>59</v>
      </c>
      <c r="L83" s="12">
        <v>0</v>
      </c>
      <c r="M83" s="11" t="s">
        <v>61</v>
      </c>
      <c r="N83" s="21">
        <v>1</v>
      </c>
      <c r="O83" s="23" t="s">
        <v>60</v>
      </c>
      <c r="P83" s="21">
        <v>5</v>
      </c>
      <c r="Q83" s="23" t="s">
        <v>58</v>
      </c>
      <c r="R83" s="10">
        <v>1</v>
      </c>
      <c r="S83" s="11" t="s">
        <v>60</v>
      </c>
      <c r="T83" s="179">
        <v>4</v>
      </c>
      <c r="U83" s="23" t="s">
        <v>59</v>
      </c>
      <c r="V83" s="12">
        <v>1</v>
      </c>
      <c r="W83" s="11" t="s">
        <v>60</v>
      </c>
      <c r="X83" s="12">
        <v>4</v>
      </c>
      <c r="Y83" s="11" t="s">
        <v>59</v>
      </c>
      <c r="Z83" s="21">
        <v>5</v>
      </c>
      <c r="AA83" s="23" t="s">
        <v>58</v>
      </c>
      <c r="AB83" s="21">
        <v>1</v>
      </c>
      <c r="AC83" s="23" t="s">
        <v>60</v>
      </c>
      <c r="AD83" s="226">
        <v>4</v>
      </c>
      <c r="AE83" s="11" t="s">
        <v>59</v>
      </c>
      <c r="AF83" s="226">
        <v>4</v>
      </c>
      <c r="AG83" s="11" t="s">
        <v>59</v>
      </c>
      <c r="AH83" s="230">
        <v>4</v>
      </c>
      <c r="AI83" s="23" t="s">
        <v>59</v>
      </c>
      <c r="AJ83" s="226">
        <v>4</v>
      </c>
      <c r="AK83" s="11" t="s">
        <v>59</v>
      </c>
      <c r="AL83" s="230">
        <v>0</v>
      </c>
      <c r="AM83" s="23" t="s">
        <v>61</v>
      </c>
      <c r="AN83" s="226">
        <v>5</v>
      </c>
      <c r="AO83" s="11" t="s">
        <v>58</v>
      </c>
      <c r="AP83" s="230">
        <v>0</v>
      </c>
      <c r="AQ83" s="11" t="s">
        <v>61</v>
      </c>
      <c r="AR83" s="226">
        <v>1</v>
      </c>
      <c r="AS83" s="11" t="s">
        <v>60</v>
      </c>
      <c r="AT83" s="13">
        <f t="shared" si="4"/>
        <v>57</v>
      </c>
    </row>
    <row r="84" spans="1:46" x14ac:dyDescent="0.25">
      <c r="A84" s="9" t="s">
        <v>21</v>
      </c>
      <c r="B84" s="10">
        <v>5</v>
      </c>
      <c r="C84" s="11" t="s">
        <v>58</v>
      </c>
      <c r="D84" s="21">
        <v>5</v>
      </c>
      <c r="E84" s="23" t="s">
        <v>58</v>
      </c>
      <c r="F84" s="21">
        <v>5</v>
      </c>
      <c r="G84" s="23" t="s">
        <v>58</v>
      </c>
      <c r="H84" s="12">
        <v>4</v>
      </c>
      <c r="I84" s="11" t="s">
        <v>59</v>
      </c>
      <c r="J84" s="179">
        <v>4</v>
      </c>
      <c r="K84" s="23" t="s">
        <v>59</v>
      </c>
      <c r="L84" s="12">
        <v>0</v>
      </c>
      <c r="M84" s="11" t="s">
        <v>61</v>
      </c>
      <c r="N84" s="21">
        <v>5</v>
      </c>
      <c r="O84" s="23" t="s">
        <v>58</v>
      </c>
      <c r="P84" s="10">
        <v>4</v>
      </c>
      <c r="Q84" s="11" t="s">
        <v>59</v>
      </c>
      <c r="R84" s="21">
        <v>4</v>
      </c>
      <c r="S84" s="23" t="s">
        <v>59</v>
      </c>
      <c r="T84" s="179">
        <v>5</v>
      </c>
      <c r="U84" s="23" t="s">
        <v>58</v>
      </c>
      <c r="V84" s="12">
        <v>5</v>
      </c>
      <c r="W84" s="11" t="s">
        <v>58</v>
      </c>
      <c r="X84" s="12">
        <v>4</v>
      </c>
      <c r="Y84" s="11" t="s">
        <v>59</v>
      </c>
      <c r="Z84" s="21">
        <v>0</v>
      </c>
      <c r="AA84" s="23" t="s">
        <v>61</v>
      </c>
      <c r="AB84" s="10">
        <v>4</v>
      </c>
      <c r="AC84" s="11" t="s">
        <v>59</v>
      </c>
      <c r="AD84" s="230">
        <v>4</v>
      </c>
      <c r="AE84" s="23" t="s">
        <v>59</v>
      </c>
      <c r="AF84" s="226">
        <v>4</v>
      </c>
      <c r="AG84" s="11" t="s">
        <v>59</v>
      </c>
      <c r="AH84" s="230">
        <v>5</v>
      </c>
      <c r="AI84" s="23" t="s">
        <v>58</v>
      </c>
      <c r="AJ84" s="226">
        <v>5</v>
      </c>
      <c r="AK84" s="11" t="s">
        <v>58</v>
      </c>
      <c r="AL84" s="230">
        <v>4</v>
      </c>
      <c r="AM84" s="23" t="s">
        <v>59</v>
      </c>
      <c r="AN84" s="226">
        <v>4</v>
      </c>
      <c r="AO84" s="11" t="s">
        <v>59</v>
      </c>
      <c r="AP84" s="230">
        <v>5</v>
      </c>
      <c r="AQ84" s="11" t="s">
        <v>58</v>
      </c>
      <c r="AR84" s="226">
        <v>2</v>
      </c>
      <c r="AS84" s="11" t="s">
        <v>63</v>
      </c>
      <c r="AT84" s="13">
        <f t="shared" si="4"/>
        <v>87</v>
      </c>
    </row>
    <row r="85" spans="1:46" x14ac:dyDescent="0.25">
      <c r="A85" s="14" t="s">
        <v>189</v>
      </c>
      <c r="B85" s="22">
        <v>1</v>
      </c>
      <c r="C85" s="24" t="s">
        <v>60</v>
      </c>
      <c r="D85" s="15">
        <v>1</v>
      </c>
      <c r="E85" s="16" t="s">
        <v>60</v>
      </c>
      <c r="F85" s="15">
        <v>1</v>
      </c>
      <c r="G85" s="16" t="s">
        <v>60</v>
      </c>
      <c r="H85" s="180">
        <v>5</v>
      </c>
      <c r="I85" s="24" t="s">
        <v>58</v>
      </c>
      <c r="J85" s="17">
        <v>1</v>
      </c>
      <c r="K85" s="16" t="s">
        <v>60</v>
      </c>
      <c r="L85" s="180">
        <v>4</v>
      </c>
      <c r="M85" s="24" t="s">
        <v>59</v>
      </c>
      <c r="N85" s="15">
        <v>5</v>
      </c>
      <c r="O85" s="16" t="s">
        <v>58</v>
      </c>
      <c r="P85" s="22">
        <v>0</v>
      </c>
      <c r="Q85" s="24" t="s">
        <v>61</v>
      </c>
      <c r="R85" s="15">
        <v>4</v>
      </c>
      <c r="S85" s="16" t="s">
        <v>59</v>
      </c>
      <c r="T85" s="180">
        <v>1</v>
      </c>
      <c r="U85" s="24" t="s">
        <v>60</v>
      </c>
      <c r="V85" s="17">
        <v>4</v>
      </c>
      <c r="W85" s="16" t="s">
        <v>59</v>
      </c>
      <c r="X85" s="17">
        <v>4</v>
      </c>
      <c r="Y85" s="16" t="s">
        <v>59</v>
      </c>
      <c r="Z85" s="15">
        <v>1</v>
      </c>
      <c r="AA85" s="16" t="s">
        <v>60</v>
      </c>
      <c r="AB85" s="22">
        <v>1</v>
      </c>
      <c r="AC85" s="24" t="s">
        <v>60</v>
      </c>
      <c r="AD85" s="235">
        <v>1</v>
      </c>
      <c r="AE85" s="16" t="s">
        <v>60</v>
      </c>
      <c r="AF85" s="231">
        <v>1</v>
      </c>
      <c r="AG85" s="24" t="s">
        <v>60</v>
      </c>
      <c r="AH85" s="235">
        <v>4</v>
      </c>
      <c r="AI85" s="16" t="s">
        <v>59</v>
      </c>
      <c r="AJ85" s="231">
        <v>0</v>
      </c>
      <c r="AK85" s="24" t="s">
        <v>61</v>
      </c>
      <c r="AL85" s="235">
        <v>0</v>
      </c>
      <c r="AM85" s="16" t="s">
        <v>61</v>
      </c>
      <c r="AN85" s="231">
        <v>5</v>
      </c>
      <c r="AO85" s="24" t="s">
        <v>58</v>
      </c>
      <c r="AP85" s="231">
        <v>5</v>
      </c>
      <c r="AQ85" s="16" t="s">
        <v>58</v>
      </c>
      <c r="AR85" s="235">
        <v>0</v>
      </c>
      <c r="AS85" s="16" t="s">
        <v>61</v>
      </c>
      <c r="AT85" s="471">
        <f t="shared" si="4"/>
        <v>49</v>
      </c>
    </row>
    <row r="86" spans="1:46" x14ac:dyDescent="0.25">
      <c r="A86" s="20"/>
      <c r="B86" s="192"/>
      <c r="C86" s="23"/>
      <c r="D86" s="191"/>
      <c r="E86" s="11"/>
      <c r="F86" s="191"/>
      <c r="G86" s="11"/>
      <c r="H86" s="23"/>
      <c r="I86" s="23"/>
      <c r="J86" s="11"/>
      <c r="K86" s="11"/>
      <c r="L86" s="23"/>
      <c r="M86" s="23"/>
      <c r="N86" s="191"/>
      <c r="O86" s="11"/>
      <c r="P86" s="192"/>
      <c r="Q86" s="23"/>
      <c r="R86" s="191"/>
      <c r="S86" s="11"/>
      <c r="T86" s="23"/>
      <c r="U86" s="23"/>
      <c r="V86" s="11"/>
      <c r="W86" s="11"/>
      <c r="X86" s="11"/>
      <c r="Y86" s="11"/>
      <c r="Z86" s="191"/>
      <c r="AA86" s="11"/>
      <c r="AB86" s="192"/>
      <c r="AC86" s="23"/>
      <c r="AD86" s="228"/>
      <c r="AE86" s="11"/>
      <c r="AF86" s="472"/>
      <c r="AG86" s="23"/>
      <c r="AH86" s="228"/>
      <c r="AI86" s="11"/>
      <c r="AJ86" s="472"/>
      <c r="AK86" s="23"/>
      <c r="AL86" s="228"/>
      <c r="AM86" s="11"/>
      <c r="AN86" s="472"/>
      <c r="AO86" s="23"/>
      <c r="AP86" s="472"/>
      <c r="AQ86" s="11"/>
      <c r="AR86" s="228"/>
      <c r="AS86" s="11"/>
      <c r="AT86" s="193"/>
    </row>
    <row r="87" spans="1:46" ht="30" x14ac:dyDescent="0.25">
      <c r="A87" s="20" t="s">
        <v>136</v>
      </c>
    </row>
    <row r="88" spans="1:46" x14ac:dyDescent="0.25">
      <c r="A88" s="18" t="s">
        <v>86</v>
      </c>
      <c r="B88" s="868"/>
      <c r="C88" s="868"/>
      <c r="D88" s="868"/>
      <c r="E88" s="868"/>
      <c r="F88" s="868"/>
      <c r="G88" s="868"/>
      <c r="H88" s="868"/>
      <c r="I88" s="868"/>
      <c r="J88" s="868"/>
      <c r="K88" s="868"/>
      <c r="L88" s="868"/>
      <c r="M88" s="868"/>
      <c r="N88" s="868"/>
      <c r="O88" s="868"/>
      <c r="P88" s="868"/>
      <c r="Q88" s="868"/>
      <c r="R88" s="868"/>
      <c r="S88" s="868"/>
      <c r="T88" s="868"/>
      <c r="U88" s="868"/>
      <c r="V88" s="869" t="s">
        <v>137</v>
      </c>
      <c r="W88" s="869"/>
      <c r="X88" s="869"/>
      <c r="Y88" s="869"/>
      <c r="Z88" s="869"/>
      <c r="AA88" s="869"/>
      <c r="AB88" s="869"/>
      <c r="AC88" s="869"/>
      <c r="AD88" s="869"/>
      <c r="AE88" s="869"/>
      <c r="AF88" s="869"/>
      <c r="AG88" s="869"/>
      <c r="AH88" s="869"/>
      <c r="AI88" s="869"/>
      <c r="AJ88" s="869"/>
      <c r="AK88" s="869"/>
      <c r="AL88" s="869"/>
      <c r="AM88" s="869"/>
      <c r="AN88" s="869"/>
      <c r="AO88" s="869"/>
      <c r="AP88" s="869"/>
      <c r="AQ88" s="869"/>
    </row>
    <row r="89" spans="1:46" x14ac:dyDescent="0.25">
      <c r="A89" s="3" t="s">
        <v>55</v>
      </c>
      <c r="B89" s="866">
        <v>14</v>
      </c>
      <c r="C89" s="867"/>
      <c r="D89" s="866">
        <v>15</v>
      </c>
      <c r="E89" s="867"/>
      <c r="F89" s="866">
        <v>16</v>
      </c>
      <c r="G89" s="867"/>
      <c r="H89" s="866">
        <v>17</v>
      </c>
      <c r="I89" s="867"/>
      <c r="J89" s="866">
        <v>18</v>
      </c>
      <c r="K89" s="870"/>
      <c r="L89" s="866">
        <v>19</v>
      </c>
      <c r="M89" s="867"/>
      <c r="N89" s="866">
        <v>20</v>
      </c>
      <c r="O89" s="867"/>
      <c r="P89" s="866">
        <v>21</v>
      </c>
      <c r="Q89" s="867"/>
      <c r="R89" s="866">
        <v>22</v>
      </c>
      <c r="S89" s="867"/>
      <c r="T89" s="871">
        <v>1</v>
      </c>
      <c r="U89" s="873"/>
      <c r="V89" s="871">
        <v>2</v>
      </c>
      <c r="W89" s="873"/>
      <c r="X89" s="871">
        <v>3</v>
      </c>
      <c r="Y89" s="872"/>
      <c r="Z89" s="871">
        <v>4</v>
      </c>
      <c r="AA89" s="872"/>
      <c r="AB89" s="871">
        <v>5</v>
      </c>
      <c r="AC89" s="872"/>
      <c r="AD89" s="871">
        <v>6</v>
      </c>
      <c r="AE89" s="872"/>
      <c r="AF89" s="871">
        <v>7</v>
      </c>
      <c r="AG89" s="873"/>
      <c r="AH89" s="871">
        <v>8</v>
      </c>
      <c r="AI89" s="873"/>
      <c r="AJ89" s="871">
        <v>9</v>
      </c>
      <c r="AK89" s="872"/>
      <c r="AL89" s="871">
        <v>10</v>
      </c>
      <c r="AM89" s="872"/>
      <c r="AN89" s="871">
        <v>11</v>
      </c>
      <c r="AO89" s="872"/>
      <c r="AP89" s="4" t="s">
        <v>41</v>
      </c>
      <c r="AT89" s="666"/>
    </row>
    <row r="90" spans="1:46" x14ac:dyDescent="0.25">
      <c r="A90" s="5"/>
      <c r="B90" s="6" t="s">
        <v>56</v>
      </c>
      <c r="C90" s="7" t="s">
        <v>57</v>
      </c>
      <c r="D90" s="6" t="s">
        <v>56</v>
      </c>
      <c r="E90" s="7" t="s">
        <v>57</v>
      </c>
      <c r="F90" s="6" t="s">
        <v>56</v>
      </c>
      <c r="G90" s="7" t="s">
        <v>57</v>
      </c>
      <c r="H90" s="6" t="s">
        <v>56</v>
      </c>
      <c r="I90" s="7" t="s">
        <v>57</v>
      </c>
      <c r="J90" s="6" t="s">
        <v>56</v>
      </c>
      <c r="K90" s="7" t="s">
        <v>57</v>
      </c>
      <c r="L90" s="6" t="s">
        <v>56</v>
      </c>
      <c r="M90" s="7" t="s">
        <v>57</v>
      </c>
      <c r="N90" s="6" t="s">
        <v>56</v>
      </c>
      <c r="O90" s="7" t="s">
        <v>57</v>
      </c>
      <c r="P90" s="6" t="s">
        <v>56</v>
      </c>
      <c r="Q90" s="7" t="s">
        <v>57</v>
      </c>
      <c r="R90" s="6" t="s">
        <v>56</v>
      </c>
      <c r="S90" s="7" t="s">
        <v>57</v>
      </c>
      <c r="T90" s="6" t="s">
        <v>56</v>
      </c>
      <c r="U90" s="7" t="s">
        <v>57</v>
      </c>
      <c r="V90" s="6" t="s">
        <v>56</v>
      </c>
      <c r="W90" s="7" t="s">
        <v>57</v>
      </c>
      <c r="X90" s="6" t="s">
        <v>56</v>
      </c>
      <c r="Y90" s="7" t="s">
        <v>57</v>
      </c>
      <c r="Z90" s="6" t="s">
        <v>56</v>
      </c>
      <c r="AA90" s="7" t="s">
        <v>57</v>
      </c>
      <c r="AB90" s="6" t="s">
        <v>56</v>
      </c>
      <c r="AC90" s="7" t="s">
        <v>57</v>
      </c>
      <c r="AD90" s="6" t="s">
        <v>56</v>
      </c>
      <c r="AE90" s="7" t="s">
        <v>57</v>
      </c>
      <c r="AF90" s="6" t="s">
        <v>56</v>
      </c>
      <c r="AG90" s="7" t="s">
        <v>57</v>
      </c>
      <c r="AH90" s="6" t="s">
        <v>56</v>
      </c>
      <c r="AI90" s="7" t="s">
        <v>57</v>
      </c>
      <c r="AJ90" s="6" t="s">
        <v>56</v>
      </c>
      <c r="AK90" s="7" t="s">
        <v>57</v>
      </c>
      <c r="AL90" s="6" t="s">
        <v>56</v>
      </c>
      <c r="AM90" s="7" t="s">
        <v>57</v>
      </c>
      <c r="AN90" s="6" t="s">
        <v>56</v>
      </c>
      <c r="AO90" s="7" t="s">
        <v>57</v>
      </c>
      <c r="AP90" s="8"/>
      <c r="AT90" s="5"/>
    </row>
    <row r="91" spans="1:46" x14ac:dyDescent="0.25">
      <c r="A91" s="9" t="s">
        <v>24</v>
      </c>
      <c r="B91" s="12">
        <v>5</v>
      </c>
      <c r="C91" s="11" t="s">
        <v>58</v>
      </c>
      <c r="D91" s="12">
        <v>5</v>
      </c>
      <c r="E91" s="11" t="s">
        <v>58</v>
      </c>
      <c r="F91" s="12">
        <v>1</v>
      </c>
      <c r="G91" s="11" t="s">
        <v>60</v>
      </c>
      <c r="H91" s="12">
        <v>4</v>
      </c>
      <c r="I91" s="11" t="s">
        <v>59</v>
      </c>
      <c r="J91" s="10">
        <v>1</v>
      </c>
      <c r="K91" s="11" t="s">
        <v>60</v>
      </c>
      <c r="L91" s="10">
        <v>5</v>
      </c>
      <c r="M91" s="11" t="s">
        <v>58</v>
      </c>
      <c r="N91" s="12">
        <v>0</v>
      </c>
      <c r="O91" s="11" t="s">
        <v>61</v>
      </c>
      <c r="P91" s="12">
        <v>5</v>
      </c>
      <c r="Q91" s="11" t="s">
        <v>58</v>
      </c>
      <c r="R91" s="12">
        <v>0</v>
      </c>
      <c r="S91" s="11" t="s">
        <v>61</v>
      </c>
      <c r="T91" s="21">
        <v>4</v>
      </c>
      <c r="U91" s="23" t="s">
        <v>59</v>
      </c>
      <c r="V91" s="21">
        <v>4</v>
      </c>
      <c r="W91" s="23" t="s">
        <v>59</v>
      </c>
      <c r="X91" s="10">
        <v>0</v>
      </c>
      <c r="Y91" s="11" t="s">
        <v>61</v>
      </c>
      <c r="Z91" s="179">
        <v>5</v>
      </c>
      <c r="AA91" s="23" t="s">
        <v>58</v>
      </c>
      <c r="AB91" s="12">
        <v>1</v>
      </c>
      <c r="AC91" s="11" t="s">
        <v>60</v>
      </c>
      <c r="AD91" s="179">
        <v>4</v>
      </c>
      <c r="AE91" s="23" t="s">
        <v>59</v>
      </c>
      <c r="AF91" s="10">
        <v>4</v>
      </c>
      <c r="AG91" s="11" t="s">
        <v>59</v>
      </c>
      <c r="AH91" s="10">
        <v>4</v>
      </c>
      <c r="AI91" s="11" t="s">
        <v>59</v>
      </c>
      <c r="AJ91" s="21">
        <v>4</v>
      </c>
      <c r="AK91" s="23" t="s">
        <v>59</v>
      </c>
      <c r="AL91" s="179">
        <v>4</v>
      </c>
      <c r="AM91" s="23" t="s">
        <v>59</v>
      </c>
      <c r="AN91" s="12">
        <v>0</v>
      </c>
      <c r="AO91" s="11" t="s">
        <v>61</v>
      </c>
      <c r="AP91" s="13">
        <f t="shared" ref="AP91:AP102" si="5">SUM(B91+D91+F91+H91+J91+L91+N91+P91+R91+T91+V91+X91+Z91+AB91+AD91+AF91+AH91+AJ91+AL91+AN91)</f>
        <v>60</v>
      </c>
      <c r="AT91" s="9"/>
    </row>
    <row r="92" spans="1:46" x14ac:dyDescent="0.25">
      <c r="A92" s="9" t="s">
        <v>30</v>
      </c>
      <c r="B92" s="12">
        <v>1</v>
      </c>
      <c r="C92" s="11" t="s">
        <v>60</v>
      </c>
      <c r="D92" s="12">
        <v>0</v>
      </c>
      <c r="E92" s="11" t="s">
        <v>61</v>
      </c>
      <c r="F92" s="12">
        <v>5</v>
      </c>
      <c r="G92" s="11" t="s">
        <v>58</v>
      </c>
      <c r="H92" s="12">
        <v>4</v>
      </c>
      <c r="I92" s="11" t="s">
        <v>59</v>
      </c>
      <c r="J92" s="10">
        <v>1</v>
      </c>
      <c r="K92" s="11" t="s">
        <v>60</v>
      </c>
      <c r="L92" s="10">
        <v>4</v>
      </c>
      <c r="M92" s="11" t="s">
        <v>59</v>
      </c>
      <c r="N92" s="12">
        <v>4</v>
      </c>
      <c r="O92" s="11" t="s">
        <v>59</v>
      </c>
      <c r="P92" s="12">
        <v>5</v>
      </c>
      <c r="Q92" s="11" t="s">
        <v>58</v>
      </c>
      <c r="R92" s="12">
        <v>4</v>
      </c>
      <c r="S92" s="11" t="s">
        <v>59</v>
      </c>
      <c r="T92" s="21">
        <v>0</v>
      </c>
      <c r="U92" s="23" t="s">
        <v>61</v>
      </c>
      <c r="V92" s="21">
        <v>4</v>
      </c>
      <c r="W92" s="23" t="s">
        <v>59</v>
      </c>
      <c r="X92" s="10">
        <v>4</v>
      </c>
      <c r="Y92" s="11" t="s">
        <v>59</v>
      </c>
      <c r="Z92" s="179">
        <v>0</v>
      </c>
      <c r="AA92" s="23" t="s">
        <v>61</v>
      </c>
      <c r="AB92" s="12">
        <v>4</v>
      </c>
      <c r="AC92" s="11" t="s">
        <v>59</v>
      </c>
      <c r="AD92" s="179">
        <v>5</v>
      </c>
      <c r="AE92" s="23" t="s">
        <v>58</v>
      </c>
      <c r="AF92" s="10">
        <v>4</v>
      </c>
      <c r="AG92" s="11" t="s">
        <v>59</v>
      </c>
      <c r="AH92" s="21">
        <v>1</v>
      </c>
      <c r="AI92" s="23" t="s">
        <v>60</v>
      </c>
      <c r="AJ92" s="10">
        <v>1</v>
      </c>
      <c r="AK92" s="11" t="s">
        <v>60</v>
      </c>
      <c r="AL92" s="179">
        <v>4</v>
      </c>
      <c r="AM92" s="23" t="s">
        <v>59</v>
      </c>
      <c r="AN92" s="12">
        <v>0</v>
      </c>
      <c r="AO92" s="11" t="s">
        <v>61</v>
      </c>
      <c r="AP92" s="13">
        <f t="shared" si="5"/>
        <v>55</v>
      </c>
      <c r="AT92" s="9"/>
    </row>
    <row r="93" spans="1:46" x14ac:dyDescent="0.25">
      <c r="A93" s="9" t="s">
        <v>26</v>
      </c>
      <c r="B93" s="12">
        <v>4</v>
      </c>
      <c r="C93" s="11" t="s">
        <v>58</v>
      </c>
      <c r="D93" s="12">
        <v>2</v>
      </c>
      <c r="E93" s="11" t="s">
        <v>63</v>
      </c>
      <c r="F93" s="12">
        <v>4</v>
      </c>
      <c r="G93" s="11" t="s">
        <v>58</v>
      </c>
      <c r="H93" s="12">
        <v>1</v>
      </c>
      <c r="I93" s="11" t="s">
        <v>60</v>
      </c>
      <c r="J93" s="10">
        <v>4</v>
      </c>
      <c r="K93" s="11" t="s">
        <v>59</v>
      </c>
      <c r="L93" s="10">
        <v>4</v>
      </c>
      <c r="M93" s="11" t="s">
        <v>59</v>
      </c>
      <c r="N93" s="12">
        <v>0</v>
      </c>
      <c r="O93" s="11" t="s">
        <v>61</v>
      </c>
      <c r="P93" s="12">
        <v>4</v>
      </c>
      <c r="Q93" s="11" t="s">
        <v>59</v>
      </c>
      <c r="R93" s="12">
        <v>2</v>
      </c>
      <c r="S93" s="11" t="s">
        <v>63</v>
      </c>
      <c r="T93" s="10">
        <v>1</v>
      </c>
      <c r="U93" s="11" t="s">
        <v>60</v>
      </c>
      <c r="V93" s="10">
        <v>0</v>
      </c>
      <c r="W93" s="11" t="s">
        <v>61</v>
      </c>
      <c r="X93" s="21">
        <v>4</v>
      </c>
      <c r="Y93" s="23" t="s">
        <v>59</v>
      </c>
      <c r="Z93" s="12">
        <v>4</v>
      </c>
      <c r="AA93" s="11" t="s">
        <v>59</v>
      </c>
      <c r="AB93" s="12">
        <v>0</v>
      </c>
      <c r="AC93" s="11" t="s">
        <v>61</v>
      </c>
      <c r="AD93" s="12">
        <v>1</v>
      </c>
      <c r="AE93" s="11" t="s">
        <v>60</v>
      </c>
      <c r="AF93" s="21">
        <v>2</v>
      </c>
      <c r="AG93" s="23" t="s">
        <v>63</v>
      </c>
      <c r="AH93" s="10">
        <v>0</v>
      </c>
      <c r="AI93" s="11" t="s">
        <v>61</v>
      </c>
      <c r="AJ93" s="21">
        <v>1</v>
      </c>
      <c r="AK93" s="23" t="s">
        <v>60</v>
      </c>
      <c r="AL93" s="179">
        <v>4</v>
      </c>
      <c r="AM93" s="23" t="s">
        <v>59</v>
      </c>
      <c r="AN93" s="12">
        <v>4</v>
      </c>
      <c r="AO93" s="11" t="s">
        <v>59</v>
      </c>
      <c r="AP93" s="13">
        <f t="shared" si="5"/>
        <v>46</v>
      </c>
      <c r="AT93" s="9"/>
    </row>
    <row r="94" spans="1:46" x14ac:dyDescent="0.25">
      <c r="A94" s="9" t="s">
        <v>10</v>
      </c>
      <c r="B94" s="12">
        <v>1</v>
      </c>
      <c r="C94" s="11" t="s">
        <v>60</v>
      </c>
      <c r="D94" s="12">
        <v>4</v>
      </c>
      <c r="E94" s="11" t="s">
        <v>58</v>
      </c>
      <c r="F94" s="12">
        <v>4</v>
      </c>
      <c r="G94" s="11" t="s">
        <v>58</v>
      </c>
      <c r="H94" s="12">
        <v>0</v>
      </c>
      <c r="I94" s="11" t="s">
        <v>61</v>
      </c>
      <c r="J94" s="10">
        <v>0</v>
      </c>
      <c r="K94" s="11" t="s">
        <v>61</v>
      </c>
      <c r="L94" s="10">
        <v>1</v>
      </c>
      <c r="M94" s="11" t="s">
        <v>61</v>
      </c>
      <c r="N94" s="12">
        <v>4</v>
      </c>
      <c r="O94" s="11" t="s">
        <v>59</v>
      </c>
      <c r="P94" s="12">
        <v>5</v>
      </c>
      <c r="Q94" s="11" t="s">
        <v>58</v>
      </c>
      <c r="R94" s="12">
        <v>4</v>
      </c>
      <c r="S94" s="11" t="s">
        <v>59</v>
      </c>
      <c r="T94" s="21">
        <v>4</v>
      </c>
      <c r="U94" s="23" t="s">
        <v>59</v>
      </c>
      <c r="V94" s="21">
        <v>1</v>
      </c>
      <c r="W94" s="23" t="s">
        <v>60</v>
      </c>
      <c r="X94" s="10">
        <v>5</v>
      </c>
      <c r="Y94" s="11" t="s">
        <v>58</v>
      </c>
      <c r="Z94" s="179">
        <v>0</v>
      </c>
      <c r="AA94" s="23" t="s">
        <v>61</v>
      </c>
      <c r="AB94" s="12">
        <v>1</v>
      </c>
      <c r="AC94" s="11" t="s">
        <v>60</v>
      </c>
      <c r="AD94" s="179">
        <v>4</v>
      </c>
      <c r="AE94" s="23" t="s">
        <v>59</v>
      </c>
      <c r="AF94" s="10">
        <v>4</v>
      </c>
      <c r="AG94" s="11" t="s">
        <v>59</v>
      </c>
      <c r="AH94" s="21">
        <v>4</v>
      </c>
      <c r="AI94" s="23" t="s">
        <v>59</v>
      </c>
      <c r="AJ94" s="12">
        <v>5</v>
      </c>
      <c r="AK94" s="11" t="s">
        <v>58</v>
      </c>
      <c r="AL94" s="12">
        <v>0</v>
      </c>
      <c r="AM94" s="11" t="s">
        <v>61</v>
      </c>
      <c r="AN94" s="179">
        <v>4</v>
      </c>
      <c r="AO94" s="23" t="s">
        <v>59</v>
      </c>
      <c r="AP94" s="13">
        <f t="shared" si="5"/>
        <v>55</v>
      </c>
      <c r="AT94" s="9"/>
    </row>
    <row r="95" spans="1:46" x14ac:dyDescent="0.25">
      <c r="A95" s="9" t="s">
        <v>28</v>
      </c>
      <c r="B95" s="12">
        <v>4</v>
      </c>
      <c r="C95" s="11" t="s">
        <v>58</v>
      </c>
      <c r="D95" s="12">
        <v>1</v>
      </c>
      <c r="E95" s="11" t="s">
        <v>60</v>
      </c>
      <c r="F95" s="12">
        <v>1</v>
      </c>
      <c r="G95" s="11" t="s">
        <v>60</v>
      </c>
      <c r="H95" s="12">
        <v>5</v>
      </c>
      <c r="I95" s="11" t="s">
        <v>58</v>
      </c>
      <c r="J95" s="10">
        <v>4</v>
      </c>
      <c r="K95" s="11" t="s">
        <v>59</v>
      </c>
      <c r="L95" s="10">
        <v>5</v>
      </c>
      <c r="M95" s="11" t="s">
        <v>58</v>
      </c>
      <c r="N95" s="12">
        <v>5</v>
      </c>
      <c r="O95" s="11" t="s">
        <v>58</v>
      </c>
      <c r="P95" s="12">
        <v>1</v>
      </c>
      <c r="Q95" s="11" t="s">
        <v>60</v>
      </c>
      <c r="R95" s="12">
        <v>5</v>
      </c>
      <c r="S95" s="11" t="s">
        <v>58</v>
      </c>
      <c r="T95" s="21">
        <v>5</v>
      </c>
      <c r="U95" s="23" t="s">
        <v>58</v>
      </c>
      <c r="V95" s="10">
        <v>1</v>
      </c>
      <c r="W95" s="11" t="s">
        <v>60</v>
      </c>
      <c r="X95" s="21">
        <v>5</v>
      </c>
      <c r="Y95" s="23" t="s">
        <v>58</v>
      </c>
      <c r="Z95" s="12">
        <v>4</v>
      </c>
      <c r="AA95" s="11" t="s">
        <v>59</v>
      </c>
      <c r="AB95" s="179">
        <v>2</v>
      </c>
      <c r="AC95" s="23" t="s">
        <v>64</v>
      </c>
      <c r="AD95" s="12">
        <v>0</v>
      </c>
      <c r="AE95" s="11" t="s">
        <v>61</v>
      </c>
      <c r="AF95" s="21">
        <v>1</v>
      </c>
      <c r="AG95" s="23" t="s">
        <v>60</v>
      </c>
      <c r="AH95" s="21">
        <v>4</v>
      </c>
      <c r="AI95" s="23" t="s">
        <v>59</v>
      </c>
      <c r="AJ95" s="10">
        <v>4</v>
      </c>
      <c r="AK95" s="11" t="s">
        <v>59</v>
      </c>
      <c r="AL95" s="12">
        <v>0</v>
      </c>
      <c r="AM95" s="11" t="s">
        <v>61</v>
      </c>
      <c r="AN95" s="179">
        <v>4</v>
      </c>
      <c r="AO95" s="23" t="s">
        <v>59</v>
      </c>
      <c r="AP95" s="13">
        <f t="shared" si="5"/>
        <v>61</v>
      </c>
      <c r="AT95" s="9"/>
    </row>
    <row r="96" spans="1:46" x14ac:dyDescent="0.25">
      <c r="A96" s="9" t="s">
        <v>91</v>
      </c>
      <c r="B96" s="12">
        <v>4</v>
      </c>
      <c r="C96" s="11" t="s">
        <v>59</v>
      </c>
      <c r="D96" s="12">
        <v>0</v>
      </c>
      <c r="E96" s="11" t="s">
        <v>61</v>
      </c>
      <c r="F96" s="12">
        <v>4</v>
      </c>
      <c r="G96" s="11" t="s">
        <v>59</v>
      </c>
      <c r="H96" s="12">
        <v>0</v>
      </c>
      <c r="I96" s="11" t="s">
        <v>61</v>
      </c>
      <c r="J96" s="10">
        <v>4</v>
      </c>
      <c r="K96" s="11" t="s">
        <v>59</v>
      </c>
      <c r="L96" s="10">
        <v>2</v>
      </c>
      <c r="M96" s="11" t="s">
        <v>64</v>
      </c>
      <c r="N96" s="12">
        <v>0</v>
      </c>
      <c r="O96" s="11" t="s">
        <v>61</v>
      </c>
      <c r="P96" s="12">
        <v>5</v>
      </c>
      <c r="Q96" s="11" t="s">
        <v>58</v>
      </c>
      <c r="R96" s="12">
        <v>0</v>
      </c>
      <c r="S96" s="11" t="s">
        <v>61</v>
      </c>
      <c r="T96" s="10">
        <v>0</v>
      </c>
      <c r="U96" s="11" t="s">
        <v>61</v>
      </c>
      <c r="V96" s="10">
        <v>4</v>
      </c>
      <c r="W96" s="11" t="s">
        <v>59</v>
      </c>
      <c r="X96" s="21">
        <v>1</v>
      </c>
      <c r="Y96" s="23" t="s">
        <v>60</v>
      </c>
      <c r="Z96" s="12">
        <v>0</v>
      </c>
      <c r="AA96" s="11" t="s">
        <v>61</v>
      </c>
      <c r="AB96" s="179">
        <v>4</v>
      </c>
      <c r="AC96" s="23" t="s">
        <v>59</v>
      </c>
      <c r="AD96" s="12">
        <v>1</v>
      </c>
      <c r="AE96" s="11" t="s">
        <v>60</v>
      </c>
      <c r="AF96" s="21">
        <v>1</v>
      </c>
      <c r="AG96" s="23" t="s">
        <v>60</v>
      </c>
      <c r="AH96" s="10">
        <v>0</v>
      </c>
      <c r="AI96" s="11" t="s">
        <v>61</v>
      </c>
      <c r="AJ96" s="21">
        <v>1</v>
      </c>
      <c r="AK96" s="23" t="s">
        <v>60</v>
      </c>
      <c r="AL96" s="12">
        <v>0</v>
      </c>
      <c r="AM96" s="11" t="s">
        <v>61</v>
      </c>
      <c r="AN96" s="179">
        <v>1</v>
      </c>
      <c r="AO96" s="23" t="s">
        <v>60</v>
      </c>
      <c r="AP96" s="13">
        <f t="shared" si="5"/>
        <v>32</v>
      </c>
      <c r="AT96" s="9"/>
    </row>
    <row r="97" spans="1:46" x14ac:dyDescent="0.25">
      <c r="A97" s="9" t="s">
        <v>189</v>
      </c>
      <c r="B97" s="12">
        <v>4</v>
      </c>
      <c r="C97" s="11" t="s">
        <v>59</v>
      </c>
      <c r="D97" s="12">
        <v>4</v>
      </c>
      <c r="E97" s="11" t="s">
        <v>59</v>
      </c>
      <c r="F97" s="12">
        <v>0</v>
      </c>
      <c r="G97" s="11" t="s">
        <v>61</v>
      </c>
      <c r="H97" s="12">
        <v>1</v>
      </c>
      <c r="I97" s="11" t="s">
        <v>60</v>
      </c>
      <c r="J97" s="10">
        <v>1</v>
      </c>
      <c r="K97" s="11" t="s">
        <v>60</v>
      </c>
      <c r="L97" s="10">
        <v>0</v>
      </c>
      <c r="M97" s="11" t="s">
        <v>61</v>
      </c>
      <c r="N97" s="12">
        <v>0</v>
      </c>
      <c r="O97" s="11" t="s">
        <v>61</v>
      </c>
      <c r="P97" s="12">
        <v>0</v>
      </c>
      <c r="Q97" s="11" t="s">
        <v>61</v>
      </c>
      <c r="R97" s="12">
        <v>1</v>
      </c>
      <c r="S97" s="11" t="s">
        <v>60</v>
      </c>
      <c r="T97" s="21">
        <v>1</v>
      </c>
      <c r="U97" s="23" t="s">
        <v>60</v>
      </c>
      <c r="V97" s="10">
        <v>1</v>
      </c>
      <c r="W97" s="11" t="s">
        <v>60</v>
      </c>
      <c r="X97" s="10">
        <v>1</v>
      </c>
      <c r="Y97" s="11" t="s">
        <v>60</v>
      </c>
      <c r="Z97" s="179">
        <v>5</v>
      </c>
      <c r="AA97" s="23" t="s">
        <v>58</v>
      </c>
      <c r="AB97" s="12">
        <v>1</v>
      </c>
      <c r="AC97" s="11" t="s">
        <v>60</v>
      </c>
      <c r="AD97" s="179">
        <v>4</v>
      </c>
      <c r="AE97" s="23" t="s">
        <v>59</v>
      </c>
      <c r="AF97" s="10">
        <v>5</v>
      </c>
      <c r="AG97" s="11" t="s">
        <v>58</v>
      </c>
      <c r="AH97" s="21">
        <v>0</v>
      </c>
      <c r="AI97" s="23" t="s">
        <v>61</v>
      </c>
      <c r="AJ97" s="10">
        <v>4</v>
      </c>
      <c r="AK97" s="11" t="s">
        <v>59</v>
      </c>
      <c r="AL97" s="179">
        <v>1</v>
      </c>
      <c r="AM97" s="23" t="s">
        <v>60</v>
      </c>
      <c r="AN97" s="12">
        <v>4</v>
      </c>
      <c r="AO97" s="11" t="s">
        <v>59</v>
      </c>
      <c r="AP97" s="13">
        <f t="shared" si="5"/>
        <v>38</v>
      </c>
      <c r="AT97" s="9"/>
    </row>
    <row r="98" spans="1:46" x14ac:dyDescent="0.25">
      <c r="A98" s="9" t="s">
        <v>66</v>
      </c>
      <c r="B98" s="10">
        <v>0</v>
      </c>
      <c r="C98" s="11" t="s">
        <v>85</v>
      </c>
      <c r="D98" s="10">
        <v>0</v>
      </c>
      <c r="E98" s="11" t="s">
        <v>85</v>
      </c>
      <c r="F98" s="10">
        <v>0</v>
      </c>
      <c r="G98" s="11" t="s">
        <v>85</v>
      </c>
      <c r="H98" s="10">
        <v>0</v>
      </c>
      <c r="I98" s="11" t="s">
        <v>85</v>
      </c>
      <c r="J98" s="10">
        <v>0</v>
      </c>
      <c r="K98" s="11" t="s">
        <v>85</v>
      </c>
      <c r="L98" s="10">
        <v>0</v>
      </c>
      <c r="M98" s="11" t="s">
        <v>85</v>
      </c>
      <c r="N98" s="10">
        <v>0</v>
      </c>
      <c r="O98" s="11" t="s">
        <v>85</v>
      </c>
      <c r="P98" s="10">
        <v>0</v>
      </c>
      <c r="Q98" s="11" t="s">
        <v>85</v>
      </c>
      <c r="R98" s="10">
        <v>0</v>
      </c>
      <c r="S98" s="11" t="s">
        <v>85</v>
      </c>
      <c r="T98" s="21">
        <v>0</v>
      </c>
      <c r="U98" s="23" t="s">
        <v>61</v>
      </c>
      <c r="V98" s="10">
        <v>4</v>
      </c>
      <c r="W98" s="11" t="s">
        <v>59</v>
      </c>
      <c r="X98" s="10">
        <v>0</v>
      </c>
      <c r="Y98" s="11" t="s">
        <v>61</v>
      </c>
      <c r="Z98" s="179">
        <v>1</v>
      </c>
      <c r="AA98" s="23" t="s">
        <v>60</v>
      </c>
      <c r="AB98" s="12">
        <v>4</v>
      </c>
      <c r="AC98" s="11" t="s">
        <v>59</v>
      </c>
      <c r="AD98" s="179">
        <v>4</v>
      </c>
      <c r="AE98" s="23" t="s">
        <v>59</v>
      </c>
      <c r="AF98" s="10">
        <v>0</v>
      </c>
      <c r="AG98" s="11" t="s">
        <v>61</v>
      </c>
      <c r="AH98" s="10">
        <v>0</v>
      </c>
      <c r="AI98" s="11" t="s">
        <v>61</v>
      </c>
      <c r="AJ98" s="21">
        <v>0</v>
      </c>
      <c r="AK98" s="23" t="s">
        <v>61</v>
      </c>
      <c r="AL98" s="12">
        <v>0</v>
      </c>
      <c r="AM98" s="11" t="s">
        <v>61</v>
      </c>
      <c r="AN98" s="179">
        <v>1</v>
      </c>
      <c r="AO98" s="23" t="s">
        <v>60</v>
      </c>
      <c r="AP98" s="13">
        <f t="shared" si="5"/>
        <v>14</v>
      </c>
      <c r="AT98" s="9"/>
    </row>
    <row r="99" spans="1:46" x14ac:dyDescent="0.25">
      <c r="A99" s="9" t="s">
        <v>27</v>
      </c>
      <c r="B99" s="12">
        <v>0</v>
      </c>
      <c r="C99" s="11" t="s">
        <v>61</v>
      </c>
      <c r="D99" s="12">
        <v>4</v>
      </c>
      <c r="E99" s="11" t="s">
        <v>59</v>
      </c>
      <c r="F99" s="12">
        <v>4</v>
      </c>
      <c r="G99" s="11" t="s">
        <v>59</v>
      </c>
      <c r="H99" s="12">
        <v>5</v>
      </c>
      <c r="I99" s="11" t="s">
        <v>58</v>
      </c>
      <c r="J99" s="10">
        <v>5</v>
      </c>
      <c r="K99" s="11" t="s">
        <v>58</v>
      </c>
      <c r="L99" s="10">
        <v>0</v>
      </c>
      <c r="M99" s="11" t="s">
        <v>61</v>
      </c>
      <c r="N99" s="12">
        <v>5</v>
      </c>
      <c r="O99" s="11" t="s">
        <v>58</v>
      </c>
      <c r="P99" s="12">
        <v>5</v>
      </c>
      <c r="Q99" s="11" t="s">
        <v>58</v>
      </c>
      <c r="R99" s="12">
        <v>1</v>
      </c>
      <c r="S99" s="11" t="s">
        <v>60</v>
      </c>
      <c r="T99" s="10">
        <v>5</v>
      </c>
      <c r="U99" s="11" t="s">
        <v>58</v>
      </c>
      <c r="V99" s="10">
        <v>4</v>
      </c>
      <c r="W99" s="11" t="s">
        <v>59</v>
      </c>
      <c r="X99" s="10">
        <v>1</v>
      </c>
      <c r="Y99" s="11" t="s">
        <v>60</v>
      </c>
      <c r="Z99" s="179">
        <v>5</v>
      </c>
      <c r="AA99" s="23" t="s">
        <v>58</v>
      </c>
      <c r="AB99" s="12">
        <v>2</v>
      </c>
      <c r="AC99" s="11" t="s">
        <v>64</v>
      </c>
      <c r="AD99" s="179">
        <v>5</v>
      </c>
      <c r="AE99" s="23" t="s">
        <v>58</v>
      </c>
      <c r="AF99" s="10">
        <v>4</v>
      </c>
      <c r="AG99" s="11" t="s">
        <v>59</v>
      </c>
      <c r="AH99" s="21">
        <v>4</v>
      </c>
      <c r="AI99" s="23" t="s">
        <v>59</v>
      </c>
      <c r="AJ99" s="10">
        <v>4</v>
      </c>
      <c r="AK99" s="11" t="s">
        <v>59</v>
      </c>
      <c r="AL99" s="12">
        <v>4</v>
      </c>
      <c r="AM99" s="11" t="s">
        <v>59</v>
      </c>
      <c r="AN99" s="179">
        <v>5</v>
      </c>
      <c r="AO99" s="23" t="s">
        <v>58</v>
      </c>
      <c r="AP99" s="13">
        <f t="shared" si="5"/>
        <v>72</v>
      </c>
      <c r="AT99" s="9"/>
    </row>
    <row r="100" spans="1:46" x14ac:dyDescent="0.25">
      <c r="A100" s="9" t="s">
        <v>29</v>
      </c>
      <c r="B100" s="12">
        <v>4</v>
      </c>
      <c r="C100" s="11" t="s">
        <v>59</v>
      </c>
      <c r="D100" s="12">
        <v>4</v>
      </c>
      <c r="E100" s="11" t="s">
        <v>59</v>
      </c>
      <c r="F100" s="12">
        <v>0</v>
      </c>
      <c r="G100" s="11" t="s">
        <v>61</v>
      </c>
      <c r="H100" s="12">
        <v>0</v>
      </c>
      <c r="I100" s="11" t="s">
        <v>61</v>
      </c>
      <c r="J100" s="10">
        <v>4</v>
      </c>
      <c r="K100" s="11" t="s">
        <v>59</v>
      </c>
      <c r="L100" s="10">
        <v>3</v>
      </c>
      <c r="M100" s="11" t="s">
        <v>62</v>
      </c>
      <c r="N100" s="12">
        <v>5</v>
      </c>
      <c r="O100" s="11" t="s">
        <v>58</v>
      </c>
      <c r="P100" s="12">
        <v>0</v>
      </c>
      <c r="Q100" s="11" t="s">
        <v>61</v>
      </c>
      <c r="R100" s="12">
        <v>4</v>
      </c>
      <c r="S100" s="11" t="s">
        <v>59</v>
      </c>
      <c r="T100" s="10">
        <v>4</v>
      </c>
      <c r="U100" s="11" t="s">
        <v>59</v>
      </c>
      <c r="V100" s="21">
        <v>1</v>
      </c>
      <c r="W100" s="23" t="s">
        <v>60</v>
      </c>
      <c r="X100" s="21">
        <v>4</v>
      </c>
      <c r="Y100" s="23" t="s">
        <v>59</v>
      </c>
      <c r="Z100" s="12">
        <v>0</v>
      </c>
      <c r="AA100" s="11" t="s">
        <v>61</v>
      </c>
      <c r="AB100" s="179">
        <v>4</v>
      </c>
      <c r="AC100" s="23" t="s">
        <v>59</v>
      </c>
      <c r="AD100" s="12">
        <v>0</v>
      </c>
      <c r="AE100" s="11" t="s">
        <v>61</v>
      </c>
      <c r="AF100" s="21">
        <v>1</v>
      </c>
      <c r="AG100" s="23" t="s">
        <v>60</v>
      </c>
      <c r="AH100" s="21">
        <v>5</v>
      </c>
      <c r="AI100" s="23" t="s">
        <v>58</v>
      </c>
      <c r="AJ100" s="10">
        <v>1</v>
      </c>
      <c r="AK100" s="11" t="s">
        <v>60</v>
      </c>
      <c r="AL100" s="179">
        <v>4</v>
      </c>
      <c r="AM100" s="23" t="s">
        <v>59</v>
      </c>
      <c r="AN100" s="12">
        <v>1</v>
      </c>
      <c r="AO100" s="11" t="s">
        <v>60</v>
      </c>
      <c r="AP100" s="13">
        <f t="shared" si="5"/>
        <v>49</v>
      </c>
      <c r="AT100" s="9"/>
    </row>
    <row r="101" spans="1:46" x14ac:dyDescent="0.25">
      <c r="A101" s="9" t="s">
        <v>21</v>
      </c>
      <c r="B101" s="12">
        <v>0</v>
      </c>
      <c r="C101" s="11" t="s">
        <v>61</v>
      </c>
      <c r="D101" s="12">
        <v>5</v>
      </c>
      <c r="E101" s="11" t="s">
        <v>58</v>
      </c>
      <c r="F101" s="12">
        <v>5</v>
      </c>
      <c r="G101" s="11" t="s">
        <v>58</v>
      </c>
      <c r="H101" s="12">
        <v>5</v>
      </c>
      <c r="I101" s="11" t="s">
        <v>58</v>
      </c>
      <c r="J101" s="10">
        <v>4</v>
      </c>
      <c r="K101" s="11" t="s">
        <v>59</v>
      </c>
      <c r="L101" s="10">
        <v>4</v>
      </c>
      <c r="M101" s="11" t="s">
        <v>59</v>
      </c>
      <c r="N101" s="12">
        <v>5</v>
      </c>
      <c r="O101" s="11" t="s">
        <v>58</v>
      </c>
      <c r="P101" s="12">
        <v>1</v>
      </c>
      <c r="Q101" s="11" t="s">
        <v>60</v>
      </c>
      <c r="R101" s="12">
        <v>4</v>
      </c>
      <c r="S101" s="11" t="s">
        <v>59</v>
      </c>
      <c r="T101" s="10">
        <v>5</v>
      </c>
      <c r="U101" s="11" t="s">
        <v>58</v>
      </c>
      <c r="V101" s="21">
        <v>5</v>
      </c>
      <c r="W101" s="23" t="s">
        <v>58</v>
      </c>
      <c r="X101" s="21">
        <v>5</v>
      </c>
      <c r="Y101" s="23" t="s">
        <v>58</v>
      </c>
      <c r="Z101" s="12">
        <v>4</v>
      </c>
      <c r="AA101" s="11" t="s">
        <v>59</v>
      </c>
      <c r="AB101" s="179">
        <v>4</v>
      </c>
      <c r="AC101" s="23" t="s">
        <v>59</v>
      </c>
      <c r="AD101" s="12">
        <v>0</v>
      </c>
      <c r="AE101" s="11" t="s">
        <v>61</v>
      </c>
      <c r="AF101" s="21">
        <v>5</v>
      </c>
      <c r="AG101" s="23" t="s">
        <v>58</v>
      </c>
      <c r="AH101" s="10">
        <v>4</v>
      </c>
      <c r="AI101" s="11" t="s">
        <v>59</v>
      </c>
      <c r="AJ101" s="21">
        <v>4</v>
      </c>
      <c r="AK101" s="23" t="s">
        <v>59</v>
      </c>
      <c r="AL101" s="179">
        <v>5</v>
      </c>
      <c r="AM101" s="23" t="s">
        <v>58</v>
      </c>
      <c r="AN101" s="12">
        <v>5</v>
      </c>
      <c r="AO101" s="11" t="s">
        <v>58</v>
      </c>
      <c r="AP101" s="13">
        <f t="shared" si="5"/>
        <v>79</v>
      </c>
      <c r="AT101" s="9"/>
    </row>
    <row r="102" spans="1:46" x14ac:dyDescent="0.25">
      <c r="A102" s="14" t="s">
        <v>25</v>
      </c>
      <c r="B102" s="17">
        <v>0</v>
      </c>
      <c r="C102" s="16" t="s">
        <v>61</v>
      </c>
      <c r="D102" s="17">
        <v>0</v>
      </c>
      <c r="E102" s="16" t="s">
        <v>61</v>
      </c>
      <c r="F102" s="17">
        <v>1</v>
      </c>
      <c r="G102" s="16" t="s">
        <v>60</v>
      </c>
      <c r="H102" s="17">
        <v>5</v>
      </c>
      <c r="I102" s="16" t="s">
        <v>58</v>
      </c>
      <c r="J102" s="15">
        <v>0</v>
      </c>
      <c r="K102" s="16" t="s">
        <v>61</v>
      </c>
      <c r="L102" s="15">
        <v>1</v>
      </c>
      <c r="M102" s="16" t="s">
        <v>60</v>
      </c>
      <c r="N102" s="17">
        <v>0</v>
      </c>
      <c r="O102" s="16" t="s">
        <v>61</v>
      </c>
      <c r="P102" s="17">
        <v>0</v>
      </c>
      <c r="Q102" s="16" t="s">
        <v>61</v>
      </c>
      <c r="R102" s="17">
        <v>0</v>
      </c>
      <c r="S102" s="16" t="s">
        <v>61</v>
      </c>
      <c r="T102" s="15">
        <v>0</v>
      </c>
      <c r="U102" s="16" t="s">
        <v>61</v>
      </c>
      <c r="V102" s="22">
        <v>1</v>
      </c>
      <c r="W102" s="24" t="s">
        <v>60</v>
      </c>
      <c r="X102" s="22">
        <v>0</v>
      </c>
      <c r="Y102" s="24" t="s">
        <v>61</v>
      </c>
      <c r="Z102" s="17">
        <v>0</v>
      </c>
      <c r="AA102" s="16" t="s">
        <v>61</v>
      </c>
      <c r="AB102" s="180">
        <v>1</v>
      </c>
      <c r="AC102" s="24" t="s">
        <v>60</v>
      </c>
      <c r="AD102" s="17">
        <v>0</v>
      </c>
      <c r="AE102" s="16" t="s">
        <v>61</v>
      </c>
      <c r="AF102" s="22">
        <v>0</v>
      </c>
      <c r="AG102" s="24" t="s">
        <v>61</v>
      </c>
      <c r="AH102" s="15">
        <v>0</v>
      </c>
      <c r="AI102" s="16" t="s">
        <v>61</v>
      </c>
      <c r="AJ102" s="22">
        <v>0</v>
      </c>
      <c r="AK102" s="24" t="s">
        <v>61</v>
      </c>
      <c r="AL102" s="17">
        <v>1</v>
      </c>
      <c r="AM102" s="16" t="s">
        <v>60</v>
      </c>
      <c r="AN102" s="180">
        <v>0</v>
      </c>
      <c r="AO102" s="24" t="s">
        <v>61</v>
      </c>
      <c r="AP102" s="13">
        <f t="shared" si="5"/>
        <v>10</v>
      </c>
      <c r="AT102" s="14"/>
    </row>
    <row r="103" spans="1:46" x14ac:dyDescent="0.25">
      <c r="A103" s="470" t="s">
        <v>253</v>
      </c>
    </row>
  </sheetData>
  <sortState xmlns:xlrd2="http://schemas.microsoft.com/office/spreadsheetml/2017/richdata2" ref="A3:N14">
    <sortCondition descending="1" ref="N3:N14"/>
    <sortCondition ref="A3:A14"/>
  </sortState>
  <mergeCells count="120">
    <mergeCell ref="AR38:AS38"/>
    <mergeCell ref="P38:Q38"/>
    <mergeCell ref="R38:S38"/>
    <mergeCell ref="T38:U38"/>
    <mergeCell ref="V38:W38"/>
    <mergeCell ref="X38:Y38"/>
    <mergeCell ref="AN72:AO72"/>
    <mergeCell ref="AP72:AQ72"/>
    <mergeCell ref="AR72:AS72"/>
    <mergeCell ref="AD72:AE72"/>
    <mergeCell ref="AF72:AG72"/>
    <mergeCell ref="AH72:AI72"/>
    <mergeCell ref="AJ72:AK72"/>
    <mergeCell ref="AL72:AM72"/>
    <mergeCell ref="AR55:AS55"/>
    <mergeCell ref="AP55:AQ55"/>
    <mergeCell ref="T72:U72"/>
    <mergeCell ref="V72:W72"/>
    <mergeCell ref="X72:Y72"/>
    <mergeCell ref="Z72:AA72"/>
    <mergeCell ref="AB72:AC72"/>
    <mergeCell ref="T55:U55"/>
    <mergeCell ref="B54:U54"/>
    <mergeCell ref="V55:W55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B55:C55"/>
    <mergeCell ref="D55:E55"/>
    <mergeCell ref="B37:U37"/>
    <mergeCell ref="B38:C38"/>
    <mergeCell ref="D38:E38"/>
    <mergeCell ref="F38:G38"/>
    <mergeCell ref="H38:I38"/>
    <mergeCell ref="J38:K38"/>
    <mergeCell ref="L38:M38"/>
    <mergeCell ref="N38:O38"/>
    <mergeCell ref="F55:G55"/>
    <mergeCell ref="L55:M55"/>
    <mergeCell ref="N55:O55"/>
    <mergeCell ref="H55:I55"/>
    <mergeCell ref="J55:K55"/>
    <mergeCell ref="P55:Q55"/>
    <mergeCell ref="R55:S55"/>
    <mergeCell ref="B1:C1"/>
    <mergeCell ref="D1:E1"/>
    <mergeCell ref="F1:G1"/>
    <mergeCell ref="H1:I1"/>
    <mergeCell ref="J1:K1"/>
    <mergeCell ref="AR20:AS20"/>
    <mergeCell ref="AD20:AE20"/>
    <mergeCell ref="AF20:AG20"/>
    <mergeCell ref="AH20:AI20"/>
    <mergeCell ref="AJ20:AK20"/>
    <mergeCell ref="AL20:AM20"/>
    <mergeCell ref="AN20:AO20"/>
    <mergeCell ref="AP20:AQ20"/>
    <mergeCell ref="Z20:AA20"/>
    <mergeCell ref="AB20:AC20"/>
    <mergeCell ref="L1:M1"/>
    <mergeCell ref="AL38:AM38"/>
    <mergeCell ref="F20:G20"/>
    <mergeCell ref="L20:M20"/>
    <mergeCell ref="V20:W20"/>
    <mergeCell ref="P20:Q20"/>
    <mergeCell ref="R20:S20"/>
    <mergeCell ref="T20:U20"/>
    <mergeCell ref="X20:Y20"/>
    <mergeCell ref="B20:C20"/>
    <mergeCell ref="H20:I20"/>
    <mergeCell ref="J20:K20"/>
    <mergeCell ref="D20:E20"/>
    <mergeCell ref="N20:O20"/>
    <mergeCell ref="AN38:AO38"/>
    <mergeCell ref="T89:U89"/>
    <mergeCell ref="V89:W89"/>
    <mergeCell ref="X89:Y89"/>
    <mergeCell ref="Z89:AA89"/>
    <mergeCell ref="AB89:AC89"/>
    <mergeCell ref="V37:AQ37"/>
    <mergeCell ref="AP38:AQ38"/>
    <mergeCell ref="V54:AQ54"/>
    <mergeCell ref="X55:Y55"/>
    <mergeCell ref="AN55:AO55"/>
    <mergeCell ref="AD55:AE55"/>
    <mergeCell ref="AF55:AG55"/>
    <mergeCell ref="AH55:AI55"/>
    <mergeCell ref="AJ55:AK55"/>
    <mergeCell ref="AL55:AM55"/>
    <mergeCell ref="Z55:AA55"/>
    <mergeCell ref="AB55:AC55"/>
    <mergeCell ref="Z38:AA38"/>
    <mergeCell ref="AB38:AC38"/>
    <mergeCell ref="AD38:AE38"/>
    <mergeCell ref="AF38:AG38"/>
    <mergeCell ref="AH38:AI38"/>
    <mergeCell ref="AJ38:AK38"/>
    <mergeCell ref="H89:I89"/>
    <mergeCell ref="B88:U88"/>
    <mergeCell ref="V88:AQ88"/>
    <mergeCell ref="B89:C89"/>
    <mergeCell ref="D89:E89"/>
    <mergeCell ref="F89:G89"/>
    <mergeCell ref="J89:K89"/>
    <mergeCell ref="L89:M89"/>
    <mergeCell ref="N89:O89"/>
    <mergeCell ref="P89:Q89"/>
    <mergeCell ref="R89:S89"/>
    <mergeCell ref="AN89:AO89"/>
    <mergeCell ref="AD89:AE89"/>
    <mergeCell ref="AF89:AG89"/>
    <mergeCell ref="AH89:AI89"/>
    <mergeCell ref="AJ89:AK89"/>
    <mergeCell ref="AL89:AM8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2"/>
  <sheetViews>
    <sheetView tabSelected="1" topLeftCell="A61" workbookViewId="0">
      <selection activeCell="P77" sqref="P77"/>
    </sheetView>
  </sheetViews>
  <sheetFormatPr defaultRowHeight="15" x14ac:dyDescent="0.25"/>
  <cols>
    <col min="1" max="1" width="4.28515625" customWidth="1"/>
    <col min="2" max="2" width="4.42578125" customWidth="1"/>
    <col min="3" max="3" width="17.7109375" customWidth="1"/>
    <col min="4" max="9" width="5.140625" customWidth="1"/>
    <col min="10" max="10" width="6.7109375" customWidth="1"/>
    <col min="11" max="12" width="5.140625" customWidth="1"/>
  </cols>
  <sheetData>
    <row r="1" spans="1:13" ht="15.75" thickBot="1" x14ac:dyDescent="0.3">
      <c r="A1" s="69" t="s">
        <v>31</v>
      </c>
      <c r="B1" s="70" t="s">
        <v>32</v>
      </c>
      <c r="C1" s="70"/>
      <c r="D1" s="70" t="s">
        <v>33</v>
      </c>
      <c r="E1" s="71" t="s">
        <v>34</v>
      </c>
      <c r="F1" s="70" t="s">
        <v>35</v>
      </c>
      <c r="G1" s="70" t="s">
        <v>36</v>
      </c>
      <c r="H1" s="70" t="s">
        <v>37</v>
      </c>
      <c r="I1" s="70" t="s">
        <v>38</v>
      </c>
      <c r="J1" s="71" t="s">
        <v>39</v>
      </c>
      <c r="K1" s="70" t="s">
        <v>40</v>
      </c>
      <c r="L1" s="71" t="s">
        <v>41</v>
      </c>
    </row>
    <row r="2" spans="1:13" ht="15.75" thickBot="1" x14ac:dyDescent="0.3">
      <c r="A2" s="184" t="s">
        <v>1007</v>
      </c>
      <c r="B2" s="619" t="s">
        <v>42</v>
      </c>
      <c r="C2" s="188" t="s">
        <v>27</v>
      </c>
      <c r="D2" s="189">
        <f>saintsplayed</f>
        <v>22</v>
      </c>
      <c r="E2" s="187">
        <f>saintswon</f>
        <v>16</v>
      </c>
      <c r="F2" s="189">
        <f>saintsdrawn</f>
        <v>1</v>
      </c>
      <c r="G2" s="189">
        <f>saintslost</f>
        <v>5</v>
      </c>
      <c r="H2" s="189">
        <f>saintsscored</f>
        <v>621</v>
      </c>
      <c r="I2" s="189">
        <f>saintsconceded</f>
        <v>400</v>
      </c>
      <c r="J2" s="187">
        <f t="shared" ref="J2:J13" si="0">SUM(H2-I2)</f>
        <v>221</v>
      </c>
      <c r="K2" s="189">
        <f>saintstrybonus+saintslosingbonus</f>
        <v>10</v>
      </c>
      <c r="L2" s="187">
        <f t="shared" ref="L2:L13" si="1">SUM(E2*4+F2*2+K2)</f>
        <v>76</v>
      </c>
      <c r="M2" s="64"/>
    </row>
    <row r="3" spans="1:13" ht="15.75" thickBot="1" x14ac:dyDescent="0.3">
      <c r="A3" s="751" t="s">
        <v>1007</v>
      </c>
      <c r="B3" s="619" t="s">
        <v>42</v>
      </c>
      <c r="C3" s="188" t="s">
        <v>24</v>
      </c>
      <c r="D3" s="189">
        <f>bathpld</f>
        <v>22</v>
      </c>
      <c r="E3" s="187">
        <f>bathwon</f>
        <v>16</v>
      </c>
      <c r="F3" s="189">
        <f>bathdrawn</f>
        <v>0</v>
      </c>
      <c r="G3" s="189">
        <f>bathlost</f>
        <v>6</v>
      </c>
      <c r="H3" s="189">
        <f>bathscored</f>
        <v>625</v>
      </c>
      <c r="I3" s="189">
        <f>bathconceded</f>
        <v>414</v>
      </c>
      <c r="J3" s="187">
        <f t="shared" si="0"/>
        <v>211</v>
      </c>
      <c r="K3" s="189">
        <f>bathtrybonus+bathbonus</f>
        <v>11</v>
      </c>
      <c r="L3" s="187">
        <f t="shared" si="1"/>
        <v>75</v>
      </c>
      <c r="M3" s="64"/>
    </row>
    <row r="4" spans="1:13" ht="15.75" thickBot="1" x14ac:dyDescent="0.3">
      <c r="A4" s="184" t="s">
        <v>1007</v>
      </c>
      <c r="B4" s="619" t="s">
        <v>42</v>
      </c>
      <c r="C4" s="188" t="s">
        <v>28</v>
      </c>
      <c r="D4" s="189">
        <f>leicsplayed</f>
        <v>22</v>
      </c>
      <c r="E4" s="187">
        <f>leicswon</f>
        <v>15</v>
      </c>
      <c r="F4" s="189">
        <f>leicsdrawn</f>
        <v>1</v>
      </c>
      <c r="G4" s="189">
        <f>leicslost</f>
        <v>6</v>
      </c>
      <c r="H4" s="189">
        <f>leicsscored</f>
        <v>453</v>
      </c>
      <c r="I4" s="189">
        <f>leicsconceded</f>
        <v>421</v>
      </c>
      <c r="J4" s="187">
        <f t="shared" si="0"/>
        <v>32</v>
      </c>
      <c r="K4" s="189">
        <f>leicstrybonus+leicslosingbonus</f>
        <v>6</v>
      </c>
      <c r="L4" s="187">
        <f t="shared" si="1"/>
        <v>68</v>
      </c>
    </row>
    <row r="5" spans="1:13" ht="15.75" thickBot="1" x14ac:dyDescent="0.3">
      <c r="A5" s="184" t="s">
        <v>1007</v>
      </c>
      <c r="B5" s="533" t="s">
        <v>438</v>
      </c>
      <c r="C5" s="185" t="s">
        <v>21</v>
      </c>
      <c r="D5" s="808">
        <f>sarriesplayed</f>
        <v>22</v>
      </c>
      <c r="E5" s="186">
        <f>sarrieswon</f>
        <v>14</v>
      </c>
      <c r="F5" s="808">
        <f>sarriesdrawn</f>
        <v>1</v>
      </c>
      <c r="G5" s="808">
        <f>sarrieslost</f>
        <v>7</v>
      </c>
      <c r="H5" s="808">
        <f>sarriesscored</f>
        <v>664</v>
      </c>
      <c r="I5" s="808">
        <f>sarriesconceded</f>
        <v>418</v>
      </c>
      <c r="J5" s="187">
        <f t="shared" si="0"/>
        <v>246</v>
      </c>
      <c r="K5" s="808">
        <f>sarriestrybonus+sarrieslosingbonus</f>
        <v>10</v>
      </c>
      <c r="L5" s="187">
        <f t="shared" si="1"/>
        <v>68</v>
      </c>
      <c r="M5" s="64"/>
    </row>
    <row r="6" spans="1:13" ht="15.75" thickBot="1" x14ac:dyDescent="0.3">
      <c r="A6" s="776" t="s">
        <v>1053</v>
      </c>
      <c r="B6" s="786" t="s">
        <v>408</v>
      </c>
      <c r="C6" s="779" t="s">
        <v>30</v>
      </c>
      <c r="D6" s="780">
        <f>exeterpld</f>
        <v>22</v>
      </c>
      <c r="E6" s="777">
        <f>exeterwon</f>
        <v>14</v>
      </c>
      <c r="F6" s="780">
        <f>exeterdrawn</f>
        <v>0</v>
      </c>
      <c r="G6" s="780">
        <f>exeterlost</f>
        <v>8</v>
      </c>
      <c r="H6" s="780">
        <f>exeterscored</f>
        <v>663</v>
      </c>
      <c r="I6" s="780">
        <f>exeterconceded</f>
        <v>437</v>
      </c>
      <c r="J6" s="777">
        <f t="shared" si="0"/>
        <v>226</v>
      </c>
      <c r="K6" s="780">
        <f>exetertrybonusscored+exeterlosingbonus</f>
        <v>12</v>
      </c>
      <c r="L6" s="777">
        <f t="shared" si="1"/>
        <v>68</v>
      </c>
    </row>
    <row r="7" spans="1:13" ht="15.75" thickBot="1" x14ac:dyDescent="0.3">
      <c r="A7" s="776" t="s">
        <v>1053</v>
      </c>
      <c r="B7" s="778" t="s">
        <v>42</v>
      </c>
      <c r="C7" s="779" t="s">
        <v>189</v>
      </c>
      <c r="D7" s="780">
        <f>waspsplayed</f>
        <v>22</v>
      </c>
      <c r="E7" s="777">
        <f>waspswon</f>
        <v>11</v>
      </c>
      <c r="F7" s="780">
        <f>waspsdrawn</f>
        <v>2</v>
      </c>
      <c r="G7" s="780">
        <f>waspslost</f>
        <v>9</v>
      </c>
      <c r="H7" s="780">
        <f>waspsscored</f>
        <v>672</v>
      </c>
      <c r="I7" s="780">
        <f>waspsconceded</f>
        <v>527</v>
      </c>
      <c r="J7" s="777">
        <f t="shared" si="0"/>
        <v>145</v>
      </c>
      <c r="K7" s="780">
        <f>waspstrybonus+waspslosingbonus</f>
        <v>13</v>
      </c>
      <c r="L7" s="777">
        <f t="shared" si="1"/>
        <v>61</v>
      </c>
      <c r="M7" s="64"/>
    </row>
    <row r="8" spans="1:13" ht="15.75" thickBot="1" x14ac:dyDescent="0.3">
      <c r="A8" s="72">
        <v>7</v>
      </c>
      <c r="B8" s="743" t="s">
        <v>42</v>
      </c>
      <c r="C8" s="73" t="s">
        <v>29</v>
      </c>
      <c r="D8" s="74">
        <f>saleplayed</f>
        <v>22</v>
      </c>
      <c r="E8" s="75">
        <f>salewon</f>
        <v>11</v>
      </c>
      <c r="F8" s="74">
        <f>saledrawn</f>
        <v>0</v>
      </c>
      <c r="G8" s="74">
        <f>salelost</f>
        <v>11</v>
      </c>
      <c r="H8" s="74">
        <f>salescored</f>
        <v>497</v>
      </c>
      <c r="I8" s="74">
        <f>saleconceded</f>
        <v>482</v>
      </c>
      <c r="J8" s="75">
        <f t="shared" si="0"/>
        <v>15</v>
      </c>
      <c r="K8" s="74">
        <f>saletrybonus+salelosingbonus</f>
        <v>10</v>
      </c>
      <c r="L8" s="75">
        <f t="shared" si="1"/>
        <v>54</v>
      </c>
    </row>
    <row r="9" spans="1:13" ht="15.75" thickBot="1" x14ac:dyDescent="0.3">
      <c r="A9" s="72">
        <v>8</v>
      </c>
      <c r="B9" s="743" t="s">
        <v>42</v>
      </c>
      <c r="C9" s="73" t="s">
        <v>10</v>
      </c>
      <c r="D9" s="74">
        <f>harplayed</f>
        <v>22</v>
      </c>
      <c r="E9" s="75">
        <f>harwon</f>
        <v>10</v>
      </c>
      <c r="F9" s="74">
        <f>hardrawn</f>
        <v>0</v>
      </c>
      <c r="G9" s="74">
        <f>harlost</f>
        <v>12</v>
      </c>
      <c r="H9" s="74">
        <f>harscored</f>
        <v>444</v>
      </c>
      <c r="I9" s="74">
        <f>harconceded</f>
        <v>514</v>
      </c>
      <c r="J9" s="75">
        <f t="shared" si="0"/>
        <v>-70</v>
      </c>
      <c r="K9" s="74">
        <f>hartrybonus+harlosingbonus</f>
        <v>9</v>
      </c>
      <c r="L9" s="75">
        <f t="shared" si="1"/>
        <v>49</v>
      </c>
    </row>
    <row r="10" spans="1:13" ht="30.75" thickBot="1" x14ac:dyDescent="0.3">
      <c r="A10" s="529" t="s">
        <v>1032</v>
      </c>
      <c r="B10" s="752" t="s">
        <v>42</v>
      </c>
      <c r="C10" s="530" t="s">
        <v>26</v>
      </c>
      <c r="D10" s="531">
        <f>glosplayed</f>
        <v>22</v>
      </c>
      <c r="E10" s="532">
        <f>gloswon</f>
        <v>9</v>
      </c>
      <c r="F10" s="531">
        <f>glosdrawn</f>
        <v>1</v>
      </c>
      <c r="G10" s="531">
        <f>gloslost</f>
        <v>12</v>
      </c>
      <c r="H10" s="531">
        <f>glosscored</f>
        <v>553</v>
      </c>
      <c r="I10" s="531">
        <f>glosconceded</f>
        <v>575</v>
      </c>
      <c r="J10" s="532">
        <f t="shared" si="0"/>
        <v>-22</v>
      </c>
      <c r="K10" s="531">
        <f>glostrybonus+gloslosingbonus</f>
        <v>10</v>
      </c>
      <c r="L10" s="532">
        <f t="shared" si="1"/>
        <v>48</v>
      </c>
    </row>
    <row r="11" spans="1:13" ht="15.75" thickBot="1" x14ac:dyDescent="0.3">
      <c r="A11" s="72">
        <v>10</v>
      </c>
      <c r="B11" s="743" t="s">
        <v>42</v>
      </c>
      <c r="C11" s="73" t="s">
        <v>13</v>
      </c>
      <c r="D11" s="74">
        <f>liplayed</f>
        <v>22</v>
      </c>
      <c r="E11" s="75">
        <f>liwon</f>
        <v>7</v>
      </c>
      <c r="F11" s="74">
        <f>lidrawn</f>
        <v>1</v>
      </c>
      <c r="G11" s="74">
        <f>lilost</f>
        <v>14</v>
      </c>
      <c r="H11" s="74">
        <f>liscored</f>
        <v>442</v>
      </c>
      <c r="I11" s="74">
        <f>liconceded</f>
        <v>578</v>
      </c>
      <c r="J11" s="75">
        <f t="shared" si="0"/>
        <v>-136</v>
      </c>
      <c r="K11" s="74">
        <f>litrybonus+lilosingbonus</f>
        <v>10</v>
      </c>
      <c r="L11" s="75">
        <f t="shared" si="1"/>
        <v>40</v>
      </c>
    </row>
    <row r="12" spans="1:13" ht="15.75" thickBot="1" x14ac:dyDescent="0.3">
      <c r="A12" s="72">
        <v>11</v>
      </c>
      <c r="B12" s="743" t="s">
        <v>42</v>
      </c>
      <c r="C12" s="73" t="s">
        <v>66</v>
      </c>
      <c r="D12" s="74">
        <f>newcplayed</f>
        <v>22</v>
      </c>
      <c r="E12" s="75">
        <f>newcwon</f>
        <v>5</v>
      </c>
      <c r="F12" s="74">
        <f>newcdrawn</f>
        <v>1</v>
      </c>
      <c r="G12" s="74">
        <f>newclost</f>
        <v>16</v>
      </c>
      <c r="H12" s="74">
        <f>newcscored</f>
        <v>475</v>
      </c>
      <c r="I12" s="74">
        <f>newcconceded</f>
        <v>545</v>
      </c>
      <c r="J12" s="75">
        <f t="shared" si="0"/>
        <v>-70</v>
      </c>
      <c r="K12" s="74">
        <f>newctrybonus+newclosingbonus</f>
        <v>12</v>
      </c>
      <c r="L12" s="75">
        <f t="shared" si="1"/>
        <v>34</v>
      </c>
    </row>
    <row r="13" spans="1:13" ht="15.75" thickBot="1" x14ac:dyDescent="0.3">
      <c r="A13" s="580" t="s">
        <v>53</v>
      </c>
      <c r="B13" s="581" t="s">
        <v>42</v>
      </c>
      <c r="C13" s="582" t="s">
        <v>15</v>
      </c>
      <c r="D13" s="583">
        <f>lweplayed</f>
        <v>22</v>
      </c>
      <c r="E13" s="584">
        <f>lwewon</f>
        <v>0</v>
      </c>
      <c r="F13" s="583">
        <f>lwedrawn</f>
        <v>0</v>
      </c>
      <c r="G13" s="583">
        <f>lwelost</f>
        <v>22</v>
      </c>
      <c r="H13" s="583">
        <f>lwescored</f>
        <v>223</v>
      </c>
      <c r="I13" s="583">
        <f>lweagainst</f>
        <v>1021</v>
      </c>
      <c r="J13" s="584">
        <f t="shared" si="0"/>
        <v>-798</v>
      </c>
      <c r="K13" s="583">
        <f>lwetrybonus+lwelosingbonus</f>
        <v>1</v>
      </c>
      <c r="L13" s="584">
        <f t="shared" si="1"/>
        <v>1</v>
      </c>
    </row>
    <row r="14" spans="1:13" x14ac:dyDescent="0.25">
      <c r="D14">
        <f>SUM(D2:D13)</f>
        <v>264</v>
      </c>
      <c r="E14">
        <f t="shared" ref="E14:L14" si="2">SUM(E2:E13)</f>
        <v>128</v>
      </c>
      <c r="F14">
        <f t="shared" si="2"/>
        <v>8</v>
      </c>
      <c r="G14">
        <f t="shared" si="2"/>
        <v>128</v>
      </c>
      <c r="H14">
        <f t="shared" si="2"/>
        <v>6332</v>
      </c>
      <c r="I14">
        <f t="shared" si="2"/>
        <v>6332</v>
      </c>
      <c r="J14">
        <f t="shared" si="2"/>
        <v>0</v>
      </c>
      <c r="K14">
        <f t="shared" si="2"/>
        <v>114</v>
      </c>
      <c r="L14">
        <f t="shared" si="2"/>
        <v>642</v>
      </c>
    </row>
    <row r="16" spans="1:13" x14ac:dyDescent="0.25">
      <c r="A16" s="18" t="s">
        <v>1029</v>
      </c>
    </row>
    <row r="17" spans="1:12" ht="15.75" thickBot="1" x14ac:dyDescent="0.3"/>
    <row r="18" spans="1:12" ht="15.75" thickBot="1" x14ac:dyDescent="0.3">
      <c r="A18" s="85" t="s">
        <v>31</v>
      </c>
      <c r="B18" s="86" t="s">
        <v>32</v>
      </c>
      <c r="C18" s="86"/>
      <c r="D18" s="86" t="s">
        <v>33</v>
      </c>
      <c r="E18" s="87" t="s">
        <v>34</v>
      </c>
      <c r="F18" s="86" t="s">
        <v>35</v>
      </c>
      <c r="G18" s="86" t="s">
        <v>36</v>
      </c>
      <c r="H18" s="86" t="s">
        <v>37</v>
      </c>
      <c r="I18" s="86" t="s">
        <v>38</v>
      </c>
      <c r="J18" s="87" t="s">
        <v>39</v>
      </c>
      <c r="K18" s="86" t="s">
        <v>40</v>
      </c>
      <c r="L18" s="87" t="s">
        <v>41</v>
      </c>
    </row>
    <row r="19" spans="1:12" ht="15.75" thickBot="1" x14ac:dyDescent="0.3">
      <c r="A19" s="190" t="s">
        <v>1007</v>
      </c>
      <c r="B19" s="533" t="s">
        <v>42</v>
      </c>
      <c r="C19" s="185" t="s">
        <v>27</v>
      </c>
      <c r="D19" s="534">
        <v>21</v>
      </c>
      <c r="E19" s="186">
        <v>16</v>
      </c>
      <c r="F19" s="534">
        <v>1</v>
      </c>
      <c r="G19" s="534">
        <v>4</v>
      </c>
      <c r="H19" s="534">
        <v>607</v>
      </c>
      <c r="I19" s="534">
        <v>378</v>
      </c>
      <c r="J19" s="186">
        <v>229</v>
      </c>
      <c r="K19" s="534">
        <v>10</v>
      </c>
      <c r="L19" s="186">
        <v>76</v>
      </c>
    </row>
    <row r="20" spans="1:12" ht="15.75" thickBot="1" x14ac:dyDescent="0.3">
      <c r="A20" s="558" t="s">
        <v>1007</v>
      </c>
      <c r="B20" s="744" t="s">
        <v>438</v>
      </c>
      <c r="C20" s="185" t="s">
        <v>24</v>
      </c>
      <c r="D20" s="534">
        <v>21</v>
      </c>
      <c r="E20" s="186">
        <v>15</v>
      </c>
      <c r="F20" s="534">
        <v>0</v>
      </c>
      <c r="G20" s="534">
        <v>6</v>
      </c>
      <c r="H20" s="534">
        <v>575</v>
      </c>
      <c r="I20" s="534">
        <v>384</v>
      </c>
      <c r="J20" s="186">
        <v>191</v>
      </c>
      <c r="K20" s="534">
        <v>10</v>
      </c>
      <c r="L20" s="186">
        <v>70</v>
      </c>
    </row>
    <row r="21" spans="1:12" ht="15.75" thickBot="1" x14ac:dyDescent="0.3">
      <c r="A21" s="190">
        <v>3</v>
      </c>
      <c r="B21" s="744" t="s">
        <v>438</v>
      </c>
      <c r="C21" s="185" t="s">
        <v>28</v>
      </c>
      <c r="D21" s="534">
        <v>21</v>
      </c>
      <c r="E21" s="186">
        <v>14</v>
      </c>
      <c r="F21" s="534">
        <v>1</v>
      </c>
      <c r="G21" s="534">
        <v>6</v>
      </c>
      <c r="H21" s="534">
        <v>431</v>
      </c>
      <c r="I21" s="534">
        <v>407</v>
      </c>
      <c r="J21" s="186">
        <v>24</v>
      </c>
      <c r="K21" s="534">
        <v>6</v>
      </c>
      <c r="L21" s="186">
        <v>64</v>
      </c>
    </row>
    <row r="22" spans="1:12" ht="15.75" thickBot="1" x14ac:dyDescent="0.3">
      <c r="A22" s="190">
        <v>4</v>
      </c>
      <c r="B22" s="744" t="s">
        <v>438</v>
      </c>
      <c r="C22" s="185" t="s">
        <v>30</v>
      </c>
      <c r="D22" s="534">
        <v>21</v>
      </c>
      <c r="E22" s="186">
        <v>13</v>
      </c>
      <c r="F22" s="534">
        <v>0</v>
      </c>
      <c r="G22" s="534">
        <v>8</v>
      </c>
      <c r="H22" s="534">
        <v>619</v>
      </c>
      <c r="I22" s="534">
        <v>421</v>
      </c>
      <c r="J22" s="186">
        <v>198</v>
      </c>
      <c r="K22" s="534">
        <v>11</v>
      </c>
      <c r="L22" s="186">
        <v>63</v>
      </c>
    </row>
    <row r="23" spans="1:12" ht="15.75" thickBot="1" x14ac:dyDescent="0.3">
      <c r="A23" s="784">
        <v>5</v>
      </c>
      <c r="B23" s="786" t="s">
        <v>407</v>
      </c>
      <c r="C23" s="787" t="s">
        <v>21</v>
      </c>
      <c r="D23" s="789">
        <v>21</v>
      </c>
      <c r="E23" s="790">
        <v>13</v>
      </c>
      <c r="F23" s="789">
        <v>1</v>
      </c>
      <c r="G23" s="789">
        <v>7</v>
      </c>
      <c r="H23" s="789">
        <v>596</v>
      </c>
      <c r="I23" s="789">
        <v>401</v>
      </c>
      <c r="J23" s="791">
        <v>195</v>
      </c>
      <c r="K23" s="789">
        <v>9</v>
      </c>
      <c r="L23" s="791">
        <v>63</v>
      </c>
    </row>
    <row r="24" spans="1:12" ht="15.75" thickBot="1" x14ac:dyDescent="0.3">
      <c r="A24" s="784">
        <v>6</v>
      </c>
      <c r="B24" s="785" t="s">
        <v>42</v>
      </c>
      <c r="C24" s="792" t="s">
        <v>189</v>
      </c>
      <c r="D24" s="788">
        <v>21</v>
      </c>
      <c r="E24" s="791">
        <v>11</v>
      </c>
      <c r="F24" s="788">
        <v>1</v>
      </c>
      <c r="G24" s="788">
        <v>9</v>
      </c>
      <c r="H24" s="788">
        <v>632</v>
      </c>
      <c r="I24" s="788">
        <v>487</v>
      </c>
      <c r="J24" s="791">
        <v>145</v>
      </c>
      <c r="K24" s="788">
        <v>12</v>
      </c>
      <c r="L24" s="791">
        <v>58</v>
      </c>
    </row>
    <row r="25" spans="1:12" ht="15.75" thickBot="1" x14ac:dyDescent="0.3">
      <c r="A25" s="88">
        <v>7</v>
      </c>
      <c r="B25" s="552" t="s">
        <v>42</v>
      </c>
      <c r="C25" s="89" t="s">
        <v>29</v>
      </c>
      <c r="D25" s="553">
        <v>21</v>
      </c>
      <c r="E25" s="90">
        <v>11</v>
      </c>
      <c r="F25" s="553">
        <v>0</v>
      </c>
      <c r="G25" s="553">
        <v>10</v>
      </c>
      <c r="H25" s="553">
        <v>481</v>
      </c>
      <c r="I25" s="553">
        <v>438</v>
      </c>
      <c r="J25" s="90">
        <v>43</v>
      </c>
      <c r="K25" s="553">
        <v>10</v>
      </c>
      <c r="L25" s="90">
        <v>54</v>
      </c>
    </row>
    <row r="26" spans="1:12" ht="15.75" thickBot="1" x14ac:dyDescent="0.3">
      <c r="A26" s="88">
        <v>8</v>
      </c>
      <c r="B26" s="552" t="s">
        <v>42</v>
      </c>
      <c r="C26" s="89" t="s">
        <v>10</v>
      </c>
      <c r="D26" s="553">
        <v>21</v>
      </c>
      <c r="E26" s="90">
        <v>10</v>
      </c>
      <c r="F26" s="553">
        <v>0</v>
      </c>
      <c r="G26" s="553">
        <v>11</v>
      </c>
      <c r="H26" s="553">
        <v>423</v>
      </c>
      <c r="I26" s="553">
        <v>477</v>
      </c>
      <c r="J26" s="90">
        <v>-54</v>
      </c>
      <c r="K26" s="553">
        <v>9</v>
      </c>
      <c r="L26" s="90">
        <v>49</v>
      </c>
    </row>
    <row r="27" spans="1:12" ht="15.75" thickBot="1" x14ac:dyDescent="0.3">
      <c r="A27" s="547">
        <v>9</v>
      </c>
      <c r="B27" s="548" t="s">
        <v>42</v>
      </c>
      <c r="C27" s="549" t="s">
        <v>26</v>
      </c>
      <c r="D27" s="550">
        <v>21</v>
      </c>
      <c r="E27" s="551">
        <v>9</v>
      </c>
      <c r="F27" s="550">
        <v>1</v>
      </c>
      <c r="G27" s="550">
        <v>11</v>
      </c>
      <c r="H27" s="550">
        <v>523</v>
      </c>
      <c r="I27" s="550">
        <v>525</v>
      </c>
      <c r="J27" s="551">
        <v>-2</v>
      </c>
      <c r="K27" s="550">
        <v>9</v>
      </c>
      <c r="L27" s="551">
        <v>47</v>
      </c>
    </row>
    <row r="28" spans="1:12" ht="15.75" thickBot="1" x14ac:dyDescent="0.3">
      <c r="A28" s="88">
        <v>10</v>
      </c>
      <c r="B28" s="552" t="s">
        <v>42</v>
      </c>
      <c r="C28" s="89" t="s">
        <v>13</v>
      </c>
      <c r="D28" s="553">
        <v>21</v>
      </c>
      <c r="E28" s="90">
        <v>7</v>
      </c>
      <c r="F28" s="553">
        <v>0</v>
      </c>
      <c r="G28" s="553">
        <v>14</v>
      </c>
      <c r="H28" s="553">
        <v>402</v>
      </c>
      <c r="I28" s="553">
        <v>538</v>
      </c>
      <c r="J28" s="90">
        <v>-136</v>
      </c>
      <c r="K28" s="553">
        <v>9</v>
      </c>
      <c r="L28" s="90">
        <v>37</v>
      </c>
    </row>
    <row r="29" spans="1:12" ht="15.75" thickBot="1" x14ac:dyDescent="0.3">
      <c r="A29" s="88">
        <v>11</v>
      </c>
      <c r="B29" s="552" t="s">
        <v>42</v>
      </c>
      <c r="C29" s="89" t="s">
        <v>66</v>
      </c>
      <c r="D29" s="553">
        <v>21</v>
      </c>
      <c r="E29" s="90">
        <v>4</v>
      </c>
      <c r="F29" s="553">
        <v>1</v>
      </c>
      <c r="G29" s="553">
        <v>16</v>
      </c>
      <c r="H29" s="553">
        <v>438</v>
      </c>
      <c r="I29" s="553">
        <v>524</v>
      </c>
      <c r="J29" s="90">
        <v>-86</v>
      </c>
      <c r="K29" s="553">
        <v>11</v>
      </c>
      <c r="L29" s="90">
        <v>29</v>
      </c>
    </row>
    <row r="30" spans="1:12" ht="15.75" thickBot="1" x14ac:dyDescent="0.3">
      <c r="A30" s="585" t="s">
        <v>53</v>
      </c>
      <c r="B30" s="586" t="s">
        <v>42</v>
      </c>
      <c r="C30" s="587" t="s">
        <v>15</v>
      </c>
      <c r="D30" s="588">
        <v>21</v>
      </c>
      <c r="E30" s="589">
        <v>0</v>
      </c>
      <c r="F30" s="588">
        <v>0</v>
      </c>
      <c r="G30" s="588">
        <v>21</v>
      </c>
      <c r="H30" s="588">
        <v>206</v>
      </c>
      <c r="I30" s="588">
        <v>953</v>
      </c>
      <c r="J30" s="589">
        <v>-747</v>
      </c>
      <c r="K30" s="588">
        <v>1</v>
      </c>
      <c r="L30" s="589">
        <v>1</v>
      </c>
    </row>
    <row r="31" spans="1:12" x14ac:dyDescent="0.25">
      <c r="A31" s="20"/>
      <c r="B31" s="620"/>
      <c r="C31" s="20"/>
      <c r="D31" s="621"/>
      <c r="E31" s="193"/>
      <c r="F31" s="621"/>
      <c r="G31" s="621"/>
      <c r="H31" s="621"/>
      <c r="I31" s="621"/>
      <c r="J31" s="193"/>
      <c r="K31" s="621"/>
      <c r="L31" s="193"/>
    </row>
    <row r="32" spans="1:12" x14ac:dyDescent="0.25">
      <c r="A32" s="18" t="s">
        <v>993</v>
      </c>
    </row>
    <row r="33" spans="1:12" ht="15.75" thickBot="1" x14ac:dyDescent="0.3"/>
    <row r="34" spans="1:12" ht="15.75" thickBot="1" x14ac:dyDescent="0.3">
      <c r="A34" s="85" t="s">
        <v>31</v>
      </c>
      <c r="B34" s="86" t="s">
        <v>32</v>
      </c>
      <c r="C34" s="86"/>
      <c r="D34" s="86" t="s">
        <v>33</v>
      </c>
      <c r="E34" s="87" t="s">
        <v>34</v>
      </c>
      <c r="F34" s="86" t="s">
        <v>35</v>
      </c>
      <c r="G34" s="86" t="s">
        <v>36</v>
      </c>
      <c r="H34" s="86" t="s">
        <v>37</v>
      </c>
      <c r="I34" s="86" t="s">
        <v>38</v>
      </c>
      <c r="J34" s="87" t="s">
        <v>39</v>
      </c>
      <c r="K34" s="86" t="s">
        <v>40</v>
      </c>
      <c r="L34" s="87" t="s">
        <v>41</v>
      </c>
    </row>
    <row r="35" spans="1:12" ht="15.75" thickBot="1" x14ac:dyDescent="0.3">
      <c r="A35" s="190">
        <v>1</v>
      </c>
      <c r="B35" s="533" t="s">
        <v>42</v>
      </c>
      <c r="C35" s="185" t="s">
        <v>27</v>
      </c>
      <c r="D35" s="534">
        <v>20</v>
      </c>
      <c r="E35" s="186">
        <v>15</v>
      </c>
      <c r="F35" s="534">
        <v>1</v>
      </c>
      <c r="G35" s="534">
        <v>4</v>
      </c>
      <c r="H35" s="534">
        <v>561</v>
      </c>
      <c r="I35" s="534">
        <v>378</v>
      </c>
      <c r="J35" s="186">
        <v>183</v>
      </c>
      <c r="K35" s="534">
        <v>9</v>
      </c>
      <c r="L35" s="186">
        <v>71</v>
      </c>
    </row>
    <row r="36" spans="1:12" ht="15.75" thickBot="1" x14ac:dyDescent="0.3">
      <c r="A36" s="558">
        <v>3</v>
      </c>
      <c r="B36" s="533" t="s">
        <v>42</v>
      </c>
      <c r="C36" s="185" t="s">
        <v>24</v>
      </c>
      <c r="D36" s="534">
        <v>20</v>
      </c>
      <c r="E36" s="186">
        <v>14</v>
      </c>
      <c r="F36" s="534">
        <v>0</v>
      </c>
      <c r="G36" s="534">
        <v>6</v>
      </c>
      <c r="H36" s="534">
        <v>548</v>
      </c>
      <c r="I36" s="534">
        <v>358</v>
      </c>
      <c r="J36" s="186">
        <v>190</v>
      </c>
      <c r="K36" s="534">
        <v>10</v>
      </c>
      <c r="L36" s="186">
        <v>66</v>
      </c>
    </row>
    <row r="37" spans="1:12" ht="15.75" thickBot="1" x14ac:dyDescent="0.3">
      <c r="A37" s="190">
        <v>2</v>
      </c>
      <c r="B37" s="533" t="s">
        <v>42</v>
      </c>
      <c r="C37" s="555" t="s">
        <v>21</v>
      </c>
      <c r="D37" s="556">
        <v>20</v>
      </c>
      <c r="E37" s="557">
        <v>13</v>
      </c>
      <c r="F37" s="556">
        <v>1</v>
      </c>
      <c r="G37" s="556">
        <v>6</v>
      </c>
      <c r="H37" s="556">
        <v>576</v>
      </c>
      <c r="I37" s="556">
        <v>377</v>
      </c>
      <c r="J37" s="186">
        <v>199</v>
      </c>
      <c r="K37" s="556">
        <v>8</v>
      </c>
      <c r="L37" s="186">
        <v>62</v>
      </c>
    </row>
    <row r="38" spans="1:12" ht="15.75" thickBot="1" x14ac:dyDescent="0.3">
      <c r="A38" s="190">
        <v>5</v>
      </c>
      <c r="B38" s="744" t="s">
        <v>438</v>
      </c>
      <c r="C38" s="185" t="s">
        <v>28</v>
      </c>
      <c r="D38" s="534">
        <v>20</v>
      </c>
      <c r="E38" s="186">
        <v>13</v>
      </c>
      <c r="F38" s="534">
        <v>1</v>
      </c>
      <c r="G38" s="534">
        <v>6</v>
      </c>
      <c r="H38" s="534">
        <v>405</v>
      </c>
      <c r="I38" s="534">
        <v>386</v>
      </c>
      <c r="J38" s="186">
        <v>19</v>
      </c>
      <c r="K38" s="534">
        <v>6</v>
      </c>
      <c r="L38" s="186">
        <v>60</v>
      </c>
    </row>
    <row r="39" spans="1:12" ht="15.75" thickBot="1" x14ac:dyDescent="0.3">
      <c r="A39" s="546">
        <v>4</v>
      </c>
      <c r="B39" s="730" t="s">
        <v>408</v>
      </c>
      <c r="C39" s="543" t="s">
        <v>30</v>
      </c>
      <c r="D39" s="544">
        <v>20</v>
      </c>
      <c r="E39" s="545">
        <v>12</v>
      </c>
      <c r="F39" s="544">
        <v>0</v>
      </c>
      <c r="G39" s="544">
        <v>8</v>
      </c>
      <c r="H39" s="544">
        <v>595</v>
      </c>
      <c r="I39" s="544">
        <v>401</v>
      </c>
      <c r="J39" s="545">
        <v>194</v>
      </c>
      <c r="K39" s="544">
        <v>11</v>
      </c>
      <c r="L39" s="545">
        <v>59</v>
      </c>
    </row>
    <row r="40" spans="1:12" ht="15.75" thickBot="1" x14ac:dyDescent="0.3">
      <c r="A40" s="546">
        <v>6</v>
      </c>
      <c r="B40" s="542" t="s">
        <v>42</v>
      </c>
      <c r="C40" s="543" t="s">
        <v>189</v>
      </c>
      <c r="D40" s="544">
        <v>20</v>
      </c>
      <c r="E40" s="545">
        <v>11</v>
      </c>
      <c r="F40" s="544">
        <v>1</v>
      </c>
      <c r="G40" s="544">
        <v>8</v>
      </c>
      <c r="H40" s="544">
        <v>611</v>
      </c>
      <c r="I40" s="544">
        <v>461</v>
      </c>
      <c r="J40" s="545">
        <v>150</v>
      </c>
      <c r="K40" s="544">
        <v>11</v>
      </c>
      <c r="L40" s="545">
        <v>57</v>
      </c>
    </row>
    <row r="41" spans="1:12" ht="15.75" thickBot="1" x14ac:dyDescent="0.3">
      <c r="A41" s="547">
        <v>7</v>
      </c>
      <c r="B41" s="548" t="s">
        <v>42</v>
      </c>
      <c r="C41" s="549" t="s">
        <v>29</v>
      </c>
      <c r="D41" s="550">
        <v>20</v>
      </c>
      <c r="E41" s="551">
        <v>10</v>
      </c>
      <c r="F41" s="550">
        <v>0</v>
      </c>
      <c r="G41" s="550">
        <v>10</v>
      </c>
      <c r="H41" s="550">
        <v>447</v>
      </c>
      <c r="I41" s="550">
        <v>410</v>
      </c>
      <c r="J41" s="551">
        <v>37</v>
      </c>
      <c r="K41" s="550">
        <v>9</v>
      </c>
      <c r="L41" s="551">
        <v>49</v>
      </c>
    </row>
    <row r="42" spans="1:12" ht="15.75" thickBot="1" x14ac:dyDescent="0.3">
      <c r="A42" s="88">
        <v>8</v>
      </c>
      <c r="B42" s="552" t="s">
        <v>42</v>
      </c>
      <c r="C42" s="89" t="s">
        <v>10</v>
      </c>
      <c r="D42" s="553">
        <v>20</v>
      </c>
      <c r="E42" s="90">
        <v>10</v>
      </c>
      <c r="F42" s="553">
        <v>0</v>
      </c>
      <c r="G42" s="553">
        <v>10</v>
      </c>
      <c r="H42" s="553">
        <v>397</v>
      </c>
      <c r="I42" s="553">
        <v>450</v>
      </c>
      <c r="J42" s="90">
        <v>-53</v>
      </c>
      <c r="K42" s="553">
        <v>8</v>
      </c>
      <c r="L42" s="90">
        <v>48</v>
      </c>
    </row>
    <row r="43" spans="1:12" ht="15.75" thickBot="1" x14ac:dyDescent="0.3">
      <c r="A43" s="88">
        <v>9</v>
      </c>
      <c r="B43" s="552" t="s">
        <v>42</v>
      </c>
      <c r="C43" s="89" t="s">
        <v>26</v>
      </c>
      <c r="D43" s="553">
        <v>20</v>
      </c>
      <c r="E43" s="90">
        <v>8</v>
      </c>
      <c r="F43" s="553">
        <v>1</v>
      </c>
      <c r="G43" s="553">
        <v>11</v>
      </c>
      <c r="H43" s="553">
        <v>488</v>
      </c>
      <c r="I43" s="553">
        <v>512</v>
      </c>
      <c r="J43" s="90">
        <v>-24</v>
      </c>
      <c r="K43" s="553">
        <v>9</v>
      </c>
      <c r="L43" s="90">
        <v>43</v>
      </c>
    </row>
    <row r="44" spans="1:12" ht="15.75" thickBot="1" x14ac:dyDescent="0.3">
      <c r="A44" s="88">
        <v>10</v>
      </c>
      <c r="B44" s="552" t="s">
        <v>42</v>
      </c>
      <c r="C44" s="89" t="s">
        <v>13</v>
      </c>
      <c r="D44" s="553">
        <v>20</v>
      </c>
      <c r="E44" s="90">
        <v>7</v>
      </c>
      <c r="F44" s="553">
        <v>0</v>
      </c>
      <c r="G44" s="553">
        <v>13</v>
      </c>
      <c r="H44" s="553">
        <v>389</v>
      </c>
      <c r="I44" s="553">
        <v>503</v>
      </c>
      <c r="J44" s="90">
        <v>-114</v>
      </c>
      <c r="K44" s="553">
        <v>9</v>
      </c>
      <c r="L44" s="90">
        <v>37</v>
      </c>
    </row>
    <row r="45" spans="1:12" ht="15.75" thickBot="1" x14ac:dyDescent="0.3">
      <c r="A45" s="88">
        <v>11</v>
      </c>
      <c r="B45" s="552" t="s">
        <v>42</v>
      </c>
      <c r="C45" s="89" t="s">
        <v>66</v>
      </c>
      <c r="D45" s="553">
        <v>20</v>
      </c>
      <c r="E45" s="90">
        <v>4</v>
      </c>
      <c r="F45" s="553">
        <v>1</v>
      </c>
      <c r="G45" s="553">
        <v>15</v>
      </c>
      <c r="H45" s="553">
        <v>410</v>
      </c>
      <c r="I45" s="553">
        <v>490</v>
      </c>
      <c r="J45" s="90">
        <v>-80</v>
      </c>
      <c r="K45" s="553">
        <v>10</v>
      </c>
      <c r="L45" s="90">
        <v>28</v>
      </c>
    </row>
    <row r="46" spans="1:12" ht="15.75" thickBot="1" x14ac:dyDescent="0.3">
      <c r="A46" s="585" t="s">
        <v>53</v>
      </c>
      <c r="B46" s="586" t="s">
        <v>42</v>
      </c>
      <c r="C46" s="587" t="s">
        <v>15</v>
      </c>
      <c r="D46" s="588">
        <v>20</v>
      </c>
      <c r="E46" s="589">
        <v>0</v>
      </c>
      <c r="F46" s="588">
        <v>0</v>
      </c>
      <c r="G46" s="588">
        <v>20</v>
      </c>
      <c r="H46" s="588">
        <v>206</v>
      </c>
      <c r="I46" s="588">
        <v>907</v>
      </c>
      <c r="J46" s="589">
        <v>-701</v>
      </c>
      <c r="K46" s="588">
        <v>1</v>
      </c>
      <c r="L46" s="589">
        <v>1</v>
      </c>
    </row>
    <row r="48" spans="1:12" x14ac:dyDescent="0.25">
      <c r="A48" s="18" t="s">
        <v>987</v>
      </c>
    </row>
    <row r="49" spans="1:12" ht="15.75" thickBot="1" x14ac:dyDescent="0.3"/>
    <row r="50" spans="1:12" ht="15.75" thickBot="1" x14ac:dyDescent="0.3">
      <c r="A50" s="85" t="s">
        <v>31</v>
      </c>
      <c r="B50" s="86" t="s">
        <v>32</v>
      </c>
      <c r="C50" s="86"/>
      <c r="D50" s="86" t="s">
        <v>33</v>
      </c>
      <c r="E50" s="87" t="s">
        <v>34</v>
      </c>
      <c r="F50" s="86" t="s">
        <v>35</v>
      </c>
      <c r="G50" s="86" t="s">
        <v>36</v>
      </c>
      <c r="H50" s="86" t="s">
        <v>37</v>
      </c>
      <c r="I50" s="86" t="s">
        <v>38</v>
      </c>
      <c r="J50" s="87" t="s">
        <v>39</v>
      </c>
      <c r="K50" s="86" t="s">
        <v>40</v>
      </c>
      <c r="L50" s="87" t="s">
        <v>41</v>
      </c>
    </row>
    <row r="51" spans="1:12" ht="15.75" thickBot="1" x14ac:dyDescent="0.3">
      <c r="A51" s="190">
        <v>1</v>
      </c>
      <c r="B51" s="533" t="s">
        <v>42</v>
      </c>
      <c r="C51" s="185" t="s">
        <v>27</v>
      </c>
      <c r="D51" s="534">
        <v>19</v>
      </c>
      <c r="E51" s="186">
        <v>14</v>
      </c>
      <c r="F51" s="534">
        <v>1</v>
      </c>
      <c r="G51" s="534">
        <v>4</v>
      </c>
      <c r="H51" s="534">
        <v>536</v>
      </c>
      <c r="I51" s="534">
        <v>358</v>
      </c>
      <c r="J51" s="186">
        <v>178</v>
      </c>
      <c r="K51" s="534">
        <v>9</v>
      </c>
      <c r="L51" s="186">
        <v>67</v>
      </c>
    </row>
    <row r="52" spans="1:12" ht="15.75" thickBot="1" x14ac:dyDescent="0.3">
      <c r="A52" s="190">
        <v>2</v>
      </c>
      <c r="B52" s="744" t="s">
        <v>438</v>
      </c>
      <c r="C52" s="555" t="s">
        <v>21</v>
      </c>
      <c r="D52" s="556">
        <v>19</v>
      </c>
      <c r="E52" s="557">
        <v>13</v>
      </c>
      <c r="F52" s="556">
        <v>1</v>
      </c>
      <c r="G52" s="556">
        <v>5</v>
      </c>
      <c r="H52" s="556">
        <v>556</v>
      </c>
      <c r="I52" s="556">
        <v>352</v>
      </c>
      <c r="J52" s="186">
        <v>204</v>
      </c>
      <c r="K52" s="556">
        <v>7</v>
      </c>
      <c r="L52" s="186">
        <v>61</v>
      </c>
    </row>
    <row r="53" spans="1:12" ht="15.75" thickBot="1" x14ac:dyDescent="0.3">
      <c r="A53" s="558">
        <v>3</v>
      </c>
      <c r="B53" s="744" t="s">
        <v>438</v>
      </c>
      <c r="C53" s="185" t="s">
        <v>24</v>
      </c>
      <c r="D53" s="534">
        <v>19</v>
      </c>
      <c r="E53" s="186">
        <v>13</v>
      </c>
      <c r="F53" s="534">
        <v>0</v>
      </c>
      <c r="G53" s="534">
        <v>6</v>
      </c>
      <c r="H53" s="534">
        <v>505</v>
      </c>
      <c r="I53" s="534">
        <v>340</v>
      </c>
      <c r="J53" s="186">
        <v>165</v>
      </c>
      <c r="K53" s="534">
        <v>9</v>
      </c>
      <c r="L53" s="186">
        <v>61</v>
      </c>
    </row>
    <row r="54" spans="1:12" ht="15.75" thickBot="1" x14ac:dyDescent="0.3">
      <c r="A54" s="190">
        <v>4</v>
      </c>
      <c r="B54" s="744" t="s">
        <v>438</v>
      </c>
      <c r="C54" s="185" t="s">
        <v>30</v>
      </c>
      <c r="D54" s="534">
        <v>19</v>
      </c>
      <c r="E54" s="186">
        <v>12</v>
      </c>
      <c r="F54" s="534">
        <v>0</v>
      </c>
      <c r="G54" s="534">
        <v>7</v>
      </c>
      <c r="H54" s="534">
        <v>566</v>
      </c>
      <c r="I54" s="534">
        <v>365</v>
      </c>
      <c r="J54" s="186">
        <v>201</v>
      </c>
      <c r="K54" s="534">
        <v>10</v>
      </c>
      <c r="L54" s="186">
        <v>58</v>
      </c>
    </row>
    <row r="55" spans="1:12" ht="15.75" thickBot="1" x14ac:dyDescent="0.3">
      <c r="A55" s="546">
        <v>5</v>
      </c>
      <c r="B55" s="730" t="s">
        <v>408</v>
      </c>
      <c r="C55" s="543" t="s">
        <v>28</v>
      </c>
      <c r="D55" s="544">
        <v>19</v>
      </c>
      <c r="E55" s="545">
        <v>12</v>
      </c>
      <c r="F55" s="544">
        <v>1</v>
      </c>
      <c r="G55" s="544">
        <v>6</v>
      </c>
      <c r="H55" s="544">
        <v>367</v>
      </c>
      <c r="I55" s="544">
        <v>369</v>
      </c>
      <c r="J55" s="545">
        <v>-2</v>
      </c>
      <c r="K55" s="544">
        <v>5</v>
      </c>
      <c r="L55" s="545">
        <v>55</v>
      </c>
    </row>
    <row r="56" spans="1:12" ht="15.75" thickBot="1" x14ac:dyDescent="0.3">
      <c r="A56" s="546">
        <v>6</v>
      </c>
      <c r="B56" s="542" t="s">
        <v>42</v>
      </c>
      <c r="C56" s="543" t="s">
        <v>189</v>
      </c>
      <c r="D56" s="544">
        <v>19</v>
      </c>
      <c r="E56" s="545">
        <v>10</v>
      </c>
      <c r="F56" s="544">
        <v>1</v>
      </c>
      <c r="G56" s="544">
        <v>8</v>
      </c>
      <c r="H56" s="544">
        <v>575</v>
      </c>
      <c r="I56" s="544">
        <v>432</v>
      </c>
      <c r="J56" s="545">
        <v>143</v>
      </c>
      <c r="K56" s="544">
        <v>11</v>
      </c>
      <c r="L56" s="545">
        <v>53</v>
      </c>
    </row>
    <row r="57" spans="1:12" ht="15.75" thickBot="1" x14ac:dyDescent="0.3">
      <c r="A57" s="547">
        <v>7</v>
      </c>
      <c r="B57" s="548" t="s">
        <v>42</v>
      </c>
      <c r="C57" s="549" t="s">
        <v>29</v>
      </c>
      <c r="D57" s="550">
        <v>19</v>
      </c>
      <c r="E57" s="551">
        <v>10</v>
      </c>
      <c r="F57" s="550">
        <v>0</v>
      </c>
      <c r="G57" s="550">
        <v>9</v>
      </c>
      <c r="H57" s="550">
        <v>424</v>
      </c>
      <c r="I57" s="550">
        <v>385</v>
      </c>
      <c r="J57" s="551">
        <v>39</v>
      </c>
      <c r="K57" s="550">
        <v>8</v>
      </c>
      <c r="L57" s="551">
        <v>48</v>
      </c>
    </row>
    <row r="58" spans="1:12" ht="15.75" thickBot="1" x14ac:dyDescent="0.3">
      <c r="A58" s="88">
        <v>8</v>
      </c>
      <c r="B58" s="552" t="s">
        <v>42</v>
      </c>
      <c r="C58" s="89" t="s">
        <v>10</v>
      </c>
      <c r="D58" s="553">
        <v>19</v>
      </c>
      <c r="E58" s="90">
        <v>9</v>
      </c>
      <c r="F58" s="553">
        <v>0</v>
      </c>
      <c r="G58" s="553">
        <v>10</v>
      </c>
      <c r="H58" s="553">
        <v>372</v>
      </c>
      <c r="I58" s="553">
        <v>427</v>
      </c>
      <c r="J58" s="90">
        <v>-55</v>
      </c>
      <c r="K58" s="553">
        <v>7</v>
      </c>
      <c r="L58" s="90">
        <v>43</v>
      </c>
    </row>
    <row r="59" spans="1:12" ht="15.75" thickBot="1" x14ac:dyDescent="0.3">
      <c r="A59" s="88">
        <v>9</v>
      </c>
      <c r="B59" s="552" t="s">
        <v>42</v>
      </c>
      <c r="C59" s="89" t="s">
        <v>26</v>
      </c>
      <c r="D59" s="553">
        <v>19</v>
      </c>
      <c r="E59" s="90">
        <v>7</v>
      </c>
      <c r="F59" s="553">
        <v>1</v>
      </c>
      <c r="G59" s="553">
        <v>11</v>
      </c>
      <c r="H59" s="553">
        <v>446</v>
      </c>
      <c r="I59" s="553">
        <v>472</v>
      </c>
      <c r="J59" s="90">
        <v>-26</v>
      </c>
      <c r="K59" s="553">
        <v>8</v>
      </c>
      <c r="L59" s="90">
        <v>38</v>
      </c>
    </row>
    <row r="60" spans="1:12" ht="15.75" thickBot="1" x14ac:dyDescent="0.3">
      <c r="A60" s="88">
        <v>10</v>
      </c>
      <c r="B60" s="552" t="s">
        <v>42</v>
      </c>
      <c r="C60" s="89" t="s">
        <v>13</v>
      </c>
      <c r="D60" s="553">
        <v>19</v>
      </c>
      <c r="E60" s="90">
        <v>7</v>
      </c>
      <c r="F60" s="553">
        <v>0</v>
      </c>
      <c r="G60" s="553">
        <v>12</v>
      </c>
      <c r="H60" s="553">
        <v>371</v>
      </c>
      <c r="I60" s="553">
        <v>460</v>
      </c>
      <c r="J60" s="90">
        <v>-89</v>
      </c>
      <c r="K60" s="553">
        <v>9</v>
      </c>
      <c r="L60" s="90">
        <v>37</v>
      </c>
    </row>
    <row r="61" spans="1:12" ht="15.75" thickBot="1" x14ac:dyDescent="0.3">
      <c r="A61" s="88">
        <v>11</v>
      </c>
      <c r="B61" s="552" t="s">
        <v>42</v>
      </c>
      <c r="C61" s="89" t="s">
        <v>66</v>
      </c>
      <c r="D61" s="553">
        <v>19</v>
      </c>
      <c r="E61" s="90">
        <v>4</v>
      </c>
      <c r="F61" s="553">
        <v>1</v>
      </c>
      <c r="G61" s="553">
        <v>14</v>
      </c>
      <c r="H61" s="553">
        <v>370</v>
      </c>
      <c r="I61" s="553">
        <v>448</v>
      </c>
      <c r="J61" s="90">
        <v>-78</v>
      </c>
      <c r="K61" s="553">
        <v>8</v>
      </c>
      <c r="L61" s="90">
        <v>26</v>
      </c>
    </row>
    <row r="62" spans="1:12" ht="15.75" thickBot="1" x14ac:dyDescent="0.3">
      <c r="A62" s="585" t="s">
        <v>53</v>
      </c>
      <c r="B62" s="586" t="s">
        <v>42</v>
      </c>
      <c r="C62" s="587" t="s">
        <v>15</v>
      </c>
      <c r="D62" s="588">
        <v>19</v>
      </c>
      <c r="E62" s="589">
        <v>0</v>
      </c>
      <c r="F62" s="588">
        <v>0</v>
      </c>
      <c r="G62" s="588">
        <v>19</v>
      </c>
      <c r="H62" s="588">
        <v>189</v>
      </c>
      <c r="I62" s="588">
        <v>869</v>
      </c>
      <c r="J62" s="589">
        <v>-680</v>
      </c>
      <c r="K62" s="588">
        <v>1</v>
      </c>
      <c r="L62" s="589">
        <v>1</v>
      </c>
    </row>
    <row r="64" spans="1:12" x14ac:dyDescent="0.25">
      <c r="A64" s="18" t="s">
        <v>970</v>
      </c>
    </row>
    <row r="65" spans="1:12" ht="15.75" thickBot="1" x14ac:dyDescent="0.3"/>
    <row r="66" spans="1:12" ht="15.75" thickBot="1" x14ac:dyDescent="0.3">
      <c r="A66" s="85" t="s">
        <v>31</v>
      </c>
      <c r="B66" s="86" t="s">
        <v>32</v>
      </c>
      <c r="C66" s="86"/>
      <c r="D66" s="86" t="s">
        <v>33</v>
      </c>
      <c r="E66" s="87" t="s">
        <v>34</v>
      </c>
      <c r="F66" s="86" t="s">
        <v>35</v>
      </c>
      <c r="G66" s="86" t="s">
        <v>36</v>
      </c>
      <c r="H66" s="86" t="s">
        <v>37</v>
      </c>
      <c r="I66" s="86" t="s">
        <v>38</v>
      </c>
      <c r="J66" s="87" t="s">
        <v>39</v>
      </c>
      <c r="K66" s="86" t="s">
        <v>40</v>
      </c>
      <c r="L66" s="87" t="s">
        <v>41</v>
      </c>
    </row>
    <row r="67" spans="1:12" ht="15.75" thickBot="1" x14ac:dyDescent="0.3">
      <c r="A67" s="190">
        <v>1</v>
      </c>
      <c r="B67" s="533" t="s">
        <v>42</v>
      </c>
      <c r="C67" s="185" t="s">
        <v>27</v>
      </c>
      <c r="D67" s="534">
        <v>18</v>
      </c>
      <c r="E67" s="186">
        <v>14</v>
      </c>
      <c r="F67" s="534">
        <v>1</v>
      </c>
      <c r="G67" s="534">
        <v>3</v>
      </c>
      <c r="H67" s="534">
        <v>526</v>
      </c>
      <c r="I67" s="534">
        <v>337</v>
      </c>
      <c r="J67" s="186">
        <v>189</v>
      </c>
      <c r="K67" s="534">
        <v>9</v>
      </c>
      <c r="L67" s="186">
        <v>67</v>
      </c>
    </row>
    <row r="68" spans="1:12" ht="15.75" thickBot="1" x14ac:dyDescent="0.3">
      <c r="A68" s="190">
        <v>2</v>
      </c>
      <c r="B68" s="744" t="s">
        <v>438</v>
      </c>
      <c r="C68" s="555" t="s">
        <v>21</v>
      </c>
      <c r="D68" s="556">
        <v>18</v>
      </c>
      <c r="E68" s="557">
        <v>12</v>
      </c>
      <c r="F68" s="556">
        <v>1</v>
      </c>
      <c r="G68" s="556">
        <v>5</v>
      </c>
      <c r="H68" s="556">
        <v>534</v>
      </c>
      <c r="I68" s="556">
        <v>346</v>
      </c>
      <c r="J68" s="186">
        <v>188</v>
      </c>
      <c r="K68" s="556">
        <v>7</v>
      </c>
      <c r="L68" s="186">
        <v>57</v>
      </c>
    </row>
    <row r="69" spans="1:12" ht="15.75" thickBot="1" x14ac:dyDescent="0.3">
      <c r="A69" s="558">
        <v>3</v>
      </c>
      <c r="B69" s="744" t="s">
        <v>438</v>
      </c>
      <c r="C69" s="185" t="s">
        <v>24</v>
      </c>
      <c r="D69" s="534">
        <v>18</v>
      </c>
      <c r="E69" s="186">
        <v>12</v>
      </c>
      <c r="F69" s="534">
        <v>0</v>
      </c>
      <c r="G69" s="534">
        <v>6</v>
      </c>
      <c r="H69" s="534">
        <v>476</v>
      </c>
      <c r="I69" s="534">
        <v>321</v>
      </c>
      <c r="J69" s="186">
        <v>155</v>
      </c>
      <c r="K69" s="534">
        <v>8</v>
      </c>
      <c r="L69" s="186">
        <v>56</v>
      </c>
    </row>
    <row r="70" spans="1:12" ht="15.75" thickBot="1" x14ac:dyDescent="0.3">
      <c r="A70" s="190">
        <v>4</v>
      </c>
      <c r="B70" s="744" t="s">
        <v>438</v>
      </c>
      <c r="C70" s="185" t="s">
        <v>28</v>
      </c>
      <c r="D70" s="534">
        <v>18</v>
      </c>
      <c r="E70" s="186">
        <v>12</v>
      </c>
      <c r="F70" s="534">
        <v>1</v>
      </c>
      <c r="G70" s="534">
        <v>5</v>
      </c>
      <c r="H70" s="534">
        <v>361</v>
      </c>
      <c r="I70" s="534">
        <v>347</v>
      </c>
      <c r="J70" s="186">
        <v>14</v>
      </c>
      <c r="K70" s="534">
        <v>5</v>
      </c>
      <c r="L70" s="186">
        <v>55</v>
      </c>
    </row>
    <row r="71" spans="1:12" ht="15.75" thickBot="1" x14ac:dyDescent="0.3">
      <c r="A71" s="546">
        <v>5</v>
      </c>
      <c r="B71" s="730" t="s">
        <v>407</v>
      </c>
      <c r="C71" s="543" t="s">
        <v>30</v>
      </c>
      <c r="D71" s="544">
        <v>18</v>
      </c>
      <c r="E71" s="545">
        <v>11</v>
      </c>
      <c r="F71" s="544">
        <v>0</v>
      </c>
      <c r="G71" s="544">
        <v>7</v>
      </c>
      <c r="H71" s="544">
        <v>545</v>
      </c>
      <c r="I71" s="544">
        <v>355</v>
      </c>
      <c r="J71" s="545">
        <v>190</v>
      </c>
      <c r="K71" s="544">
        <v>10</v>
      </c>
      <c r="L71" s="545">
        <v>54</v>
      </c>
    </row>
    <row r="72" spans="1:12" ht="15.75" thickBot="1" x14ac:dyDescent="0.3">
      <c r="A72" s="546">
        <v>6</v>
      </c>
      <c r="B72" s="542" t="s">
        <v>42</v>
      </c>
      <c r="C72" s="543" t="s">
        <v>189</v>
      </c>
      <c r="D72" s="544">
        <v>18</v>
      </c>
      <c r="E72" s="545">
        <v>9</v>
      </c>
      <c r="F72" s="544">
        <v>1</v>
      </c>
      <c r="G72" s="544">
        <v>8</v>
      </c>
      <c r="H72" s="544">
        <v>535</v>
      </c>
      <c r="I72" s="544">
        <v>419</v>
      </c>
      <c r="J72" s="545">
        <v>116</v>
      </c>
      <c r="K72" s="544">
        <v>10</v>
      </c>
      <c r="L72" s="545">
        <v>48</v>
      </c>
    </row>
    <row r="73" spans="1:12" ht="15.75" thickBot="1" x14ac:dyDescent="0.3">
      <c r="A73" s="547">
        <v>7</v>
      </c>
      <c r="B73" s="548" t="s">
        <v>42</v>
      </c>
      <c r="C73" s="549" t="s">
        <v>29</v>
      </c>
      <c r="D73" s="550">
        <v>18</v>
      </c>
      <c r="E73" s="551">
        <v>10</v>
      </c>
      <c r="F73" s="550">
        <v>0</v>
      </c>
      <c r="G73" s="550">
        <v>8</v>
      </c>
      <c r="H73" s="550">
        <v>401</v>
      </c>
      <c r="I73" s="550">
        <v>360</v>
      </c>
      <c r="J73" s="551">
        <v>41</v>
      </c>
      <c r="K73" s="550">
        <v>7</v>
      </c>
      <c r="L73" s="551">
        <v>47</v>
      </c>
    </row>
    <row r="74" spans="1:12" ht="15.75" thickBot="1" x14ac:dyDescent="0.3">
      <c r="A74" s="88">
        <v>8</v>
      </c>
      <c r="B74" s="552" t="s">
        <v>42</v>
      </c>
      <c r="C74" s="89" t="s">
        <v>10</v>
      </c>
      <c r="D74" s="553">
        <v>18</v>
      </c>
      <c r="E74" s="90">
        <v>8</v>
      </c>
      <c r="F74" s="553">
        <v>0</v>
      </c>
      <c r="G74" s="553">
        <v>10</v>
      </c>
      <c r="H74" s="553">
        <v>343</v>
      </c>
      <c r="I74" s="553">
        <v>401</v>
      </c>
      <c r="J74" s="90">
        <v>-58</v>
      </c>
      <c r="K74" s="553">
        <v>7</v>
      </c>
      <c r="L74" s="90">
        <v>39</v>
      </c>
    </row>
    <row r="75" spans="1:12" ht="15.75" thickBot="1" x14ac:dyDescent="0.3">
      <c r="A75" s="88">
        <v>9</v>
      </c>
      <c r="B75" s="552" t="s">
        <v>42</v>
      </c>
      <c r="C75" s="89" t="s">
        <v>26</v>
      </c>
      <c r="D75" s="553">
        <v>18</v>
      </c>
      <c r="E75" s="90">
        <v>7</v>
      </c>
      <c r="F75" s="553">
        <v>1</v>
      </c>
      <c r="G75" s="553">
        <v>10</v>
      </c>
      <c r="H75" s="553">
        <v>420</v>
      </c>
      <c r="I75" s="553">
        <v>443</v>
      </c>
      <c r="J75" s="90">
        <v>-23</v>
      </c>
      <c r="K75" s="553">
        <v>7</v>
      </c>
      <c r="L75" s="90">
        <v>37</v>
      </c>
    </row>
    <row r="76" spans="1:12" ht="15.75" thickBot="1" x14ac:dyDescent="0.3">
      <c r="A76" s="88">
        <v>10</v>
      </c>
      <c r="B76" s="552" t="s">
        <v>42</v>
      </c>
      <c r="C76" s="89" t="s">
        <v>13</v>
      </c>
      <c r="D76" s="553">
        <v>18</v>
      </c>
      <c r="E76" s="90">
        <v>6</v>
      </c>
      <c r="F76" s="553">
        <v>0</v>
      </c>
      <c r="G76" s="553">
        <v>12</v>
      </c>
      <c r="H76" s="553">
        <v>346</v>
      </c>
      <c r="I76" s="553">
        <v>437</v>
      </c>
      <c r="J76" s="90">
        <v>-91</v>
      </c>
      <c r="K76" s="553">
        <v>9</v>
      </c>
      <c r="L76" s="90">
        <v>33</v>
      </c>
    </row>
    <row r="77" spans="1:12" ht="15.75" thickBot="1" x14ac:dyDescent="0.3">
      <c r="A77" s="88">
        <v>11</v>
      </c>
      <c r="B77" s="552" t="s">
        <v>42</v>
      </c>
      <c r="C77" s="89" t="s">
        <v>66</v>
      </c>
      <c r="D77" s="553">
        <v>18</v>
      </c>
      <c r="E77" s="90">
        <v>4</v>
      </c>
      <c r="F77" s="553">
        <v>1</v>
      </c>
      <c r="G77" s="553">
        <v>13</v>
      </c>
      <c r="H77" s="553">
        <v>351</v>
      </c>
      <c r="I77" s="553">
        <v>419</v>
      </c>
      <c r="J77" s="90">
        <v>-68</v>
      </c>
      <c r="K77" s="553">
        <v>8</v>
      </c>
      <c r="L77" s="90">
        <v>26</v>
      </c>
    </row>
    <row r="78" spans="1:12" ht="15.75" thickBot="1" x14ac:dyDescent="0.3">
      <c r="A78" s="585" t="s">
        <v>53</v>
      </c>
      <c r="B78" s="586" t="s">
        <v>42</v>
      </c>
      <c r="C78" s="587" t="s">
        <v>15</v>
      </c>
      <c r="D78" s="588">
        <v>18</v>
      </c>
      <c r="E78" s="589">
        <v>0</v>
      </c>
      <c r="F78" s="588">
        <v>0</v>
      </c>
      <c r="G78" s="588">
        <v>18</v>
      </c>
      <c r="H78" s="588">
        <v>176</v>
      </c>
      <c r="I78" s="588">
        <v>829</v>
      </c>
      <c r="J78" s="589">
        <v>-653</v>
      </c>
      <c r="K78" s="588">
        <v>1</v>
      </c>
      <c r="L78" s="589">
        <v>1</v>
      </c>
    </row>
    <row r="80" spans="1:12" x14ac:dyDescent="0.25">
      <c r="A80" s="18" t="s">
        <v>951</v>
      </c>
    </row>
    <row r="81" spans="1:12" ht="15.75" thickBot="1" x14ac:dyDescent="0.3"/>
    <row r="82" spans="1:12" ht="15.75" thickBot="1" x14ac:dyDescent="0.3">
      <c r="A82" s="85" t="s">
        <v>31</v>
      </c>
      <c r="B82" s="86" t="s">
        <v>32</v>
      </c>
      <c r="C82" s="86"/>
      <c r="D82" s="86" t="s">
        <v>33</v>
      </c>
      <c r="E82" s="87" t="s">
        <v>34</v>
      </c>
      <c r="F82" s="86" t="s">
        <v>35</v>
      </c>
      <c r="G82" s="86" t="s">
        <v>36</v>
      </c>
      <c r="H82" s="86" t="s">
        <v>37</v>
      </c>
      <c r="I82" s="86" t="s">
        <v>38</v>
      </c>
      <c r="J82" s="87" t="s">
        <v>39</v>
      </c>
      <c r="K82" s="86" t="s">
        <v>40</v>
      </c>
      <c r="L82" s="87" t="s">
        <v>41</v>
      </c>
    </row>
    <row r="83" spans="1:12" ht="15.75" thickBot="1" x14ac:dyDescent="0.3">
      <c r="A83" s="190">
        <v>1</v>
      </c>
      <c r="B83" s="533" t="s">
        <v>42</v>
      </c>
      <c r="C83" s="185" t="s">
        <v>27</v>
      </c>
      <c r="D83" s="534">
        <v>17</v>
      </c>
      <c r="E83" s="186">
        <v>13</v>
      </c>
      <c r="F83" s="534">
        <v>1</v>
      </c>
      <c r="G83" s="534">
        <v>3</v>
      </c>
      <c r="H83" s="534">
        <v>474</v>
      </c>
      <c r="I83" s="534">
        <v>307</v>
      </c>
      <c r="J83" s="186">
        <v>167</v>
      </c>
      <c r="K83" s="534">
        <v>8</v>
      </c>
      <c r="L83" s="186">
        <v>62</v>
      </c>
    </row>
    <row r="84" spans="1:12" ht="15.75" thickBot="1" x14ac:dyDescent="0.3">
      <c r="A84" s="190">
        <v>2</v>
      </c>
      <c r="B84" s="744" t="s">
        <v>438</v>
      </c>
      <c r="C84" s="185" t="s">
        <v>30</v>
      </c>
      <c r="D84" s="534">
        <v>17</v>
      </c>
      <c r="E84" s="186">
        <v>11</v>
      </c>
      <c r="F84" s="534">
        <v>0</v>
      </c>
      <c r="G84" s="534">
        <v>6</v>
      </c>
      <c r="H84" s="534">
        <v>527</v>
      </c>
      <c r="I84" s="534">
        <v>330</v>
      </c>
      <c r="J84" s="186">
        <v>197</v>
      </c>
      <c r="K84" s="534">
        <v>9</v>
      </c>
      <c r="L84" s="186">
        <v>53</v>
      </c>
    </row>
    <row r="85" spans="1:12" ht="15.75" thickBot="1" x14ac:dyDescent="0.3">
      <c r="A85" s="190">
        <v>3</v>
      </c>
      <c r="B85" s="744" t="s">
        <v>408</v>
      </c>
      <c r="C85" s="555" t="s">
        <v>21</v>
      </c>
      <c r="D85" s="556">
        <v>17</v>
      </c>
      <c r="E85" s="557">
        <v>11</v>
      </c>
      <c r="F85" s="556">
        <v>1</v>
      </c>
      <c r="G85" s="556">
        <v>5</v>
      </c>
      <c r="H85" s="556">
        <v>492</v>
      </c>
      <c r="I85" s="556">
        <v>332</v>
      </c>
      <c r="J85" s="186">
        <v>160</v>
      </c>
      <c r="K85" s="556">
        <v>6</v>
      </c>
      <c r="L85" s="186">
        <v>52</v>
      </c>
    </row>
    <row r="86" spans="1:12" ht="15.75" thickBot="1" x14ac:dyDescent="0.3">
      <c r="A86" s="558">
        <v>4</v>
      </c>
      <c r="B86" s="744" t="s">
        <v>438</v>
      </c>
      <c r="C86" s="185" t="s">
        <v>24</v>
      </c>
      <c r="D86" s="534">
        <v>17</v>
      </c>
      <c r="E86" s="186">
        <v>11</v>
      </c>
      <c r="F86" s="534">
        <v>0</v>
      </c>
      <c r="G86" s="534">
        <v>6</v>
      </c>
      <c r="H86" s="534">
        <v>447</v>
      </c>
      <c r="I86" s="534">
        <v>307</v>
      </c>
      <c r="J86" s="186">
        <v>140</v>
      </c>
      <c r="K86" s="534">
        <v>7</v>
      </c>
      <c r="L86" s="186">
        <v>51</v>
      </c>
    </row>
    <row r="87" spans="1:12" ht="15.75" thickBot="1" x14ac:dyDescent="0.3">
      <c r="A87" s="546">
        <v>5</v>
      </c>
      <c r="B87" s="730" t="s">
        <v>438</v>
      </c>
      <c r="C87" s="543" t="s">
        <v>28</v>
      </c>
      <c r="D87" s="544">
        <v>17</v>
      </c>
      <c r="E87" s="545">
        <v>11</v>
      </c>
      <c r="F87" s="544">
        <v>1</v>
      </c>
      <c r="G87" s="544">
        <v>5</v>
      </c>
      <c r="H87" s="544">
        <v>336</v>
      </c>
      <c r="I87" s="544">
        <v>329</v>
      </c>
      <c r="J87" s="545">
        <v>7</v>
      </c>
      <c r="K87" s="544">
        <v>5</v>
      </c>
      <c r="L87" s="545">
        <v>51</v>
      </c>
    </row>
    <row r="88" spans="1:12" ht="15.75" thickBot="1" x14ac:dyDescent="0.3">
      <c r="A88" s="546">
        <v>6</v>
      </c>
      <c r="B88" s="730" t="s">
        <v>407</v>
      </c>
      <c r="C88" s="543" t="s">
        <v>189</v>
      </c>
      <c r="D88" s="544">
        <v>17</v>
      </c>
      <c r="E88" s="545">
        <v>9</v>
      </c>
      <c r="F88" s="544">
        <v>1</v>
      </c>
      <c r="G88" s="544">
        <v>7</v>
      </c>
      <c r="H88" s="544">
        <v>505</v>
      </c>
      <c r="I88" s="544">
        <v>367</v>
      </c>
      <c r="J88" s="545">
        <v>138</v>
      </c>
      <c r="K88" s="544">
        <v>10</v>
      </c>
      <c r="L88" s="545">
        <v>48</v>
      </c>
    </row>
    <row r="89" spans="1:12" ht="15.75" thickBot="1" x14ac:dyDescent="0.3">
      <c r="A89" s="547">
        <v>7</v>
      </c>
      <c r="B89" s="548" t="s">
        <v>42</v>
      </c>
      <c r="C89" s="549" t="s">
        <v>29</v>
      </c>
      <c r="D89" s="550">
        <v>17</v>
      </c>
      <c r="E89" s="551">
        <v>9</v>
      </c>
      <c r="F89" s="550">
        <v>0</v>
      </c>
      <c r="G89" s="550">
        <v>8</v>
      </c>
      <c r="H89" s="550">
        <v>378</v>
      </c>
      <c r="I89" s="550">
        <v>354</v>
      </c>
      <c r="J89" s="551">
        <v>24</v>
      </c>
      <c r="K89" s="550">
        <v>7</v>
      </c>
      <c r="L89" s="551">
        <v>43</v>
      </c>
    </row>
    <row r="90" spans="1:12" ht="15.75" thickBot="1" x14ac:dyDescent="0.3">
      <c r="A90" s="88">
        <v>8</v>
      </c>
      <c r="B90" s="732" t="s">
        <v>438</v>
      </c>
      <c r="C90" s="89" t="s">
        <v>10</v>
      </c>
      <c r="D90" s="553">
        <v>17</v>
      </c>
      <c r="E90" s="90">
        <v>8</v>
      </c>
      <c r="F90" s="553">
        <v>0</v>
      </c>
      <c r="G90" s="553">
        <v>9</v>
      </c>
      <c r="H90" s="553">
        <v>329</v>
      </c>
      <c r="I90" s="553">
        <v>359</v>
      </c>
      <c r="J90" s="90">
        <v>-30</v>
      </c>
      <c r="K90" s="553">
        <v>7</v>
      </c>
      <c r="L90" s="90">
        <v>39</v>
      </c>
    </row>
    <row r="91" spans="1:12" ht="15.75" thickBot="1" x14ac:dyDescent="0.3">
      <c r="A91" s="88">
        <v>9</v>
      </c>
      <c r="B91" s="732" t="s">
        <v>408</v>
      </c>
      <c r="C91" s="89" t="s">
        <v>26</v>
      </c>
      <c r="D91" s="553">
        <v>17</v>
      </c>
      <c r="E91" s="90">
        <v>7</v>
      </c>
      <c r="F91" s="553">
        <v>1</v>
      </c>
      <c r="G91" s="553">
        <v>9</v>
      </c>
      <c r="H91" s="553">
        <v>414</v>
      </c>
      <c r="I91" s="553">
        <v>420</v>
      </c>
      <c r="J91" s="90">
        <v>-6</v>
      </c>
      <c r="K91" s="553">
        <v>7</v>
      </c>
      <c r="L91" s="90">
        <v>37</v>
      </c>
    </row>
    <row r="92" spans="1:12" ht="15.75" thickBot="1" x14ac:dyDescent="0.3">
      <c r="A92" s="88">
        <v>10</v>
      </c>
      <c r="B92" s="552" t="s">
        <v>42</v>
      </c>
      <c r="C92" s="89" t="s">
        <v>13</v>
      </c>
      <c r="D92" s="553">
        <v>17</v>
      </c>
      <c r="E92" s="90">
        <v>5</v>
      </c>
      <c r="F92" s="553">
        <v>0</v>
      </c>
      <c r="G92" s="553">
        <v>12</v>
      </c>
      <c r="H92" s="553">
        <v>324</v>
      </c>
      <c r="I92" s="553">
        <v>416</v>
      </c>
      <c r="J92" s="90">
        <v>-92</v>
      </c>
      <c r="K92" s="553">
        <v>9</v>
      </c>
      <c r="L92" s="90">
        <v>29</v>
      </c>
    </row>
    <row r="93" spans="1:12" ht="15.75" thickBot="1" x14ac:dyDescent="0.3">
      <c r="A93" s="88">
        <v>11</v>
      </c>
      <c r="B93" s="552" t="s">
        <v>42</v>
      </c>
      <c r="C93" s="89" t="s">
        <v>66</v>
      </c>
      <c r="D93" s="553">
        <v>17</v>
      </c>
      <c r="E93" s="90">
        <v>4</v>
      </c>
      <c r="F93" s="553">
        <v>1</v>
      </c>
      <c r="G93" s="553">
        <v>12</v>
      </c>
      <c r="H93" s="553">
        <v>330</v>
      </c>
      <c r="I93" s="553">
        <v>397</v>
      </c>
      <c r="J93" s="90">
        <v>-67</v>
      </c>
      <c r="K93" s="553">
        <v>7</v>
      </c>
      <c r="L93" s="90">
        <v>25</v>
      </c>
    </row>
    <row r="94" spans="1:12" ht="15.75" thickBot="1" x14ac:dyDescent="0.3">
      <c r="A94" s="585">
        <v>12</v>
      </c>
      <c r="B94" s="586" t="s">
        <v>42</v>
      </c>
      <c r="C94" s="587" t="s">
        <v>15</v>
      </c>
      <c r="D94" s="588">
        <v>17</v>
      </c>
      <c r="E94" s="589">
        <v>0</v>
      </c>
      <c r="F94" s="588">
        <v>0</v>
      </c>
      <c r="G94" s="588">
        <v>17</v>
      </c>
      <c r="H94" s="588">
        <v>162</v>
      </c>
      <c r="I94" s="588">
        <v>800</v>
      </c>
      <c r="J94" s="589">
        <v>-638</v>
      </c>
      <c r="K94" s="588">
        <v>1</v>
      </c>
      <c r="L94" s="589">
        <v>1</v>
      </c>
    </row>
    <row r="96" spans="1:12" x14ac:dyDescent="0.25">
      <c r="A96" s="18" t="s">
        <v>915</v>
      </c>
    </row>
    <row r="97" spans="1:12" ht="15.75" thickBot="1" x14ac:dyDescent="0.3"/>
    <row r="98" spans="1:12" ht="15.75" thickBot="1" x14ac:dyDescent="0.3">
      <c r="A98" s="85" t="s">
        <v>31</v>
      </c>
      <c r="B98" s="86" t="s">
        <v>32</v>
      </c>
      <c r="C98" s="86"/>
      <c r="D98" s="86" t="s">
        <v>33</v>
      </c>
      <c r="E98" s="87" t="s">
        <v>34</v>
      </c>
      <c r="F98" s="86" t="s">
        <v>35</v>
      </c>
      <c r="G98" s="86" t="s">
        <v>36</v>
      </c>
      <c r="H98" s="86" t="s">
        <v>37</v>
      </c>
      <c r="I98" s="86" t="s">
        <v>38</v>
      </c>
      <c r="J98" s="87" t="s">
        <v>39</v>
      </c>
      <c r="K98" s="86" t="s">
        <v>40</v>
      </c>
      <c r="L98" s="87" t="s">
        <v>41</v>
      </c>
    </row>
    <row r="99" spans="1:12" ht="15.75" thickBot="1" x14ac:dyDescent="0.3">
      <c r="A99" s="190">
        <v>1</v>
      </c>
      <c r="B99" s="533" t="s">
        <v>42</v>
      </c>
      <c r="C99" s="185" t="s">
        <v>27</v>
      </c>
      <c r="D99" s="534">
        <v>16</v>
      </c>
      <c r="E99" s="186">
        <v>13</v>
      </c>
      <c r="F99" s="534">
        <v>0</v>
      </c>
      <c r="G99" s="534">
        <v>3</v>
      </c>
      <c r="H99" s="534">
        <v>441</v>
      </c>
      <c r="I99" s="534">
        <v>274</v>
      </c>
      <c r="J99" s="186">
        <v>167</v>
      </c>
      <c r="K99" s="534">
        <v>8</v>
      </c>
      <c r="L99" s="186">
        <v>60</v>
      </c>
    </row>
    <row r="100" spans="1:12" ht="15.75" thickBot="1" x14ac:dyDescent="0.3">
      <c r="A100" s="190">
        <v>2</v>
      </c>
      <c r="B100" s="744" t="s">
        <v>438</v>
      </c>
      <c r="C100" s="555" t="s">
        <v>21</v>
      </c>
      <c r="D100" s="556">
        <v>16</v>
      </c>
      <c r="E100" s="557">
        <v>10</v>
      </c>
      <c r="F100" s="556">
        <v>1</v>
      </c>
      <c r="G100" s="556">
        <v>5</v>
      </c>
      <c r="H100" s="556">
        <v>466</v>
      </c>
      <c r="I100" s="556">
        <v>315</v>
      </c>
      <c r="J100" s="186">
        <v>151</v>
      </c>
      <c r="K100" s="556">
        <v>6</v>
      </c>
      <c r="L100" s="186">
        <v>48</v>
      </c>
    </row>
    <row r="101" spans="1:12" ht="15.75" thickBot="1" x14ac:dyDescent="0.3">
      <c r="A101" s="190">
        <v>3</v>
      </c>
      <c r="B101" s="744" t="s">
        <v>438</v>
      </c>
      <c r="C101" s="185" t="s">
        <v>30</v>
      </c>
      <c r="D101" s="534">
        <v>16</v>
      </c>
      <c r="E101" s="186">
        <v>10</v>
      </c>
      <c r="F101" s="534">
        <v>0</v>
      </c>
      <c r="G101" s="534">
        <v>6</v>
      </c>
      <c r="H101" s="534">
        <v>453</v>
      </c>
      <c r="I101" s="534">
        <v>311</v>
      </c>
      <c r="J101" s="186">
        <v>142</v>
      </c>
      <c r="K101" s="534">
        <v>8</v>
      </c>
      <c r="L101" s="186">
        <v>48</v>
      </c>
    </row>
    <row r="102" spans="1:12" ht="15.75" thickBot="1" x14ac:dyDescent="0.3">
      <c r="A102" s="190">
        <v>4</v>
      </c>
      <c r="B102" s="744" t="s">
        <v>404</v>
      </c>
      <c r="C102" s="185" t="s">
        <v>189</v>
      </c>
      <c r="D102" s="534">
        <v>16</v>
      </c>
      <c r="E102" s="186">
        <v>9</v>
      </c>
      <c r="F102" s="534">
        <v>1</v>
      </c>
      <c r="G102" s="534">
        <v>6</v>
      </c>
      <c r="H102" s="534">
        <v>488</v>
      </c>
      <c r="I102" s="534">
        <v>341</v>
      </c>
      <c r="J102" s="186">
        <v>147</v>
      </c>
      <c r="K102" s="534">
        <v>10</v>
      </c>
      <c r="L102" s="186">
        <v>48</v>
      </c>
    </row>
    <row r="103" spans="1:12" ht="15.75" thickBot="1" x14ac:dyDescent="0.3">
      <c r="A103" s="541">
        <v>5</v>
      </c>
      <c r="B103" s="730" t="s">
        <v>405</v>
      </c>
      <c r="C103" s="543" t="s">
        <v>24</v>
      </c>
      <c r="D103" s="544">
        <v>16</v>
      </c>
      <c r="E103" s="545">
        <v>10</v>
      </c>
      <c r="F103" s="544">
        <v>0</v>
      </c>
      <c r="G103" s="544">
        <v>6</v>
      </c>
      <c r="H103" s="544">
        <v>435</v>
      </c>
      <c r="I103" s="544">
        <v>304</v>
      </c>
      <c r="J103" s="545">
        <v>131</v>
      </c>
      <c r="K103" s="544">
        <v>7</v>
      </c>
      <c r="L103" s="545">
        <v>47</v>
      </c>
    </row>
    <row r="104" spans="1:12" ht="15.75" thickBot="1" x14ac:dyDescent="0.3">
      <c r="A104" s="546">
        <v>6</v>
      </c>
      <c r="B104" s="542" t="s">
        <v>42</v>
      </c>
      <c r="C104" s="543" t="s">
        <v>28</v>
      </c>
      <c r="D104" s="544">
        <v>16</v>
      </c>
      <c r="E104" s="545">
        <v>10</v>
      </c>
      <c r="F104" s="544">
        <v>1</v>
      </c>
      <c r="G104" s="544">
        <v>5</v>
      </c>
      <c r="H104" s="544">
        <v>320</v>
      </c>
      <c r="I104" s="544">
        <v>317</v>
      </c>
      <c r="J104" s="545">
        <v>3</v>
      </c>
      <c r="K104" s="544">
        <v>5</v>
      </c>
      <c r="L104" s="545">
        <v>47</v>
      </c>
    </row>
    <row r="105" spans="1:12" ht="15.75" thickBot="1" x14ac:dyDescent="0.3">
      <c r="A105" s="547">
        <v>7</v>
      </c>
      <c r="B105" s="731" t="s">
        <v>407</v>
      </c>
      <c r="C105" s="549" t="s">
        <v>29</v>
      </c>
      <c r="D105" s="550">
        <v>16</v>
      </c>
      <c r="E105" s="551">
        <v>9</v>
      </c>
      <c r="F105" s="550">
        <v>0</v>
      </c>
      <c r="G105" s="550">
        <v>7</v>
      </c>
      <c r="H105" s="550">
        <v>375</v>
      </c>
      <c r="I105" s="550">
        <v>342</v>
      </c>
      <c r="J105" s="551">
        <v>33</v>
      </c>
      <c r="K105" s="550">
        <v>7</v>
      </c>
      <c r="L105" s="551">
        <v>43</v>
      </c>
    </row>
    <row r="106" spans="1:12" ht="15.75" thickBot="1" x14ac:dyDescent="0.3">
      <c r="A106" s="88">
        <v>8</v>
      </c>
      <c r="B106" s="552" t="s">
        <v>42</v>
      </c>
      <c r="C106" s="89" t="s">
        <v>26</v>
      </c>
      <c r="D106" s="553">
        <v>16</v>
      </c>
      <c r="E106" s="90">
        <v>7</v>
      </c>
      <c r="F106" s="553">
        <v>0</v>
      </c>
      <c r="G106" s="553">
        <v>9</v>
      </c>
      <c r="H106" s="553">
        <v>381</v>
      </c>
      <c r="I106" s="553">
        <v>387</v>
      </c>
      <c r="J106" s="90">
        <v>-6</v>
      </c>
      <c r="K106" s="553">
        <v>7</v>
      </c>
      <c r="L106" s="90">
        <v>35</v>
      </c>
    </row>
    <row r="107" spans="1:12" ht="15.75" thickBot="1" x14ac:dyDescent="0.3">
      <c r="A107" s="88">
        <v>9</v>
      </c>
      <c r="B107" s="552" t="s">
        <v>42</v>
      </c>
      <c r="C107" s="89" t="s">
        <v>10</v>
      </c>
      <c r="D107" s="553">
        <v>16</v>
      </c>
      <c r="E107" s="90">
        <v>7</v>
      </c>
      <c r="F107" s="553">
        <v>0</v>
      </c>
      <c r="G107" s="553">
        <v>9</v>
      </c>
      <c r="H107" s="553">
        <v>303</v>
      </c>
      <c r="I107" s="553">
        <v>339</v>
      </c>
      <c r="J107" s="90">
        <v>-36</v>
      </c>
      <c r="K107" s="553">
        <v>7</v>
      </c>
      <c r="L107" s="90">
        <v>35</v>
      </c>
    </row>
    <row r="108" spans="1:12" ht="15.75" thickBot="1" x14ac:dyDescent="0.3">
      <c r="A108" s="88">
        <v>10</v>
      </c>
      <c r="B108" s="732" t="s">
        <v>438</v>
      </c>
      <c r="C108" s="89" t="s">
        <v>13</v>
      </c>
      <c r="D108" s="553">
        <v>16</v>
      </c>
      <c r="E108" s="90">
        <v>5</v>
      </c>
      <c r="F108" s="553">
        <v>0</v>
      </c>
      <c r="G108" s="553">
        <v>11</v>
      </c>
      <c r="H108" s="553">
        <v>304</v>
      </c>
      <c r="I108" s="553">
        <v>390</v>
      </c>
      <c r="J108" s="90">
        <v>-86</v>
      </c>
      <c r="K108" s="553">
        <v>8</v>
      </c>
      <c r="L108" s="90">
        <v>28</v>
      </c>
    </row>
    <row r="109" spans="1:12" ht="15.75" thickBot="1" x14ac:dyDescent="0.3">
      <c r="A109" s="88">
        <v>11</v>
      </c>
      <c r="B109" s="732" t="s">
        <v>408</v>
      </c>
      <c r="C109" s="89" t="s">
        <v>66</v>
      </c>
      <c r="D109" s="553">
        <v>16</v>
      </c>
      <c r="E109" s="90">
        <v>4</v>
      </c>
      <c r="F109" s="553">
        <v>1</v>
      </c>
      <c r="G109" s="553">
        <v>11</v>
      </c>
      <c r="H109" s="553">
        <v>318</v>
      </c>
      <c r="I109" s="553">
        <v>381</v>
      </c>
      <c r="J109" s="90">
        <v>-63</v>
      </c>
      <c r="K109" s="553">
        <v>6</v>
      </c>
      <c r="L109" s="90">
        <v>24</v>
      </c>
    </row>
    <row r="110" spans="1:12" ht="15.75" thickBot="1" x14ac:dyDescent="0.3">
      <c r="A110" s="585">
        <v>12</v>
      </c>
      <c r="B110" s="586" t="s">
        <v>42</v>
      </c>
      <c r="C110" s="587" t="s">
        <v>15</v>
      </c>
      <c r="D110" s="588">
        <v>16</v>
      </c>
      <c r="E110" s="589">
        <v>0</v>
      </c>
      <c r="F110" s="588">
        <v>0</v>
      </c>
      <c r="G110" s="588">
        <v>16</v>
      </c>
      <c r="H110" s="588">
        <v>143</v>
      </c>
      <c r="I110" s="588">
        <v>726</v>
      </c>
      <c r="J110" s="589">
        <v>-583</v>
      </c>
      <c r="K110" s="588">
        <v>1</v>
      </c>
      <c r="L110" s="589">
        <v>1</v>
      </c>
    </row>
    <row r="112" spans="1:12" x14ac:dyDescent="0.25">
      <c r="A112" s="18" t="s">
        <v>914</v>
      </c>
    </row>
    <row r="113" spans="1:12" ht="15.75" thickBot="1" x14ac:dyDescent="0.3"/>
    <row r="114" spans="1:12" ht="15.75" thickBot="1" x14ac:dyDescent="0.3">
      <c r="A114" s="85" t="s">
        <v>31</v>
      </c>
      <c r="B114" s="86" t="s">
        <v>32</v>
      </c>
      <c r="C114" s="86"/>
      <c r="D114" s="86" t="s">
        <v>33</v>
      </c>
      <c r="E114" s="87" t="s">
        <v>34</v>
      </c>
      <c r="F114" s="86" t="s">
        <v>35</v>
      </c>
      <c r="G114" s="86" t="s">
        <v>36</v>
      </c>
      <c r="H114" s="86" t="s">
        <v>37</v>
      </c>
      <c r="I114" s="86" t="s">
        <v>38</v>
      </c>
      <c r="J114" s="87" t="s">
        <v>39</v>
      </c>
      <c r="K114" s="86" t="s">
        <v>40</v>
      </c>
      <c r="L114" s="87" t="s">
        <v>41</v>
      </c>
    </row>
    <row r="115" spans="1:12" ht="15.75" thickBot="1" x14ac:dyDescent="0.3">
      <c r="A115" s="190">
        <v>1</v>
      </c>
      <c r="B115" s="733" t="s">
        <v>42</v>
      </c>
      <c r="C115" s="185" t="s">
        <v>27</v>
      </c>
      <c r="D115" s="734">
        <v>15</v>
      </c>
      <c r="E115" s="186">
        <v>12</v>
      </c>
      <c r="F115" s="734">
        <v>0</v>
      </c>
      <c r="G115" s="734">
        <v>3</v>
      </c>
      <c r="H115" s="734">
        <v>424</v>
      </c>
      <c r="I115" s="734">
        <v>261</v>
      </c>
      <c r="J115" s="186">
        <v>163</v>
      </c>
      <c r="K115" s="734">
        <v>8</v>
      </c>
      <c r="L115" s="186">
        <v>56</v>
      </c>
    </row>
    <row r="116" spans="1:12" ht="15.75" thickBot="1" x14ac:dyDescent="0.3">
      <c r="A116" s="558">
        <v>2</v>
      </c>
      <c r="B116" s="733" t="s">
        <v>42</v>
      </c>
      <c r="C116" s="185" t="s">
        <v>24</v>
      </c>
      <c r="D116" s="734">
        <v>15</v>
      </c>
      <c r="E116" s="186">
        <v>10</v>
      </c>
      <c r="F116" s="734">
        <v>0</v>
      </c>
      <c r="G116" s="734">
        <v>5</v>
      </c>
      <c r="H116" s="734">
        <v>429</v>
      </c>
      <c r="I116" s="734">
        <v>288</v>
      </c>
      <c r="J116" s="186">
        <v>141</v>
      </c>
      <c r="K116" s="734">
        <v>7</v>
      </c>
      <c r="L116" s="186">
        <v>47</v>
      </c>
    </row>
    <row r="117" spans="1:12" ht="15.75" thickBot="1" x14ac:dyDescent="0.3">
      <c r="A117" s="190">
        <v>3</v>
      </c>
      <c r="B117" s="733" t="s">
        <v>42</v>
      </c>
      <c r="C117" s="555" t="s">
        <v>21</v>
      </c>
      <c r="D117" s="556">
        <v>15</v>
      </c>
      <c r="E117" s="557">
        <v>9</v>
      </c>
      <c r="F117" s="556">
        <v>1</v>
      </c>
      <c r="G117" s="556">
        <v>5</v>
      </c>
      <c r="H117" s="556">
        <v>444</v>
      </c>
      <c r="I117" s="556">
        <v>298</v>
      </c>
      <c r="J117" s="186">
        <v>146</v>
      </c>
      <c r="K117" s="556">
        <v>6</v>
      </c>
      <c r="L117" s="186">
        <v>44</v>
      </c>
    </row>
    <row r="118" spans="1:12" ht="15.75" thickBot="1" x14ac:dyDescent="0.3">
      <c r="A118" s="190">
        <v>4</v>
      </c>
      <c r="B118" s="744" t="s">
        <v>438</v>
      </c>
      <c r="C118" s="185" t="s">
        <v>30</v>
      </c>
      <c r="D118" s="734">
        <v>15</v>
      </c>
      <c r="E118" s="186">
        <v>9</v>
      </c>
      <c r="F118" s="734">
        <v>0</v>
      </c>
      <c r="G118" s="734">
        <v>6</v>
      </c>
      <c r="H118" s="734">
        <v>437</v>
      </c>
      <c r="I118" s="734">
        <v>305</v>
      </c>
      <c r="J118" s="186">
        <v>132</v>
      </c>
      <c r="K118" s="734">
        <v>8</v>
      </c>
      <c r="L118" s="186">
        <v>44</v>
      </c>
    </row>
    <row r="119" spans="1:12" ht="15.75" thickBot="1" x14ac:dyDescent="0.3">
      <c r="A119" s="546">
        <v>5</v>
      </c>
      <c r="B119" s="730" t="s">
        <v>438</v>
      </c>
      <c r="C119" s="543" t="s">
        <v>29</v>
      </c>
      <c r="D119" s="737">
        <v>15</v>
      </c>
      <c r="E119" s="545">
        <v>9</v>
      </c>
      <c r="F119" s="737">
        <v>0</v>
      </c>
      <c r="G119" s="737">
        <v>6</v>
      </c>
      <c r="H119" s="737">
        <v>367</v>
      </c>
      <c r="I119" s="737">
        <v>314</v>
      </c>
      <c r="J119" s="545">
        <v>53</v>
      </c>
      <c r="K119" s="737">
        <v>7</v>
      </c>
      <c r="L119" s="545">
        <v>43</v>
      </c>
    </row>
    <row r="120" spans="1:12" ht="15.75" thickBot="1" x14ac:dyDescent="0.3">
      <c r="A120" s="546">
        <v>6</v>
      </c>
      <c r="B120" s="730" t="s">
        <v>438</v>
      </c>
      <c r="C120" s="543" t="s">
        <v>28</v>
      </c>
      <c r="D120" s="737">
        <v>15</v>
      </c>
      <c r="E120" s="545">
        <v>9</v>
      </c>
      <c r="F120" s="737">
        <v>1</v>
      </c>
      <c r="G120" s="737">
        <v>5</v>
      </c>
      <c r="H120" s="737">
        <v>292</v>
      </c>
      <c r="I120" s="737">
        <v>309</v>
      </c>
      <c r="J120" s="545">
        <v>-17</v>
      </c>
      <c r="K120" s="737">
        <v>5</v>
      </c>
      <c r="L120" s="545">
        <v>43</v>
      </c>
    </row>
    <row r="121" spans="1:12" ht="15.75" thickBot="1" x14ac:dyDescent="0.3">
      <c r="A121" s="547">
        <v>7</v>
      </c>
      <c r="B121" s="731" t="s">
        <v>405</v>
      </c>
      <c r="C121" s="549" t="s">
        <v>189</v>
      </c>
      <c r="D121" s="738">
        <v>15</v>
      </c>
      <c r="E121" s="551">
        <v>8</v>
      </c>
      <c r="F121" s="738">
        <v>1</v>
      </c>
      <c r="G121" s="738">
        <v>6</v>
      </c>
      <c r="H121" s="738">
        <v>456</v>
      </c>
      <c r="I121" s="738">
        <v>320</v>
      </c>
      <c r="J121" s="551">
        <v>136</v>
      </c>
      <c r="K121" s="738">
        <v>9</v>
      </c>
      <c r="L121" s="551">
        <v>43</v>
      </c>
    </row>
    <row r="122" spans="1:12" ht="15.75" thickBot="1" x14ac:dyDescent="0.3">
      <c r="A122" s="88">
        <v>8</v>
      </c>
      <c r="B122" s="732" t="s">
        <v>438</v>
      </c>
      <c r="C122" s="89" t="s">
        <v>26</v>
      </c>
      <c r="D122" s="736">
        <v>15</v>
      </c>
      <c r="E122" s="90">
        <v>7</v>
      </c>
      <c r="F122" s="736">
        <v>0</v>
      </c>
      <c r="G122" s="736">
        <v>8</v>
      </c>
      <c r="H122" s="736">
        <v>360</v>
      </c>
      <c r="I122" s="736">
        <v>355</v>
      </c>
      <c r="J122" s="90">
        <v>5</v>
      </c>
      <c r="K122" s="736">
        <v>7</v>
      </c>
      <c r="L122" s="90">
        <v>35</v>
      </c>
    </row>
    <row r="123" spans="1:12" ht="15.75" thickBot="1" x14ac:dyDescent="0.3">
      <c r="A123" s="88">
        <v>9</v>
      </c>
      <c r="B123" s="732" t="s">
        <v>408</v>
      </c>
      <c r="C123" s="89" t="s">
        <v>10</v>
      </c>
      <c r="D123" s="736">
        <v>15</v>
      </c>
      <c r="E123" s="90">
        <v>7</v>
      </c>
      <c r="F123" s="736">
        <v>0</v>
      </c>
      <c r="G123" s="736">
        <v>8</v>
      </c>
      <c r="H123" s="736">
        <v>290</v>
      </c>
      <c r="I123" s="736">
        <v>322</v>
      </c>
      <c r="J123" s="90">
        <v>-32</v>
      </c>
      <c r="K123" s="736">
        <v>6</v>
      </c>
      <c r="L123" s="90">
        <v>34</v>
      </c>
    </row>
    <row r="124" spans="1:12" ht="15.75" thickBot="1" x14ac:dyDescent="0.3">
      <c r="A124" s="88">
        <v>10</v>
      </c>
      <c r="B124" s="732" t="s">
        <v>438</v>
      </c>
      <c r="C124" s="89" t="s">
        <v>66</v>
      </c>
      <c r="D124" s="736">
        <v>15</v>
      </c>
      <c r="E124" s="90">
        <v>4</v>
      </c>
      <c r="F124" s="736">
        <v>1</v>
      </c>
      <c r="G124" s="736">
        <v>10</v>
      </c>
      <c r="H124" s="736">
        <v>301</v>
      </c>
      <c r="I124" s="736">
        <v>359</v>
      </c>
      <c r="J124" s="90">
        <v>-58</v>
      </c>
      <c r="K124" s="736">
        <v>5</v>
      </c>
      <c r="L124" s="90">
        <v>23</v>
      </c>
    </row>
    <row r="125" spans="1:12" ht="15.75" thickBot="1" x14ac:dyDescent="0.3">
      <c r="A125" s="88">
        <v>11</v>
      </c>
      <c r="B125" s="732" t="s">
        <v>408</v>
      </c>
      <c r="C125" s="89" t="s">
        <v>13</v>
      </c>
      <c r="D125" s="736">
        <v>15</v>
      </c>
      <c r="E125" s="90">
        <v>4</v>
      </c>
      <c r="F125" s="736">
        <v>0</v>
      </c>
      <c r="G125" s="736">
        <v>11</v>
      </c>
      <c r="H125" s="736">
        <v>254</v>
      </c>
      <c r="I125" s="736">
        <v>378</v>
      </c>
      <c r="J125" s="90">
        <v>-124</v>
      </c>
      <c r="K125" s="736">
        <v>7</v>
      </c>
      <c r="L125" s="90">
        <v>23</v>
      </c>
    </row>
    <row r="126" spans="1:12" ht="15.75" thickBot="1" x14ac:dyDescent="0.3">
      <c r="A126" s="585">
        <v>12</v>
      </c>
      <c r="B126" s="739" t="s">
        <v>42</v>
      </c>
      <c r="C126" s="587" t="s">
        <v>15</v>
      </c>
      <c r="D126" s="740">
        <v>15</v>
      </c>
      <c r="E126" s="589">
        <v>0</v>
      </c>
      <c r="F126" s="740">
        <v>0</v>
      </c>
      <c r="G126" s="740">
        <v>15</v>
      </c>
      <c r="H126" s="740">
        <v>131</v>
      </c>
      <c r="I126" s="740">
        <v>676</v>
      </c>
      <c r="J126" s="589">
        <v>-545</v>
      </c>
      <c r="K126" s="740">
        <v>1</v>
      </c>
      <c r="L126" s="589">
        <v>1</v>
      </c>
    </row>
    <row r="128" spans="1:12" x14ac:dyDescent="0.25">
      <c r="A128" s="18" t="s">
        <v>891</v>
      </c>
    </row>
    <row r="129" spans="1:12" ht="15.75" thickBot="1" x14ac:dyDescent="0.3"/>
    <row r="130" spans="1:12" ht="15.75" thickBot="1" x14ac:dyDescent="0.3">
      <c r="A130" s="85" t="s">
        <v>31</v>
      </c>
      <c r="B130" s="86" t="s">
        <v>32</v>
      </c>
      <c r="C130" s="86"/>
      <c r="D130" s="86" t="s">
        <v>33</v>
      </c>
      <c r="E130" s="87" t="s">
        <v>34</v>
      </c>
      <c r="F130" s="86" t="s">
        <v>35</v>
      </c>
      <c r="G130" s="86" t="s">
        <v>36</v>
      </c>
      <c r="H130" s="86" t="s">
        <v>37</v>
      </c>
      <c r="I130" s="86" t="s">
        <v>38</v>
      </c>
      <c r="J130" s="87" t="s">
        <v>39</v>
      </c>
      <c r="K130" s="86" t="s">
        <v>40</v>
      </c>
      <c r="L130" s="87" t="s">
        <v>41</v>
      </c>
    </row>
    <row r="131" spans="1:12" ht="15.75" thickBot="1" x14ac:dyDescent="0.3">
      <c r="A131" s="190">
        <v>1</v>
      </c>
      <c r="B131" s="533" t="s">
        <v>42</v>
      </c>
      <c r="C131" s="185" t="s">
        <v>27</v>
      </c>
      <c r="D131" s="534">
        <v>14</v>
      </c>
      <c r="E131" s="186">
        <v>11</v>
      </c>
      <c r="F131" s="534">
        <v>0</v>
      </c>
      <c r="G131" s="534">
        <v>3</v>
      </c>
      <c r="H131" s="534">
        <v>403</v>
      </c>
      <c r="I131" s="534">
        <v>248</v>
      </c>
      <c r="J131" s="186">
        <v>155</v>
      </c>
      <c r="K131" s="534">
        <v>8</v>
      </c>
      <c r="L131" s="186">
        <v>52</v>
      </c>
    </row>
    <row r="132" spans="1:12" ht="15.75" thickBot="1" x14ac:dyDescent="0.3">
      <c r="A132" s="558">
        <v>2</v>
      </c>
      <c r="B132" s="533" t="s">
        <v>42</v>
      </c>
      <c r="C132" s="185" t="s">
        <v>24</v>
      </c>
      <c r="D132" s="534">
        <v>14</v>
      </c>
      <c r="E132" s="186">
        <v>10</v>
      </c>
      <c r="F132" s="534">
        <v>0</v>
      </c>
      <c r="G132" s="534">
        <v>4</v>
      </c>
      <c r="H132" s="534">
        <v>416</v>
      </c>
      <c r="I132" s="534">
        <v>267</v>
      </c>
      <c r="J132" s="186">
        <v>149</v>
      </c>
      <c r="K132" s="534">
        <v>7</v>
      </c>
      <c r="L132" s="186">
        <v>47</v>
      </c>
    </row>
    <row r="133" spans="1:12" ht="15.75" thickBot="1" x14ac:dyDescent="0.3">
      <c r="A133" s="190">
        <v>3</v>
      </c>
      <c r="B133" s="533" t="s">
        <v>42</v>
      </c>
      <c r="C133" s="555" t="s">
        <v>21</v>
      </c>
      <c r="D133" s="556">
        <v>14</v>
      </c>
      <c r="E133" s="557">
        <v>9</v>
      </c>
      <c r="F133" s="556">
        <v>1</v>
      </c>
      <c r="G133" s="556">
        <v>4</v>
      </c>
      <c r="H133" s="556">
        <v>434</v>
      </c>
      <c r="I133" s="556">
        <v>284</v>
      </c>
      <c r="J133" s="186">
        <v>150</v>
      </c>
      <c r="K133" s="556">
        <v>5</v>
      </c>
      <c r="L133" s="186">
        <v>43</v>
      </c>
    </row>
    <row r="134" spans="1:12" ht="15.75" thickBot="1" x14ac:dyDescent="0.3">
      <c r="A134" s="190">
        <v>4</v>
      </c>
      <c r="B134" s="533" t="s">
        <v>42</v>
      </c>
      <c r="C134" s="185" t="s">
        <v>189</v>
      </c>
      <c r="D134" s="534">
        <v>14</v>
      </c>
      <c r="E134" s="186">
        <v>8</v>
      </c>
      <c r="F134" s="534">
        <v>0</v>
      </c>
      <c r="G134" s="534">
        <v>6</v>
      </c>
      <c r="H134" s="534">
        <v>433</v>
      </c>
      <c r="I134" s="534">
        <v>297</v>
      </c>
      <c r="J134" s="186">
        <v>136</v>
      </c>
      <c r="K134" s="534">
        <v>9</v>
      </c>
      <c r="L134" s="186">
        <v>41</v>
      </c>
    </row>
    <row r="135" spans="1:12" ht="15.75" thickBot="1" x14ac:dyDescent="0.3">
      <c r="A135" s="546">
        <v>5</v>
      </c>
      <c r="B135" s="542" t="s">
        <v>42</v>
      </c>
      <c r="C135" s="543" t="s">
        <v>30</v>
      </c>
      <c r="D135" s="544">
        <v>14</v>
      </c>
      <c r="E135" s="545">
        <v>8</v>
      </c>
      <c r="F135" s="544">
        <v>0</v>
      </c>
      <c r="G135" s="544">
        <v>6</v>
      </c>
      <c r="H135" s="544">
        <v>405</v>
      </c>
      <c r="I135" s="544">
        <v>284</v>
      </c>
      <c r="J135" s="545">
        <v>121</v>
      </c>
      <c r="K135" s="544">
        <v>8</v>
      </c>
      <c r="L135" s="545">
        <v>40</v>
      </c>
    </row>
    <row r="136" spans="1:12" ht="15.75" thickBot="1" x14ac:dyDescent="0.3">
      <c r="A136" s="546">
        <v>6</v>
      </c>
      <c r="B136" s="730" t="s">
        <v>406</v>
      </c>
      <c r="C136" s="543" t="s">
        <v>29</v>
      </c>
      <c r="D136" s="544">
        <v>14</v>
      </c>
      <c r="E136" s="545">
        <v>8</v>
      </c>
      <c r="F136" s="544">
        <v>0</v>
      </c>
      <c r="G136" s="544">
        <v>6</v>
      </c>
      <c r="H136" s="544">
        <v>353</v>
      </c>
      <c r="I136" s="544">
        <v>304</v>
      </c>
      <c r="J136" s="545">
        <v>49</v>
      </c>
      <c r="K136" s="544">
        <v>7</v>
      </c>
      <c r="L136" s="545">
        <v>39</v>
      </c>
    </row>
    <row r="137" spans="1:12" ht="15.75" thickBot="1" x14ac:dyDescent="0.3">
      <c r="A137" s="547">
        <v>7</v>
      </c>
      <c r="B137" s="731" t="s">
        <v>408</v>
      </c>
      <c r="C137" s="549" t="s">
        <v>28</v>
      </c>
      <c r="D137" s="550">
        <v>14</v>
      </c>
      <c r="E137" s="551">
        <v>8</v>
      </c>
      <c r="F137" s="550">
        <v>1</v>
      </c>
      <c r="G137" s="550">
        <v>5</v>
      </c>
      <c r="H137" s="550">
        <v>280</v>
      </c>
      <c r="I137" s="550">
        <v>303</v>
      </c>
      <c r="J137" s="551">
        <v>-23</v>
      </c>
      <c r="K137" s="550">
        <v>5</v>
      </c>
      <c r="L137" s="551">
        <v>39</v>
      </c>
    </row>
    <row r="138" spans="1:12" ht="15.75" thickBot="1" x14ac:dyDescent="0.3">
      <c r="A138" s="88">
        <v>8</v>
      </c>
      <c r="B138" s="732" t="s">
        <v>408</v>
      </c>
      <c r="C138" s="89" t="s">
        <v>10</v>
      </c>
      <c r="D138" s="553">
        <v>14</v>
      </c>
      <c r="E138" s="90">
        <v>7</v>
      </c>
      <c r="F138" s="553">
        <v>0</v>
      </c>
      <c r="G138" s="553">
        <v>7</v>
      </c>
      <c r="H138" s="553">
        <v>269</v>
      </c>
      <c r="I138" s="553">
        <v>290</v>
      </c>
      <c r="J138" s="90">
        <v>-21</v>
      </c>
      <c r="K138" s="553">
        <v>6</v>
      </c>
      <c r="L138" s="90">
        <v>34</v>
      </c>
    </row>
    <row r="139" spans="1:12" ht="15.75" thickBot="1" x14ac:dyDescent="0.3">
      <c r="A139" s="88">
        <v>9</v>
      </c>
      <c r="B139" s="552" t="s">
        <v>42</v>
      </c>
      <c r="C139" s="89" t="s">
        <v>26</v>
      </c>
      <c r="D139" s="553">
        <v>14</v>
      </c>
      <c r="E139" s="90">
        <v>6</v>
      </c>
      <c r="F139" s="553">
        <v>0</v>
      </c>
      <c r="G139" s="553">
        <v>8</v>
      </c>
      <c r="H139" s="553">
        <v>312</v>
      </c>
      <c r="I139" s="553">
        <v>345</v>
      </c>
      <c r="J139" s="90">
        <v>-33</v>
      </c>
      <c r="K139" s="553">
        <v>6</v>
      </c>
      <c r="L139" s="90">
        <v>30</v>
      </c>
    </row>
    <row r="140" spans="1:12" ht="15.75" thickBot="1" x14ac:dyDescent="0.3">
      <c r="A140" s="88">
        <v>10</v>
      </c>
      <c r="B140" s="732" t="s">
        <v>438</v>
      </c>
      <c r="C140" s="89" t="s">
        <v>13</v>
      </c>
      <c r="D140" s="553">
        <v>14</v>
      </c>
      <c r="E140" s="90">
        <v>4</v>
      </c>
      <c r="F140" s="553">
        <v>0</v>
      </c>
      <c r="G140" s="553">
        <v>10</v>
      </c>
      <c r="H140" s="553">
        <v>248</v>
      </c>
      <c r="I140" s="553">
        <v>366</v>
      </c>
      <c r="J140" s="90">
        <v>-118</v>
      </c>
      <c r="K140" s="553">
        <v>6</v>
      </c>
      <c r="L140" s="90">
        <v>22</v>
      </c>
    </row>
    <row r="141" spans="1:12" ht="15.75" thickBot="1" x14ac:dyDescent="0.3">
      <c r="A141" s="88">
        <v>11</v>
      </c>
      <c r="B141" s="732" t="s">
        <v>408</v>
      </c>
      <c r="C141" s="89" t="s">
        <v>66</v>
      </c>
      <c r="D141" s="553">
        <v>14</v>
      </c>
      <c r="E141" s="90">
        <v>4</v>
      </c>
      <c r="F141" s="553">
        <v>0</v>
      </c>
      <c r="G141" s="553">
        <v>10</v>
      </c>
      <c r="H141" s="553">
        <v>278</v>
      </c>
      <c r="I141" s="553">
        <v>336</v>
      </c>
      <c r="J141" s="90">
        <v>-58</v>
      </c>
      <c r="K141" s="553">
        <v>5</v>
      </c>
      <c r="L141" s="90">
        <v>21</v>
      </c>
    </row>
    <row r="142" spans="1:12" ht="15.75" thickBot="1" x14ac:dyDescent="0.3">
      <c r="A142" s="585">
        <v>12</v>
      </c>
      <c r="B142" s="586" t="s">
        <v>42</v>
      </c>
      <c r="C142" s="587" t="s">
        <v>15</v>
      </c>
      <c r="D142" s="588">
        <v>14</v>
      </c>
      <c r="E142" s="589">
        <v>0</v>
      </c>
      <c r="F142" s="588">
        <v>0</v>
      </c>
      <c r="G142" s="588">
        <v>14</v>
      </c>
      <c r="H142" s="588">
        <v>121</v>
      </c>
      <c r="I142" s="588">
        <v>628</v>
      </c>
      <c r="J142" s="589">
        <v>-507</v>
      </c>
      <c r="K142" s="588">
        <v>1</v>
      </c>
      <c r="L142" s="589">
        <v>1</v>
      </c>
    </row>
    <row r="144" spans="1:12" x14ac:dyDescent="0.25">
      <c r="A144" s="18" t="s">
        <v>892</v>
      </c>
    </row>
    <row r="145" spans="1:12" ht="15.75" thickBot="1" x14ac:dyDescent="0.3"/>
    <row r="146" spans="1:12" ht="15.75" thickBot="1" x14ac:dyDescent="0.3">
      <c r="A146" s="85" t="s">
        <v>31</v>
      </c>
      <c r="B146" s="86" t="s">
        <v>32</v>
      </c>
      <c r="C146" s="86"/>
      <c r="D146" s="86" t="s">
        <v>33</v>
      </c>
      <c r="E146" s="87" t="s">
        <v>34</v>
      </c>
      <c r="F146" s="86" t="s">
        <v>35</v>
      </c>
      <c r="G146" s="86" t="s">
        <v>36</v>
      </c>
      <c r="H146" s="86" t="s">
        <v>37</v>
      </c>
      <c r="I146" s="86" t="s">
        <v>38</v>
      </c>
      <c r="J146" s="87" t="s">
        <v>39</v>
      </c>
      <c r="K146" s="86" t="s">
        <v>40</v>
      </c>
      <c r="L146" s="87" t="s">
        <v>41</v>
      </c>
    </row>
    <row r="147" spans="1:12" ht="15.75" thickBot="1" x14ac:dyDescent="0.3">
      <c r="A147" s="190">
        <v>1</v>
      </c>
      <c r="B147" s="733" t="s">
        <v>42</v>
      </c>
      <c r="C147" s="185" t="s">
        <v>27</v>
      </c>
      <c r="D147" s="734">
        <v>13</v>
      </c>
      <c r="E147" s="186">
        <v>10</v>
      </c>
      <c r="F147" s="734">
        <v>0</v>
      </c>
      <c r="G147" s="734">
        <v>3</v>
      </c>
      <c r="H147" s="734">
        <v>388</v>
      </c>
      <c r="I147" s="734">
        <v>239</v>
      </c>
      <c r="J147" s="186">
        <v>149</v>
      </c>
      <c r="K147" s="734">
        <v>8</v>
      </c>
      <c r="L147" s="186">
        <v>48</v>
      </c>
    </row>
    <row r="148" spans="1:12" ht="15.75" thickBot="1" x14ac:dyDescent="0.3">
      <c r="A148" s="558">
        <v>2</v>
      </c>
      <c r="B148" s="733" t="s">
        <v>42</v>
      </c>
      <c r="C148" s="185" t="s">
        <v>24</v>
      </c>
      <c r="D148" s="734">
        <v>13</v>
      </c>
      <c r="E148" s="186">
        <v>10</v>
      </c>
      <c r="F148" s="734">
        <v>0</v>
      </c>
      <c r="G148" s="734">
        <v>3</v>
      </c>
      <c r="H148" s="734">
        <v>392</v>
      </c>
      <c r="I148" s="734">
        <v>233</v>
      </c>
      <c r="J148" s="186">
        <v>159</v>
      </c>
      <c r="K148" s="734">
        <v>7</v>
      </c>
      <c r="L148" s="186">
        <v>47</v>
      </c>
    </row>
    <row r="149" spans="1:12" ht="15.75" thickBot="1" x14ac:dyDescent="0.3">
      <c r="A149" s="190">
        <v>3</v>
      </c>
      <c r="B149" s="733" t="s">
        <v>42</v>
      </c>
      <c r="C149" s="555" t="s">
        <v>21</v>
      </c>
      <c r="D149" s="556">
        <v>13</v>
      </c>
      <c r="E149" s="557">
        <v>8</v>
      </c>
      <c r="F149" s="556">
        <v>1</v>
      </c>
      <c r="G149" s="556">
        <v>4</v>
      </c>
      <c r="H149" s="556">
        <v>400</v>
      </c>
      <c r="I149" s="556">
        <v>260</v>
      </c>
      <c r="J149" s="186">
        <v>140</v>
      </c>
      <c r="K149" s="556">
        <v>5</v>
      </c>
      <c r="L149" s="186">
        <v>39</v>
      </c>
    </row>
    <row r="150" spans="1:12" ht="15.75" thickBot="1" x14ac:dyDescent="0.3">
      <c r="A150" s="190">
        <v>4</v>
      </c>
      <c r="B150" s="733" t="s">
        <v>42</v>
      </c>
      <c r="C150" s="185" t="s">
        <v>189</v>
      </c>
      <c r="D150" s="734">
        <v>13</v>
      </c>
      <c r="E150" s="186">
        <v>7</v>
      </c>
      <c r="F150" s="734">
        <v>0</v>
      </c>
      <c r="G150" s="734">
        <v>6</v>
      </c>
      <c r="H150" s="734">
        <v>396</v>
      </c>
      <c r="I150" s="734">
        <v>291</v>
      </c>
      <c r="J150" s="186">
        <v>105</v>
      </c>
      <c r="K150" s="734">
        <v>8</v>
      </c>
      <c r="L150" s="186">
        <v>36</v>
      </c>
    </row>
    <row r="151" spans="1:12" ht="15.75" thickBot="1" x14ac:dyDescent="0.3">
      <c r="A151" s="546">
        <v>5</v>
      </c>
      <c r="B151" s="730" t="s">
        <v>438</v>
      </c>
      <c r="C151" s="543" t="s">
        <v>30</v>
      </c>
      <c r="D151" s="737">
        <v>13</v>
      </c>
      <c r="E151" s="545">
        <v>7</v>
      </c>
      <c r="F151" s="737">
        <v>0</v>
      </c>
      <c r="G151" s="737">
        <v>6</v>
      </c>
      <c r="H151" s="737">
        <v>359</v>
      </c>
      <c r="I151" s="737">
        <v>267</v>
      </c>
      <c r="J151" s="545">
        <v>92</v>
      </c>
      <c r="K151" s="737">
        <v>7</v>
      </c>
      <c r="L151" s="545">
        <v>35</v>
      </c>
    </row>
    <row r="152" spans="1:12" ht="15.75" thickBot="1" x14ac:dyDescent="0.3">
      <c r="A152" s="546">
        <v>6</v>
      </c>
      <c r="B152" s="730" t="s">
        <v>408</v>
      </c>
      <c r="C152" s="543" t="s">
        <v>28</v>
      </c>
      <c r="D152" s="737">
        <v>13</v>
      </c>
      <c r="E152" s="545">
        <v>7</v>
      </c>
      <c r="F152" s="737">
        <v>1</v>
      </c>
      <c r="G152" s="737">
        <v>5</v>
      </c>
      <c r="H152" s="737">
        <v>262</v>
      </c>
      <c r="I152" s="737">
        <v>288</v>
      </c>
      <c r="J152" s="545">
        <v>-26</v>
      </c>
      <c r="K152" s="737">
        <v>5</v>
      </c>
      <c r="L152" s="545">
        <v>35</v>
      </c>
    </row>
    <row r="153" spans="1:12" ht="15.75" thickBot="1" x14ac:dyDescent="0.3">
      <c r="A153" s="547">
        <v>7</v>
      </c>
      <c r="B153" s="731" t="s">
        <v>438</v>
      </c>
      <c r="C153" s="549" t="s">
        <v>10</v>
      </c>
      <c r="D153" s="738">
        <v>13</v>
      </c>
      <c r="E153" s="551">
        <v>7</v>
      </c>
      <c r="F153" s="738">
        <v>0</v>
      </c>
      <c r="G153" s="738">
        <v>6</v>
      </c>
      <c r="H153" s="738">
        <v>263</v>
      </c>
      <c r="I153" s="738">
        <v>253</v>
      </c>
      <c r="J153" s="551">
        <v>10</v>
      </c>
      <c r="K153" s="738">
        <v>6</v>
      </c>
      <c r="L153" s="551">
        <v>34</v>
      </c>
    </row>
    <row r="154" spans="1:12" ht="15.75" thickBot="1" x14ac:dyDescent="0.3">
      <c r="A154" s="88">
        <v>8</v>
      </c>
      <c r="B154" s="732" t="s">
        <v>408</v>
      </c>
      <c r="C154" s="89" t="s">
        <v>29</v>
      </c>
      <c r="D154" s="736">
        <v>13</v>
      </c>
      <c r="E154" s="90">
        <v>7</v>
      </c>
      <c r="F154" s="736">
        <v>0</v>
      </c>
      <c r="G154" s="736">
        <v>6</v>
      </c>
      <c r="H154" s="736">
        <v>301</v>
      </c>
      <c r="I154" s="736">
        <v>292</v>
      </c>
      <c r="J154" s="90">
        <v>9</v>
      </c>
      <c r="K154" s="736">
        <v>6</v>
      </c>
      <c r="L154" s="90">
        <v>34</v>
      </c>
    </row>
    <row r="155" spans="1:12" ht="15.75" thickBot="1" x14ac:dyDescent="0.3">
      <c r="A155" s="88">
        <v>9</v>
      </c>
      <c r="B155" s="735" t="s">
        <v>42</v>
      </c>
      <c r="C155" s="89" t="s">
        <v>26</v>
      </c>
      <c r="D155" s="736">
        <v>13</v>
      </c>
      <c r="E155" s="90">
        <v>6</v>
      </c>
      <c r="F155" s="736">
        <v>0</v>
      </c>
      <c r="G155" s="736">
        <v>7</v>
      </c>
      <c r="H155" s="736">
        <v>297</v>
      </c>
      <c r="I155" s="736">
        <v>327</v>
      </c>
      <c r="J155" s="90">
        <v>-30</v>
      </c>
      <c r="K155" s="736">
        <v>5</v>
      </c>
      <c r="L155" s="90">
        <v>29</v>
      </c>
    </row>
    <row r="156" spans="1:12" ht="15.75" thickBot="1" x14ac:dyDescent="0.3">
      <c r="A156" s="88">
        <v>10</v>
      </c>
      <c r="B156" s="735" t="s">
        <v>42</v>
      </c>
      <c r="C156" s="89" t="s">
        <v>66</v>
      </c>
      <c r="D156" s="736">
        <v>13</v>
      </c>
      <c r="E156" s="90">
        <v>4</v>
      </c>
      <c r="F156" s="736">
        <v>0</v>
      </c>
      <c r="G156" s="736">
        <v>9</v>
      </c>
      <c r="H156" s="736">
        <v>261</v>
      </c>
      <c r="I156" s="736">
        <v>290</v>
      </c>
      <c r="J156" s="90">
        <v>-29</v>
      </c>
      <c r="K156" s="736">
        <v>5</v>
      </c>
      <c r="L156" s="90">
        <v>21</v>
      </c>
    </row>
    <row r="157" spans="1:12" ht="15.75" thickBot="1" x14ac:dyDescent="0.3">
      <c r="A157" s="88">
        <v>11</v>
      </c>
      <c r="B157" s="735" t="s">
        <v>42</v>
      </c>
      <c r="C157" s="89" t="s">
        <v>13</v>
      </c>
      <c r="D157" s="736">
        <v>13</v>
      </c>
      <c r="E157" s="90">
        <v>4</v>
      </c>
      <c r="F157" s="736">
        <v>0</v>
      </c>
      <c r="G157" s="736">
        <v>9</v>
      </c>
      <c r="H157" s="736">
        <v>239</v>
      </c>
      <c r="I157" s="736">
        <v>351</v>
      </c>
      <c r="J157" s="90">
        <v>-112</v>
      </c>
      <c r="K157" s="736">
        <v>5</v>
      </c>
      <c r="L157" s="90">
        <v>21</v>
      </c>
    </row>
    <row r="158" spans="1:12" ht="15.75" thickBot="1" x14ac:dyDescent="0.3">
      <c r="A158" s="585">
        <v>12</v>
      </c>
      <c r="B158" s="739" t="s">
        <v>42</v>
      </c>
      <c r="C158" s="587" t="s">
        <v>15</v>
      </c>
      <c r="D158" s="740">
        <v>13</v>
      </c>
      <c r="E158" s="589">
        <v>0</v>
      </c>
      <c r="F158" s="740">
        <v>0</v>
      </c>
      <c r="G158" s="740">
        <v>13</v>
      </c>
      <c r="H158" s="740">
        <v>109</v>
      </c>
      <c r="I158" s="740">
        <v>576</v>
      </c>
      <c r="J158" s="589">
        <v>-467</v>
      </c>
      <c r="K158" s="740">
        <v>1</v>
      </c>
      <c r="L158" s="589">
        <v>1</v>
      </c>
    </row>
    <row r="160" spans="1:12" x14ac:dyDescent="0.25">
      <c r="A160" s="18" t="s">
        <v>800</v>
      </c>
    </row>
    <row r="161" spans="1:12" ht="15.75" thickBot="1" x14ac:dyDescent="0.3"/>
    <row r="162" spans="1:12" ht="15.75" thickBot="1" x14ac:dyDescent="0.3">
      <c r="A162" s="85" t="s">
        <v>31</v>
      </c>
      <c r="B162" s="86" t="s">
        <v>32</v>
      </c>
      <c r="C162" s="86"/>
      <c r="D162" s="86" t="s">
        <v>33</v>
      </c>
      <c r="E162" s="87" t="s">
        <v>34</v>
      </c>
      <c r="F162" s="86" t="s">
        <v>35</v>
      </c>
      <c r="G162" s="86" t="s">
        <v>36</v>
      </c>
      <c r="H162" s="86" t="s">
        <v>37</v>
      </c>
      <c r="I162" s="86" t="s">
        <v>38</v>
      </c>
      <c r="J162" s="87" t="s">
        <v>39</v>
      </c>
      <c r="K162" s="86" t="s">
        <v>40</v>
      </c>
      <c r="L162" s="87" t="s">
        <v>41</v>
      </c>
    </row>
    <row r="163" spans="1:12" ht="15.75" thickBot="1" x14ac:dyDescent="0.3">
      <c r="A163" s="190">
        <v>1</v>
      </c>
      <c r="B163" s="533" t="s">
        <v>42</v>
      </c>
      <c r="C163" s="185" t="s">
        <v>27</v>
      </c>
      <c r="D163" s="534">
        <v>12</v>
      </c>
      <c r="E163" s="186">
        <v>10</v>
      </c>
      <c r="F163" s="534">
        <v>0</v>
      </c>
      <c r="G163" s="534">
        <v>2</v>
      </c>
      <c r="H163" s="534">
        <v>381</v>
      </c>
      <c r="I163" s="534">
        <v>219</v>
      </c>
      <c r="J163" s="186">
        <v>162</v>
      </c>
      <c r="K163" s="534">
        <v>8</v>
      </c>
      <c r="L163" s="186">
        <v>48</v>
      </c>
    </row>
    <row r="164" spans="1:12" ht="15.75" thickBot="1" x14ac:dyDescent="0.3">
      <c r="A164" s="558">
        <v>2</v>
      </c>
      <c r="B164" s="533" t="s">
        <v>42</v>
      </c>
      <c r="C164" s="185" t="s">
        <v>24</v>
      </c>
      <c r="D164" s="534">
        <v>12</v>
      </c>
      <c r="E164" s="186">
        <v>9</v>
      </c>
      <c r="F164" s="534">
        <v>0</v>
      </c>
      <c r="G164" s="534">
        <v>3</v>
      </c>
      <c r="H164" s="534">
        <v>353</v>
      </c>
      <c r="I164" s="534">
        <v>207</v>
      </c>
      <c r="J164" s="186">
        <v>146</v>
      </c>
      <c r="K164" s="534">
        <v>6</v>
      </c>
      <c r="L164" s="186">
        <v>42</v>
      </c>
    </row>
    <row r="165" spans="1:12" ht="15.75" thickBot="1" x14ac:dyDescent="0.3">
      <c r="A165" s="190">
        <v>3</v>
      </c>
      <c r="B165" s="533" t="s">
        <v>42</v>
      </c>
      <c r="C165" s="555" t="s">
        <v>21</v>
      </c>
      <c r="D165" s="556">
        <v>12</v>
      </c>
      <c r="E165" s="557">
        <v>8</v>
      </c>
      <c r="F165" s="556">
        <v>1</v>
      </c>
      <c r="G165" s="556">
        <v>3</v>
      </c>
      <c r="H165" s="556">
        <v>377</v>
      </c>
      <c r="I165" s="556">
        <v>236</v>
      </c>
      <c r="J165" s="186">
        <v>141</v>
      </c>
      <c r="K165" s="556">
        <v>4</v>
      </c>
      <c r="L165" s="186">
        <v>38</v>
      </c>
    </row>
    <row r="166" spans="1:12" ht="15.75" thickBot="1" x14ac:dyDescent="0.3">
      <c r="A166" s="190">
        <v>4</v>
      </c>
      <c r="B166" s="533" t="s">
        <v>406</v>
      </c>
      <c r="C166" s="185" t="s">
        <v>189</v>
      </c>
      <c r="D166" s="534">
        <v>12</v>
      </c>
      <c r="E166" s="186">
        <v>7</v>
      </c>
      <c r="F166" s="534">
        <v>0</v>
      </c>
      <c r="G166" s="534">
        <v>5</v>
      </c>
      <c r="H166" s="534">
        <v>370</v>
      </c>
      <c r="I166" s="534">
        <v>252</v>
      </c>
      <c r="J166" s="186">
        <v>118</v>
      </c>
      <c r="K166" s="534">
        <v>7</v>
      </c>
      <c r="L166" s="186">
        <v>35</v>
      </c>
    </row>
    <row r="167" spans="1:12" ht="15.75" thickBot="1" x14ac:dyDescent="0.3">
      <c r="A167" s="546">
        <v>5</v>
      </c>
      <c r="B167" s="542" t="s">
        <v>42</v>
      </c>
      <c r="C167" s="543" t="s">
        <v>28</v>
      </c>
      <c r="D167" s="544">
        <v>12</v>
      </c>
      <c r="E167" s="545">
        <v>7</v>
      </c>
      <c r="F167" s="544">
        <v>1</v>
      </c>
      <c r="G167" s="544">
        <v>4</v>
      </c>
      <c r="H167" s="544">
        <v>250</v>
      </c>
      <c r="I167" s="544">
        <v>256</v>
      </c>
      <c r="J167" s="545">
        <v>-6</v>
      </c>
      <c r="K167" s="544">
        <v>5</v>
      </c>
      <c r="L167" s="545">
        <v>35</v>
      </c>
    </row>
    <row r="168" spans="1:12" ht="15.75" thickBot="1" x14ac:dyDescent="0.3">
      <c r="A168" s="546">
        <v>6</v>
      </c>
      <c r="B168" s="542" t="s">
        <v>407</v>
      </c>
      <c r="C168" s="543" t="s">
        <v>30</v>
      </c>
      <c r="D168" s="544">
        <v>12</v>
      </c>
      <c r="E168" s="545">
        <v>7</v>
      </c>
      <c r="F168" s="544">
        <v>0</v>
      </c>
      <c r="G168" s="544">
        <v>5</v>
      </c>
      <c r="H168" s="544">
        <v>333</v>
      </c>
      <c r="I168" s="544">
        <v>239</v>
      </c>
      <c r="J168" s="545">
        <v>94</v>
      </c>
      <c r="K168" s="544">
        <v>6</v>
      </c>
      <c r="L168" s="545">
        <v>34</v>
      </c>
    </row>
    <row r="169" spans="1:12" ht="15.75" thickBot="1" x14ac:dyDescent="0.3">
      <c r="A169" s="547">
        <v>7</v>
      </c>
      <c r="B169" s="548" t="s">
        <v>42</v>
      </c>
      <c r="C169" s="549" t="s">
        <v>29</v>
      </c>
      <c r="D169" s="550">
        <v>12</v>
      </c>
      <c r="E169" s="551">
        <v>6</v>
      </c>
      <c r="F169" s="550">
        <v>0</v>
      </c>
      <c r="G169" s="550">
        <v>6</v>
      </c>
      <c r="H169" s="550">
        <v>281</v>
      </c>
      <c r="I169" s="550">
        <v>285</v>
      </c>
      <c r="J169" s="551">
        <v>-4</v>
      </c>
      <c r="K169" s="550">
        <v>6</v>
      </c>
      <c r="L169" s="551">
        <v>30</v>
      </c>
    </row>
    <row r="170" spans="1:12" ht="15.75" thickBot="1" x14ac:dyDescent="0.3">
      <c r="A170" s="88">
        <v>8</v>
      </c>
      <c r="B170" s="552" t="s">
        <v>42</v>
      </c>
      <c r="C170" s="89" t="s">
        <v>10</v>
      </c>
      <c r="D170" s="553">
        <v>12</v>
      </c>
      <c r="E170" s="90">
        <v>6</v>
      </c>
      <c r="F170" s="553">
        <v>0</v>
      </c>
      <c r="G170" s="553">
        <v>6</v>
      </c>
      <c r="H170" s="553">
        <v>231</v>
      </c>
      <c r="I170" s="553">
        <v>241</v>
      </c>
      <c r="J170" s="90">
        <v>-10</v>
      </c>
      <c r="K170" s="553">
        <v>5</v>
      </c>
      <c r="L170" s="90">
        <v>29</v>
      </c>
    </row>
    <row r="171" spans="1:12" ht="15.75" thickBot="1" x14ac:dyDescent="0.3">
      <c r="A171" s="88">
        <v>9</v>
      </c>
      <c r="B171" s="552" t="s">
        <v>42</v>
      </c>
      <c r="C171" s="89" t="s">
        <v>26</v>
      </c>
      <c r="D171" s="553">
        <v>12</v>
      </c>
      <c r="E171" s="90">
        <v>5</v>
      </c>
      <c r="F171" s="553">
        <v>0</v>
      </c>
      <c r="G171" s="553">
        <v>7</v>
      </c>
      <c r="H171" s="553">
        <v>273</v>
      </c>
      <c r="I171" s="553">
        <v>304</v>
      </c>
      <c r="J171" s="90">
        <v>-31</v>
      </c>
      <c r="K171" s="553">
        <v>5</v>
      </c>
      <c r="L171" s="90">
        <v>25</v>
      </c>
    </row>
    <row r="172" spans="1:12" ht="15.75" thickBot="1" x14ac:dyDescent="0.3">
      <c r="A172" s="88">
        <v>10</v>
      </c>
      <c r="B172" s="552" t="s">
        <v>42</v>
      </c>
      <c r="C172" s="89" t="s">
        <v>66</v>
      </c>
      <c r="D172" s="553">
        <v>12</v>
      </c>
      <c r="E172" s="90">
        <v>3</v>
      </c>
      <c r="F172" s="553">
        <v>0</v>
      </c>
      <c r="G172" s="553">
        <v>9</v>
      </c>
      <c r="H172" s="553">
        <v>223</v>
      </c>
      <c r="I172" s="553">
        <v>283</v>
      </c>
      <c r="J172" s="90">
        <v>-60</v>
      </c>
      <c r="K172" s="553">
        <v>4</v>
      </c>
      <c r="L172" s="90">
        <v>16</v>
      </c>
    </row>
    <row r="173" spans="1:12" ht="15.75" thickBot="1" x14ac:dyDescent="0.3">
      <c r="A173" s="88">
        <v>11</v>
      </c>
      <c r="B173" s="552" t="s">
        <v>408</v>
      </c>
      <c r="C173" s="89" t="s">
        <v>13</v>
      </c>
      <c r="D173" s="553">
        <v>12</v>
      </c>
      <c r="E173" s="90">
        <v>3</v>
      </c>
      <c r="F173" s="553">
        <v>0</v>
      </c>
      <c r="G173" s="553">
        <v>9</v>
      </c>
      <c r="H173" s="553">
        <v>211</v>
      </c>
      <c r="I173" s="553">
        <v>325</v>
      </c>
      <c r="J173" s="90">
        <v>-114</v>
      </c>
      <c r="K173" s="553">
        <v>4</v>
      </c>
      <c r="L173" s="90">
        <v>16</v>
      </c>
    </row>
    <row r="174" spans="1:12" ht="15.75" thickBot="1" x14ac:dyDescent="0.3">
      <c r="A174" s="585">
        <v>12</v>
      </c>
      <c r="B174" s="586" t="s">
        <v>42</v>
      </c>
      <c r="C174" s="587" t="s">
        <v>15</v>
      </c>
      <c r="D174" s="588">
        <v>12</v>
      </c>
      <c r="E174" s="589">
        <v>0</v>
      </c>
      <c r="F174" s="588">
        <v>0</v>
      </c>
      <c r="G174" s="588">
        <v>12</v>
      </c>
      <c r="H174" s="588">
        <v>102</v>
      </c>
      <c r="I174" s="588">
        <v>538</v>
      </c>
      <c r="J174" s="589">
        <v>-436</v>
      </c>
      <c r="K174" s="588">
        <v>1</v>
      </c>
      <c r="L174" s="589">
        <v>1</v>
      </c>
    </row>
    <row r="176" spans="1:12" x14ac:dyDescent="0.25">
      <c r="A176" s="18" t="s">
        <v>774</v>
      </c>
    </row>
    <row r="177" spans="1:12" ht="15.75" thickBot="1" x14ac:dyDescent="0.3"/>
    <row r="178" spans="1:12" ht="15.75" thickBot="1" x14ac:dyDescent="0.3">
      <c r="A178" s="85" t="s">
        <v>31</v>
      </c>
      <c r="B178" s="86" t="s">
        <v>32</v>
      </c>
      <c r="C178" s="86"/>
      <c r="D178" s="86" t="s">
        <v>33</v>
      </c>
      <c r="E178" s="87" t="s">
        <v>34</v>
      </c>
      <c r="F178" s="86" t="s">
        <v>35</v>
      </c>
      <c r="G178" s="86" t="s">
        <v>36</v>
      </c>
      <c r="H178" s="86" t="s">
        <v>37</v>
      </c>
      <c r="I178" s="86" t="s">
        <v>38</v>
      </c>
      <c r="J178" s="87" t="s">
        <v>39</v>
      </c>
      <c r="K178" s="86" t="s">
        <v>40</v>
      </c>
      <c r="L178" s="87" t="s">
        <v>41</v>
      </c>
    </row>
    <row r="179" spans="1:12" ht="15.75" thickBot="1" x14ac:dyDescent="0.3">
      <c r="A179" s="190">
        <v>1</v>
      </c>
      <c r="B179" s="533" t="s">
        <v>42</v>
      </c>
      <c r="C179" s="185" t="s">
        <v>27</v>
      </c>
      <c r="D179" s="534">
        <v>11</v>
      </c>
      <c r="E179" s="186">
        <v>9</v>
      </c>
      <c r="F179" s="534">
        <v>0</v>
      </c>
      <c r="G179" s="534">
        <v>2</v>
      </c>
      <c r="H179" s="534">
        <v>342</v>
      </c>
      <c r="I179" s="534">
        <v>188</v>
      </c>
      <c r="J179" s="186">
        <v>154</v>
      </c>
      <c r="K179" s="534">
        <v>7</v>
      </c>
      <c r="L179" s="186">
        <v>43</v>
      </c>
    </row>
    <row r="180" spans="1:12" ht="15.75" thickBot="1" x14ac:dyDescent="0.3">
      <c r="A180" s="558">
        <v>2</v>
      </c>
      <c r="B180" s="533" t="s">
        <v>42</v>
      </c>
      <c r="C180" s="185" t="s">
        <v>24</v>
      </c>
      <c r="D180" s="534">
        <v>11</v>
      </c>
      <c r="E180" s="186">
        <v>9</v>
      </c>
      <c r="F180" s="534">
        <v>0</v>
      </c>
      <c r="G180" s="534">
        <v>2</v>
      </c>
      <c r="H180" s="534">
        <v>345</v>
      </c>
      <c r="I180" s="534">
        <v>190</v>
      </c>
      <c r="J180" s="186">
        <v>155</v>
      </c>
      <c r="K180" s="534">
        <v>6</v>
      </c>
      <c r="L180" s="186">
        <v>42</v>
      </c>
    </row>
    <row r="181" spans="1:12" ht="15.75" thickBot="1" x14ac:dyDescent="0.3">
      <c r="A181" s="190">
        <v>3</v>
      </c>
      <c r="B181" s="533" t="s">
        <v>438</v>
      </c>
      <c r="C181" s="555" t="s">
        <v>21</v>
      </c>
      <c r="D181" s="556">
        <v>11</v>
      </c>
      <c r="E181" s="557">
        <v>7</v>
      </c>
      <c r="F181" s="556">
        <v>1</v>
      </c>
      <c r="G181" s="556">
        <v>3</v>
      </c>
      <c r="H181" s="556">
        <v>355</v>
      </c>
      <c r="I181" s="556">
        <v>230</v>
      </c>
      <c r="J181" s="186">
        <v>125</v>
      </c>
      <c r="K181" s="556">
        <v>4</v>
      </c>
      <c r="L181" s="186">
        <v>34</v>
      </c>
    </row>
    <row r="182" spans="1:12" ht="15.75" thickBot="1" x14ac:dyDescent="0.3">
      <c r="A182" s="190">
        <v>4</v>
      </c>
      <c r="B182" s="533" t="s">
        <v>408</v>
      </c>
      <c r="C182" s="185" t="s">
        <v>30</v>
      </c>
      <c r="D182" s="534">
        <v>11</v>
      </c>
      <c r="E182" s="186">
        <v>7</v>
      </c>
      <c r="F182" s="534">
        <v>0</v>
      </c>
      <c r="G182" s="534">
        <v>4</v>
      </c>
      <c r="H182" s="534">
        <v>308</v>
      </c>
      <c r="I182" s="534">
        <v>213</v>
      </c>
      <c r="J182" s="186">
        <v>95</v>
      </c>
      <c r="K182" s="534">
        <v>5</v>
      </c>
      <c r="L182" s="186">
        <v>33</v>
      </c>
    </row>
    <row r="183" spans="1:12" ht="15.75" thickBot="1" x14ac:dyDescent="0.3">
      <c r="A183" s="546">
        <v>5</v>
      </c>
      <c r="B183" s="542" t="s">
        <v>406</v>
      </c>
      <c r="C183" s="543" t="s">
        <v>28</v>
      </c>
      <c r="D183" s="544">
        <v>11</v>
      </c>
      <c r="E183" s="545">
        <v>6</v>
      </c>
      <c r="F183" s="544">
        <v>1</v>
      </c>
      <c r="G183" s="544">
        <v>4</v>
      </c>
      <c r="H183" s="544">
        <v>233</v>
      </c>
      <c r="I183" s="544">
        <v>248</v>
      </c>
      <c r="J183" s="545">
        <v>-15</v>
      </c>
      <c r="K183" s="544">
        <v>5</v>
      </c>
      <c r="L183" s="545">
        <v>31</v>
      </c>
    </row>
    <row r="184" spans="1:12" ht="15.75" thickBot="1" x14ac:dyDescent="0.3">
      <c r="A184" s="546">
        <v>6</v>
      </c>
      <c r="B184" s="542" t="s">
        <v>42</v>
      </c>
      <c r="C184" s="543" t="s">
        <v>189</v>
      </c>
      <c r="D184" s="544">
        <v>11</v>
      </c>
      <c r="E184" s="545">
        <v>6</v>
      </c>
      <c r="F184" s="544">
        <v>0</v>
      </c>
      <c r="G184" s="544">
        <v>5</v>
      </c>
      <c r="H184" s="544">
        <v>329</v>
      </c>
      <c r="I184" s="544">
        <v>236</v>
      </c>
      <c r="J184" s="545">
        <v>93</v>
      </c>
      <c r="K184" s="544">
        <v>6</v>
      </c>
      <c r="L184" s="545">
        <v>30</v>
      </c>
    </row>
    <row r="185" spans="1:12" ht="15.75" thickBot="1" x14ac:dyDescent="0.3">
      <c r="A185" s="547">
        <v>7</v>
      </c>
      <c r="B185" s="548" t="s">
        <v>407</v>
      </c>
      <c r="C185" s="549" t="s">
        <v>29</v>
      </c>
      <c r="D185" s="550">
        <v>11</v>
      </c>
      <c r="E185" s="551">
        <v>6</v>
      </c>
      <c r="F185" s="550">
        <v>0</v>
      </c>
      <c r="G185" s="550">
        <v>5</v>
      </c>
      <c r="H185" s="550">
        <v>265</v>
      </c>
      <c r="I185" s="550">
        <v>244</v>
      </c>
      <c r="J185" s="551">
        <v>21</v>
      </c>
      <c r="K185" s="550">
        <v>6</v>
      </c>
      <c r="L185" s="551">
        <v>30</v>
      </c>
    </row>
    <row r="186" spans="1:12" ht="15.75" thickBot="1" x14ac:dyDescent="0.3">
      <c r="A186" s="88">
        <v>8</v>
      </c>
      <c r="B186" s="552" t="s">
        <v>42</v>
      </c>
      <c r="C186" s="89" t="s">
        <v>10</v>
      </c>
      <c r="D186" s="553">
        <v>11</v>
      </c>
      <c r="E186" s="90">
        <v>5</v>
      </c>
      <c r="F186" s="553">
        <v>0</v>
      </c>
      <c r="G186" s="553">
        <v>6</v>
      </c>
      <c r="H186" s="553">
        <v>207</v>
      </c>
      <c r="I186" s="553">
        <v>228</v>
      </c>
      <c r="J186" s="90">
        <v>-21</v>
      </c>
      <c r="K186" s="553">
        <v>4</v>
      </c>
      <c r="L186" s="90">
        <v>24</v>
      </c>
    </row>
    <row r="187" spans="1:12" ht="15.75" thickBot="1" x14ac:dyDescent="0.3">
      <c r="A187" s="88">
        <v>9</v>
      </c>
      <c r="B187" s="552" t="s">
        <v>42</v>
      </c>
      <c r="C187" s="89" t="s">
        <v>26</v>
      </c>
      <c r="D187" s="553">
        <v>11</v>
      </c>
      <c r="E187" s="90">
        <v>4</v>
      </c>
      <c r="F187" s="553">
        <v>0</v>
      </c>
      <c r="G187" s="553">
        <v>7</v>
      </c>
      <c r="H187" s="553">
        <v>247</v>
      </c>
      <c r="I187" s="553">
        <v>279</v>
      </c>
      <c r="J187" s="90">
        <v>-32</v>
      </c>
      <c r="K187" s="553">
        <v>5</v>
      </c>
      <c r="L187" s="90">
        <v>21</v>
      </c>
    </row>
    <row r="188" spans="1:12" ht="15.75" thickBot="1" x14ac:dyDescent="0.3">
      <c r="A188" s="88">
        <v>10</v>
      </c>
      <c r="B188" s="552" t="s">
        <v>438</v>
      </c>
      <c r="C188" s="89" t="s">
        <v>13</v>
      </c>
      <c r="D188" s="553">
        <v>11</v>
      </c>
      <c r="E188" s="90">
        <v>3</v>
      </c>
      <c r="F188" s="553">
        <v>0</v>
      </c>
      <c r="G188" s="553">
        <v>8</v>
      </c>
      <c r="H188" s="553">
        <v>205</v>
      </c>
      <c r="I188" s="553">
        <v>303</v>
      </c>
      <c r="J188" s="90">
        <v>-98</v>
      </c>
      <c r="K188" s="553">
        <v>4</v>
      </c>
      <c r="L188" s="90">
        <v>16</v>
      </c>
    </row>
    <row r="189" spans="1:12" ht="15.75" thickBot="1" x14ac:dyDescent="0.3">
      <c r="A189" s="88">
        <v>11</v>
      </c>
      <c r="B189" s="552" t="s">
        <v>408</v>
      </c>
      <c r="C189" s="89" t="s">
        <v>66</v>
      </c>
      <c r="D189" s="553">
        <v>11</v>
      </c>
      <c r="E189" s="90">
        <v>3</v>
      </c>
      <c r="F189" s="553">
        <v>0</v>
      </c>
      <c r="G189" s="553">
        <v>8</v>
      </c>
      <c r="H189" s="553">
        <v>192</v>
      </c>
      <c r="I189" s="553">
        <v>244</v>
      </c>
      <c r="J189" s="90">
        <v>-52</v>
      </c>
      <c r="K189" s="553">
        <v>3</v>
      </c>
      <c r="L189" s="90">
        <v>15</v>
      </c>
    </row>
    <row r="190" spans="1:12" ht="15.75" thickBot="1" x14ac:dyDescent="0.3">
      <c r="A190" s="585">
        <v>12</v>
      </c>
      <c r="B190" s="586" t="s">
        <v>42</v>
      </c>
      <c r="C190" s="587" t="s">
        <v>15</v>
      </c>
      <c r="D190" s="588">
        <v>11</v>
      </c>
      <c r="E190" s="589">
        <v>0</v>
      </c>
      <c r="F190" s="588">
        <v>0</v>
      </c>
      <c r="G190" s="588">
        <v>11</v>
      </c>
      <c r="H190" s="588">
        <v>89</v>
      </c>
      <c r="I190" s="588">
        <v>514</v>
      </c>
      <c r="J190" s="589">
        <v>-425</v>
      </c>
      <c r="K190" s="588">
        <v>1</v>
      </c>
      <c r="L190" s="589">
        <v>1</v>
      </c>
    </row>
    <row r="192" spans="1:12" x14ac:dyDescent="0.25">
      <c r="A192" s="18" t="s">
        <v>755</v>
      </c>
    </row>
    <row r="193" spans="1:12" ht="15.75" thickBot="1" x14ac:dyDescent="0.3"/>
    <row r="194" spans="1:12" ht="15.75" thickBot="1" x14ac:dyDescent="0.3">
      <c r="A194" s="85" t="s">
        <v>31</v>
      </c>
      <c r="B194" s="86" t="s">
        <v>32</v>
      </c>
      <c r="C194" s="86"/>
      <c r="D194" s="86" t="s">
        <v>33</v>
      </c>
      <c r="E194" s="87" t="s">
        <v>34</v>
      </c>
      <c r="F194" s="86" t="s">
        <v>35</v>
      </c>
      <c r="G194" s="86" t="s">
        <v>36</v>
      </c>
      <c r="H194" s="86" t="s">
        <v>37</v>
      </c>
      <c r="I194" s="86" t="s">
        <v>38</v>
      </c>
      <c r="J194" s="87" t="s">
        <v>39</v>
      </c>
      <c r="K194" s="86" t="s">
        <v>40</v>
      </c>
      <c r="L194" s="87" t="s">
        <v>41</v>
      </c>
    </row>
    <row r="195" spans="1:12" ht="15.75" thickBot="1" x14ac:dyDescent="0.3">
      <c r="A195" s="190">
        <v>1</v>
      </c>
      <c r="B195" s="533" t="s">
        <v>42</v>
      </c>
      <c r="C195" s="185" t="s">
        <v>27</v>
      </c>
      <c r="D195" s="534">
        <v>10</v>
      </c>
      <c r="E195" s="186">
        <v>8</v>
      </c>
      <c r="F195" s="534">
        <v>0</v>
      </c>
      <c r="G195" s="534">
        <v>2</v>
      </c>
      <c r="H195" s="534">
        <v>312</v>
      </c>
      <c r="I195" s="534">
        <v>163</v>
      </c>
      <c r="J195" s="186">
        <v>149</v>
      </c>
      <c r="K195" s="534">
        <v>7</v>
      </c>
      <c r="L195" s="186">
        <v>39</v>
      </c>
    </row>
    <row r="196" spans="1:12" ht="15.75" thickBot="1" x14ac:dyDescent="0.3">
      <c r="A196" s="558">
        <v>2</v>
      </c>
      <c r="B196" s="533" t="s">
        <v>42</v>
      </c>
      <c r="C196" s="185" t="s">
        <v>24</v>
      </c>
      <c r="D196" s="534">
        <v>10</v>
      </c>
      <c r="E196" s="186">
        <v>8</v>
      </c>
      <c r="F196" s="534">
        <v>0</v>
      </c>
      <c r="G196" s="534">
        <v>2</v>
      </c>
      <c r="H196" s="534">
        <v>314</v>
      </c>
      <c r="I196" s="534">
        <v>176</v>
      </c>
      <c r="J196" s="186">
        <v>138</v>
      </c>
      <c r="K196" s="534">
        <v>5</v>
      </c>
      <c r="L196" s="186">
        <v>37</v>
      </c>
    </row>
    <row r="197" spans="1:12" ht="15.75" thickBot="1" x14ac:dyDescent="0.3">
      <c r="A197" s="190">
        <v>3</v>
      </c>
      <c r="B197" s="533" t="s">
        <v>42</v>
      </c>
      <c r="C197" s="185" t="s">
        <v>30</v>
      </c>
      <c r="D197" s="534">
        <v>10</v>
      </c>
      <c r="E197" s="186">
        <v>7</v>
      </c>
      <c r="F197" s="534">
        <v>0</v>
      </c>
      <c r="G197" s="534">
        <v>3</v>
      </c>
      <c r="H197" s="534">
        <v>294</v>
      </c>
      <c r="I197" s="534">
        <v>182</v>
      </c>
      <c r="J197" s="186">
        <v>112</v>
      </c>
      <c r="K197" s="534">
        <v>5</v>
      </c>
      <c r="L197" s="186">
        <v>33</v>
      </c>
    </row>
    <row r="198" spans="1:12" ht="15.75" thickBot="1" x14ac:dyDescent="0.3">
      <c r="A198" s="190">
        <v>4</v>
      </c>
      <c r="B198" s="533" t="s">
        <v>42</v>
      </c>
      <c r="C198" s="555" t="s">
        <v>21</v>
      </c>
      <c r="D198" s="556">
        <v>10</v>
      </c>
      <c r="E198" s="557">
        <v>6</v>
      </c>
      <c r="F198" s="556">
        <v>1</v>
      </c>
      <c r="G198" s="556">
        <v>3</v>
      </c>
      <c r="H198" s="556">
        <v>330</v>
      </c>
      <c r="I198" s="556">
        <v>207</v>
      </c>
      <c r="J198" s="186">
        <v>123</v>
      </c>
      <c r="K198" s="556">
        <v>4</v>
      </c>
      <c r="L198" s="186">
        <v>30</v>
      </c>
    </row>
    <row r="199" spans="1:12" ht="15.75" thickBot="1" x14ac:dyDescent="0.3">
      <c r="A199" s="546">
        <v>5</v>
      </c>
      <c r="B199" s="542" t="s">
        <v>438</v>
      </c>
      <c r="C199" s="543" t="s">
        <v>29</v>
      </c>
      <c r="D199" s="544">
        <v>10</v>
      </c>
      <c r="E199" s="545">
        <v>6</v>
      </c>
      <c r="F199" s="544">
        <v>0</v>
      </c>
      <c r="G199" s="544">
        <v>4</v>
      </c>
      <c r="H199" s="544">
        <v>235</v>
      </c>
      <c r="I199" s="544">
        <v>212</v>
      </c>
      <c r="J199" s="545">
        <v>23</v>
      </c>
      <c r="K199" s="544">
        <v>4</v>
      </c>
      <c r="L199" s="545">
        <v>28</v>
      </c>
    </row>
    <row r="200" spans="1:12" ht="15.75" thickBot="1" x14ac:dyDescent="0.3">
      <c r="A200" s="546">
        <v>6</v>
      </c>
      <c r="B200" s="542" t="s">
        <v>438</v>
      </c>
      <c r="C200" s="543" t="s">
        <v>189</v>
      </c>
      <c r="D200" s="544">
        <v>10</v>
      </c>
      <c r="E200" s="545">
        <v>5</v>
      </c>
      <c r="F200" s="544">
        <v>0</v>
      </c>
      <c r="G200" s="544">
        <v>5</v>
      </c>
      <c r="H200" s="544">
        <v>299</v>
      </c>
      <c r="I200" s="544">
        <v>213</v>
      </c>
      <c r="J200" s="545">
        <v>86</v>
      </c>
      <c r="K200" s="544">
        <v>6</v>
      </c>
      <c r="L200" s="545">
        <v>26</v>
      </c>
    </row>
    <row r="201" spans="1:12" ht="15.75" thickBot="1" x14ac:dyDescent="0.3">
      <c r="A201" s="547">
        <v>7</v>
      </c>
      <c r="B201" s="548" t="s">
        <v>407</v>
      </c>
      <c r="C201" s="549" t="s">
        <v>28</v>
      </c>
      <c r="D201" s="550">
        <v>10</v>
      </c>
      <c r="E201" s="551">
        <v>5</v>
      </c>
      <c r="F201" s="550">
        <v>1</v>
      </c>
      <c r="G201" s="550">
        <v>4</v>
      </c>
      <c r="H201" s="550">
        <v>201</v>
      </c>
      <c r="I201" s="550">
        <v>218</v>
      </c>
      <c r="J201" s="551">
        <v>-17</v>
      </c>
      <c r="K201" s="550">
        <v>4</v>
      </c>
      <c r="L201" s="551">
        <v>26</v>
      </c>
    </row>
    <row r="202" spans="1:12" ht="15.75" thickBot="1" x14ac:dyDescent="0.3">
      <c r="A202" s="88">
        <v>8</v>
      </c>
      <c r="B202" s="552" t="s">
        <v>438</v>
      </c>
      <c r="C202" s="89" t="s">
        <v>10</v>
      </c>
      <c r="D202" s="553">
        <v>10</v>
      </c>
      <c r="E202" s="90">
        <v>5</v>
      </c>
      <c r="F202" s="553">
        <v>0</v>
      </c>
      <c r="G202" s="553">
        <v>5</v>
      </c>
      <c r="H202" s="553">
        <v>182</v>
      </c>
      <c r="I202" s="553">
        <v>198</v>
      </c>
      <c r="J202" s="90">
        <v>-16</v>
      </c>
      <c r="K202" s="553">
        <v>3</v>
      </c>
      <c r="L202" s="90">
        <v>23</v>
      </c>
    </row>
    <row r="203" spans="1:12" ht="15.75" thickBot="1" x14ac:dyDescent="0.3">
      <c r="A203" s="88">
        <v>9</v>
      </c>
      <c r="B203" s="552" t="s">
        <v>408</v>
      </c>
      <c r="C203" s="89" t="s">
        <v>26</v>
      </c>
      <c r="D203" s="553">
        <v>10</v>
      </c>
      <c r="E203" s="90">
        <v>4</v>
      </c>
      <c r="F203" s="553">
        <v>0</v>
      </c>
      <c r="G203" s="553">
        <v>6</v>
      </c>
      <c r="H203" s="553">
        <v>224</v>
      </c>
      <c r="I203" s="553">
        <v>249</v>
      </c>
      <c r="J203" s="90">
        <v>-25</v>
      </c>
      <c r="K203" s="553">
        <v>4</v>
      </c>
      <c r="L203" s="90">
        <v>20</v>
      </c>
    </row>
    <row r="204" spans="1:12" ht="15.75" thickBot="1" x14ac:dyDescent="0.3">
      <c r="A204" s="88">
        <v>10</v>
      </c>
      <c r="B204" s="552" t="s">
        <v>42</v>
      </c>
      <c r="C204" s="89" t="s">
        <v>66</v>
      </c>
      <c r="D204" s="553">
        <v>10</v>
      </c>
      <c r="E204" s="90">
        <v>3</v>
      </c>
      <c r="F204" s="553">
        <v>0</v>
      </c>
      <c r="G204" s="553">
        <v>7</v>
      </c>
      <c r="H204" s="553">
        <v>169</v>
      </c>
      <c r="I204" s="553">
        <v>219</v>
      </c>
      <c r="J204" s="90">
        <v>-50</v>
      </c>
      <c r="K204" s="553">
        <v>2</v>
      </c>
      <c r="L204" s="90">
        <v>14</v>
      </c>
    </row>
    <row r="205" spans="1:12" ht="15.75" thickBot="1" x14ac:dyDescent="0.3">
      <c r="A205" s="88">
        <v>11</v>
      </c>
      <c r="B205" s="552" t="s">
        <v>42</v>
      </c>
      <c r="C205" s="89" t="s">
        <v>13</v>
      </c>
      <c r="D205" s="553">
        <v>10</v>
      </c>
      <c r="E205" s="90">
        <v>2</v>
      </c>
      <c r="F205" s="553">
        <v>0</v>
      </c>
      <c r="G205" s="553">
        <v>8</v>
      </c>
      <c r="H205" s="553">
        <v>181</v>
      </c>
      <c r="I205" s="553">
        <v>294</v>
      </c>
      <c r="J205" s="90">
        <v>-113</v>
      </c>
      <c r="K205" s="553">
        <v>4</v>
      </c>
      <c r="L205" s="90">
        <v>12</v>
      </c>
    </row>
    <row r="206" spans="1:12" ht="15.75" thickBot="1" x14ac:dyDescent="0.3">
      <c r="A206" s="585">
        <v>12</v>
      </c>
      <c r="B206" s="586" t="s">
        <v>42</v>
      </c>
      <c r="C206" s="587" t="s">
        <v>15</v>
      </c>
      <c r="D206" s="588">
        <v>10</v>
      </c>
      <c r="E206" s="589">
        <v>0</v>
      </c>
      <c r="F206" s="588">
        <v>0</v>
      </c>
      <c r="G206" s="588">
        <v>10</v>
      </c>
      <c r="H206" s="588">
        <v>80</v>
      </c>
      <c r="I206" s="588">
        <v>490</v>
      </c>
      <c r="J206" s="589">
        <v>-410</v>
      </c>
      <c r="K206" s="588">
        <v>1</v>
      </c>
      <c r="L206" s="589">
        <v>1</v>
      </c>
    </row>
    <row r="208" spans="1:12" x14ac:dyDescent="0.25">
      <c r="A208" s="18" t="s">
        <v>688</v>
      </c>
    </row>
    <row r="209" spans="1:12" ht="15.75" thickBot="1" x14ac:dyDescent="0.3"/>
    <row r="210" spans="1:12" ht="15.75" thickBot="1" x14ac:dyDescent="0.3">
      <c r="A210" s="85" t="s">
        <v>31</v>
      </c>
      <c r="B210" s="86" t="s">
        <v>32</v>
      </c>
      <c r="C210" s="86"/>
      <c r="D210" s="86" t="s">
        <v>33</v>
      </c>
      <c r="E210" s="87" t="s">
        <v>34</v>
      </c>
      <c r="F210" s="86" t="s">
        <v>35</v>
      </c>
      <c r="G210" s="86" t="s">
        <v>36</v>
      </c>
      <c r="H210" s="86" t="s">
        <v>37</v>
      </c>
      <c r="I210" s="86" t="s">
        <v>38</v>
      </c>
      <c r="J210" s="87" t="s">
        <v>39</v>
      </c>
      <c r="K210" s="86" t="s">
        <v>40</v>
      </c>
      <c r="L210" s="87" t="s">
        <v>41</v>
      </c>
    </row>
    <row r="211" spans="1:12" ht="15.75" thickBot="1" x14ac:dyDescent="0.3">
      <c r="A211" s="190">
        <v>1</v>
      </c>
      <c r="B211" s="533" t="s">
        <v>42</v>
      </c>
      <c r="C211" s="185" t="s">
        <v>27</v>
      </c>
      <c r="D211" s="534">
        <v>9</v>
      </c>
      <c r="E211" s="186">
        <v>7</v>
      </c>
      <c r="F211" s="534">
        <v>0</v>
      </c>
      <c r="G211" s="534">
        <v>2</v>
      </c>
      <c r="H211" s="534">
        <v>289</v>
      </c>
      <c r="I211" s="534">
        <v>144</v>
      </c>
      <c r="J211" s="186">
        <v>145</v>
      </c>
      <c r="K211" s="534">
        <v>7</v>
      </c>
      <c r="L211" s="186">
        <v>35</v>
      </c>
    </row>
    <row r="212" spans="1:12" ht="15.75" thickBot="1" x14ac:dyDescent="0.3">
      <c r="A212" s="558">
        <v>2</v>
      </c>
      <c r="B212" s="533" t="s">
        <v>438</v>
      </c>
      <c r="C212" s="185" t="s">
        <v>24</v>
      </c>
      <c r="D212" s="534">
        <v>9</v>
      </c>
      <c r="E212" s="186">
        <v>7</v>
      </c>
      <c r="F212" s="534">
        <v>0</v>
      </c>
      <c r="G212" s="534">
        <v>2</v>
      </c>
      <c r="H212" s="534">
        <v>275</v>
      </c>
      <c r="I212" s="534">
        <v>160</v>
      </c>
      <c r="J212" s="186">
        <v>115</v>
      </c>
      <c r="K212" s="534">
        <v>5</v>
      </c>
      <c r="L212" s="186">
        <v>33</v>
      </c>
    </row>
    <row r="213" spans="1:12" ht="15.75" thickBot="1" x14ac:dyDescent="0.3">
      <c r="A213" s="190">
        <v>3</v>
      </c>
      <c r="B213" s="533" t="s">
        <v>408</v>
      </c>
      <c r="C213" s="185" t="s">
        <v>30</v>
      </c>
      <c r="D213" s="534">
        <v>9</v>
      </c>
      <c r="E213" s="186">
        <v>7</v>
      </c>
      <c r="F213" s="534">
        <v>0</v>
      </c>
      <c r="G213" s="534">
        <v>2</v>
      </c>
      <c r="H213" s="534">
        <v>283</v>
      </c>
      <c r="I213" s="534">
        <v>164</v>
      </c>
      <c r="J213" s="186">
        <v>119</v>
      </c>
      <c r="K213" s="534">
        <v>4</v>
      </c>
      <c r="L213" s="186">
        <v>32</v>
      </c>
    </row>
    <row r="214" spans="1:12" ht="15.75" thickBot="1" x14ac:dyDescent="0.3">
      <c r="A214" s="190">
        <v>4</v>
      </c>
      <c r="B214" s="533" t="s">
        <v>42</v>
      </c>
      <c r="C214" s="555" t="s">
        <v>21</v>
      </c>
      <c r="D214" s="556">
        <v>9</v>
      </c>
      <c r="E214" s="557">
        <v>5</v>
      </c>
      <c r="F214" s="556">
        <v>1</v>
      </c>
      <c r="G214" s="556">
        <v>3</v>
      </c>
      <c r="H214" s="556">
        <v>252</v>
      </c>
      <c r="I214" s="556">
        <v>200</v>
      </c>
      <c r="J214" s="186">
        <v>52</v>
      </c>
      <c r="K214" s="556">
        <v>3</v>
      </c>
      <c r="L214" s="186">
        <v>25</v>
      </c>
    </row>
    <row r="215" spans="1:12" ht="15.75" thickBot="1" x14ac:dyDescent="0.3">
      <c r="A215" s="546">
        <v>5</v>
      </c>
      <c r="B215" s="542" t="s">
        <v>42</v>
      </c>
      <c r="C215" s="543" t="s">
        <v>28</v>
      </c>
      <c r="D215" s="544">
        <v>9</v>
      </c>
      <c r="E215" s="545">
        <v>5</v>
      </c>
      <c r="F215" s="544">
        <v>1</v>
      </c>
      <c r="G215" s="544">
        <v>3</v>
      </c>
      <c r="H215" s="544">
        <v>182</v>
      </c>
      <c r="I215" s="544">
        <v>195</v>
      </c>
      <c r="J215" s="545">
        <v>-13</v>
      </c>
      <c r="K215" s="544">
        <v>3</v>
      </c>
      <c r="L215" s="545">
        <v>25</v>
      </c>
    </row>
    <row r="216" spans="1:12" ht="15.75" thickBot="1" x14ac:dyDescent="0.3">
      <c r="A216" s="546">
        <v>6</v>
      </c>
      <c r="B216" s="542" t="s">
        <v>438</v>
      </c>
      <c r="C216" s="543" t="s">
        <v>29</v>
      </c>
      <c r="D216" s="544">
        <v>9</v>
      </c>
      <c r="E216" s="545">
        <v>5</v>
      </c>
      <c r="F216" s="544">
        <v>0</v>
      </c>
      <c r="G216" s="544">
        <v>4</v>
      </c>
      <c r="H216" s="544">
        <v>217</v>
      </c>
      <c r="I216" s="544">
        <v>201</v>
      </c>
      <c r="J216" s="545">
        <v>16</v>
      </c>
      <c r="K216" s="544">
        <v>4</v>
      </c>
      <c r="L216" s="545">
        <v>24</v>
      </c>
    </row>
    <row r="217" spans="1:12" ht="15.75" thickBot="1" x14ac:dyDescent="0.3">
      <c r="A217" s="547">
        <v>7</v>
      </c>
      <c r="B217" s="548" t="s">
        <v>408</v>
      </c>
      <c r="C217" s="549" t="s">
        <v>189</v>
      </c>
      <c r="D217" s="550">
        <v>9</v>
      </c>
      <c r="E217" s="551">
        <v>4</v>
      </c>
      <c r="F217" s="550">
        <v>0</v>
      </c>
      <c r="G217" s="550">
        <v>5</v>
      </c>
      <c r="H217" s="550">
        <v>251</v>
      </c>
      <c r="I217" s="550">
        <v>197</v>
      </c>
      <c r="J217" s="551">
        <v>54</v>
      </c>
      <c r="K217" s="550">
        <v>5</v>
      </c>
      <c r="L217" s="551">
        <v>21</v>
      </c>
    </row>
    <row r="218" spans="1:12" ht="15.75" thickBot="1" x14ac:dyDescent="0.3">
      <c r="A218" s="88">
        <v>8</v>
      </c>
      <c r="B218" s="552" t="s">
        <v>438</v>
      </c>
      <c r="C218" s="89" t="s">
        <v>26</v>
      </c>
      <c r="D218" s="553">
        <v>9</v>
      </c>
      <c r="E218" s="90">
        <v>4</v>
      </c>
      <c r="F218" s="553">
        <v>0</v>
      </c>
      <c r="G218" s="553">
        <v>5</v>
      </c>
      <c r="H218" s="553">
        <v>208</v>
      </c>
      <c r="I218" s="553">
        <v>210</v>
      </c>
      <c r="J218" s="90">
        <v>-2</v>
      </c>
      <c r="K218" s="553">
        <v>4</v>
      </c>
      <c r="L218" s="90">
        <v>20</v>
      </c>
    </row>
    <row r="219" spans="1:12" ht="15.75" thickBot="1" x14ac:dyDescent="0.3">
      <c r="A219" s="88">
        <v>9</v>
      </c>
      <c r="B219" s="552" t="s">
        <v>408</v>
      </c>
      <c r="C219" s="89" t="s">
        <v>10</v>
      </c>
      <c r="D219" s="553">
        <v>9</v>
      </c>
      <c r="E219" s="90">
        <v>4</v>
      </c>
      <c r="F219" s="553">
        <v>0</v>
      </c>
      <c r="G219" s="553">
        <v>5</v>
      </c>
      <c r="H219" s="553">
        <v>167</v>
      </c>
      <c r="I219" s="553">
        <v>191</v>
      </c>
      <c r="J219" s="90">
        <v>-24</v>
      </c>
      <c r="K219" s="553">
        <v>3</v>
      </c>
      <c r="L219" s="90">
        <v>19</v>
      </c>
    </row>
    <row r="220" spans="1:12" ht="15.75" thickBot="1" x14ac:dyDescent="0.3">
      <c r="A220" s="88">
        <v>10</v>
      </c>
      <c r="B220" s="552" t="s">
        <v>42</v>
      </c>
      <c r="C220" s="89" t="s">
        <v>66</v>
      </c>
      <c r="D220" s="553">
        <v>9</v>
      </c>
      <c r="E220" s="90">
        <v>3</v>
      </c>
      <c r="F220" s="553">
        <v>0</v>
      </c>
      <c r="G220" s="553">
        <v>6</v>
      </c>
      <c r="H220" s="553">
        <v>162</v>
      </c>
      <c r="I220" s="553">
        <v>204</v>
      </c>
      <c r="J220" s="90">
        <v>-42</v>
      </c>
      <c r="K220" s="553">
        <v>2</v>
      </c>
      <c r="L220" s="90">
        <v>14</v>
      </c>
    </row>
    <row r="221" spans="1:12" ht="15.75" thickBot="1" x14ac:dyDescent="0.3">
      <c r="A221" s="88">
        <v>11</v>
      </c>
      <c r="B221" s="552" t="s">
        <v>42</v>
      </c>
      <c r="C221" s="89" t="s">
        <v>13</v>
      </c>
      <c r="D221" s="553">
        <v>9</v>
      </c>
      <c r="E221" s="90">
        <v>2</v>
      </c>
      <c r="F221" s="553">
        <v>0</v>
      </c>
      <c r="G221" s="553">
        <v>7</v>
      </c>
      <c r="H221" s="553">
        <v>165</v>
      </c>
      <c r="I221" s="553">
        <v>246</v>
      </c>
      <c r="J221" s="90">
        <v>-81</v>
      </c>
      <c r="K221" s="553">
        <v>4</v>
      </c>
      <c r="L221" s="90">
        <v>12</v>
      </c>
    </row>
    <row r="222" spans="1:12" ht="15.75" thickBot="1" x14ac:dyDescent="0.3">
      <c r="A222" s="585">
        <v>12</v>
      </c>
      <c r="B222" s="586" t="s">
        <v>42</v>
      </c>
      <c r="C222" s="587" t="s">
        <v>15</v>
      </c>
      <c r="D222" s="588">
        <v>9</v>
      </c>
      <c r="E222" s="589">
        <v>0</v>
      </c>
      <c r="F222" s="588">
        <v>0</v>
      </c>
      <c r="G222" s="588">
        <v>9</v>
      </c>
      <c r="H222" s="588">
        <v>73</v>
      </c>
      <c r="I222" s="588">
        <v>412</v>
      </c>
      <c r="J222" s="589">
        <v>-339</v>
      </c>
      <c r="K222" s="588">
        <v>1</v>
      </c>
      <c r="L222" s="589">
        <v>1</v>
      </c>
    </row>
    <row r="224" spans="1:12" x14ac:dyDescent="0.25">
      <c r="A224" s="18" t="s">
        <v>672</v>
      </c>
    </row>
    <row r="225" spans="1:12" ht="15.75" thickBot="1" x14ac:dyDescent="0.3"/>
    <row r="226" spans="1:12" ht="15.75" thickBot="1" x14ac:dyDescent="0.3">
      <c r="A226" s="85" t="s">
        <v>31</v>
      </c>
      <c r="B226" s="86" t="s">
        <v>32</v>
      </c>
      <c r="C226" s="86"/>
      <c r="D226" s="86" t="s">
        <v>33</v>
      </c>
      <c r="E226" s="87" t="s">
        <v>34</v>
      </c>
      <c r="F226" s="86" t="s">
        <v>35</v>
      </c>
      <c r="G226" s="86" t="s">
        <v>36</v>
      </c>
      <c r="H226" s="86" t="s">
        <v>37</v>
      </c>
      <c r="I226" s="86" t="s">
        <v>38</v>
      </c>
      <c r="J226" s="87" t="s">
        <v>39</v>
      </c>
      <c r="K226" s="86" t="s">
        <v>40</v>
      </c>
      <c r="L226" s="87" t="s">
        <v>41</v>
      </c>
    </row>
    <row r="227" spans="1:12" ht="15.75" thickBot="1" x14ac:dyDescent="0.3">
      <c r="A227" s="190">
        <v>1</v>
      </c>
      <c r="B227" s="533" t="s">
        <v>42</v>
      </c>
      <c r="C227" s="185" t="s">
        <v>27</v>
      </c>
      <c r="D227" s="534">
        <v>8</v>
      </c>
      <c r="E227" s="186">
        <v>6</v>
      </c>
      <c r="F227" s="534">
        <v>0</v>
      </c>
      <c r="G227" s="534">
        <v>2</v>
      </c>
      <c r="H227" s="534">
        <v>246</v>
      </c>
      <c r="I227" s="534">
        <v>130</v>
      </c>
      <c r="J227" s="186">
        <v>116</v>
      </c>
      <c r="K227" s="534">
        <v>6</v>
      </c>
      <c r="L227" s="186">
        <v>30</v>
      </c>
    </row>
    <row r="228" spans="1:12" ht="15.75" thickBot="1" x14ac:dyDescent="0.3">
      <c r="A228" s="190">
        <v>2</v>
      </c>
      <c r="B228" s="533" t="s">
        <v>42</v>
      </c>
      <c r="C228" s="185" t="s">
        <v>30</v>
      </c>
      <c r="D228" s="534">
        <v>8</v>
      </c>
      <c r="E228" s="186">
        <v>6</v>
      </c>
      <c r="F228" s="534">
        <v>0</v>
      </c>
      <c r="G228" s="534">
        <v>2</v>
      </c>
      <c r="H228" s="534">
        <v>256</v>
      </c>
      <c r="I228" s="534">
        <v>145</v>
      </c>
      <c r="J228" s="186">
        <v>111</v>
      </c>
      <c r="K228" s="534">
        <v>4</v>
      </c>
      <c r="L228" s="186">
        <v>28</v>
      </c>
    </row>
    <row r="229" spans="1:12" ht="15.75" thickBot="1" x14ac:dyDescent="0.3">
      <c r="A229" s="558">
        <v>3</v>
      </c>
      <c r="B229" s="533" t="s">
        <v>42</v>
      </c>
      <c r="C229" s="185" t="s">
        <v>24</v>
      </c>
      <c r="D229" s="534">
        <v>8</v>
      </c>
      <c r="E229" s="186">
        <v>6</v>
      </c>
      <c r="F229" s="534">
        <v>0</v>
      </c>
      <c r="G229" s="534">
        <v>2</v>
      </c>
      <c r="H229" s="534">
        <v>250</v>
      </c>
      <c r="I229" s="534">
        <v>154</v>
      </c>
      <c r="J229" s="186">
        <v>96</v>
      </c>
      <c r="K229" s="534">
        <v>4</v>
      </c>
      <c r="L229" s="186">
        <v>28</v>
      </c>
    </row>
    <row r="230" spans="1:12" ht="15.75" thickBot="1" x14ac:dyDescent="0.3">
      <c r="A230" s="190">
        <v>4</v>
      </c>
      <c r="B230" s="533" t="s">
        <v>42</v>
      </c>
      <c r="C230" s="555" t="s">
        <v>21</v>
      </c>
      <c r="D230" s="556">
        <v>8</v>
      </c>
      <c r="E230" s="557">
        <v>5</v>
      </c>
      <c r="F230" s="556">
        <v>1</v>
      </c>
      <c r="G230" s="556">
        <v>2</v>
      </c>
      <c r="H230" s="556">
        <v>233</v>
      </c>
      <c r="I230" s="556">
        <v>173</v>
      </c>
      <c r="J230" s="186">
        <v>60</v>
      </c>
      <c r="K230" s="556">
        <v>3</v>
      </c>
      <c r="L230" s="186">
        <v>25</v>
      </c>
    </row>
    <row r="231" spans="1:12" ht="15.75" thickBot="1" x14ac:dyDescent="0.3">
      <c r="A231" s="546">
        <v>5</v>
      </c>
      <c r="B231" s="542" t="s">
        <v>461</v>
      </c>
      <c r="C231" s="543" t="s">
        <v>28</v>
      </c>
      <c r="D231" s="544">
        <v>8</v>
      </c>
      <c r="E231" s="545">
        <v>4</v>
      </c>
      <c r="F231" s="544">
        <v>1</v>
      </c>
      <c r="G231" s="544">
        <v>3</v>
      </c>
      <c r="H231" s="544">
        <v>164</v>
      </c>
      <c r="I231" s="544">
        <v>179</v>
      </c>
      <c r="J231" s="545">
        <v>-15</v>
      </c>
      <c r="K231" s="544">
        <v>3</v>
      </c>
      <c r="L231" s="545">
        <v>21</v>
      </c>
    </row>
    <row r="232" spans="1:12" ht="15.75" thickBot="1" x14ac:dyDescent="0.3">
      <c r="A232" s="546">
        <v>6</v>
      </c>
      <c r="B232" s="542" t="s">
        <v>408</v>
      </c>
      <c r="C232" s="543" t="s">
        <v>189</v>
      </c>
      <c r="D232" s="544">
        <v>8</v>
      </c>
      <c r="E232" s="545">
        <v>4</v>
      </c>
      <c r="F232" s="544">
        <v>0</v>
      </c>
      <c r="G232" s="544">
        <v>4</v>
      </c>
      <c r="H232" s="544">
        <v>235</v>
      </c>
      <c r="I232" s="544">
        <v>179</v>
      </c>
      <c r="J232" s="545">
        <v>56</v>
      </c>
      <c r="K232" s="544">
        <v>4</v>
      </c>
      <c r="L232" s="545">
        <v>20</v>
      </c>
    </row>
    <row r="233" spans="1:12" ht="15.75" thickBot="1" x14ac:dyDescent="0.3">
      <c r="A233" s="547">
        <v>7</v>
      </c>
      <c r="B233" s="548" t="s">
        <v>42</v>
      </c>
      <c r="C233" s="549" t="s">
        <v>29</v>
      </c>
      <c r="D233" s="550">
        <v>8</v>
      </c>
      <c r="E233" s="551">
        <v>4</v>
      </c>
      <c r="F233" s="550">
        <v>0</v>
      </c>
      <c r="G233" s="550">
        <v>4</v>
      </c>
      <c r="H233" s="550">
        <v>199</v>
      </c>
      <c r="I233" s="550">
        <v>188</v>
      </c>
      <c r="J233" s="551">
        <v>11</v>
      </c>
      <c r="K233" s="550">
        <v>4</v>
      </c>
      <c r="L233" s="551">
        <v>20</v>
      </c>
    </row>
    <row r="234" spans="1:12" ht="15.75" thickBot="1" x14ac:dyDescent="0.3">
      <c r="A234" s="88">
        <v>8</v>
      </c>
      <c r="B234" s="552" t="s">
        <v>407</v>
      </c>
      <c r="C234" s="89" t="s">
        <v>10</v>
      </c>
      <c r="D234" s="553">
        <v>8</v>
      </c>
      <c r="E234" s="90">
        <v>4</v>
      </c>
      <c r="F234" s="553">
        <v>0</v>
      </c>
      <c r="G234" s="553">
        <v>4</v>
      </c>
      <c r="H234" s="553">
        <v>161</v>
      </c>
      <c r="I234" s="553">
        <v>166</v>
      </c>
      <c r="J234" s="90">
        <v>-5</v>
      </c>
      <c r="K234" s="553">
        <v>3</v>
      </c>
      <c r="L234" s="90">
        <v>19</v>
      </c>
    </row>
    <row r="235" spans="1:12" ht="15.75" thickBot="1" x14ac:dyDescent="0.3">
      <c r="A235" s="88">
        <v>9</v>
      </c>
      <c r="B235" s="552" t="s">
        <v>408</v>
      </c>
      <c r="C235" s="89" t="s">
        <v>26</v>
      </c>
      <c r="D235" s="553">
        <v>8</v>
      </c>
      <c r="E235" s="90">
        <v>3</v>
      </c>
      <c r="F235" s="553">
        <v>0</v>
      </c>
      <c r="G235" s="553">
        <v>5</v>
      </c>
      <c r="H235" s="553">
        <v>187</v>
      </c>
      <c r="I235" s="553">
        <v>201</v>
      </c>
      <c r="J235" s="90">
        <v>-14</v>
      </c>
      <c r="K235" s="553">
        <v>4</v>
      </c>
      <c r="L235" s="90">
        <v>16</v>
      </c>
    </row>
    <row r="236" spans="1:12" ht="15.75" thickBot="1" x14ac:dyDescent="0.3">
      <c r="A236" s="88">
        <v>10</v>
      </c>
      <c r="B236" s="552" t="s">
        <v>438</v>
      </c>
      <c r="C236" s="89" t="s">
        <v>66</v>
      </c>
      <c r="D236" s="553">
        <v>8</v>
      </c>
      <c r="E236" s="90">
        <v>3</v>
      </c>
      <c r="F236" s="553">
        <v>0</v>
      </c>
      <c r="G236" s="553">
        <v>5</v>
      </c>
      <c r="H236" s="553">
        <v>149</v>
      </c>
      <c r="I236" s="553">
        <v>186</v>
      </c>
      <c r="J236" s="90">
        <v>-37</v>
      </c>
      <c r="K236" s="553">
        <v>1</v>
      </c>
      <c r="L236" s="90">
        <v>13</v>
      </c>
    </row>
    <row r="237" spans="1:12" ht="15.75" thickBot="1" x14ac:dyDescent="0.3">
      <c r="A237" s="88">
        <v>11</v>
      </c>
      <c r="B237" s="552" t="s">
        <v>408</v>
      </c>
      <c r="C237" s="89" t="s">
        <v>13</v>
      </c>
      <c r="D237" s="553">
        <v>8</v>
      </c>
      <c r="E237" s="90">
        <v>2</v>
      </c>
      <c r="F237" s="553">
        <v>0</v>
      </c>
      <c r="G237" s="553">
        <v>6</v>
      </c>
      <c r="H237" s="553">
        <v>156</v>
      </c>
      <c r="I237" s="553">
        <v>225</v>
      </c>
      <c r="J237" s="90">
        <v>-69</v>
      </c>
      <c r="K237" s="553">
        <v>4</v>
      </c>
      <c r="L237" s="90">
        <v>12</v>
      </c>
    </row>
    <row r="238" spans="1:12" ht="15.75" thickBot="1" x14ac:dyDescent="0.3">
      <c r="A238" s="585">
        <v>12</v>
      </c>
      <c r="B238" s="586" t="s">
        <v>42</v>
      </c>
      <c r="C238" s="587" t="s">
        <v>15</v>
      </c>
      <c r="D238" s="588">
        <v>8</v>
      </c>
      <c r="E238" s="589">
        <v>0</v>
      </c>
      <c r="F238" s="588">
        <v>0</v>
      </c>
      <c r="G238" s="588">
        <v>8</v>
      </c>
      <c r="H238" s="588">
        <v>59</v>
      </c>
      <c r="I238" s="588">
        <v>369</v>
      </c>
      <c r="J238" s="589">
        <v>-310</v>
      </c>
      <c r="K238" s="588">
        <v>1</v>
      </c>
      <c r="L238" s="589">
        <v>1</v>
      </c>
    </row>
    <row r="239" spans="1:12" x14ac:dyDescent="0.25">
      <c r="A239" s="20"/>
      <c r="B239" s="620"/>
      <c r="C239" s="20"/>
      <c r="D239" s="621"/>
      <c r="E239" s="193"/>
      <c r="F239" s="621"/>
      <c r="G239" s="621"/>
      <c r="H239" s="621"/>
      <c r="I239" s="621"/>
      <c r="J239" s="193"/>
      <c r="K239" s="621"/>
      <c r="L239" s="193"/>
    </row>
    <row r="240" spans="1:12" x14ac:dyDescent="0.25">
      <c r="A240" s="18" t="s">
        <v>650</v>
      </c>
    </row>
    <row r="241" spans="1:12" ht="15.75" thickBot="1" x14ac:dyDescent="0.3"/>
    <row r="242" spans="1:12" ht="15.75" thickBot="1" x14ac:dyDescent="0.3">
      <c r="A242" s="85" t="s">
        <v>31</v>
      </c>
      <c r="B242" s="86" t="s">
        <v>32</v>
      </c>
      <c r="C242" s="86"/>
      <c r="D242" s="86" t="s">
        <v>33</v>
      </c>
      <c r="E242" s="87" t="s">
        <v>34</v>
      </c>
      <c r="F242" s="86" t="s">
        <v>35</v>
      </c>
      <c r="G242" s="86" t="s">
        <v>36</v>
      </c>
      <c r="H242" s="86" t="s">
        <v>37</v>
      </c>
      <c r="I242" s="86" t="s">
        <v>38</v>
      </c>
      <c r="J242" s="87" t="s">
        <v>39</v>
      </c>
      <c r="K242" s="86" t="s">
        <v>40</v>
      </c>
      <c r="L242" s="87" t="s">
        <v>41</v>
      </c>
    </row>
    <row r="243" spans="1:12" ht="15.75" thickBot="1" x14ac:dyDescent="0.3">
      <c r="A243" s="190">
        <v>1</v>
      </c>
      <c r="B243" s="533" t="s">
        <v>42</v>
      </c>
      <c r="C243" s="185" t="s">
        <v>27</v>
      </c>
      <c r="D243" s="534">
        <v>7</v>
      </c>
      <c r="E243" s="186">
        <v>5</v>
      </c>
      <c r="F243" s="534">
        <v>0</v>
      </c>
      <c r="G243" s="534">
        <v>2</v>
      </c>
      <c r="H243" s="534">
        <v>215</v>
      </c>
      <c r="I243" s="534">
        <v>106</v>
      </c>
      <c r="J243" s="186">
        <v>109</v>
      </c>
      <c r="K243" s="534">
        <v>6</v>
      </c>
      <c r="L243" s="186">
        <v>26</v>
      </c>
    </row>
    <row r="244" spans="1:12" ht="15.75" thickBot="1" x14ac:dyDescent="0.3">
      <c r="A244" s="190">
        <v>2</v>
      </c>
      <c r="B244" s="533" t="s">
        <v>438</v>
      </c>
      <c r="C244" s="185" t="s">
        <v>30</v>
      </c>
      <c r="D244" s="534">
        <v>7</v>
      </c>
      <c r="E244" s="186">
        <v>5</v>
      </c>
      <c r="F244" s="534">
        <v>0</v>
      </c>
      <c r="G244" s="534">
        <v>2</v>
      </c>
      <c r="H244" s="534">
        <v>225</v>
      </c>
      <c r="I244" s="534">
        <v>130</v>
      </c>
      <c r="J244" s="186">
        <v>95</v>
      </c>
      <c r="K244" s="534">
        <v>4</v>
      </c>
      <c r="L244" s="186">
        <v>24</v>
      </c>
    </row>
    <row r="245" spans="1:12" ht="15.75" thickBot="1" x14ac:dyDescent="0.3">
      <c r="A245" s="558">
        <v>3</v>
      </c>
      <c r="B245" s="533" t="s">
        <v>438</v>
      </c>
      <c r="C245" s="185" t="s">
        <v>24</v>
      </c>
      <c r="D245" s="534">
        <v>7</v>
      </c>
      <c r="E245" s="186">
        <v>5</v>
      </c>
      <c r="F245" s="534">
        <v>0</v>
      </c>
      <c r="G245" s="534">
        <v>2</v>
      </c>
      <c r="H245" s="534">
        <v>217</v>
      </c>
      <c r="I245" s="534">
        <v>131</v>
      </c>
      <c r="J245" s="186">
        <v>86</v>
      </c>
      <c r="K245" s="534">
        <v>4</v>
      </c>
      <c r="L245" s="186">
        <v>24</v>
      </c>
    </row>
    <row r="246" spans="1:12" ht="15.75" thickBot="1" x14ac:dyDescent="0.3">
      <c r="A246" s="190">
        <v>4</v>
      </c>
      <c r="B246" s="533" t="s">
        <v>407</v>
      </c>
      <c r="C246" s="555" t="s">
        <v>21</v>
      </c>
      <c r="D246" s="556">
        <v>7</v>
      </c>
      <c r="E246" s="557">
        <v>5</v>
      </c>
      <c r="F246" s="556">
        <v>1</v>
      </c>
      <c r="G246" s="556">
        <v>1</v>
      </c>
      <c r="H246" s="556">
        <v>209</v>
      </c>
      <c r="I246" s="556">
        <v>142</v>
      </c>
      <c r="J246" s="186">
        <v>67</v>
      </c>
      <c r="K246" s="556">
        <v>2</v>
      </c>
      <c r="L246" s="186">
        <v>24</v>
      </c>
    </row>
    <row r="247" spans="1:12" ht="15.75" thickBot="1" x14ac:dyDescent="0.3">
      <c r="A247" s="546">
        <v>5</v>
      </c>
      <c r="B247" s="542" t="s">
        <v>42</v>
      </c>
      <c r="C247" s="543" t="s">
        <v>189</v>
      </c>
      <c r="D247" s="544">
        <v>7</v>
      </c>
      <c r="E247" s="545">
        <v>4</v>
      </c>
      <c r="F247" s="544">
        <v>0</v>
      </c>
      <c r="G247" s="544">
        <v>3</v>
      </c>
      <c r="H247" s="544">
        <v>220</v>
      </c>
      <c r="I247" s="544">
        <v>148</v>
      </c>
      <c r="J247" s="545">
        <v>72</v>
      </c>
      <c r="K247" s="544">
        <v>4</v>
      </c>
      <c r="L247" s="545">
        <v>20</v>
      </c>
    </row>
    <row r="248" spans="1:12" ht="15.75" thickBot="1" x14ac:dyDescent="0.3">
      <c r="A248" s="546">
        <v>6</v>
      </c>
      <c r="B248" s="542" t="s">
        <v>438</v>
      </c>
      <c r="C248" s="543" t="s">
        <v>10</v>
      </c>
      <c r="D248" s="544">
        <v>7</v>
      </c>
      <c r="E248" s="545">
        <v>4</v>
      </c>
      <c r="F248" s="544">
        <v>0</v>
      </c>
      <c r="G248" s="544">
        <v>3</v>
      </c>
      <c r="H248" s="544">
        <v>149</v>
      </c>
      <c r="I248" s="544">
        <v>150</v>
      </c>
      <c r="J248" s="545">
        <v>-1</v>
      </c>
      <c r="K248" s="544">
        <v>2</v>
      </c>
      <c r="L248" s="545">
        <v>18</v>
      </c>
    </row>
    <row r="249" spans="1:12" ht="15.75" thickBot="1" x14ac:dyDescent="0.3">
      <c r="A249" s="547">
        <v>7</v>
      </c>
      <c r="B249" s="548" t="s">
        <v>404</v>
      </c>
      <c r="C249" s="549" t="s">
        <v>29</v>
      </c>
      <c r="D249" s="550">
        <v>7</v>
      </c>
      <c r="E249" s="551">
        <v>3</v>
      </c>
      <c r="F249" s="550">
        <v>0</v>
      </c>
      <c r="G249" s="550">
        <v>4</v>
      </c>
      <c r="H249" s="550">
        <v>183</v>
      </c>
      <c r="I249" s="550">
        <v>176</v>
      </c>
      <c r="J249" s="551">
        <v>7</v>
      </c>
      <c r="K249" s="550">
        <v>4</v>
      </c>
      <c r="L249" s="551">
        <v>16</v>
      </c>
    </row>
    <row r="250" spans="1:12" ht="15.75" thickBot="1" x14ac:dyDescent="0.3">
      <c r="A250" s="88">
        <v>8</v>
      </c>
      <c r="B250" s="552" t="s">
        <v>407</v>
      </c>
      <c r="C250" s="89" t="s">
        <v>26</v>
      </c>
      <c r="D250" s="553">
        <v>7</v>
      </c>
      <c r="E250" s="90">
        <v>3</v>
      </c>
      <c r="F250" s="553">
        <v>0</v>
      </c>
      <c r="G250" s="553">
        <v>4</v>
      </c>
      <c r="H250" s="553">
        <v>177</v>
      </c>
      <c r="I250" s="553">
        <v>181</v>
      </c>
      <c r="J250" s="90">
        <v>-4</v>
      </c>
      <c r="K250" s="553">
        <v>4</v>
      </c>
      <c r="L250" s="90">
        <v>16</v>
      </c>
    </row>
    <row r="251" spans="1:12" ht="15.75" thickBot="1" x14ac:dyDescent="0.3">
      <c r="A251" s="88">
        <v>9</v>
      </c>
      <c r="B251" s="552" t="s">
        <v>42</v>
      </c>
      <c r="C251" s="89" t="s">
        <v>28</v>
      </c>
      <c r="D251" s="553">
        <v>7</v>
      </c>
      <c r="E251" s="90">
        <v>3</v>
      </c>
      <c r="F251" s="553">
        <v>1</v>
      </c>
      <c r="G251" s="553">
        <v>3</v>
      </c>
      <c r="H251" s="553">
        <v>138</v>
      </c>
      <c r="I251" s="553">
        <v>174</v>
      </c>
      <c r="J251" s="90">
        <v>-36</v>
      </c>
      <c r="K251" s="553">
        <v>2</v>
      </c>
      <c r="L251" s="90">
        <v>16</v>
      </c>
    </row>
    <row r="252" spans="1:12" ht="15.75" thickBot="1" x14ac:dyDescent="0.3">
      <c r="A252" s="88">
        <v>10</v>
      </c>
      <c r="B252" s="552" t="s">
        <v>408</v>
      </c>
      <c r="C252" s="89" t="s">
        <v>13</v>
      </c>
      <c r="D252" s="553">
        <v>7</v>
      </c>
      <c r="E252" s="90">
        <v>2</v>
      </c>
      <c r="F252" s="553">
        <v>0</v>
      </c>
      <c r="G252" s="553">
        <v>5</v>
      </c>
      <c r="H252" s="553">
        <v>133</v>
      </c>
      <c r="I252" s="553">
        <v>192</v>
      </c>
      <c r="J252" s="90">
        <v>-59</v>
      </c>
      <c r="K252" s="553">
        <v>4</v>
      </c>
      <c r="L252" s="90">
        <v>12</v>
      </c>
    </row>
    <row r="253" spans="1:12" ht="15.75" thickBot="1" x14ac:dyDescent="0.3">
      <c r="A253" s="88">
        <v>11</v>
      </c>
      <c r="B253" s="552" t="s">
        <v>42</v>
      </c>
      <c r="C253" s="89" t="s">
        <v>66</v>
      </c>
      <c r="D253" s="553">
        <v>7</v>
      </c>
      <c r="E253" s="90">
        <v>2</v>
      </c>
      <c r="F253" s="553">
        <v>0</v>
      </c>
      <c r="G253" s="553">
        <v>5</v>
      </c>
      <c r="H253" s="553">
        <v>129</v>
      </c>
      <c r="I253" s="553">
        <v>176</v>
      </c>
      <c r="J253" s="90">
        <v>-47</v>
      </c>
      <c r="K253" s="553">
        <v>1</v>
      </c>
      <c r="L253" s="90">
        <v>9</v>
      </c>
    </row>
    <row r="254" spans="1:12" ht="15.75" thickBot="1" x14ac:dyDescent="0.3">
      <c r="A254" s="585">
        <v>12</v>
      </c>
      <c r="B254" s="586" t="s">
        <v>42</v>
      </c>
      <c r="C254" s="587" t="s">
        <v>15</v>
      </c>
      <c r="D254" s="588">
        <v>7</v>
      </c>
      <c r="E254" s="589">
        <v>0</v>
      </c>
      <c r="F254" s="588">
        <v>0</v>
      </c>
      <c r="G254" s="588">
        <v>7</v>
      </c>
      <c r="H254" s="588">
        <v>54</v>
      </c>
      <c r="I254" s="588">
        <v>343</v>
      </c>
      <c r="J254" s="589">
        <v>-289</v>
      </c>
      <c r="K254" s="588">
        <v>1</v>
      </c>
      <c r="L254" s="589">
        <v>1</v>
      </c>
    </row>
    <row r="255" spans="1:12" x14ac:dyDescent="0.25">
      <c r="A255" s="20"/>
      <c r="B255" s="620"/>
      <c r="C255" s="20"/>
      <c r="D255" s="621"/>
      <c r="E255" s="193"/>
      <c r="F255" s="621"/>
      <c r="G255" s="621"/>
      <c r="H255" s="621"/>
      <c r="I255" s="621"/>
      <c r="J255" s="193"/>
      <c r="K255" s="621"/>
      <c r="L255" s="193"/>
    </row>
    <row r="256" spans="1:12" x14ac:dyDescent="0.25">
      <c r="A256" s="18" t="s">
        <v>496</v>
      </c>
    </row>
    <row r="257" spans="1:12" ht="15.75" thickBot="1" x14ac:dyDescent="0.3"/>
    <row r="258" spans="1:12" ht="15.75" thickBot="1" x14ac:dyDescent="0.3">
      <c r="A258" s="85" t="s">
        <v>31</v>
      </c>
      <c r="B258" s="86" t="s">
        <v>32</v>
      </c>
      <c r="C258" s="86"/>
      <c r="D258" s="86" t="s">
        <v>33</v>
      </c>
      <c r="E258" s="87" t="s">
        <v>34</v>
      </c>
      <c r="F258" s="86" t="s">
        <v>35</v>
      </c>
      <c r="G258" s="86" t="s">
        <v>36</v>
      </c>
      <c r="H258" s="86" t="s">
        <v>37</v>
      </c>
      <c r="I258" s="86" t="s">
        <v>38</v>
      </c>
      <c r="J258" s="87" t="s">
        <v>39</v>
      </c>
      <c r="K258" s="86" t="s">
        <v>40</v>
      </c>
      <c r="L258" s="87" t="s">
        <v>41</v>
      </c>
    </row>
    <row r="259" spans="1:12" ht="15.75" thickBot="1" x14ac:dyDescent="0.3">
      <c r="A259" s="190">
        <v>1</v>
      </c>
      <c r="B259" s="533" t="s">
        <v>42</v>
      </c>
      <c r="C259" s="185" t="s">
        <v>27</v>
      </c>
      <c r="D259" s="534">
        <v>6</v>
      </c>
      <c r="E259" s="186">
        <v>5</v>
      </c>
      <c r="F259" s="534">
        <v>0</v>
      </c>
      <c r="G259" s="534">
        <v>1</v>
      </c>
      <c r="H259" s="534">
        <v>197</v>
      </c>
      <c r="I259" s="534">
        <v>82</v>
      </c>
      <c r="J259" s="186">
        <v>115</v>
      </c>
      <c r="K259" s="534">
        <v>5</v>
      </c>
      <c r="L259" s="186">
        <v>25</v>
      </c>
    </row>
    <row r="260" spans="1:12" ht="15.75" thickBot="1" x14ac:dyDescent="0.3">
      <c r="A260" s="190">
        <v>2</v>
      </c>
      <c r="B260" s="533" t="s">
        <v>438</v>
      </c>
      <c r="C260" s="555" t="s">
        <v>21</v>
      </c>
      <c r="D260" s="556">
        <v>6</v>
      </c>
      <c r="E260" s="557">
        <v>5</v>
      </c>
      <c r="F260" s="556">
        <v>0</v>
      </c>
      <c r="G260" s="556">
        <v>1</v>
      </c>
      <c r="H260" s="556">
        <v>188</v>
      </c>
      <c r="I260" s="556">
        <v>121</v>
      </c>
      <c r="J260" s="186">
        <v>67</v>
      </c>
      <c r="K260" s="556">
        <v>2</v>
      </c>
      <c r="L260" s="186">
        <v>22</v>
      </c>
    </row>
    <row r="261" spans="1:12" ht="15.75" thickBot="1" x14ac:dyDescent="0.3">
      <c r="A261" s="190">
        <v>3</v>
      </c>
      <c r="B261" s="533" t="s">
        <v>438</v>
      </c>
      <c r="C261" s="185" t="s">
        <v>30</v>
      </c>
      <c r="D261" s="534">
        <v>6</v>
      </c>
      <c r="E261" s="186">
        <v>4</v>
      </c>
      <c r="F261" s="534">
        <v>0</v>
      </c>
      <c r="G261" s="534">
        <v>2</v>
      </c>
      <c r="H261" s="534">
        <v>201</v>
      </c>
      <c r="I261" s="534">
        <v>112</v>
      </c>
      <c r="J261" s="186">
        <v>89</v>
      </c>
      <c r="K261" s="534">
        <v>4</v>
      </c>
      <c r="L261" s="186">
        <v>20</v>
      </c>
    </row>
    <row r="262" spans="1:12" ht="15.75" thickBot="1" x14ac:dyDescent="0.3">
      <c r="A262" s="558">
        <v>4</v>
      </c>
      <c r="B262" s="533" t="s">
        <v>407</v>
      </c>
      <c r="C262" s="185" t="s">
        <v>24</v>
      </c>
      <c r="D262" s="534">
        <v>6</v>
      </c>
      <c r="E262" s="186">
        <v>4</v>
      </c>
      <c r="F262" s="534">
        <v>0</v>
      </c>
      <c r="G262" s="534">
        <v>2</v>
      </c>
      <c r="H262" s="534">
        <v>194</v>
      </c>
      <c r="I262" s="534">
        <v>117</v>
      </c>
      <c r="J262" s="186">
        <v>77</v>
      </c>
      <c r="K262" s="534">
        <v>4</v>
      </c>
      <c r="L262" s="186">
        <v>20</v>
      </c>
    </row>
    <row r="263" spans="1:12" ht="15.75" thickBot="1" x14ac:dyDescent="0.3">
      <c r="A263" s="546">
        <v>5</v>
      </c>
      <c r="B263" s="542" t="s">
        <v>461</v>
      </c>
      <c r="C263" s="543" t="s">
        <v>189</v>
      </c>
      <c r="D263" s="544">
        <v>6</v>
      </c>
      <c r="E263" s="545">
        <v>3</v>
      </c>
      <c r="F263" s="544">
        <v>0</v>
      </c>
      <c r="G263" s="544">
        <v>3</v>
      </c>
      <c r="H263" s="544">
        <v>149</v>
      </c>
      <c r="I263" s="544">
        <v>141</v>
      </c>
      <c r="J263" s="545">
        <v>8</v>
      </c>
      <c r="K263" s="544">
        <v>3</v>
      </c>
      <c r="L263" s="545">
        <v>15</v>
      </c>
    </row>
    <row r="264" spans="1:12" ht="15.75" thickBot="1" x14ac:dyDescent="0.3">
      <c r="A264" s="546">
        <v>6</v>
      </c>
      <c r="B264" s="542" t="s">
        <v>438</v>
      </c>
      <c r="C264" s="543" t="s">
        <v>26</v>
      </c>
      <c r="D264" s="544">
        <v>6</v>
      </c>
      <c r="E264" s="545">
        <v>3</v>
      </c>
      <c r="F264" s="544">
        <v>0</v>
      </c>
      <c r="G264" s="544">
        <v>3</v>
      </c>
      <c r="H264" s="544">
        <v>162</v>
      </c>
      <c r="I264" s="544">
        <v>159</v>
      </c>
      <c r="J264" s="545">
        <v>3</v>
      </c>
      <c r="K264" s="544">
        <v>3</v>
      </c>
      <c r="L264" s="545">
        <v>15</v>
      </c>
    </row>
    <row r="265" spans="1:12" ht="15.75" thickBot="1" x14ac:dyDescent="0.3">
      <c r="A265" s="547">
        <v>7</v>
      </c>
      <c r="B265" s="548" t="s">
        <v>408</v>
      </c>
      <c r="C265" s="549" t="s">
        <v>10</v>
      </c>
      <c r="D265" s="550">
        <v>6</v>
      </c>
      <c r="E265" s="551">
        <v>3</v>
      </c>
      <c r="F265" s="550">
        <v>0</v>
      </c>
      <c r="G265" s="550">
        <v>3</v>
      </c>
      <c r="H265" s="550">
        <v>127</v>
      </c>
      <c r="I265" s="550">
        <v>135</v>
      </c>
      <c r="J265" s="551">
        <v>-8</v>
      </c>
      <c r="K265" s="550">
        <v>2</v>
      </c>
      <c r="L265" s="551">
        <v>14</v>
      </c>
    </row>
    <row r="266" spans="1:12" ht="15.75" thickBot="1" x14ac:dyDescent="0.3">
      <c r="A266" s="88">
        <v>8</v>
      </c>
      <c r="B266" s="552" t="s">
        <v>406</v>
      </c>
      <c r="C266" s="89" t="s">
        <v>28</v>
      </c>
      <c r="D266" s="553">
        <v>6</v>
      </c>
      <c r="E266" s="90">
        <v>3</v>
      </c>
      <c r="F266" s="553">
        <v>0</v>
      </c>
      <c r="G266" s="553">
        <v>3</v>
      </c>
      <c r="H266" s="553">
        <v>117</v>
      </c>
      <c r="I266" s="553">
        <v>153</v>
      </c>
      <c r="J266" s="90">
        <v>-36</v>
      </c>
      <c r="K266" s="553">
        <v>2</v>
      </c>
      <c r="L266" s="90">
        <v>14</v>
      </c>
    </row>
    <row r="267" spans="1:12" ht="15.75" thickBot="1" x14ac:dyDescent="0.3">
      <c r="A267" s="88">
        <v>9</v>
      </c>
      <c r="B267" s="552" t="s">
        <v>407</v>
      </c>
      <c r="C267" s="89" t="s">
        <v>13</v>
      </c>
      <c r="D267" s="553">
        <v>6</v>
      </c>
      <c r="E267" s="90">
        <v>2</v>
      </c>
      <c r="F267" s="553">
        <v>0</v>
      </c>
      <c r="G267" s="553">
        <v>4</v>
      </c>
      <c r="H267" s="553">
        <v>125</v>
      </c>
      <c r="I267" s="553">
        <v>156</v>
      </c>
      <c r="J267" s="90">
        <v>-31</v>
      </c>
      <c r="K267" s="553">
        <v>4</v>
      </c>
      <c r="L267" s="90">
        <v>12</v>
      </c>
    </row>
    <row r="268" spans="1:12" ht="15.75" thickBot="1" x14ac:dyDescent="0.3">
      <c r="A268" s="88">
        <v>10</v>
      </c>
      <c r="B268" s="552" t="s">
        <v>407</v>
      </c>
      <c r="C268" s="89" t="s">
        <v>29</v>
      </c>
      <c r="D268" s="553">
        <v>6</v>
      </c>
      <c r="E268" s="90">
        <v>2</v>
      </c>
      <c r="F268" s="553">
        <v>0</v>
      </c>
      <c r="G268" s="553">
        <v>4</v>
      </c>
      <c r="H268" s="553">
        <v>147</v>
      </c>
      <c r="I268" s="553">
        <v>168</v>
      </c>
      <c r="J268" s="90">
        <v>-21</v>
      </c>
      <c r="K268" s="553">
        <v>3</v>
      </c>
      <c r="L268" s="90">
        <v>11</v>
      </c>
    </row>
    <row r="269" spans="1:12" ht="15.75" thickBot="1" x14ac:dyDescent="0.3">
      <c r="A269" s="88">
        <v>11</v>
      </c>
      <c r="B269" s="552" t="s">
        <v>42</v>
      </c>
      <c r="C269" s="89" t="s">
        <v>66</v>
      </c>
      <c r="D269" s="553">
        <v>6</v>
      </c>
      <c r="E269" s="90">
        <v>2</v>
      </c>
      <c r="F269" s="553">
        <v>0</v>
      </c>
      <c r="G269" s="553">
        <v>4</v>
      </c>
      <c r="H269" s="553">
        <v>115</v>
      </c>
      <c r="I269" s="553">
        <v>153</v>
      </c>
      <c r="J269" s="90">
        <v>-38</v>
      </c>
      <c r="K269" s="553">
        <v>1</v>
      </c>
      <c r="L269" s="90">
        <v>9</v>
      </c>
    </row>
    <row r="270" spans="1:12" ht="15.75" thickBot="1" x14ac:dyDescent="0.3">
      <c r="A270" s="585">
        <v>12</v>
      </c>
      <c r="B270" s="586" t="s">
        <v>42</v>
      </c>
      <c r="C270" s="587" t="s">
        <v>15</v>
      </c>
      <c r="D270" s="588">
        <v>6</v>
      </c>
      <c r="E270" s="589">
        <v>0</v>
      </c>
      <c r="F270" s="588">
        <v>0</v>
      </c>
      <c r="G270" s="588">
        <v>6</v>
      </c>
      <c r="H270" s="588">
        <v>47</v>
      </c>
      <c r="I270" s="588">
        <v>272</v>
      </c>
      <c r="J270" s="589">
        <v>-225</v>
      </c>
      <c r="K270" s="588">
        <v>1</v>
      </c>
      <c r="L270" s="589">
        <v>1</v>
      </c>
    </row>
    <row r="271" spans="1:12" x14ac:dyDescent="0.25">
      <c r="A271" s="20"/>
      <c r="B271" s="620"/>
      <c r="C271" s="20"/>
      <c r="D271" s="621"/>
      <c r="E271" s="193"/>
      <c r="F271" s="621"/>
      <c r="G271" s="621"/>
      <c r="H271" s="621"/>
      <c r="I271" s="621"/>
      <c r="J271" s="193"/>
      <c r="K271" s="621"/>
      <c r="L271" s="193"/>
    </row>
    <row r="272" spans="1:12" x14ac:dyDescent="0.25">
      <c r="A272" s="18" t="s">
        <v>478</v>
      </c>
    </row>
    <row r="273" spans="1:12" ht="15.75" thickBot="1" x14ac:dyDescent="0.3"/>
    <row r="274" spans="1:12" ht="15.75" thickBot="1" x14ac:dyDescent="0.3">
      <c r="A274" s="85" t="s">
        <v>31</v>
      </c>
      <c r="B274" s="86" t="s">
        <v>32</v>
      </c>
      <c r="C274" s="86"/>
      <c r="D274" s="86" t="s">
        <v>33</v>
      </c>
      <c r="E274" s="87" t="s">
        <v>34</v>
      </c>
      <c r="F274" s="86" t="s">
        <v>35</v>
      </c>
      <c r="G274" s="86" t="s">
        <v>36</v>
      </c>
      <c r="H274" s="86" t="s">
        <v>37</v>
      </c>
      <c r="I274" s="86" t="s">
        <v>38</v>
      </c>
      <c r="J274" s="87" t="s">
        <v>39</v>
      </c>
      <c r="K274" s="86" t="s">
        <v>40</v>
      </c>
      <c r="L274" s="87" t="s">
        <v>41</v>
      </c>
    </row>
    <row r="275" spans="1:12" ht="15.75" thickBot="1" x14ac:dyDescent="0.3">
      <c r="A275" s="190">
        <v>1</v>
      </c>
      <c r="B275" s="533" t="s">
        <v>438</v>
      </c>
      <c r="C275" s="185" t="s">
        <v>27</v>
      </c>
      <c r="D275" s="534">
        <v>5</v>
      </c>
      <c r="E275" s="186">
        <v>4</v>
      </c>
      <c r="F275" s="534">
        <v>0</v>
      </c>
      <c r="G275" s="534">
        <v>1</v>
      </c>
      <c r="H275" s="534">
        <v>154</v>
      </c>
      <c r="I275" s="534">
        <v>72</v>
      </c>
      <c r="J275" s="186">
        <v>82</v>
      </c>
      <c r="K275" s="534">
        <v>4</v>
      </c>
      <c r="L275" s="186">
        <v>20</v>
      </c>
    </row>
    <row r="276" spans="1:12" ht="15.75" thickBot="1" x14ac:dyDescent="0.3">
      <c r="A276" s="558">
        <v>2</v>
      </c>
      <c r="B276" s="533" t="s">
        <v>438</v>
      </c>
      <c r="C276" s="185" t="s">
        <v>24</v>
      </c>
      <c r="D276" s="534">
        <v>5</v>
      </c>
      <c r="E276" s="186">
        <v>4</v>
      </c>
      <c r="F276" s="534">
        <v>0</v>
      </c>
      <c r="G276" s="534">
        <v>1</v>
      </c>
      <c r="H276" s="534">
        <v>172</v>
      </c>
      <c r="I276" s="534">
        <v>88</v>
      </c>
      <c r="J276" s="186">
        <v>84</v>
      </c>
      <c r="K276" s="534">
        <v>3</v>
      </c>
      <c r="L276" s="186">
        <v>19</v>
      </c>
    </row>
    <row r="277" spans="1:12" ht="15.75" thickBot="1" x14ac:dyDescent="0.3">
      <c r="A277" s="535">
        <v>3</v>
      </c>
      <c r="B277" s="536" t="s">
        <v>407</v>
      </c>
      <c r="C277" s="538" t="s">
        <v>21</v>
      </c>
      <c r="D277" s="539">
        <v>5</v>
      </c>
      <c r="E277" s="540">
        <v>4</v>
      </c>
      <c r="F277" s="539">
        <v>0</v>
      </c>
      <c r="G277" s="539">
        <v>1</v>
      </c>
      <c r="H277" s="539">
        <v>160</v>
      </c>
      <c r="I277" s="539">
        <v>100</v>
      </c>
      <c r="J277" s="528">
        <v>60</v>
      </c>
      <c r="K277" s="539">
        <v>2</v>
      </c>
      <c r="L277" s="528">
        <v>18</v>
      </c>
    </row>
    <row r="278" spans="1:12" ht="15.75" thickBot="1" x14ac:dyDescent="0.3">
      <c r="A278" s="535">
        <v>4</v>
      </c>
      <c r="B278" s="536" t="s">
        <v>42</v>
      </c>
      <c r="C278" s="527" t="s">
        <v>30</v>
      </c>
      <c r="D278" s="537">
        <v>5</v>
      </c>
      <c r="E278" s="528">
        <v>3</v>
      </c>
      <c r="F278" s="537">
        <v>0</v>
      </c>
      <c r="G278" s="537">
        <v>2</v>
      </c>
      <c r="H278" s="537">
        <v>157</v>
      </c>
      <c r="I278" s="537">
        <v>88</v>
      </c>
      <c r="J278" s="528">
        <v>69</v>
      </c>
      <c r="K278" s="537">
        <v>3</v>
      </c>
      <c r="L278" s="528">
        <v>15</v>
      </c>
    </row>
    <row r="279" spans="1:12" ht="15.75" thickBot="1" x14ac:dyDescent="0.3">
      <c r="A279" s="546">
        <v>5</v>
      </c>
      <c r="B279" s="542" t="s">
        <v>406</v>
      </c>
      <c r="C279" s="543" t="s">
        <v>26</v>
      </c>
      <c r="D279" s="544">
        <v>5</v>
      </c>
      <c r="E279" s="545">
        <v>3</v>
      </c>
      <c r="F279" s="544">
        <v>0</v>
      </c>
      <c r="G279" s="544">
        <v>2</v>
      </c>
      <c r="H279" s="544">
        <v>141</v>
      </c>
      <c r="I279" s="544">
        <v>131</v>
      </c>
      <c r="J279" s="545">
        <v>10</v>
      </c>
      <c r="K279" s="544">
        <v>2</v>
      </c>
      <c r="L279" s="545">
        <v>14</v>
      </c>
    </row>
    <row r="280" spans="1:12" ht="15.75" thickBot="1" x14ac:dyDescent="0.3">
      <c r="A280" s="546">
        <v>6</v>
      </c>
      <c r="B280" s="542" t="s">
        <v>404</v>
      </c>
      <c r="C280" s="543" t="s">
        <v>10</v>
      </c>
      <c r="D280" s="544">
        <v>5</v>
      </c>
      <c r="E280" s="545">
        <v>3</v>
      </c>
      <c r="F280" s="544">
        <v>0</v>
      </c>
      <c r="G280" s="544">
        <v>2</v>
      </c>
      <c r="H280" s="544">
        <v>111</v>
      </c>
      <c r="I280" s="544">
        <v>113</v>
      </c>
      <c r="J280" s="545">
        <v>-2</v>
      </c>
      <c r="K280" s="544">
        <v>1</v>
      </c>
      <c r="L280" s="545">
        <v>13</v>
      </c>
    </row>
    <row r="281" spans="1:12" ht="15.75" thickBot="1" x14ac:dyDescent="0.3">
      <c r="A281" s="547">
        <v>7</v>
      </c>
      <c r="B281" s="548" t="s">
        <v>408</v>
      </c>
      <c r="C281" s="549" t="s">
        <v>13</v>
      </c>
      <c r="D281" s="550">
        <v>5</v>
      </c>
      <c r="E281" s="551">
        <v>2</v>
      </c>
      <c r="F281" s="550">
        <v>0</v>
      </c>
      <c r="G281" s="550">
        <v>3</v>
      </c>
      <c r="H281" s="550">
        <v>101</v>
      </c>
      <c r="I281" s="550">
        <v>112</v>
      </c>
      <c r="J281" s="551">
        <v>-11</v>
      </c>
      <c r="K281" s="550">
        <v>4</v>
      </c>
      <c r="L281" s="551">
        <v>12</v>
      </c>
    </row>
    <row r="282" spans="1:12" ht="15.75" thickBot="1" x14ac:dyDescent="0.3">
      <c r="A282" s="88">
        <v>8</v>
      </c>
      <c r="B282" s="552" t="s">
        <v>406</v>
      </c>
      <c r="C282" s="89" t="s">
        <v>29</v>
      </c>
      <c r="D282" s="553">
        <v>5</v>
      </c>
      <c r="E282" s="90">
        <v>2</v>
      </c>
      <c r="F282" s="553">
        <v>0</v>
      </c>
      <c r="G282" s="553">
        <v>3</v>
      </c>
      <c r="H282" s="553">
        <v>137</v>
      </c>
      <c r="I282" s="553">
        <v>125</v>
      </c>
      <c r="J282" s="90">
        <v>12</v>
      </c>
      <c r="K282" s="553">
        <v>3</v>
      </c>
      <c r="L282" s="90">
        <v>11</v>
      </c>
    </row>
    <row r="283" spans="1:12" ht="15.75" thickBot="1" x14ac:dyDescent="0.3">
      <c r="A283" s="88">
        <v>9</v>
      </c>
      <c r="B283" s="552" t="s">
        <v>477</v>
      </c>
      <c r="C283" s="89" t="s">
        <v>189</v>
      </c>
      <c r="D283" s="553">
        <v>5</v>
      </c>
      <c r="E283" s="90">
        <v>2</v>
      </c>
      <c r="F283" s="553">
        <v>0</v>
      </c>
      <c r="G283" s="553">
        <v>3</v>
      </c>
      <c r="H283" s="553">
        <v>120</v>
      </c>
      <c r="I283" s="553">
        <v>119</v>
      </c>
      <c r="J283" s="90">
        <v>1</v>
      </c>
      <c r="K283" s="553">
        <v>3</v>
      </c>
      <c r="L283" s="90">
        <v>11</v>
      </c>
    </row>
    <row r="284" spans="1:12" ht="15.75" thickBot="1" x14ac:dyDescent="0.3">
      <c r="A284" s="88">
        <v>10</v>
      </c>
      <c r="B284" s="552" t="s">
        <v>407</v>
      </c>
      <c r="C284" s="89" t="s">
        <v>28</v>
      </c>
      <c r="D284" s="553">
        <v>5</v>
      </c>
      <c r="E284" s="90">
        <v>2</v>
      </c>
      <c r="F284" s="553">
        <v>0</v>
      </c>
      <c r="G284" s="553">
        <v>3</v>
      </c>
      <c r="H284" s="553">
        <v>95</v>
      </c>
      <c r="I284" s="553">
        <v>137</v>
      </c>
      <c r="J284" s="90">
        <v>-42</v>
      </c>
      <c r="K284" s="553">
        <v>2</v>
      </c>
      <c r="L284" s="90">
        <v>10</v>
      </c>
    </row>
    <row r="285" spans="1:12" ht="15.75" thickBot="1" x14ac:dyDescent="0.3">
      <c r="A285" s="88">
        <v>11</v>
      </c>
      <c r="B285" s="552" t="s">
        <v>42</v>
      </c>
      <c r="C285" s="89" t="s">
        <v>66</v>
      </c>
      <c r="D285" s="553">
        <v>5</v>
      </c>
      <c r="E285" s="90">
        <v>1</v>
      </c>
      <c r="F285" s="553">
        <v>0</v>
      </c>
      <c r="G285" s="553">
        <v>4</v>
      </c>
      <c r="H285" s="553">
        <v>92</v>
      </c>
      <c r="I285" s="553">
        <v>150</v>
      </c>
      <c r="J285" s="90">
        <v>-58</v>
      </c>
      <c r="K285" s="553">
        <v>1</v>
      </c>
      <c r="L285" s="90">
        <v>5</v>
      </c>
    </row>
    <row r="286" spans="1:12" ht="15.75" thickBot="1" x14ac:dyDescent="0.3">
      <c r="A286" s="585">
        <v>12</v>
      </c>
      <c r="B286" s="586" t="s">
        <v>42</v>
      </c>
      <c r="C286" s="587" t="s">
        <v>15</v>
      </c>
      <c r="D286" s="588">
        <v>5</v>
      </c>
      <c r="E286" s="589">
        <v>0</v>
      </c>
      <c r="F286" s="588">
        <v>0</v>
      </c>
      <c r="G286" s="588">
        <v>5</v>
      </c>
      <c r="H286" s="588">
        <v>44</v>
      </c>
      <c r="I286" s="588">
        <v>249</v>
      </c>
      <c r="J286" s="589">
        <v>-205</v>
      </c>
      <c r="K286" s="588">
        <v>1</v>
      </c>
      <c r="L286" s="589">
        <v>1</v>
      </c>
    </row>
    <row r="288" spans="1:12" x14ac:dyDescent="0.25">
      <c r="A288" s="18" t="s">
        <v>462</v>
      </c>
    </row>
    <row r="289" spans="1:12" ht="15.75" thickBot="1" x14ac:dyDescent="0.3"/>
    <row r="290" spans="1:12" ht="15.75" thickBot="1" x14ac:dyDescent="0.3">
      <c r="A290" s="85" t="s">
        <v>31</v>
      </c>
      <c r="B290" s="86" t="s">
        <v>32</v>
      </c>
      <c r="C290" s="86"/>
      <c r="D290" s="86" t="s">
        <v>33</v>
      </c>
      <c r="E290" s="87" t="s">
        <v>34</v>
      </c>
      <c r="F290" s="86" t="s">
        <v>35</v>
      </c>
      <c r="G290" s="86" t="s">
        <v>36</v>
      </c>
      <c r="H290" s="86" t="s">
        <v>37</v>
      </c>
      <c r="I290" s="86" t="s">
        <v>38</v>
      </c>
      <c r="J290" s="87" t="s">
        <v>39</v>
      </c>
      <c r="K290" s="86" t="s">
        <v>40</v>
      </c>
      <c r="L290" s="87" t="s">
        <v>41</v>
      </c>
    </row>
    <row r="291" spans="1:12" ht="15.75" thickBot="1" x14ac:dyDescent="0.3">
      <c r="A291" s="190">
        <v>1</v>
      </c>
      <c r="B291" s="533" t="s">
        <v>438</v>
      </c>
      <c r="C291" s="555" t="s">
        <v>21</v>
      </c>
      <c r="D291" s="556">
        <v>4</v>
      </c>
      <c r="E291" s="557">
        <v>4</v>
      </c>
      <c r="F291" s="556">
        <v>0</v>
      </c>
      <c r="G291" s="556">
        <v>0</v>
      </c>
      <c r="H291" s="556">
        <v>149</v>
      </c>
      <c r="I291" s="556">
        <v>79</v>
      </c>
      <c r="J291" s="186">
        <v>70</v>
      </c>
      <c r="K291" s="556">
        <v>2</v>
      </c>
      <c r="L291" s="186">
        <v>18</v>
      </c>
    </row>
    <row r="292" spans="1:12" ht="15.75" thickBot="1" x14ac:dyDescent="0.3">
      <c r="A292" s="190">
        <v>2</v>
      </c>
      <c r="B292" s="533" t="s">
        <v>438</v>
      </c>
      <c r="C292" s="185" t="s">
        <v>27</v>
      </c>
      <c r="D292" s="534">
        <v>4</v>
      </c>
      <c r="E292" s="186">
        <v>3</v>
      </c>
      <c r="F292" s="534">
        <v>0</v>
      </c>
      <c r="G292" s="534">
        <v>1</v>
      </c>
      <c r="H292" s="534">
        <v>135</v>
      </c>
      <c r="I292" s="534">
        <v>60</v>
      </c>
      <c r="J292" s="186">
        <v>75</v>
      </c>
      <c r="K292" s="534">
        <v>4</v>
      </c>
      <c r="L292" s="186">
        <v>16</v>
      </c>
    </row>
    <row r="293" spans="1:12" ht="15.75" thickBot="1" x14ac:dyDescent="0.3">
      <c r="A293" s="602">
        <v>3</v>
      </c>
      <c r="B293" s="536" t="s">
        <v>407</v>
      </c>
      <c r="C293" s="527" t="s">
        <v>24</v>
      </c>
      <c r="D293" s="537">
        <v>4</v>
      </c>
      <c r="E293" s="528">
        <v>3</v>
      </c>
      <c r="F293" s="537">
        <v>0</v>
      </c>
      <c r="G293" s="537">
        <v>1</v>
      </c>
      <c r="H293" s="537">
        <v>151</v>
      </c>
      <c r="I293" s="537">
        <v>77</v>
      </c>
      <c r="J293" s="528">
        <v>74</v>
      </c>
      <c r="K293" s="537">
        <v>3</v>
      </c>
      <c r="L293" s="528">
        <v>15</v>
      </c>
    </row>
    <row r="294" spans="1:12" ht="15.75" thickBot="1" x14ac:dyDescent="0.3">
      <c r="A294" s="535">
        <v>4</v>
      </c>
      <c r="B294" s="536" t="s">
        <v>42</v>
      </c>
      <c r="C294" s="527" t="s">
        <v>30</v>
      </c>
      <c r="D294" s="537">
        <v>4</v>
      </c>
      <c r="E294" s="528">
        <v>3</v>
      </c>
      <c r="F294" s="537">
        <v>0</v>
      </c>
      <c r="G294" s="537">
        <v>1</v>
      </c>
      <c r="H294" s="537">
        <v>133</v>
      </c>
      <c r="I294" s="537">
        <v>59</v>
      </c>
      <c r="J294" s="528">
        <v>74</v>
      </c>
      <c r="K294" s="537">
        <v>2</v>
      </c>
      <c r="L294" s="528">
        <v>14</v>
      </c>
    </row>
    <row r="295" spans="1:12" ht="15.75" thickBot="1" x14ac:dyDescent="0.3">
      <c r="A295" s="546">
        <v>5</v>
      </c>
      <c r="B295" s="542" t="s">
        <v>461</v>
      </c>
      <c r="C295" s="543" t="s">
        <v>189</v>
      </c>
      <c r="D295" s="544">
        <v>4</v>
      </c>
      <c r="E295" s="545">
        <v>2</v>
      </c>
      <c r="F295" s="544">
        <v>0</v>
      </c>
      <c r="G295" s="544">
        <v>2</v>
      </c>
      <c r="H295" s="544">
        <v>106</v>
      </c>
      <c r="I295" s="544">
        <v>94</v>
      </c>
      <c r="J295" s="545">
        <v>12</v>
      </c>
      <c r="K295" s="544">
        <v>3</v>
      </c>
      <c r="L295" s="545">
        <v>11</v>
      </c>
    </row>
    <row r="296" spans="1:12" ht="15.75" thickBot="1" x14ac:dyDescent="0.3">
      <c r="A296" s="546">
        <v>6</v>
      </c>
      <c r="B296" s="542" t="s">
        <v>406</v>
      </c>
      <c r="C296" s="543" t="s">
        <v>13</v>
      </c>
      <c r="D296" s="544">
        <v>4</v>
      </c>
      <c r="E296" s="545">
        <v>2</v>
      </c>
      <c r="F296" s="544">
        <v>0</v>
      </c>
      <c r="G296" s="544">
        <v>2</v>
      </c>
      <c r="H296" s="544">
        <v>89</v>
      </c>
      <c r="I296" s="544">
        <v>93</v>
      </c>
      <c r="J296" s="545">
        <v>-4</v>
      </c>
      <c r="K296" s="544">
        <v>3</v>
      </c>
      <c r="L296" s="545">
        <v>11</v>
      </c>
    </row>
    <row r="297" spans="1:12" ht="15.75" thickBot="1" x14ac:dyDescent="0.3">
      <c r="A297" s="547">
        <v>7</v>
      </c>
      <c r="B297" s="548" t="s">
        <v>404</v>
      </c>
      <c r="C297" s="549" t="s">
        <v>26</v>
      </c>
      <c r="D297" s="550">
        <v>4</v>
      </c>
      <c r="E297" s="551">
        <v>2</v>
      </c>
      <c r="F297" s="550">
        <v>0</v>
      </c>
      <c r="G297" s="550">
        <v>2</v>
      </c>
      <c r="H297" s="550">
        <v>108</v>
      </c>
      <c r="I297" s="550">
        <v>115</v>
      </c>
      <c r="J297" s="551">
        <v>-7</v>
      </c>
      <c r="K297" s="550">
        <v>2</v>
      </c>
      <c r="L297" s="551">
        <v>10</v>
      </c>
    </row>
    <row r="298" spans="1:12" ht="15.75" thickBot="1" x14ac:dyDescent="0.3">
      <c r="A298" s="88">
        <v>8</v>
      </c>
      <c r="B298" s="552" t="s">
        <v>405</v>
      </c>
      <c r="C298" s="89" t="s">
        <v>28</v>
      </c>
      <c r="D298" s="553">
        <v>4</v>
      </c>
      <c r="E298" s="90">
        <v>2</v>
      </c>
      <c r="F298" s="553">
        <v>0</v>
      </c>
      <c r="G298" s="553">
        <v>2</v>
      </c>
      <c r="H298" s="553">
        <v>79</v>
      </c>
      <c r="I298" s="553">
        <v>104</v>
      </c>
      <c r="J298" s="90">
        <v>-25</v>
      </c>
      <c r="K298" s="553">
        <v>2</v>
      </c>
      <c r="L298" s="90">
        <v>10</v>
      </c>
    </row>
    <row r="299" spans="1:12" ht="15.75" thickBot="1" x14ac:dyDescent="0.3">
      <c r="A299" s="88">
        <v>9</v>
      </c>
      <c r="B299" s="552" t="s">
        <v>405</v>
      </c>
      <c r="C299" s="89" t="s">
        <v>10</v>
      </c>
      <c r="D299" s="553">
        <v>4</v>
      </c>
      <c r="E299" s="90">
        <v>2</v>
      </c>
      <c r="F299" s="553">
        <v>0</v>
      </c>
      <c r="G299" s="553">
        <v>2</v>
      </c>
      <c r="H299" s="553">
        <v>59</v>
      </c>
      <c r="I299" s="553">
        <v>113</v>
      </c>
      <c r="J299" s="90">
        <v>-54</v>
      </c>
      <c r="K299" s="553">
        <v>0</v>
      </c>
      <c r="L299" s="90">
        <v>8</v>
      </c>
    </row>
    <row r="300" spans="1:12" ht="15.75" thickBot="1" x14ac:dyDescent="0.3">
      <c r="A300" s="88">
        <v>10</v>
      </c>
      <c r="B300" s="552" t="s">
        <v>405</v>
      </c>
      <c r="C300" s="89" t="s">
        <v>29</v>
      </c>
      <c r="D300" s="553">
        <v>4</v>
      </c>
      <c r="E300" s="90">
        <v>1</v>
      </c>
      <c r="F300" s="553">
        <v>0</v>
      </c>
      <c r="G300" s="553">
        <v>3</v>
      </c>
      <c r="H300" s="553">
        <v>112</v>
      </c>
      <c r="I300" s="553">
        <v>111</v>
      </c>
      <c r="J300" s="90">
        <v>1</v>
      </c>
      <c r="K300" s="553">
        <v>3</v>
      </c>
      <c r="L300" s="90">
        <v>7</v>
      </c>
    </row>
    <row r="301" spans="1:12" ht="15.75" thickBot="1" x14ac:dyDescent="0.3">
      <c r="A301" s="88">
        <v>11</v>
      </c>
      <c r="B301" s="552" t="s">
        <v>42</v>
      </c>
      <c r="C301" s="89" t="s">
        <v>66</v>
      </c>
      <c r="D301" s="553">
        <v>4</v>
      </c>
      <c r="E301" s="90">
        <v>0</v>
      </c>
      <c r="F301" s="553">
        <v>0</v>
      </c>
      <c r="G301" s="553">
        <v>4</v>
      </c>
      <c r="H301" s="553">
        <v>63</v>
      </c>
      <c r="I301" s="553">
        <v>126</v>
      </c>
      <c r="J301" s="90">
        <v>-63</v>
      </c>
      <c r="K301" s="553">
        <v>1</v>
      </c>
      <c r="L301" s="90">
        <v>1</v>
      </c>
    </row>
    <row r="302" spans="1:12" ht="15.75" thickBot="1" x14ac:dyDescent="0.3">
      <c r="A302" s="585">
        <v>12</v>
      </c>
      <c r="B302" s="586" t="s">
        <v>42</v>
      </c>
      <c r="C302" s="587" t="s">
        <v>15</v>
      </c>
      <c r="D302" s="588">
        <v>4</v>
      </c>
      <c r="E302" s="589">
        <v>0</v>
      </c>
      <c r="F302" s="588">
        <v>0</v>
      </c>
      <c r="G302" s="588">
        <v>4</v>
      </c>
      <c r="H302" s="588">
        <v>44</v>
      </c>
      <c r="I302" s="588">
        <v>197</v>
      </c>
      <c r="J302" s="589">
        <v>-153</v>
      </c>
      <c r="K302" s="588">
        <v>1</v>
      </c>
      <c r="L302" s="589">
        <v>1</v>
      </c>
    </row>
    <row r="303" spans="1:12" x14ac:dyDescent="0.25">
      <c r="A303" s="18"/>
      <c r="B303" s="18"/>
      <c r="C303" s="18"/>
    </row>
    <row r="304" spans="1:12" x14ac:dyDescent="0.25">
      <c r="A304" s="18" t="s">
        <v>439</v>
      </c>
      <c r="B304" s="18"/>
      <c r="C304" s="18"/>
    </row>
    <row r="305" spans="1:12" ht="15.75" thickBot="1" x14ac:dyDescent="0.3"/>
    <row r="306" spans="1:12" ht="15.75" thickBot="1" x14ac:dyDescent="0.3">
      <c r="A306" s="85" t="s">
        <v>31</v>
      </c>
      <c r="B306" s="86" t="s">
        <v>32</v>
      </c>
      <c r="C306" s="86"/>
      <c r="D306" s="86" t="s">
        <v>33</v>
      </c>
      <c r="E306" s="87" t="s">
        <v>34</v>
      </c>
      <c r="F306" s="86" t="s">
        <v>35</v>
      </c>
      <c r="G306" s="86" t="s">
        <v>36</v>
      </c>
      <c r="H306" s="86" t="s">
        <v>37</v>
      </c>
      <c r="I306" s="86" t="s">
        <v>38</v>
      </c>
      <c r="J306" s="87" t="s">
        <v>39</v>
      </c>
      <c r="K306" s="86" t="s">
        <v>40</v>
      </c>
      <c r="L306" s="87" t="s">
        <v>41</v>
      </c>
    </row>
    <row r="307" spans="1:12" ht="15.75" thickBot="1" x14ac:dyDescent="0.3">
      <c r="A307" s="558">
        <v>1</v>
      </c>
      <c r="B307" s="533" t="s">
        <v>438</v>
      </c>
      <c r="C307" s="185" t="s">
        <v>24</v>
      </c>
      <c r="D307" s="534">
        <v>3</v>
      </c>
      <c r="E307" s="186">
        <v>3</v>
      </c>
      <c r="F307" s="534">
        <v>0</v>
      </c>
      <c r="G307" s="534">
        <v>0</v>
      </c>
      <c r="H307" s="534">
        <v>127</v>
      </c>
      <c r="I307" s="534">
        <v>46</v>
      </c>
      <c r="J307" s="186">
        <v>81</v>
      </c>
      <c r="K307" s="534">
        <v>2</v>
      </c>
      <c r="L307" s="186">
        <v>14</v>
      </c>
    </row>
    <row r="308" spans="1:12" ht="15.75" thickBot="1" x14ac:dyDescent="0.3">
      <c r="A308" s="190">
        <v>2</v>
      </c>
      <c r="B308" s="533" t="s">
        <v>408</v>
      </c>
      <c r="C308" s="555" t="s">
        <v>21</v>
      </c>
      <c r="D308" s="556">
        <v>3</v>
      </c>
      <c r="E308" s="557">
        <v>3</v>
      </c>
      <c r="F308" s="556">
        <v>0</v>
      </c>
      <c r="G308" s="556">
        <v>0</v>
      </c>
      <c r="H308" s="556">
        <v>109</v>
      </c>
      <c r="I308" s="556">
        <v>60</v>
      </c>
      <c r="J308" s="186">
        <v>49</v>
      </c>
      <c r="K308" s="556">
        <v>1</v>
      </c>
      <c r="L308" s="186">
        <v>13</v>
      </c>
    </row>
    <row r="309" spans="1:12" ht="15.75" thickBot="1" x14ac:dyDescent="0.3">
      <c r="A309" s="535">
        <v>3</v>
      </c>
      <c r="B309" s="536" t="s">
        <v>406</v>
      </c>
      <c r="C309" s="527" t="s">
        <v>27</v>
      </c>
      <c r="D309" s="537">
        <v>3</v>
      </c>
      <c r="E309" s="528">
        <v>2</v>
      </c>
      <c r="F309" s="537">
        <v>0</v>
      </c>
      <c r="G309" s="537">
        <v>1</v>
      </c>
      <c r="H309" s="537">
        <v>104</v>
      </c>
      <c r="I309" s="537">
        <v>36</v>
      </c>
      <c r="J309" s="528">
        <v>68</v>
      </c>
      <c r="K309" s="537">
        <v>3</v>
      </c>
      <c r="L309" s="528">
        <v>11</v>
      </c>
    </row>
    <row r="310" spans="1:12" ht="15.75" thickBot="1" x14ac:dyDescent="0.3">
      <c r="A310" s="535">
        <v>4</v>
      </c>
      <c r="B310" s="536" t="s">
        <v>42</v>
      </c>
      <c r="C310" s="527" t="s">
        <v>30</v>
      </c>
      <c r="D310" s="537">
        <v>3</v>
      </c>
      <c r="E310" s="528">
        <v>2</v>
      </c>
      <c r="F310" s="537">
        <v>0</v>
      </c>
      <c r="G310" s="537">
        <v>1</v>
      </c>
      <c r="H310" s="537">
        <v>97</v>
      </c>
      <c r="I310" s="537">
        <v>46</v>
      </c>
      <c r="J310" s="528">
        <v>51</v>
      </c>
      <c r="K310" s="537">
        <v>2</v>
      </c>
      <c r="L310" s="528">
        <v>10</v>
      </c>
    </row>
    <row r="311" spans="1:12" ht="15.75" thickBot="1" x14ac:dyDescent="0.3">
      <c r="A311" s="546">
        <v>5</v>
      </c>
      <c r="B311" s="542" t="s">
        <v>407</v>
      </c>
      <c r="C311" s="543" t="s">
        <v>28</v>
      </c>
      <c r="D311" s="544">
        <v>3</v>
      </c>
      <c r="E311" s="545">
        <v>2</v>
      </c>
      <c r="F311" s="544">
        <v>0</v>
      </c>
      <c r="G311" s="544">
        <v>1</v>
      </c>
      <c r="H311" s="544">
        <v>60</v>
      </c>
      <c r="I311" s="544">
        <v>82</v>
      </c>
      <c r="J311" s="545">
        <v>-22</v>
      </c>
      <c r="K311" s="544">
        <v>1</v>
      </c>
      <c r="L311" s="545">
        <v>9</v>
      </c>
    </row>
    <row r="312" spans="1:12" ht="15.75" thickBot="1" x14ac:dyDescent="0.3">
      <c r="A312" s="546">
        <v>6</v>
      </c>
      <c r="B312" s="542" t="s">
        <v>406</v>
      </c>
      <c r="C312" s="543" t="s">
        <v>10</v>
      </c>
      <c r="D312" s="544">
        <v>3</v>
      </c>
      <c r="E312" s="545">
        <v>2</v>
      </c>
      <c r="F312" s="544">
        <v>0</v>
      </c>
      <c r="G312" s="544">
        <v>1</v>
      </c>
      <c r="H312" s="544">
        <v>46</v>
      </c>
      <c r="I312" s="544">
        <v>77</v>
      </c>
      <c r="J312" s="545">
        <v>-31</v>
      </c>
      <c r="K312" s="544">
        <v>0</v>
      </c>
      <c r="L312" s="545">
        <v>8</v>
      </c>
    </row>
    <row r="313" spans="1:12" ht="15.75" thickBot="1" x14ac:dyDescent="0.3">
      <c r="A313" s="547">
        <v>7</v>
      </c>
      <c r="B313" s="548" t="s">
        <v>404</v>
      </c>
      <c r="C313" s="549" t="s">
        <v>29</v>
      </c>
      <c r="D313" s="550">
        <v>3</v>
      </c>
      <c r="E313" s="551">
        <v>1</v>
      </c>
      <c r="F313" s="550">
        <v>0</v>
      </c>
      <c r="G313" s="550">
        <v>2</v>
      </c>
      <c r="H313" s="550">
        <v>93</v>
      </c>
      <c r="I313" s="550">
        <v>71</v>
      </c>
      <c r="J313" s="551">
        <v>22</v>
      </c>
      <c r="K313" s="550">
        <v>3</v>
      </c>
      <c r="L313" s="551">
        <v>7</v>
      </c>
    </row>
    <row r="314" spans="1:12" ht="15.75" thickBot="1" x14ac:dyDescent="0.3">
      <c r="A314" s="88">
        <v>8</v>
      </c>
      <c r="B314" s="552" t="s">
        <v>408</v>
      </c>
      <c r="C314" s="89" t="s">
        <v>13</v>
      </c>
      <c r="D314" s="553">
        <v>3</v>
      </c>
      <c r="E314" s="90">
        <v>1</v>
      </c>
      <c r="F314" s="553">
        <v>0</v>
      </c>
      <c r="G314" s="553">
        <v>2</v>
      </c>
      <c r="H314" s="553">
        <v>67</v>
      </c>
      <c r="I314" s="553">
        <v>74</v>
      </c>
      <c r="J314" s="90">
        <v>-7</v>
      </c>
      <c r="K314" s="553">
        <v>3</v>
      </c>
      <c r="L314" s="90">
        <v>7</v>
      </c>
    </row>
    <row r="315" spans="1:12" ht="15.75" thickBot="1" x14ac:dyDescent="0.3">
      <c r="A315" s="88">
        <v>9</v>
      </c>
      <c r="B315" s="552" t="s">
        <v>405</v>
      </c>
      <c r="C315" s="89" t="s">
        <v>189</v>
      </c>
      <c r="D315" s="553">
        <v>3</v>
      </c>
      <c r="E315" s="90">
        <v>1</v>
      </c>
      <c r="F315" s="553">
        <v>0</v>
      </c>
      <c r="G315" s="553">
        <v>2</v>
      </c>
      <c r="H315" s="553">
        <v>71</v>
      </c>
      <c r="I315" s="553">
        <v>76</v>
      </c>
      <c r="J315" s="90">
        <v>-5</v>
      </c>
      <c r="K315" s="553">
        <v>2</v>
      </c>
      <c r="L315" s="90">
        <v>6</v>
      </c>
    </row>
    <row r="316" spans="1:12" ht="15.75" thickBot="1" x14ac:dyDescent="0.3">
      <c r="A316" s="88">
        <v>10</v>
      </c>
      <c r="B316" s="552" t="s">
        <v>408</v>
      </c>
      <c r="C316" s="89" t="s">
        <v>26</v>
      </c>
      <c r="D316" s="553">
        <v>3</v>
      </c>
      <c r="E316" s="90">
        <v>1</v>
      </c>
      <c r="F316" s="553">
        <v>0</v>
      </c>
      <c r="G316" s="553">
        <v>2</v>
      </c>
      <c r="H316" s="553">
        <v>62</v>
      </c>
      <c r="I316" s="553">
        <v>105</v>
      </c>
      <c r="J316" s="90">
        <v>-43</v>
      </c>
      <c r="K316" s="553">
        <v>1</v>
      </c>
      <c r="L316" s="90">
        <v>5</v>
      </c>
    </row>
    <row r="317" spans="1:12" ht="15.75" thickBot="1" x14ac:dyDescent="0.3">
      <c r="A317" s="88">
        <v>11</v>
      </c>
      <c r="B317" s="552" t="s">
        <v>42</v>
      </c>
      <c r="C317" s="89" t="s">
        <v>66</v>
      </c>
      <c r="D317" s="553">
        <v>3</v>
      </c>
      <c r="E317" s="90">
        <v>0</v>
      </c>
      <c r="F317" s="553">
        <v>0</v>
      </c>
      <c r="G317" s="553">
        <v>3</v>
      </c>
      <c r="H317" s="553">
        <v>45</v>
      </c>
      <c r="I317" s="553">
        <v>91</v>
      </c>
      <c r="J317" s="90">
        <v>-46</v>
      </c>
      <c r="K317" s="553">
        <v>1</v>
      </c>
      <c r="L317" s="90">
        <v>1</v>
      </c>
    </row>
    <row r="318" spans="1:12" ht="15.75" thickBot="1" x14ac:dyDescent="0.3">
      <c r="A318" s="585">
        <v>12</v>
      </c>
      <c r="B318" s="586" t="s">
        <v>42</v>
      </c>
      <c r="C318" s="587" t="s">
        <v>15</v>
      </c>
      <c r="D318" s="588">
        <v>3</v>
      </c>
      <c r="E318" s="589">
        <v>0</v>
      </c>
      <c r="F318" s="588">
        <v>0</v>
      </c>
      <c r="G318" s="588">
        <v>3</v>
      </c>
      <c r="H318" s="588">
        <v>34</v>
      </c>
      <c r="I318" s="588">
        <v>151</v>
      </c>
      <c r="J318" s="589">
        <v>-117</v>
      </c>
      <c r="K318" s="588">
        <v>1</v>
      </c>
      <c r="L318" s="589">
        <v>1</v>
      </c>
    </row>
    <row r="320" spans="1:12" x14ac:dyDescent="0.25">
      <c r="A320" s="18" t="s">
        <v>409</v>
      </c>
      <c r="B320" s="18"/>
      <c r="C320" s="18"/>
    </row>
    <row r="321" spans="1:12" ht="15.75" thickBot="1" x14ac:dyDescent="0.3"/>
    <row r="322" spans="1:12" ht="15.75" thickBot="1" x14ac:dyDescent="0.3">
      <c r="A322" s="85" t="s">
        <v>31</v>
      </c>
      <c r="B322" s="86" t="s">
        <v>32</v>
      </c>
      <c r="C322" s="86"/>
      <c r="D322" s="86" t="s">
        <v>33</v>
      </c>
      <c r="E322" s="87" t="s">
        <v>34</v>
      </c>
      <c r="F322" s="86" t="s">
        <v>35</v>
      </c>
      <c r="G322" s="86" t="s">
        <v>36</v>
      </c>
      <c r="H322" s="86" t="s">
        <v>37</v>
      </c>
      <c r="I322" s="86" t="s">
        <v>38</v>
      </c>
      <c r="J322" s="87" t="s">
        <v>39</v>
      </c>
      <c r="K322" s="86" t="s">
        <v>40</v>
      </c>
      <c r="L322" s="87" t="s">
        <v>41</v>
      </c>
    </row>
    <row r="323" spans="1:12" ht="15.75" thickBot="1" x14ac:dyDescent="0.3">
      <c r="A323" s="190">
        <v>1</v>
      </c>
      <c r="B323" s="533" t="s">
        <v>404</v>
      </c>
      <c r="C323" s="555" t="s">
        <v>21</v>
      </c>
      <c r="D323" s="556">
        <v>2</v>
      </c>
      <c r="E323" s="557">
        <v>2</v>
      </c>
      <c r="F323" s="556">
        <v>0</v>
      </c>
      <c r="G323" s="556">
        <v>0</v>
      </c>
      <c r="H323" s="556">
        <v>73</v>
      </c>
      <c r="I323" s="556">
        <v>28</v>
      </c>
      <c r="J323" s="186">
        <v>45</v>
      </c>
      <c r="K323" s="556">
        <v>1</v>
      </c>
      <c r="L323" s="186">
        <v>9</v>
      </c>
    </row>
    <row r="324" spans="1:12" ht="15.75" thickBot="1" x14ac:dyDescent="0.3">
      <c r="A324" s="558">
        <v>2</v>
      </c>
      <c r="B324" s="533" t="s">
        <v>404</v>
      </c>
      <c r="C324" s="185" t="s">
        <v>24</v>
      </c>
      <c r="D324" s="534">
        <v>2</v>
      </c>
      <c r="E324" s="186">
        <v>2</v>
      </c>
      <c r="F324" s="534">
        <v>0</v>
      </c>
      <c r="G324" s="534">
        <v>0</v>
      </c>
      <c r="H324" s="534">
        <v>82</v>
      </c>
      <c r="I324" s="534">
        <v>46</v>
      </c>
      <c r="J324" s="186">
        <v>36</v>
      </c>
      <c r="K324" s="534">
        <v>1</v>
      </c>
      <c r="L324" s="186">
        <v>9</v>
      </c>
    </row>
    <row r="325" spans="1:12" ht="15.75" thickBot="1" x14ac:dyDescent="0.3">
      <c r="A325" s="535">
        <v>3</v>
      </c>
      <c r="B325" s="536" t="s">
        <v>42</v>
      </c>
      <c r="C325" s="527" t="s">
        <v>28</v>
      </c>
      <c r="D325" s="537">
        <v>2</v>
      </c>
      <c r="E325" s="528">
        <v>2</v>
      </c>
      <c r="F325" s="537">
        <v>0</v>
      </c>
      <c r="G325" s="537">
        <v>0</v>
      </c>
      <c r="H325" s="537">
        <v>60</v>
      </c>
      <c r="I325" s="537">
        <v>37</v>
      </c>
      <c r="J325" s="528">
        <v>23</v>
      </c>
      <c r="K325" s="537">
        <v>1</v>
      </c>
      <c r="L325" s="528">
        <v>9</v>
      </c>
    </row>
    <row r="326" spans="1:12" ht="15.75" thickBot="1" x14ac:dyDescent="0.3">
      <c r="A326" s="535">
        <v>4</v>
      </c>
      <c r="B326" s="536" t="s">
        <v>405</v>
      </c>
      <c r="C326" s="527" t="s">
        <v>30</v>
      </c>
      <c r="D326" s="537">
        <v>2</v>
      </c>
      <c r="E326" s="528">
        <v>1</v>
      </c>
      <c r="F326" s="537">
        <v>0</v>
      </c>
      <c r="G326" s="537">
        <v>1</v>
      </c>
      <c r="H326" s="537">
        <v>72</v>
      </c>
      <c r="I326" s="537">
        <v>24</v>
      </c>
      <c r="J326" s="528">
        <v>48</v>
      </c>
      <c r="K326" s="537">
        <v>2</v>
      </c>
      <c r="L326" s="528">
        <v>6</v>
      </c>
    </row>
    <row r="327" spans="1:12" ht="15.75" thickBot="1" x14ac:dyDescent="0.3">
      <c r="A327" s="546">
        <v>5</v>
      </c>
      <c r="B327" s="542" t="s">
        <v>405</v>
      </c>
      <c r="C327" s="543" t="s">
        <v>27</v>
      </c>
      <c r="D327" s="544">
        <v>2</v>
      </c>
      <c r="E327" s="545">
        <v>1</v>
      </c>
      <c r="F327" s="544">
        <v>0</v>
      </c>
      <c r="G327" s="544">
        <v>1</v>
      </c>
      <c r="H327" s="544">
        <v>69</v>
      </c>
      <c r="I327" s="544">
        <v>26</v>
      </c>
      <c r="J327" s="545">
        <v>43</v>
      </c>
      <c r="K327" s="544">
        <v>2</v>
      </c>
      <c r="L327" s="545">
        <v>6</v>
      </c>
    </row>
    <row r="328" spans="1:12" ht="15.75" thickBot="1" x14ac:dyDescent="0.3">
      <c r="A328" s="546">
        <v>6</v>
      </c>
      <c r="B328" s="542" t="s">
        <v>406</v>
      </c>
      <c r="C328" s="543" t="s">
        <v>189</v>
      </c>
      <c r="D328" s="544">
        <v>2</v>
      </c>
      <c r="E328" s="545">
        <v>1</v>
      </c>
      <c r="F328" s="544">
        <v>0</v>
      </c>
      <c r="G328" s="544">
        <v>1</v>
      </c>
      <c r="H328" s="544">
        <v>48</v>
      </c>
      <c r="I328" s="544">
        <v>50</v>
      </c>
      <c r="J328" s="545">
        <v>-2</v>
      </c>
      <c r="K328" s="544">
        <v>1</v>
      </c>
      <c r="L328" s="545">
        <v>5</v>
      </c>
    </row>
    <row r="329" spans="1:12" ht="15.75" thickBot="1" x14ac:dyDescent="0.3">
      <c r="A329" s="547">
        <v>7</v>
      </c>
      <c r="B329" s="548" t="s">
        <v>42</v>
      </c>
      <c r="C329" s="549" t="s">
        <v>13</v>
      </c>
      <c r="D329" s="550">
        <v>2</v>
      </c>
      <c r="E329" s="551">
        <v>1</v>
      </c>
      <c r="F329" s="550">
        <v>0</v>
      </c>
      <c r="G329" s="550">
        <v>1</v>
      </c>
      <c r="H329" s="550">
        <v>35</v>
      </c>
      <c r="I329" s="550">
        <v>38</v>
      </c>
      <c r="J329" s="551">
        <v>-3</v>
      </c>
      <c r="K329" s="550">
        <v>1</v>
      </c>
      <c r="L329" s="551">
        <v>5</v>
      </c>
    </row>
    <row r="330" spans="1:12" ht="15.75" thickBot="1" x14ac:dyDescent="0.3">
      <c r="A330" s="88">
        <v>8</v>
      </c>
      <c r="B330" s="552" t="s">
        <v>407</v>
      </c>
      <c r="C330" s="89" t="s">
        <v>10</v>
      </c>
      <c r="D330" s="553">
        <v>2</v>
      </c>
      <c r="E330" s="90">
        <v>1</v>
      </c>
      <c r="F330" s="553">
        <v>0</v>
      </c>
      <c r="G330" s="553">
        <v>1</v>
      </c>
      <c r="H330" s="553">
        <v>20</v>
      </c>
      <c r="I330" s="553">
        <v>54</v>
      </c>
      <c r="J330" s="90">
        <v>-34</v>
      </c>
      <c r="K330" s="553">
        <v>0</v>
      </c>
      <c r="L330" s="90">
        <v>4</v>
      </c>
    </row>
    <row r="331" spans="1:12" ht="15.75" thickBot="1" x14ac:dyDescent="0.3">
      <c r="A331" s="88">
        <v>9</v>
      </c>
      <c r="B331" s="552" t="s">
        <v>406</v>
      </c>
      <c r="C331" s="89" t="s">
        <v>26</v>
      </c>
      <c r="D331" s="553">
        <v>2</v>
      </c>
      <c r="E331" s="90">
        <v>1</v>
      </c>
      <c r="F331" s="553">
        <v>0</v>
      </c>
      <c r="G331" s="553">
        <v>1</v>
      </c>
      <c r="H331" s="553">
        <v>40</v>
      </c>
      <c r="I331" s="553">
        <v>80</v>
      </c>
      <c r="J331" s="90">
        <v>-40</v>
      </c>
      <c r="K331" s="553">
        <v>0</v>
      </c>
      <c r="L331" s="90">
        <v>4</v>
      </c>
    </row>
    <row r="332" spans="1:12" ht="15.75" thickBot="1" x14ac:dyDescent="0.3">
      <c r="A332" s="88">
        <v>10</v>
      </c>
      <c r="B332" s="552" t="s">
        <v>408</v>
      </c>
      <c r="C332" s="89" t="s">
        <v>29</v>
      </c>
      <c r="D332" s="553">
        <v>2</v>
      </c>
      <c r="E332" s="90">
        <v>0</v>
      </c>
      <c r="F332" s="553">
        <v>0</v>
      </c>
      <c r="G332" s="553">
        <v>2</v>
      </c>
      <c r="H332" s="553">
        <v>47</v>
      </c>
      <c r="I332" s="553">
        <v>63</v>
      </c>
      <c r="J332" s="90">
        <v>-16</v>
      </c>
      <c r="K332" s="553">
        <v>2</v>
      </c>
      <c r="L332" s="90">
        <v>2</v>
      </c>
    </row>
    <row r="333" spans="1:12" ht="15.75" thickBot="1" x14ac:dyDescent="0.3">
      <c r="A333" s="88">
        <v>11</v>
      </c>
      <c r="B333" s="552" t="s">
        <v>408</v>
      </c>
      <c r="C333" s="89" t="s">
        <v>66</v>
      </c>
      <c r="D333" s="553">
        <v>2</v>
      </c>
      <c r="E333" s="90">
        <v>0</v>
      </c>
      <c r="F333" s="553">
        <v>0</v>
      </c>
      <c r="G333" s="553">
        <v>2</v>
      </c>
      <c r="H333" s="553">
        <v>35</v>
      </c>
      <c r="I333" s="553">
        <v>56</v>
      </c>
      <c r="J333" s="90">
        <v>-21</v>
      </c>
      <c r="K333" s="553">
        <v>1</v>
      </c>
      <c r="L333" s="90">
        <v>1</v>
      </c>
    </row>
    <row r="334" spans="1:12" ht="15.75" thickBot="1" x14ac:dyDescent="0.3">
      <c r="A334" s="585">
        <v>12</v>
      </c>
      <c r="B334" s="586" t="s">
        <v>42</v>
      </c>
      <c r="C334" s="587" t="s">
        <v>15</v>
      </c>
      <c r="D334" s="588">
        <v>2</v>
      </c>
      <c r="E334" s="589">
        <v>0</v>
      </c>
      <c r="F334" s="588">
        <v>0</v>
      </c>
      <c r="G334" s="588">
        <v>2</v>
      </c>
      <c r="H334" s="588">
        <v>26</v>
      </c>
      <c r="I334" s="588">
        <v>105</v>
      </c>
      <c r="J334" s="589">
        <v>-79</v>
      </c>
      <c r="K334" s="588">
        <v>1</v>
      </c>
      <c r="L334" s="589">
        <v>1</v>
      </c>
    </row>
    <row r="336" spans="1:12" x14ac:dyDescent="0.25">
      <c r="A336" s="18" t="s">
        <v>186</v>
      </c>
      <c r="B336" s="18"/>
      <c r="C336" s="18"/>
    </row>
    <row r="337" spans="1:12" ht="15.75" thickBot="1" x14ac:dyDescent="0.3"/>
    <row r="338" spans="1:12" ht="15.75" thickBot="1" x14ac:dyDescent="0.3">
      <c r="A338" s="85" t="s">
        <v>31</v>
      </c>
      <c r="B338" s="86" t="s">
        <v>32</v>
      </c>
      <c r="C338" s="86"/>
      <c r="D338" s="86" t="s">
        <v>33</v>
      </c>
      <c r="E338" s="87" t="s">
        <v>34</v>
      </c>
      <c r="F338" s="86" t="s">
        <v>35</v>
      </c>
      <c r="G338" s="86" t="s">
        <v>36</v>
      </c>
      <c r="H338" s="86" t="s">
        <v>37</v>
      </c>
      <c r="I338" s="86" t="s">
        <v>38</v>
      </c>
      <c r="J338" s="87" t="s">
        <v>39</v>
      </c>
      <c r="K338" s="86" t="s">
        <v>40</v>
      </c>
      <c r="L338" s="87" t="s">
        <v>41</v>
      </c>
    </row>
    <row r="339" spans="1:12" ht="15.75" thickBot="1" x14ac:dyDescent="0.3">
      <c r="A339" s="190">
        <v>1</v>
      </c>
      <c r="B339" s="533" t="s">
        <v>42</v>
      </c>
      <c r="C339" s="185" t="s">
        <v>30</v>
      </c>
      <c r="D339" s="534">
        <v>1</v>
      </c>
      <c r="E339" s="186">
        <v>1</v>
      </c>
      <c r="F339" s="534">
        <v>0</v>
      </c>
      <c r="G339" s="534">
        <v>0</v>
      </c>
      <c r="H339" s="534">
        <v>52</v>
      </c>
      <c r="I339" s="534">
        <v>0</v>
      </c>
      <c r="J339" s="186">
        <v>52</v>
      </c>
      <c r="K339" s="534">
        <v>1</v>
      </c>
      <c r="L339" s="186">
        <v>5</v>
      </c>
    </row>
    <row r="340" spans="1:12" ht="15.75" thickBot="1" x14ac:dyDescent="0.3">
      <c r="A340" s="190">
        <v>2</v>
      </c>
      <c r="B340" s="533" t="s">
        <v>42</v>
      </c>
      <c r="C340" s="185" t="s">
        <v>27</v>
      </c>
      <c r="D340" s="534">
        <v>1</v>
      </c>
      <c r="E340" s="186">
        <v>1</v>
      </c>
      <c r="F340" s="534">
        <v>0</v>
      </c>
      <c r="G340" s="534">
        <v>0</v>
      </c>
      <c r="H340" s="534">
        <v>53</v>
      </c>
      <c r="I340" s="534">
        <v>6</v>
      </c>
      <c r="J340" s="186">
        <v>47</v>
      </c>
      <c r="K340" s="534">
        <v>1</v>
      </c>
      <c r="L340" s="186">
        <v>5</v>
      </c>
    </row>
    <row r="341" spans="1:12" ht="15.75" thickBot="1" x14ac:dyDescent="0.3">
      <c r="A341" s="535">
        <v>3</v>
      </c>
      <c r="B341" s="536" t="s">
        <v>42</v>
      </c>
      <c r="C341" s="527" t="s">
        <v>28</v>
      </c>
      <c r="D341" s="537">
        <v>1</v>
      </c>
      <c r="E341" s="528">
        <v>1</v>
      </c>
      <c r="F341" s="537">
        <v>0</v>
      </c>
      <c r="G341" s="537">
        <v>0</v>
      </c>
      <c r="H341" s="537">
        <v>36</v>
      </c>
      <c r="I341" s="537">
        <v>17</v>
      </c>
      <c r="J341" s="528">
        <v>19</v>
      </c>
      <c r="K341" s="537">
        <v>1</v>
      </c>
      <c r="L341" s="528">
        <v>5</v>
      </c>
    </row>
    <row r="342" spans="1:12" ht="15.75" thickBot="1" x14ac:dyDescent="0.3">
      <c r="A342" s="535">
        <v>4</v>
      </c>
      <c r="B342" s="536" t="s">
        <v>42</v>
      </c>
      <c r="C342" s="538" t="s">
        <v>21</v>
      </c>
      <c r="D342" s="539">
        <v>1</v>
      </c>
      <c r="E342" s="540">
        <v>1</v>
      </c>
      <c r="F342" s="539">
        <v>0</v>
      </c>
      <c r="G342" s="539">
        <v>0</v>
      </c>
      <c r="H342" s="539">
        <v>34</v>
      </c>
      <c r="I342" s="539">
        <v>28</v>
      </c>
      <c r="J342" s="528">
        <v>6</v>
      </c>
      <c r="K342" s="539">
        <v>1</v>
      </c>
      <c r="L342" s="528">
        <v>5</v>
      </c>
    </row>
    <row r="343" spans="1:12" ht="15.75" thickBot="1" x14ac:dyDescent="0.3">
      <c r="A343" s="541">
        <v>5</v>
      </c>
      <c r="B343" s="542" t="s">
        <v>42</v>
      </c>
      <c r="C343" s="543" t="s">
        <v>24</v>
      </c>
      <c r="D343" s="544">
        <v>1</v>
      </c>
      <c r="E343" s="545">
        <v>1</v>
      </c>
      <c r="F343" s="544">
        <v>0</v>
      </c>
      <c r="G343" s="544">
        <v>0</v>
      </c>
      <c r="H343" s="544">
        <v>29</v>
      </c>
      <c r="I343" s="544">
        <v>20</v>
      </c>
      <c r="J343" s="545">
        <v>9</v>
      </c>
      <c r="K343" s="544">
        <v>0</v>
      </c>
      <c r="L343" s="545">
        <v>4</v>
      </c>
    </row>
    <row r="344" spans="1:12" ht="15.75" thickBot="1" x14ac:dyDescent="0.3">
      <c r="A344" s="546">
        <v>6</v>
      </c>
      <c r="B344" s="542" t="s">
        <v>42</v>
      </c>
      <c r="C344" s="543" t="s">
        <v>10</v>
      </c>
      <c r="D344" s="544">
        <v>1</v>
      </c>
      <c r="E344" s="545">
        <v>1</v>
      </c>
      <c r="F344" s="544">
        <v>0</v>
      </c>
      <c r="G344" s="544">
        <v>0</v>
      </c>
      <c r="H344" s="544">
        <v>20</v>
      </c>
      <c r="I344" s="544">
        <v>15</v>
      </c>
      <c r="J344" s="545">
        <v>5</v>
      </c>
      <c r="K344" s="544">
        <v>0</v>
      </c>
      <c r="L344" s="545">
        <v>4</v>
      </c>
    </row>
    <row r="345" spans="1:12" ht="15.75" thickBot="1" x14ac:dyDescent="0.3">
      <c r="A345" s="547">
        <v>7</v>
      </c>
      <c r="B345" s="548" t="s">
        <v>42</v>
      </c>
      <c r="C345" s="549" t="s">
        <v>13</v>
      </c>
      <c r="D345" s="550">
        <v>1</v>
      </c>
      <c r="E345" s="551">
        <v>0</v>
      </c>
      <c r="F345" s="550">
        <v>0</v>
      </c>
      <c r="G345" s="550">
        <v>1</v>
      </c>
      <c r="H345" s="550">
        <v>15</v>
      </c>
      <c r="I345" s="550">
        <v>20</v>
      </c>
      <c r="J345" s="551">
        <v>-5</v>
      </c>
      <c r="K345" s="550">
        <v>1</v>
      </c>
      <c r="L345" s="551">
        <v>1</v>
      </c>
    </row>
    <row r="346" spans="1:12" ht="15.75" thickBot="1" x14ac:dyDescent="0.3">
      <c r="A346" s="88">
        <v>8</v>
      </c>
      <c r="B346" s="552" t="s">
        <v>42</v>
      </c>
      <c r="C346" s="89" t="s">
        <v>189</v>
      </c>
      <c r="D346" s="553">
        <v>1</v>
      </c>
      <c r="E346" s="90">
        <v>0</v>
      </c>
      <c r="F346" s="553">
        <v>0</v>
      </c>
      <c r="G346" s="553">
        <v>1</v>
      </c>
      <c r="H346" s="553">
        <v>28</v>
      </c>
      <c r="I346" s="553">
        <v>34</v>
      </c>
      <c r="J346" s="90">
        <v>-6</v>
      </c>
      <c r="K346" s="553">
        <v>1</v>
      </c>
      <c r="L346" s="90">
        <v>1</v>
      </c>
    </row>
    <row r="347" spans="1:12" ht="15.75" thickBot="1" x14ac:dyDescent="0.3">
      <c r="A347" s="88">
        <v>9</v>
      </c>
      <c r="B347" s="552" t="s">
        <v>42</v>
      </c>
      <c r="C347" s="89" t="s">
        <v>29</v>
      </c>
      <c r="D347" s="553">
        <v>1</v>
      </c>
      <c r="E347" s="90">
        <v>0</v>
      </c>
      <c r="F347" s="553">
        <v>0</v>
      </c>
      <c r="G347" s="553">
        <v>1</v>
      </c>
      <c r="H347" s="553">
        <v>20</v>
      </c>
      <c r="I347" s="553">
        <v>29</v>
      </c>
      <c r="J347" s="90">
        <v>-9</v>
      </c>
      <c r="K347" s="553">
        <v>0</v>
      </c>
      <c r="L347" s="90">
        <v>0</v>
      </c>
    </row>
    <row r="348" spans="1:12" ht="15.75" thickBot="1" x14ac:dyDescent="0.3">
      <c r="A348" s="88">
        <v>10</v>
      </c>
      <c r="B348" s="552" t="s">
        <v>42</v>
      </c>
      <c r="C348" s="89" t="s">
        <v>66</v>
      </c>
      <c r="D348" s="553">
        <v>1</v>
      </c>
      <c r="E348" s="90">
        <v>0</v>
      </c>
      <c r="F348" s="553">
        <v>0</v>
      </c>
      <c r="G348" s="553">
        <v>1</v>
      </c>
      <c r="H348" s="553">
        <v>17</v>
      </c>
      <c r="I348" s="553">
        <v>36</v>
      </c>
      <c r="J348" s="90">
        <v>-19</v>
      </c>
      <c r="K348" s="553">
        <v>0</v>
      </c>
      <c r="L348" s="90">
        <v>0</v>
      </c>
    </row>
    <row r="349" spans="1:12" ht="15.75" thickBot="1" x14ac:dyDescent="0.3">
      <c r="A349" s="88">
        <v>11</v>
      </c>
      <c r="B349" s="552" t="s">
        <v>42</v>
      </c>
      <c r="C349" s="89" t="s">
        <v>26</v>
      </c>
      <c r="D349" s="553">
        <v>1</v>
      </c>
      <c r="E349" s="90">
        <v>0</v>
      </c>
      <c r="F349" s="553">
        <v>0</v>
      </c>
      <c r="G349" s="553">
        <v>1</v>
      </c>
      <c r="H349" s="553">
        <v>6</v>
      </c>
      <c r="I349" s="553">
        <v>53</v>
      </c>
      <c r="J349" s="90">
        <v>-47</v>
      </c>
      <c r="K349" s="553">
        <v>0</v>
      </c>
      <c r="L349" s="90">
        <v>0</v>
      </c>
    </row>
    <row r="350" spans="1:12" ht="15.75" thickBot="1" x14ac:dyDescent="0.3">
      <c r="A350" s="585">
        <v>12</v>
      </c>
      <c r="B350" s="586" t="s">
        <v>42</v>
      </c>
      <c r="C350" s="587" t="s">
        <v>15</v>
      </c>
      <c r="D350" s="588">
        <v>1</v>
      </c>
      <c r="E350" s="589">
        <v>0</v>
      </c>
      <c r="F350" s="588">
        <v>0</v>
      </c>
      <c r="G350" s="588">
        <v>1</v>
      </c>
      <c r="H350" s="588">
        <v>0</v>
      </c>
      <c r="I350" s="588">
        <v>52</v>
      </c>
      <c r="J350" s="589">
        <v>-52</v>
      </c>
      <c r="K350" s="588">
        <v>0</v>
      </c>
      <c r="L350" s="589">
        <v>0</v>
      </c>
    </row>
    <row r="352" spans="1:12" x14ac:dyDescent="0.25">
      <c r="A352" s="470" t="s">
        <v>253</v>
      </c>
      <c r="B352" s="18"/>
      <c r="C352" s="18"/>
    </row>
  </sheetData>
  <sortState xmlns:xlrd2="http://schemas.microsoft.com/office/spreadsheetml/2017/richdata2" ref="A2:L13">
    <sortCondition descending="1" ref="L2:L13"/>
    <sortCondition descending="1" ref="E2:E13"/>
    <sortCondition descending="1" ref="J2:J13"/>
    <sortCondition descending="1" ref="H2:H13"/>
  </sortState>
  <conditionalFormatting sqref="P11">
    <cfRule type="expression" dxfId="1" priority="2">
      <formula>"A13:L13"</formula>
    </cfRule>
  </conditionalFormatting>
  <conditionalFormatting sqref="P8">
    <cfRule type="expression" dxfId="0" priority="1">
      <formula>"a13"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59"/>
  <sheetViews>
    <sheetView workbookViewId="0"/>
  </sheetViews>
  <sheetFormatPr defaultRowHeight="15" x14ac:dyDescent="0.25"/>
  <cols>
    <col min="1" max="1" width="11.42578125" customWidth="1"/>
    <col min="2" max="2" width="5.28515625" customWidth="1"/>
    <col min="3" max="3" width="12.7109375" customWidth="1"/>
    <col min="4" max="4" width="6.7109375" customWidth="1"/>
    <col min="5" max="5" width="12.7109375" customWidth="1"/>
    <col min="6" max="6" width="13.7109375" customWidth="1"/>
  </cols>
  <sheetData>
    <row r="1" spans="1:7" x14ac:dyDescent="0.25">
      <c r="A1" s="512" t="s">
        <v>258</v>
      </c>
      <c r="B1" s="511"/>
      <c r="C1" s="509"/>
      <c r="D1" s="509"/>
      <c r="E1" s="509"/>
      <c r="F1" s="509"/>
      <c r="G1" s="509"/>
    </row>
    <row r="2" spans="1:7" x14ac:dyDescent="0.25">
      <c r="A2" s="512" t="s">
        <v>286</v>
      </c>
      <c r="B2" s="510">
        <v>0.82291666666666663</v>
      </c>
      <c r="C2" s="509" t="s">
        <v>27</v>
      </c>
      <c r="D2" s="561" t="s">
        <v>343</v>
      </c>
      <c r="E2" s="509" t="s">
        <v>26</v>
      </c>
      <c r="F2" s="509" t="s">
        <v>417</v>
      </c>
      <c r="G2" s="509" t="s">
        <v>255</v>
      </c>
    </row>
    <row r="3" spans="1:7" x14ac:dyDescent="0.25">
      <c r="A3" s="512" t="s">
        <v>295</v>
      </c>
      <c r="B3" s="510">
        <v>0.58333333333333337</v>
      </c>
      <c r="C3" s="509" t="s">
        <v>20</v>
      </c>
      <c r="D3" s="561" t="s">
        <v>349</v>
      </c>
      <c r="E3" s="509" t="s">
        <v>256</v>
      </c>
      <c r="F3" s="509" t="s">
        <v>414</v>
      </c>
      <c r="G3" s="509"/>
    </row>
    <row r="4" spans="1:7" x14ac:dyDescent="0.25">
      <c r="A4" s="512" t="s">
        <v>295</v>
      </c>
      <c r="B4" s="510">
        <v>0.58333333333333337</v>
      </c>
      <c r="C4" s="509" t="s">
        <v>21</v>
      </c>
      <c r="D4" s="561" t="s">
        <v>358</v>
      </c>
      <c r="E4" s="509" t="s">
        <v>189</v>
      </c>
      <c r="F4" s="509" t="s">
        <v>411</v>
      </c>
      <c r="G4" s="509" t="s">
        <v>255</v>
      </c>
    </row>
    <row r="5" spans="1:7" x14ac:dyDescent="0.25">
      <c r="A5" s="512" t="s">
        <v>295</v>
      </c>
      <c r="B5" s="510">
        <v>0.625</v>
      </c>
      <c r="C5" s="509" t="s">
        <v>28</v>
      </c>
      <c r="D5" s="561" t="s">
        <v>365</v>
      </c>
      <c r="E5" s="509" t="s">
        <v>66</v>
      </c>
      <c r="F5" s="509" t="s">
        <v>257</v>
      </c>
      <c r="G5" s="509"/>
    </row>
    <row r="6" spans="1:7" x14ac:dyDescent="0.25">
      <c r="A6" s="512" t="s">
        <v>295</v>
      </c>
      <c r="B6" s="510">
        <v>0.6875</v>
      </c>
      <c r="C6" s="509" t="s">
        <v>13</v>
      </c>
      <c r="D6" s="561" t="s">
        <v>372</v>
      </c>
      <c r="E6" s="509" t="s">
        <v>10</v>
      </c>
      <c r="F6" s="509" t="s">
        <v>411</v>
      </c>
      <c r="G6" s="509" t="s">
        <v>255</v>
      </c>
    </row>
    <row r="7" spans="1:7" x14ac:dyDescent="0.25">
      <c r="A7" s="512" t="s">
        <v>316</v>
      </c>
      <c r="B7" s="510">
        <v>0.58333333333333337</v>
      </c>
      <c r="C7" s="509" t="s">
        <v>15</v>
      </c>
      <c r="D7" s="561" t="s">
        <v>379</v>
      </c>
      <c r="E7" s="509" t="s">
        <v>8</v>
      </c>
      <c r="F7" s="509" t="s">
        <v>416</v>
      </c>
      <c r="G7" s="509" t="s">
        <v>255</v>
      </c>
    </row>
    <row r="8" spans="1:7" x14ac:dyDescent="0.25">
      <c r="A8" s="512" t="s">
        <v>259</v>
      </c>
      <c r="B8" s="511"/>
      <c r="C8" s="509"/>
      <c r="D8" s="561"/>
      <c r="E8" s="509"/>
      <c r="F8" s="509"/>
      <c r="G8" s="509"/>
    </row>
    <row r="9" spans="1:7" x14ac:dyDescent="0.25">
      <c r="A9" s="512" t="s">
        <v>287</v>
      </c>
      <c r="B9" s="510">
        <v>0.82291666666666663</v>
      </c>
      <c r="C9" s="509" t="s">
        <v>10</v>
      </c>
      <c r="D9" s="561" t="s">
        <v>384</v>
      </c>
      <c r="E9" s="509" t="s">
        <v>21</v>
      </c>
      <c r="F9" s="509" t="s">
        <v>413</v>
      </c>
      <c r="G9" s="509" t="s">
        <v>255</v>
      </c>
    </row>
    <row r="10" spans="1:7" x14ac:dyDescent="0.25">
      <c r="A10" s="512" t="s">
        <v>296</v>
      </c>
      <c r="B10" s="510">
        <v>0.625</v>
      </c>
      <c r="C10" s="509" t="s">
        <v>256</v>
      </c>
      <c r="D10" s="561" t="s">
        <v>388</v>
      </c>
      <c r="E10" s="509" t="s">
        <v>15</v>
      </c>
      <c r="F10" s="509" t="s">
        <v>412</v>
      </c>
      <c r="G10" s="509"/>
    </row>
    <row r="11" spans="1:7" x14ac:dyDescent="0.25">
      <c r="A11" s="512" t="s">
        <v>296</v>
      </c>
      <c r="B11" s="510">
        <v>0.625</v>
      </c>
      <c r="C11" s="509" t="s">
        <v>26</v>
      </c>
      <c r="D11" s="561" t="s">
        <v>395</v>
      </c>
      <c r="E11" s="509" t="s">
        <v>20</v>
      </c>
      <c r="F11" s="509" t="s">
        <v>260</v>
      </c>
      <c r="G11" s="509"/>
    </row>
    <row r="12" spans="1:7" x14ac:dyDescent="0.25">
      <c r="A12" s="512" t="s">
        <v>296</v>
      </c>
      <c r="B12" s="510">
        <v>0.63541666666666663</v>
      </c>
      <c r="C12" s="509" t="s">
        <v>8</v>
      </c>
      <c r="D12" s="561" t="s">
        <v>396</v>
      </c>
      <c r="E12" s="509" t="s">
        <v>28</v>
      </c>
      <c r="F12" s="509" t="s">
        <v>261</v>
      </c>
      <c r="G12" s="509" t="s">
        <v>255</v>
      </c>
    </row>
    <row r="13" spans="1:7" x14ac:dyDescent="0.25">
      <c r="A13" s="512" t="s">
        <v>317</v>
      </c>
      <c r="B13" s="510">
        <v>0.58333333333333337</v>
      </c>
      <c r="C13" s="509" t="s">
        <v>189</v>
      </c>
      <c r="D13" s="561" t="s">
        <v>400</v>
      </c>
      <c r="E13" s="509" t="s">
        <v>27</v>
      </c>
      <c r="F13" s="509" t="s">
        <v>262</v>
      </c>
      <c r="G13" s="509" t="s">
        <v>255</v>
      </c>
    </row>
    <row r="14" spans="1:7" x14ac:dyDescent="0.25">
      <c r="A14" s="512" t="s">
        <v>317</v>
      </c>
      <c r="B14" s="510">
        <v>0.625</v>
      </c>
      <c r="C14" s="509" t="s">
        <v>66</v>
      </c>
      <c r="D14" s="561" t="s">
        <v>403</v>
      </c>
      <c r="E14" s="509" t="s">
        <v>13</v>
      </c>
      <c r="F14" s="509" t="s">
        <v>263</v>
      </c>
      <c r="G14" s="509"/>
    </row>
    <row r="15" spans="1:7" x14ac:dyDescent="0.25">
      <c r="A15" s="512" t="s">
        <v>264</v>
      </c>
      <c r="B15" s="511"/>
      <c r="C15" s="509"/>
      <c r="D15" s="561"/>
      <c r="E15" s="509"/>
      <c r="F15" s="509"/>
      <c r="G15" s="509"/>
    </row>
    <row r="16" spans="1:7" x14ac:dyDescent="0.25">
      <c r="A16" s="512" t="s">
        <v>288</v>
      </c>
      <c r="B16" s="510">
        <v>0.82291666666666663</v>
      </c>
      <c r="C16" s="509" t="s">
        <v>26</v>
      </c>
      <c r="D16" s="561" t="s">
        <v>421</v>
      </c>
      <c r="E16" s="509" t="s">
        <v>8</v>
      </c>
      <c r="F16" s="509" t="s">
        <v>260</v>
      </c>
      <c r="G16" s="509" t="s">
        <v>255</v>
      </c>
    </row>
    <row r="17" spans="1:7" x14ac:dyDescent="0.25">
      <c r="A17" s="512" t="s">
        <v>297</v>
      </c>
      <c r="B17" s="510">
        <v>0.58333333333333337</v>
      </c>
      <c r="C17" s="509" t="s">
        <v>20</v>
      </c>
      <c r="D17" s="561" t="s">
        <v>425</v>
      </c>
      <c r="E17" s="509" t="s">
        <v>15</v>
      </c>
      <c r="F17" s="509" t="s">
        <v>414</v>
      </c>
      <c r="G17" s="509"/>
    </row>
    <row r="18" spans="1:7" x14ac:dyDescent="0.25">
      <c r="A18" s="512" t="s">
        <v>297</v>
      </c>
      <c r="B18" s="510">
        <v>0.625</v>
      </c>
      <c r="C18" s="509" t="s">
        <v>10</v>
      </c>
      <c r="D18" s="561" t="s">
        <v>428</v>
      </c>
      <c r="E18" s="509" t="s">
        <v>189</v>
      </c>
      <c r="F18" s="509" t="s">
        <v>413</v>
      </c>
      <c r="G18" s="509"/>
    </row>
    <row r="19" spans="1:7" x14ac:dyDescent="0.25">
      <c r="A19" s="512" t="s">
        <v>297</v>
      </c>
      <c r="B19" s="510">
        <v>0.625</v>
      </c>
      <c r="C19" s="509" t="s">
        <v>13</v>
      </c>
      <c r="D19" s="561" t="s">
        <v>431</v>
      </c>
      <c r="E19" s="509" t="s">
        <v>21</v>
      </c>
      <c r="F19" s="509" t="s">
        <v>415</v>
      </c>
      <c r="G19" s="509"/>
    </row>
    <row r="20" spans="1:7" x14ac:dyDescent="0.25">
      <c r="A20" s="512" t="s">
        <v>297</v>
      </c>
      <c r="B20" s="510">
        <v>0.63541666666666663</v>
      </c>
      <c r="C20" s="509" t="s">
        <v>256</v>
      </c>
      <c r="D20" s="561" t="s">
        <v>434</v>
      </c>
      <c r="E20" s="509" t="s">
        <v>28</v>
      </c>
      <c r="F20" s="509" t="s">
        <v>412</v>
      </c>
      <c r="G20" s="509" t="s">
        <v>255</v>
      </c>
    </row>
    <row r="21" spans="1:7" x14ac:dyDescent="0.25">
      <c r="A21" s="512" t="s">
        <v>318</v>
      </c>
      <c r="B21" s="510">
        <v>0.58333333333333337</v>
      </c>
      <c r="C21" s="509" t="s">
        <v>66</v>
      </c>
      <c r="D21" s="562" t="s">
        <v>437</v>
      </c>
      <c r="E21" s="509" t="s">
        <v>27</v>
      </c>
      <c r="F21" s="509" t="s">
        <v>263</v>
      </c>
      <c r="G21" s="509" t="s">
        <v>255</v>
      </c>
    </row>
    <row r="22" spans="1:7" x14ac:dyDescent="0.25">
      <c r="A22" s="512" t="s">
        <v>265</v>
      </c>
      <c r="B22" s="511"/>
      <c r="C22" s="509"/>
      <c r="D22" s="561"/>
      <c r="E22" s="509"/>
      <c r="F22" s="509"/>
      <c r="G22" s="509"/>
    </row>
    <row r="23" spans="1:7" x14ac:dyDescent="0.25">
      <c r="A23" s="512" t="s">
        <v>289</v>
      </c>
      <c r="B23" s="510">
        <v>0.82291666666666663</v>
      </c>
      <c r="C23" s="509" t="s">
        <v>15</v>
      </c>
      <c r="D23" s="595" t="s">
        <v>450</v>
      </c>
      <c r="E23" s="509" t="s">
        <v>26</v>
      </c>
      <c r="F23" s="509" t="s">
        <v>416</v>
      </c>
      <c r="G23" s="509" t="s">
        <v>255</v>
      </c>
    </row>
    <row r="24" spans="1:7" x14ac:dyDescent="0.25">
      <c r="A24" s="512" t="s">
        <v>298</v>
      </c>
      <c r="B24" s="510">
        <v>0.625</v>
      </c>
      <c r="C24" s="509" t="s">
        <v>28</v>
      </c>
      <c r="D24" s="561" t="s">
        <v>448</v>
      </c>
      <c r="E24" s="509" t="s">
        <v>13</v>
      </c>
      <c r="F24" s="509" t="s">
        <v>257</v>
      </c>
      <c r="G24" s="509"/>
    </row>
    <row r="25" spans="1:7" x14ac:dyDescent="0.25">
      <c r="A25" s="512" t="s">
        <v>298</v>
      </c>
      <c r="B25" s="510">
        <v>0.625</v>
      </c>
      <c r="C25" s="509" t="s">
        <v>21</v>
      </c>
      <c r="D25" s="561" t="s">
        <v>449</v>
      </c>
      <c r="E25" s="509" t="s">
        <v>20</v>
      </c>
      <c r="F25" s="509" t="s">
        <v>266</v>
      </c>
      <c r="G25" s="509"/>
    </row>
    <row r="26" spans="1:7" x14ac:dyDescent="0.25">
      <c r="A26" s="512" t="s">
        <v>298</v>
      </c>
      <c r="B26" s="510">
        <v>0.63541666666666663</v>
      </c>
      <c r="C26" s="509" t="s">
        <v>27</v>
      </c>
      <c r="D26" s="561" t="s">
        <v>454</v>
      </c>
      <c r="E26" s="509" t="s">
        <v>256</v>
      </c>
      <c r="F26" s="509" t="s">
        <v>417</v>
      </c>
      <c r="G26" s="509" t="s">
        <v>255</v>
      </c>
    </row>
    <row r="27" spans="1:7" x14ac:dyDescent="0.25">
      <c r="A27" s="512" t="s">
        <v>319</v>
      </c>
      <c r="B27" s="510">
        <v>0.58333333333333337</v>
      </c>
      <c r="C27" s="509" t="s">
        <v>8</v>
      </c>
      <c r="D27" s="561" t="s">
        <v>457</v>
      </c>
      <c r="E27" s="509" t="s">
        <v>10</v>
      </c>
      <c r="F27" s="509" t="s">
        <v>261</v>
      </c>
      <c r="G27" s="509" t="s">
        <v>255</v>
      </c>
    </row>
    <row r="28" spans="1:7" x14ac:dyDescent="0.25">
      <c r="A28" s="512" t="s">
        <v>319</v>
      </c>
      <c r="B28" s="510">
        <v>0.58333333333333337</v>
      </c>
      <c r="C28" s="509" t="s">
        <v>189</v>
      </c>
      <c r="D28" s="561" t="s">
        <v>460</v>
      </c>
      <c r="E28" s="509" t="s">
        <v>66</v>
      </c>
      <c r="F28" s="509" t="s">
        <v>262</v>
      </c>
      <c r="G28" s="509"/>
    </row>
    <row r="29" spans="1:7" x14ac:dyDescent="0.25">
      <c r="A29" s="512" t="s">
        <v>267</v>
      </c>
      <c r="B29" s="511"/>
      <c r="C29" s="509"/>
      <c r="D29" s="561"/>
      <c r="E29" s="509"/>
      <c r="F29" s="509"/>
      <c r="G29" s="509"/>
    </row>
    <row r="30" spans="1:7" x14ac:dyDescent="0.25">
      <c r="A30" s="512" t="s">
        <v>290</v>
      </c>
      <c r="B30" s="510">
        <v>0.82291666666666663</v>
      </c>
      <c r="C30" s="509" t="s">
        <v>256</v>
      </c>
      <c r="D30" s="595" t="s">
        <v>464</v>
      </c>
      <c r="E30" s="509" t="s">
        <v>21</v>
      </c>
      <c r="F30" s="509" t="s">
        <v>412</v>
      </c>
      <c r="G30" s="509" t="s">
        <v>255</v>
      </c>
    </row>
    <row r="31" spans="1:7" x14ac:dyDescent="0.25">
      <c r="A31" s="512" t="s">
        <v>299</v>
      </c>
      <c r="B31" s="510">
        <v>0.625</v>
      </c>
      <c r="C31" s="509" t="s">
        <v>10</v>
      </c>
      <c r="D31" s="595" t="s">
        <v>465</v>
      </c>
      <c r="E31" s="509" t="s">
        <v>15</v>
      </c>
      <c r="F31" s="509" t="s">
        <v>413</v>
      </c>
      <c r="G31" s="509"/>
    </row>
    <row r="32" spans="1:7" x14ac:dyDescent="0.25">
      <c r="A32" s="512" t="s">
        <v>299</v>
      </c>
      <c r="B32" s="510">
        <v>0.625</v>
      </c>
      <c r="C32" s="509" t="s">
        <v>13</v>
      </c>
      <c r="D32" s="595" t="s">
        <v>467</v>
      </c>
      <c r="E32" s="509" t="s">
        <v>27</v>
      </c>
      <c r="F32" s="509" t="s">
        <v>415</v>
      </c>
      <c r="G32" s="509"/>
    </row>
    <row r="33" spans="1:7" x14ac:dyDescent="0.25">
      <c r="A33" s="512" t="s">
        <v>299</v>
      </c>
      <c r="B33" s="510">
        <v>0.63541666666666663</v>
      </c>
      <c r="C33" s="509" t="s">
        <v>26</v>
      </c>
      <c r="D33" s="595" t="s">
        <v>470</v>
      </c>
      <c r="E33" s="509" t="s">
        <v>28</v>
      </c>
      <c r="F33" s="509" t="s">
        <v>260</v>
      </c>
      <c r="G33" s="509" t="s">
        <v>255</v>
      </c>
    </row>
    <row r="34" spans="1:7" x14ac:dyDescent="0.25">
      <c r="A34" s="512" t="s">
        <v>320</v>
      </c>
      <c r="B34" s="510">
        <v>0.58333333333333337</v>
      </c>
      <c r="C34" s="509" t="s">
        <v>20</v>
      </c>
      <c r="D34" s="595" t="s">
        <v>476</v>
      </c>
      <c r="E34" s="509" t="s">
        <v>189</v>
      </c>
      <c r="F34" s="509" t="s">
        <v>414</v>
      </c>
      <c r="G34" s="509" t="s">
        <v>255</v>
      </c>
    </row>
    <row r="35" spans="1:7" x14ac:dyDescent="0.25">
      <c r="A35" s="512" t="s">
        <v>320</v>
      </c>
      <c r="B35" s="510">
        <v>0.625</v>
      </c>
      <c r="C35" s="509" t="s">
        <v>66</v>
      </c>
      <c r="D35" s="595" t="s">
        <v>473</v>
      </c>
      <c r="E35" s="509" t="s">
        <v>8</v>
      </c>
      <c r="F35" s="509" t="s">
        <v>263</v>
      </c>
      <c r="G35" s="509"/>
    </row>
    <row r="36" spans="1:7" x14ac:dyDescent="0.25">
      <c r="A36" s="512" t="s">
        <v>268</v>
      </c>
      <c r="B36" s="511"/>
      <c r="C36" s="509"/>
      <c r="D36" s="595"/>
      <c r="E36" s="509"/>
      <c r="F36" s="509"/>
      <c r="G36" s="509"/>
    </row>
    <row r="37" spans="1:7" x14ac:dyDescent="0.25">
      <c r="A37" s="512" t="s">
        <v>291</v>
      </c>
      <c r="B37" s="510">
        <v>0.82291666666666663</v>
      </c>
      <c r="C37" s="509" t="s">
        <v>28</v>
      </c>
      <c r="D37" s="595" t="s">
        <v>480</v>
      </c>
      <c r="E37" s="509" t="s">
        <v>10</v>
      </c>
      <c r="F37" s="509" t="s">
        <v>257</v>
      </c>
      <c r="G37" s="509" t="s">
        <v>255</v>
      </c>
    </row>
    <row r="38" spans="1:7" x14ac:dyDescent="0.25">
      <c r="A38" s="512" t="s">
        <v>300</v>
      </c>
      <c r="B38" s="510">
        <v>0.60416666666666663</v>
      </c>
      <c r="C38" s="509" t="s">
        <v>15</v>
      </c>
      <c r="D38" s="595" t="s">
        <v>483</v>
      </c>
      <c r="E38" s="509" t="s">
        <v>66</v>
      </c>
      <c r="F38" s="509" t="s">
        <v>416</v>
      </c>
      <c r="G38" s="509"/>
    </row>
    <row r="39" spans="1:7" x14ac:dyDescent="0.25">
      <c r="A39" s="512" t="s">
        <v>300</v>
      </c>
      <c r="B39" s="510">
        <v>0.625</v>
      </c>
      <c r="C39" s="509" t="s">
        <v>8</v>
      </c>
      <c r="D39" s="595" t="s">
        <v>487</v>
      </c>
      <c r="E39" s="509" t="s">
        <v>13</v>
      </c>
      <c r="F39" s="509" t="s">
        <v>261</v>
      </c>
      <c r="G39" s="509"/>
    </row>
    <row r="40" spans="1:7" x14ac:dyDescent="0.25">
      <c r="A40" s="512" t="s">
        <v>300</v>
      </c>
      <c r="B40" s="510">
        <v>0.625</v>
      </c>
      <c r="C40" s="509" t="s">
        <v>21</v>
      </c>
      <c r="D40" s="595" t="s">
        <v>489</v>
      </c>
      <c r="E40" s="509" t="s">
        <v>26</v>
      </c>
      <c r="F40" s="509" t="s">
        <v>266</v>
      </c>
      <c r="G40" s="509"/>
    </row>
    <row r="41" spans="1:7" x14ac:dyDescent="0.25">
      <c r="A41" s="512" t="s">
        <v>300</v>
      </c>
      <c r="B41" s="510">
        <v>0.63541666666666663</v>
      </c>
      <c r="C41" s="509" t="s">
        <v>27</v>
      </c>
      <c r="D41" s="595" t="s">
        <v>492</v>
      </c>
      <c r="E41" s="509" t="s">
        <v>20</v>
      </c>
      <c r="F41" s="509" t="s">
        <v>417</v>
      </c>
      <c r="G41" s="509" t="s">
        <v>255</v>
      </c>
    </row>
    <row r="42" spans="1:7" x14ac:dyDescent="0.25">
      <c r="A42" s="512" t="s">
        <v>321</v>
      </c>
      <c r="B42" s="510">
        <v>0.58333333333333337</v>
      </c>
      <c r="C42" s="509" t="s">
        <v>189</v>
      </c>
      <c r="D42" s="595" t="s">
        <v>495</v>
      </c>
      <c r="E42" s="509" t="s">
        <v>256</v>
      </c>
      <c r="F42" s="509" t="s">
        <v>262</v>
      </c>
      <c r="G42" s="509" t="s">
        <v>255</v>
      </c>
    </row>
    <row r="43" spans="1:7" x14ac:dyDescent="0.25">
      <c r="A43" s="512" t="s">
        <v>269</v>
      </c>
      <c r="B43" s="511"/>
      <c r="C43" s="509"/>
      <c r="D43" s="595"/>
      <c r="E43" s="509"/>
      <c r="F43" s="509"/>
      <c r="G43" s="509"/>
    </row>
    <row r="44" spans="1:7" x14ac:dyDescent="0.25">
      <c r="A44" s="512" t="s">
        <v>638</v>
      </c>
      <c r="B44" s="510">
        <v>0.82291666666666663</v>
      </c>
      <c r="C44" s="509" t="s">
        <v>26</v>
      </c>
      <c r="D44" s="595" t="s">
        <v>639</v>
      </c>
      <c r="E44" s="509" t="s">
        <v>10</v>
      </c>
      <c r="F44" s="509" t="s">
        <v>260</v>
      </c>
      <c r="G44" s="509" t="s">
        <v>255</v>
      </c>
    </row>
    <row r="45" spans="1:7" x14ac:dyDescent="0.25">
      <c r="A45" s="512" t="s">
        <v>638</v>
      </c>
      <c r="B45" s="510">
        <v>0.82291666666666663</v>
      </c>
      <c r="C45" s="509" t="s">
        <v>27</v>
      </c>
      <c r="D45" s="595" t="s">
        <v>640</v>
      </c>
      <c r="E45" s="509" t="s">
        <v>8</v>
      </c>
      <c r="F45" s="509" t="s">
        <v>417</v>
      </c>
      <c r="G45" s="509"/>
    </row>
    <row r="46" spans="1:7" x14ac:dyDescent="0.25">
      <c r="A46" s="512" t="s">
        <v>301</v>
      </c>
      <c r="B46" s="510">
        <v>0.5</v>
      </c>
      <c r="C46" s="509" t="s">
        <v>20</v>
      </c>
      <c r="D46" s="595" t="s">
        <v>641</v>
      </c>
      <c r="E46" s="509" t="s">
        <v>13</v>
      </c>
      <c r="F46" s="509" t="s">
        <v>414</v>
      </c>
      <c r="G46" s="509"/>
    </row>
    <row r="47" spans="1:7" x14ac:dyDescent="0.25">
      <c r="A47" s="512" t="s">
        <v>301</v>
      </c>
      <c r="B47" s="510">
        <v>0.70833333333333337</v>
      </c>
      <c r="C47" s="509" t="s">
        <v>256</v>
      </c>
      <c r="D47" s="595" t="s">
        <v>644</v>
      </c>
      <c r="E47" s="509" t="s">
        <v>66</v>
      </c>
      <c r="F47" s="509" t="s">
        <v>412</v>
      </c>
      <c r="G47" s="509"/>
    </row>
    <row r="48" spans="1:7" x14ac:dyDescent="0.25">
      <c r="A48" s="512" t="s">
        <v>322</v>
      </c>
      <c r="B48" s="510">
        <v>0.54166666666666663</v>
      </c>
      <c r="C48" s="509" t="s">
        <v>28</v>
      </c>
      <c r="D48" s="595" t="s">
        <v>648</v>
      </c>
      <c r="E48" s="509" t="s">
        <v>21</v>
      </c>
      <c r="F48" s="509" t="s">
        <v>257</v>
      </c>
      <c r="G48" s="509" t="s">
        <v>255</v>
      </c>
    </row>
    <row r="49" spans="1:7" x14ac:dyDescent="0.25">
      <c r="A49" s="512" t="s">
        <v>322</v>
      </c>
      <c r="B49" s="510">
        <v>0.625</v>
      </c>
      <c r="C49" s="509" t="s">
        <v>189</v>
      </c>
      <c r="D49" s="595" t="s">
        <v>649</v>
      </c>
      <c r="E49" s="509" t="s">
        <v>15</v>
      </c>
      <c r="F49" s="509" t="s">
        <v>262</v>
      </c>
      <c r="G49" s="509" t="s">
        <v>255</v>
      </c>
    </row>
    <row r="50" spans="1:7" x14ac:dyDescent="0.25">
      <c r="A50" s="512" t="s">
        <v>270</v>
      </c>
      <c r="B50" s="511"/>
      <c r="C50" s="509"/>
      <c r="D50" s="595"/>
      <c r="E50" s="509"/>
      <c r="F50" s="509"/>
      <c r="G50" s="509"/>
    </row>
    <row r="51" spans="1:7" x14ac:dyDescent="0.25">
      <c r="A51" s="512" t="s">
        <v>292</v>
      </c>
      <c r="B51" s="510">
        <v>0.82291666666666663</v>
      </c>
      <c r="C51" s="509" t="s">
        <v>10</v>
      </c>
      <c r="D51" s="595" t="s">
        <v>653</v>
      </c>
      <c r="E51" s="509" t="s">
        <v>20</v>
      </c>
      <c r="F51" s="509" t="s">
        <v>413</v>
      </c>
      <c r="G51" s="509" t="s">
        <v>255</v>
      </c>
    </row>
    <row r="52" spans="1:7" x14ac:dyDescent="0.25">
      <c r="A52" s="512" t="s">
        <v>292</v>
      </c>
      <c r="B52" s="510">
        <v>0.83333333333333337</v>
      </c>
      <c r="C52" s="509" t="s">
        <v>66</v>
      </c>
      <c r="D52" s="595" t="s">
        <v>654</v>
      </c>
      <c r="E52" s="509" t="s">
        <v>26</v>
      </c>
      <c r="F52" s="509" t="s">
        <v>263</v>
      </c>
      <c r="G52" s="509"/>
    </row>
    <row r="53" spans="1:7" x14ac:dyDescent="0.25">
      <c r="A53" s="512" t="s">
        <v>302</v>
      </c>
      <c r="B53" s="510">
        <v>0.625</v>
      </c>
      <c r="C53" s="509" t="s">
        <v>8</v>
      </c>
      <c r="D53" s="595" t="s">
        <v>660</v>
      </c>
      <c r="E53" s="509" t="s">
        <v>189</v>
      </c>
      <c r="F53" s="509" t="s">
        <v>261</v>
      </c>
      <c r="G53" s="509"/>
    </row>
    <row r="54" spans="1:7" x14ac:dyDescent="0.25">
      <c r="A54" s="512" t="s">
        <v>302</v>
      </c>
      <c r="B54" s="510">
        <v>0.625</v>
      </c>
      <c r="C54" s="509" t="s">
        <v>13</v>
      </c>
      <c r="D54" s="595" t="s">
        <v>657</v>
      </c>
      <c r="E54" s="509" t="s">
        <v>256</v>
      </c>
      <c r="F54" s="509" t="s">
        <v>415</v>
      </c>
      <c r="G54" s="509"/>
    </row>
    <row r="55" spans="1:7" x14ac:dyDescent="0.25">
      <c r="A55" s="512" t="s">
        <v>302</v>
      </c>
      <c r="B55" s="510">
        <v>0.625</v>
      </c>
      <c r="C55" s="509" t="s">
        <v>21</v>
      </c>
      <c r="D55" s="595" t="s">
        <v>661</v>
      </c>
      <c r="E55" s="509" t="s">
        <v>27</v>
      </c>
      <c r="F55" s="509" t="s">
        <v>266</v>
      </c>
      <c r="G55" s="509" t="s">
        <v>255</v>
      </c>
    </row>
    <row r="56" spans="1:7" x14ac:dyDescent="0.25">
      <c r="A56" s="512" t="s">
        <v>323</v>
      </c>
      <c r="B56" s="510">
        <v>0.60416666666666663</v>
      </c>
      <c r="C56" s="509" t="s">
        <v>15</v>
      </c>
      <c r="D56" s="595" t="s">
        <v>663</v>
      </c>
      <c r="E56" s="509" t="s">
        <v>28</v>
      </c>
      <c r="F56" s="509" t="s">
        <v>416</v>
      </c>
      <c r="G56" s="509" t="s">
        <v>255</v>
      </c>
    </row>
    <row r="57" spans="1:7" x14ac:dyDescent="0.25">
      <c r="A57" s="512" t="s">
        <v>271</v>
      </c>
      <c r="B57" s="511"/>
      <c r="C57" s="509"/>
      <c r="D57" s="595"/>
      <c r="E57" s="509"/>
      <c r="F57" s="509"/>
      <c r="G57" s="509"/>
    </row>
    <row r="58" spans="1:7" x14ac:dyDescent="0.25">
      <c r="A58" s="512" t="s">
        <v>666</v>
      </c>
      <c r="B58" s="510">
        <v>0.625</v>
      </c>
      <c r="C58" s="509" t="s">
        <v>256</v>
      </c>
      <c r="D58" s="595" t="s">
        <v>679</v>
      </c>
      <c r="E58" s="509" t="s">
        <v>10</v>
      </c>
      <c r="F58" s="509" t="s">
        <v>412</v>
      </c>
      <c r="G58" s="509" t="s">
        <v>255</v>
      </c>
    </row>
    <row r="59" spans="1:7" x14ac:dyDescent="0.25">
      <c r="A59" s="512" t="s">
        <v>303</v>
      </c>
      <c r="B59" s="510">
        <v>0.6875</v>
      </c>
      <c r="C59" s="509" t="s">
        <v>8</v>
      </c>
      <c r="D59" s="595" t="s">
        <v>680</v>
      </c>
      <c r="E59" s="509" t="s">
        <v>21</v>
      </c>
      <c r="F59" s="509" t="s">
        <v>261</v>
      </c>
      <c r="G59" s="509"/>
    </row>
    <row r="60" spans="1:7" x14ac:dyDescent="0.25">
      <c r="A60" s="512" t="s">
        <v>303</v>
      </c>
      <c r="B60" s="510">
        <v>0.625</v>
      </c>
      <c r="C60" s="509" t="s">
        <v>28</v>
      </c>
      <c r="D60" s="595" t="s">
        <v>681</v>
      </c>
      <c r="E60" s="509" t="s">
        <v>189</v>
      </c>
      <c r="F60" s="509" t="s">
        <v>257</v>
      </c>
      <c r="G60" s="509"/>
    </row>
    <row r="61" spans="1:7" x14ac:dyDescent="0.25">
      <c r="A61" s="512" t="s">
        <v>324</v>
      </c>
      <c r="B61" s="510">
        <v>0.54166666666666663</v>
      </c>
      <c r="C61" s="509" t="s">
        <v>13</v>
      </c>
      <c r="D61" s="595" t="s">
        <v>682</v>
      </c>
      <c r="E61" s="509" t="s">
        <v>26</v>
      </c>
      <c r="F61" s="509" t="s">
        <v>415</v>
      </c>
      <c r="G61" s="509" t="s">
        <v>255</v>
      </c>
    </row>
    <row r="62" spans="1:7" x14ac:dyDescent="0.25">
      <c r="A62" s="512" t="s">
        <v>324</v>
      </c>
      <c r="B62" s="510">
        <v>0.60416666666666663</v>
      </c>
      <c r="C62" s="509" t="s">
        <v>15</v>
      </c>
      <c r="D62" s="595" t="s">
        <v>712</v>
      </c>
      <c r="E62" s="509" t="s">
        <v>27</v>
      </c>
      <c r="F62" s="509" t="s">
        <v>416</v>
      </c>
      <c r="G62" s="509"/>
    </row>
    <row r="63" spans="1:7" x14ac:dyDescent="0.25">
      <c r="A63" s="512" t="s">
        <v>324</v>
      </c>
      <c r="B63" s="510">
        <v>0.63541666666666663</v>
      </c>
      <c r="C63" s="509" t="s">
        <v>66</v>
      </c>
      <c r="D63" s="595" t="s">
        <v>713</v>
      </c>
      <c r="E63" s="509" t="s">
        <v>20</v>
      </c>
      <c r="F63" s="509" t="s">
        <v>263</v>
      </c>
      <c r="G63" s="509" t="s">
        <v>255</v>
      </c>
    </row>
    <row r="64" spans="1:7" x14ac:dyDescent="0.25">
      <c r="A64" s="512" t="s">
        <v>272</v>
      </c>
      <c r="B64" s="511"/>
      <c r="C64" s="509"/>
      <c r="D64" s="595"/>
      <c r="E64" s="509"/>
      <c r="F64" s="509"/>
      <c r="G64" s="509"/>
    </row>
    <row r="65" spans="1:7" x14ac:dyDescent="0.25">
      <c r="A65" s="512" t="s">
        <v>667</v>
      </c>
      <c r="B65" s="510">
        <v>0.82291666666666663</v>
      </c>
      <c r="C65" s="509" t="s">
        <v>20</v>
      </c>
      <c r="D65" s="595" t="s">
        <v>735</v>
      </c>
      <c r="E65" s="509" t="s">
        <v>8</v>
      </c>
      <c r="F65" s="509" t="s">
        <v>414</v>
      </c>
      <c r="G65" s="509" t="s">
        <v>255</v>
      </c>
    </row>
    <row r="66" spans="1:7" x14ac:dyDescent="0.25">
      <c r="A66" s="512" t="s">
        <v>304</v>
      </c>
      <c r="B66" s="510">
        <v>0.72916666666666663</v>
      </c>
      <c r="C66" s="509" t="s">
        <v>26</v>
      </c>
      <c r="D66" s="595" t="s">
        <v>726</v>
      </c>
      <c r="E66" s="509" t="s">
        <v>256</v>
      </c>
      <c r="F66" s="509" t="s">
        <v>260</v>
      </c>
      <c r="G66" s="509" t="s">
        <v>255</v>
      </c>
    </row>
    <row r="67" spans="1:7" x14ac:dyDescent="0.25">
      <c r="A67" s="512" t="s">
        <v>304</v>
      </c>
      <c r="B67" s="510">
        <v>0.625</v>
      </c>
      <c r="C67" s="509" t="s">
        <v>10</v>
      </c>
      <c r="D67" s="595" t="s">
        <v>730</v>
      </c>
      <c r="E67" s="509" t="s">
        <v>66</v>
      </c>
      <c r="F67" s="509" t="s">
        <v>413</v>
      </c>
      <c r="G67" s="509"/>
    </row>
    <row r="68" spans="1:7" x14ac:dyDescent="0.25">
      <c r="A68" s="512" t="s">
        <v>304</v>
      </c>
      <c r="B68" s="510">
        <v>0.63541666666666663</v>
      </c>
      <c r="C68" s="509" t="s">
        <v>27</v>
      </c>
      <c r="D68" s="595" t="s">
        <v>430</v>
      </c>
      <c r="E68" s="509" t="s">
        <v>28</v>
      </c>
      <c r="F68" s="509" t="s">
        <v>417</v>
      </c>
      <c r="G68" s="509" t="s">
        <v>255</v>
      </c>
    </row>
    <row r="69" spans="1:7" x14ac:dyDescent="0.25">
      <c r="A69" s="512" t="s">
        <v>304</v>
      </c>
      <c r="B69" s="510">
        <v>0.625</v>
      </c>
      <c r="C69" s="509" t="s">
        <v>21</v>
      </c>
      <c r="D69" s="595" t="s">
        <v>727</v>
      </c>
      <c r="E69" s="509" t="s">
        <v>15</v>
      </c>
      <c r="F69" s="509" t="s">
        <v>266</v>
      </c>
      <c r="G69" s="509"/>
    </row>
    <row r="70" spans="1:7" x14ac:dyDescent="0.25">
      <c r="A70" s="512" t="s">
        <v>325</v>
      </c>
      <c r="B70" s="510">
        <v>0.58333333333333337</v>
      </c>
      <c r="C70" s="509" t="s">
        <v>189</v>
      </c>
      <c r="D70" s="595" t="s">
        <v>721</v>
      </c>
      <c r="E70" s="509" t="s">
        <v>13</v>
      </c>
      <c r="F70" s="509" t="s">
        <v>668</v>
      </c>
      <c r="G70" s="509" t="s">
        <v>255</v>
      </c>
    </row>
    <row r="71" spans="1:7" x14ac:dyDescent="0.25">
      <c r="A71" s="512" t="s">
        <v>273</v>
      </c>
      <c r="B71" s="511"/>
      <c r="C71" s="509"/>
      <c r="D71" s="595"/>
      <c r="E71" s="509"/>
      <c r="F71" s="509"/>
      <c r="G71" s="509"/>
    </row>
    <row r="72" spans="1:7" x14ac:dyDescent="0.25">
      <c r="A72" s="512" t="s">
        <v>293</v>
      </c>
      <c r="B72" s="510">
        <v>0.625</v>
      </c>
      <c r="C72" s="509" t="s">
        <v>13</v>
      </c>
      <c r="D72" s="595" t="s">
        <v>768</v>
      </c>
      <c r="E72" s="509" t="s">
        <v>15</v>
      </c>
      <c r="F72" s="509" t="s">
        <v>415</v>
      </c>
      <c r="G72" s="509"/>
    </row>
    <row r="73" spans="1:7" x14ac:dyDescent="0.25">
      <c r="A73" s="512" t="s">
        <v>305</v>
      </c>
      <c r="B73" s="510">
        <v>0.58333333333333337</v>
      </c>
      <c r="C73" s="509" t="s">
        <v>20</v>
      </c>
      <c r="D73" s="595" t="s">
        <v>769</v>
      </c>
      <c r="E73" s="509" t="s">
        <v>28</v>
      </c>
      <c r="F73" s="509" t="s">
        <v>414</v>
      </c>
      <c r="G73" s="509"/>
    </row>
    <row r="74" spans="1:7" x14ac:dyDescent="0.25">
      <c r="A74" s="512" t="s">
        <v>305</v>
      </c>
      <c r="B74" s="510">
        <v>0.58333333333333337</v>
      </c>
      <c r="C74" s="509" t="s">
        <v>256</v>
      </c>
      <c r="D74" s="595" t="s">
        <v>770</v>
      </c>
      <c r="E74" s="509" t="s">
        <v>8</v>
      </c>
      <c r="F74" s="509" t="s">
        <v>412</v>
      </c>
      <c r="G74" s="509" t="s">
        <v>255</v>
      </c>
    </row>
    <row r="75" spans="1:7" x14ac:dyDescent="0.25">
      <c r="A75" s="512" t="s">
        <v>305</v>
      </c>
      <c r="B75" s="510">
        <v>0.6875</v>
      </c>
      <c r="C75" s="509" t="s">
        <v>10</v>
      </c>
      <c r="D75" s="595" t="s">
        <v>771</v>
      </c>
      <c r="E75" s="509" t="s">
        <v>27</v>
      </c>
      <c r="F75" s="509" t="s">
        <v>411</v>
      </c>
      <c r="G75" s="509" t="s">
        <v>255</v>
      </c>
    </row>
    <row r="76" spans="1:7" x14ac:dyDescent="0.25">
      <c r="A76" s="512" t="s">
        <v>305</v>
      </c>
      <c r="B76" s="510">
        <v>0.625</v>
      </c>
      <c r="C76" s="509" t="s">
        <v>66</v>
      </c>
      <c r="D76" s="595" t="s">
        <v>772</v>
      </c>
      <c r="E76" s="509" t="s">
        <v>21</v>
      </c>
      <c r="F76" s="509" t="s">
        <v>263</v>
      </c>
      <c r="G76" s="509"/>
    </row>
    <row r="77" spans="1:7" x14ac:dyDescent="0.25">
      <c r="A77" s="512" t="s">
        <v>669</v>
      </c>
      <c r="B77" s="510">
        <v>0.60416666666666663</v>
      </c>
      <c r="C77" s="509" t="s">
        <v>26</v>
      </c>
      <c r="D77" s="595" t="s">
        <v>773</v>
      </c>
      <c r="E77" s="509" t="s">
        <v>189</v>
      </c>
      <c r="F77" s="509" t="s">
        <v>260</v>
      </c>
      <c r="G77" s="509" t="s">
        <v>255</v>
      </c>
    </row>
    <row r="78" spans="1:7" x14ac:dyDescent="0.25">
      <c r="A78" s="512" t="s">
        <v>274</v>
      </c>
      <c r="B78" s="511"/>
      <c r="C78" s="509"/>
      <c r="D78" s="595"/>
      <c r="E78" s="509"/>
      <c r="F78" s="509"/>
      <c r="G78" s="509"/>
    </row>
    <row r="79" spans="1:7" x14ac:dyDescent="0.25">
      <c r="A79" s="512" t="s">
        <v>670</v>
      </c>
      <c r="B79" s="510">
        <v>0.82291666666666663</v>
      </c>
      <c r="C79" s="509" t="s">
        <v>27</v>
      </c>
      <c r="D79" s="595" t="s">
        <v>794</v>
      </c>
      <c r="E79" s="509" t="s">
        <v>66</v>
      </c>
      <c r="F79" s="509" t="s">
        <v>417</v>
      </c>
      <c r="G79" s="509" t="s">
        <v>255</v>
      </c>
    </row>
    <row r="80" spans="1:7" x14ac:dyDescent="0.25">
      <c r="A80" s="512" t="s">
        <v>306</v>
      </c>
      <c r="B80" s="510">
        <v>0.6875</v>
      </c>
      <c r="C80" s="509" t="s">
        <v>8</v>
      </c>
      <c r="D80" s="595" t="s">
        <v>795</v>
      </c>
      <c r="E80" s="509" t="s">
        <v>26</v>
      </c>
      <c r="F80" s="509" t="s">
        <v>261</v>
      </c>
      <c r="G80" s="509" t="s">
        <v>255</v>
      </c>
    </row>
    <row r="81" spans="1:7" x14ac:dyDescent="0.25">
      <c r="A81" s="512" t="s">
        <v>306</v>
      </c>
      <c r="B81" s="510">
        <v>0.58333333333333337</v>
      </c>
      <c r="C81" s="509" t="s">
        <v>21</v>
      </c>
      <c r="D81" s="595" t="s">
        <v>796</v>
      </c>
      <c r="E81" s="509" t="s">
        <v>13</v>
      </c>
      <c r="F81" s="509" t="s">
        <v>266</v>
      </c>
      <c r="G81" s="509" t="s">
        <v>255</v>
      </c>
    </row>
    <row r="82" spans="1:7" x14ac:dyDescent="0.25">
      <c r="A82" s="512" t="s">
        <v>326</v>
      </c>
      <c r="B82" s="510">
        <v>0.58333333333333337</v>
      </c>
      <c r="C82" s="509" t="s">
        <v>28</v>
      </c>
      <c r="D82" s="595" t="s">
        <v>797</v>
      </c>
      <c r="E82" s="509" t="s">
        <v>256</v>
      </c>
      <c r="F82" s="509" t="s">
        <v>257</v>
      </c>
      <c r="G82" s="509" t="s">
        <v>255</v>
      </c>
    </row>
    <row r="83" spans="1:7" x14ac:dyDescent="0.25">
      <c r="A83" s="512" t="s">
        <v>326</v>
      </c>
      <c r="B83" s="510">
        <v>0.58333333333333337</v>
      </c>
      <c r="C83" s="509" t="s">
        <v>189</v>
      </c>
      <c r="D83" s="595" t="s">
        <v>798</v>
      </c>
      <c r="E83" s="509" t="s">
        <v>20</v>
      </c>
      <c r="F83" s="509" t="s">
        <v>668</v>
      </c>
      <c r="G83" s="509"/>
    </row>
    <row r="84" spans="1:7" x14ac:dyDescent="0.25">
      <c r="A84" s="512" t="s">
        <v>326</v>
      </c>
      <c r="B84" s="510">
        <v>0.60416666666666663</v>
      </c>
      <c r="C84" s="509" t="s">
        <v>15</v>
      </c>
      <c r="D84" s="595" t="s">
        <v>799</v>
      </c>
      <c r="E84" s="509" t="s">
        <v>10</v>
      </c>
      <c r="F84" s="509" t="s">
        <v>416</v>
      </c>
      <c r="G84" s="509"/>
    </row>
    <row r="85" spans="1:7" x14ac:dyDescent="0.25">
      <c r="A85" s="512" t="s">
        <v>275</v>
      </c>
      <c r="B85" s="511"/>
      <c r="C85" s="509"/>
      <c r="D85" s="595"/>
      <c r="E85" s="509"/>
      <c r="F85" s="509"/>
      <c r="G85" s="509"/>
    </row>
    <row r="86" spans="1:7" x14ac:dyDescent="0.25">
      <c r="A86" s="512" t="s">
        <v>671</v>
      </c>
      <c r="B86" s="510">
        <v>0.82291666666666663</v>
      </c>
      <c r="C86" s="509" t="s">
        <v>26</v>
      </c>
      <c r="D86" s="595" t="s">
        <v>806</v>
      </c>
      <c r="E86" s="509" t="s">
        <v>21</v>
      </c>
      <c r="F86" s="509" t="s">
        <v>260</v>
      </c>
      <c r="G86" s="509" t="s">
        <v>255</v>
      </c>
    </row>
    <row r="87" spans="1:7" x14ac:dyDescent="0.25">
      <c r="A87" s="512" t="s">
        <v>307</v>
      </c>
      <c r="B87" s="510">
        <v>0.58333333333333337</v>
      </c>
      <c r="C87" s="509" t="s">
        <v>20</v>
      </c>
      <c r="D87" s="595" t="s">
        <v>810</v>
      </c>
      <c r="E87" s="509" t="s">
        <v>27</v>
      </c>
      <c r="F87" s="509" t="s">
        <v>414</v>
      </c>
      <c r="G87" s="509"/>
    </row>
    <row r="88" spans="1:7" x14ac:dyDescent="0.25">
      <c r="A88" s="512" t="s">
        <v>307</v>
      </c>
      <c r="B88" s="510">
        <v>0.625</v>
      </c>
      <c r="C88" s="509" t="s">
        <v>256</v>
      </c>
      <c r="D88" s="595" t="s">
        <v>813</v>
      </c>
      <c r="E88" s="509" t="s">
        <v>189</v>
      </c>
      <c r="F88" s="509" t="s">
        <v>412</v>
      </c>
      <c r="G88" s="509"/>
    </row>
    <row r="89" spans="1:7" x14ac:dyDescent="0.25">
      <c r="A89" s="512" t="s">
        <v>307</v>
      </c>
      <c r="B89" s="510">
        <v>0.63541666666666663</v>
      </c>
      <c r="C89" s="509" t="s">
        <v>10</v>
      </c>
      <c r="D89" s="595" t="s">
        <v>814</v>
      </c>
      <c r="E89" s="509" t="s">
        <v>28</v>
      </c>
      <c r="F89" s="509" t="s">
        <v>413</v>
      </c>
      <c r="G89" s="509" t="s">
        <v>255</v>
      </c>
    </row>
    <row r="90" spans="1:7" x14ac:dyDescent="0.25">
      <c r="A90" s="512" t="s">
        <v>327</v>
      </c>
      <c r="B90" s="510">
        <v>0.625</v>
      </c>
      <c r="C90" s="509" t="s">
        <v>13</v>
      </c>
      <c r="D90" s="595" t="s">
        <v>819</v>
      </c>
      <c r="E90" s="509" t="s">
        <v>8</v>
      </c>
      <c r="F90" s="509" t="s">
        <v>415</v>
      </c>
      <c r="G90" s="509"/>
    </row>
    <row r="91" spans="1:7" x14ac:dyDescent="0.25">
      <c r="A91" s="512" t="s">
        <v>327</v>
      </c>
      <c r="B91" s="510">
        <v>0.58333333333333337</v>
      </c>
      <c r="C91" s="509" t="s">
        <v>66</v>
      </c>
      <c r="D91" s="595" t="s">
        <v>728</v>
      </c>
      <c r="E91" s="509" t="s">
        <v>15</v>
      </c>
      <c r="F91" s="509" t="s">
        <v>263</v>
      </c>
      <c r="G91" s="509" t="s">
        <v>255</v>
      </c>
    </row>
    <row r="92" spans="1:7" x14ac:dyDescent="0.25">
      <c r="A92" s="512" t="s">
        <v>276</v>
      </c>
      <c r="B92" s="511"/>
      <c r="C92" s="509"/>
      <c r="D92" s="595"/>
      <c r="E92" s="509"/>
      <c r="F92" s="509"/>
      <c r="G92" s="509"/>
    </row>
    <row r="93" spans="1:7" x14ac:dyDescent="0.25">
      <c r="A93" s="512" t="s">
        <v>877</v>
      </c>
      <c r="B93" s="510">
        <v>0.82291666666666663</v>
      </c>
      <c r="C93" s="509" t="s">
        <v>28</v>
      </c>
      <c r="D93" s="595" t="s">
        <v>886</v>
      </c>
      <c r="E93" s="509" t="s">
        <v>26</v>
      </c>
      <c r="F93" s="509" t="s">
        <v>257</v>
      </c>
      <c r="G93" s="509" t="s">
        <v>255</v>
      </c>
    </row>
    <row r="94" spans="1:7" x14ac:dyDescent="0.25">
      <c r="A94" s="512" t="s">
        <v>877</v>
      </c>
      <c r="B94" s="510">
        <v>0.82291666666666663</v>
      </c>
      <c r="C94" s="509" t="s">
        <v>27</v>
      </c>
      <c r="D94" s="595" t="s">
        <v>723</v>
      </c>
      <c r="E94" s="509" t="s">
        <v>13</v>
      </c>
      <c r="F94" s="509" t="s">
        <v>417</v>
      </c>
      <c r="G94" s="509"/>
    </row>
    <row r="95" spans="1:7" x14ac:dyDescent="0.25">
      <c r="A95" s="512" t="s">
        <v>308</v>
      </c>
      <c r="B95" s="510">
        <v>0.6875</v>
      </c>
      <c r="C95" s="509" t="s">
        <v>8</v>
      </c>
      <c r="D95" s="595" t="s">
        <v>887</v>
      </c>
      <c r="E95" s="509" t="s">
        <v>66</v>
      </c>
      <c r="F95" s="509" t="s">
        <v>261</v>
      </c>
      <c r="G95" s="509"/>
    </row>
    <row r="96" spans="1:7" x14ac:dyDescent="0.25">
      <c r="A96" s="512" t="s">
        <v>328</v>
      </c>
      <c r="B96" s="510">
        <v>0.54166666666666663</v>
      </c>
      <c r="C96" s="509" t="s">
        <v>15</v>
      </c>
      <c r="D96" s="595" t="s">
        <v>888</v>
      </c>
      <c r="E96" s="509" t="s">
        <v>20</v>
      </c>
      <c r="F96" s="509" t="s">
        <v>416</v>
      </c>
      <c r="G96" s="509"/>
    </row>
    <row r="97" spans="1:7" x14ac:dyDescent="0.25">
      <c r="A97" s="512" t="s">
        <v>328</v>
      </c>
      <c r="B97" s="510">
        <v>0.54166666666666663</v>
      </c>
      <c r="C97" s="509" t="s">
        <v>21</v>
      </c>
      <c r="D97" s="595" t="s">
        <v>889</v>
      </c>
      <c r="E97" s="509" t="s">
        <v>256</v>
      </c>
      <c r="F97" s="509" t="s">
        <v>266</v>
      </c>
      <c r="G97" s="509" t="s">
        <v>255</v>
      </c>
    </row>
    <row r="98" spans="1:7" x14ac:dyDescent="0.25">
      <c r="A98" s="512" t="s">
        <v>328</v>
      </c>
      <c r="B98" s="510">
        <v>0.58333333333333337</v>
      </c>
      <c r="C98" s="509" t="s">
        <v>189</v>
      </c>
      <c r="D98" s="595" t="s">
        <v>890</v>
      </c>
      <c r="E98" s="509" t="s">
        <v>10</v>
      </c>
      <c r="F98" s="509" t="s">
        <v>668</v>
      </c>
      <c r="G98" s="509"/>
    </row>
    <row r="99" spans="1:7" x14ac:dyDescent="0.25">
      <c r="A99" s="512" t="s">
        <v>277</v>
      </c>
      <c r="B99" s="511"/>
      <c r="C99" s="509"/>
      <c r="D99" s="595"/>
      <c r="E99" s="509"/>
      <c r="F99" s="509"/>
      <c r="G99" s="509"/>
    </row>
    <row r="100" spans="1:7" x14ac:dyDescent="0.25">
      <c r="A100" s="727" t="s">
        <v>294</v>
      </c>
      <c r="B100" s="728">
        <v>0.82291666666666663</v>
      </c>
      <c r="C100" s="727" t="s">
        <v>66</v>
      </c>
      <c r="D100" s="729" t="s">
        <v>902</v>
      </c>
      <c r="E100" s="727" t="s">
        <v>189</v>
      </c>
      <c r="F100" s="727" t="s">
        <v>263</v>
      </c>
      <c r="G100" s="509" t="s">
        <v>255</v>
      </c>
    </row>
    <row r="101" spans="1:7" x14ac:dyDescent="0.25">
      <c r="A101" s="727" t="s">
        <v>309</v>
      </c>
      <c r="B101" s="728">
        <v>0.58333333333333337</v>
      </c>
      <c r="C101" s="727" t="s">
        <v>29</v>
      </c>
      <c r="D101" s="595" t="s">
        <v>873</v>
      </c>
      <c r="E101" s="727" t="s">
        <v>21</v>
      </c>
      <c r="F101" s="727" t="s">
        <v>414</v>
      </c>
      <c r="G101" s="509"/>
    </row>
    <row r="102" spans="1:7" x14ac:dyDescent="0.25">
      <c r="A102" s="727" t="s">
        <v>309</v>
      </c>
      <c r="B102" s="728">
        <v>0.625</v>
      </c>
      <c r="C102" s="727" t="s">
        <v>26</v>
      </c>
      <c r="D102" s="729" t="s">
        <v>903</v>
      </c>
      <c r="E102" s="509" t="s">
        <v>15</v>
      </c>
      <c r="F102" s="727" t="s">
        <v>260</v>
      </c>
      <c r="G102" s="509"/>
    </row>
    <row r="103" spans="1:7" x14ac:dyDescent="0.25">
      <c r="A103" s="727" t="s">
        <v>309</v>
      </c>
      <c r="B103" s="728">
        <v>0.625</v>
      </c>
      <c r="C103" s="727" t="s">
        <v>10</v>
      </c>
      <c r="D103" s="729" t="s">
        <v>904</v>
      </c>
      <c r="E103" s="727" t="s">
        <v>30</v>
      </c>
      <c r="F103" s="727" t="s">
        <v>875</v>
      </c>
      <c r="G103" s="509"/>
    </row>
    <row r="104" spans="1:7" x14ac:dyDescent="0.25">
      <c r="A104" s="727" t="s">
        <v>309</v>
      </c>
      <c r="B104" s="728">
        <v>0.63541666666666663</v>
      </c>
      <c r="C104" s="727" t="s">
        <v>24</v>
      </c>
      <c r="D104" s="729" t="s">
        <v>905</v>
      </c>
      <c r="E104" s="727" t="s">
        <v>27</v>
      </c>
      <c r="F104" s="727" t="s">
        <v>412</v>
      </c>
      <c r="G104" s="509" t="s">
        <v>255</v>
      </c>
    </row>
    <row r="105" spans="1:7" x14ac:dyDescent="0.25">
      <c r="A105" s="727" t="s">
        <v>876</v>
      </c>
      <c r="B105" s="728">
        <v>0.58333333333333337</v>
      </c>
      <c r="C105" s="727" t="s">
        <v>91</v>
      </c>
      <c r="D105" s="595" t="s">
        <v>617</v>
      </c>
      <c r="E105" s="727" t="s">
        <v>28</v>
      </c>
      <c r="F105" s="727" t="s">
        <v>415</v>
      </c>
      <c r="G105" s="509" t="s">
        <v>255</v>
      </c>
    </row>
    <row r="106" spans="1:7" x14ac:dyDescent="0.25">
      <c r="A106" s="512" t="s">
        <v>278</v>
      </c>
      <c r="B106" s="511"/>
      <c r="C106" s="509"/>
      <c r="D106" s="595"/>
      <c r="E106" s="509"/>
      <c r="F106" s="509"/>
      <c r="G106" s="509"/>
    </row>
    <row r="107" spans="1:7" x14ac:dyDescent="0.25">
      <c r="A107" s="512" t="s">
        <v>909</v>
      </c>
      <c r="B107" s="510">
        <v>0.82291666666666663</v>
      </c>
      <c r="C107" s="509" t="s">
        <v>27</v>
      </c>
      <c r="D107" s="595" t="s">
        <v>392</v>
      </c>
      <c r="E107" s="509" t="s">
        <v>10</v>
      </c>
      <c r="F107" s="509" t="s">
        <v>417</v>
      </c>
      <c r="G107" s="509" t="s">
        <v>255</v>
      </c>
    </row>
    <row r="108" spans="1:7" x14ac:dyDescent="0.25">
      <c r="A108" s="512" t="s">
        <v>310</v>
      </c>
      <c r="B108" s="510">
        <v>0.60416666666666663</v>
      </c>
      <c r="C108" s="509" t="s">
        <v>15</v>
      </c>
      <c r="D108" s="595" t="s">
        <v>910</v>
      </c>
      <c r="E108" s="509" t="s">
        <v>13</v>
      </c>
      <c r="F108" s="509" t="s">
        <v>261</v>
      </c>
      <c r="G108" s="509"/>
    </row>
    <row r="109" spans="1:7" x14ac:dyDescent="0.25">
      <c r="A109" s="512" t="s">
        <v>310</v>
      </c>
      <c r="B109" s="510">
        <v>0.625</v>
      </c>
      <c r="C109" s="509" t="s">
        <v>28</v>
      </c>
      <c r="D109" s="595" t="s">
        <v>911</v>
      </c>
      <c r="E109" s="509" t="s">
        <v>20</v>
      </c>
      <c r="F109" s="509" t="s">
        <v>257</v>
      </c>
      <c r="G109" s="509"/>
    </row>
    <row r="110" spans="1:7" x14ac:dyDescent="0.25">
      <c r="A110" s="512" t="s">
        <v>310</v>
      </c>
      <c r="B110" s="510">
        <v>0.63541666666666663</v>
      </c>
      <c r="C110" s="509" t="s">
        <v>8</v>
      </c>
      <c r="D110" s="595" t="s">
        <v>479</v>
      </c>
      <c r="E110" s="509" t="s">
        <v>256</v>
      </c>
      <c r="F110" s="509" t="s">
        <v>261</v>
      </c>
      <c r="G110" s="509" t="s">
        <v>255</v>
      </c>
    </row>
    <row r="111" spans="1:7" x14ac:dyDescent="0.25">
      <c r="A111" s="512" t="s">
        <v>310</v>
      </c>
      <c r="B111" s="510">
        <v>0.625</v>
      </c>
      <c r="C111" s="509" t="s">
        <v>21</v>
      </c>
      <c r="D111" s="595" t="s">
        <v>912</v>
      </c>
      <c r="E111" s="509" t="s">
        <v>66</v>
      </c>
      <c r="F111" s="509" t="s">
        <v>266</v>
      </c>
      <c r="G111" s="509"/>
    </row>
    <row r="112" spans="1:7" x14ac:dyDescent="0.25">
      <c r="A112" s="512" t="s">
        <v>329</v>
      </c>
      <c r="B112" s="510">
        <v>0.58333333333333337</v>
      </c>
      <c r="C112" s="509" t="s">
        <v>189</v>
      </c>
      <c r="D112" s="595" t="s">
        <v>913</v>
      </c>
      <c r="E112" s="509" t="s">
        <v>26</v>
      </c>
      <c r="F112" s="509" t="s">
        <v>668</v>
      </c>
      <c r="G112" s="509"/>
    </row>
    <row r="113" spans="1:7" x14ac:dyDescent="0.25">
      <c r="A113" s="512" t="s">
        <v>279</v>
      </c>
      <c r="B113" s="511"/>
      <c r="C113" s="509"/>
      <c r="D113" s="595"/>
      <c r="E113" s="509"/>
      <c r="F113" s="509"/>
      <c r="G113" s="509"/>
    </row>
    <row r="114" spans="1:7" x14ac:dyDescent="0.25">
      <c r="A114" s="512" t="s">
        <v>966</v>
      </c>
      <c r="B114" s="510">
        <v>0.82291666666666663</v>
      </c>
      <c r="C114" s="509" t="s">
        <v>256</v>
      </c>
      <c r="D114" s="595" t="s">
        <v>359</v>
      </c>
      <c r="E114" s="509" t="s">
        <v>20</v>
      </c>
      <c r="F114" s="509" t="s">
        <v>412</v>
      </c>
      <c r="G114" s="509" t="s">
        <v>255</v>
      </c>
    </row>
    <row r="115" spans="1:7" x14ac:dyDescent="0.25">
      <c r="A115" s="512" t="s">
        <v>311</v>
      </c>
      <c r="B115" s="510">
        <v>0.625</v>
      </c>
      <c r="C115" s="509" t="s">
        <v>8</v>
      </c>
      <c r="D115" s="595" t="s">
        <v>939</v>
      </c>
      <c r="E115" s="509" t="s">
        <v>15</v>
      </c>
      <c r="F115" s="509" t="s">
        <v>261</v>
      </c>
      <c r="G115" s="509"/>
    </row>
    <row r="116" spans="1:7" x14ac:dyDescent="0.25">
      <c r="A116" s="512" t="s">
        <v>311</v>
      </c>
      <c r="B116" s="510">
        <v>0.63541666666666663</v>
      </c>
      <c r="C116" s="509" t="s">
        <v>26</v>
      </c>
      <c r="D116" s="595" t="s">
        <v>942</v>
      </c>
      <c r="E116" s="509" t="s">
        <v>27</v>
      </c>
      <c r="F116" s="509" t="s">
        <v>260</v>
      </c>
      <c r="G116" s="509" t="s">
        <v>255</v>
      </c>
    </row>
    <row r="117" spans="1:7" x14ac:dyDescent="0.25">
      <c r="A117" s="512" t="s">
        <v>311</v>
      </c>
      <c r="B117" s="510">
        <v>0.625</v>
      </c>
      <c r="C117" s="509" t="s">
        <v>10</v>
      </c>
      <c r="D117" s="595" t="s">
        <v>945</v>
      </c>
      <c r="E117" s="509" t="s">
        <v>13</v>
      </c>
      <c r="F117" s="509" t="s">
        <v>413</v>
      </c>
      <c r="G117" s="509"/>
    </row>
    <row r="118" spans="1:7" x14ac:dyDescent="0.25">
      <c r="A118" s="512" t="s">
        <v>330</v>
      </c>
      <c r="B118" s="510">
        <v>0.58333333333333337</v>
      </c>
      <c r="C118" s="509" t="s">
        <v>189</v>
      </c>
      <c r="D118" s="595" t="s">
        <v>948</v>
      </c>
      <c r="E118" s="509" t="s">
        <v>21</v>
      </c>
      <c r="F118" s="509" t="s">
        <v>668</v>
      </c>
      <c r="G118" s="509" t="s">
        <v>255</v>
      </c>
    </row>
    <row r="119" spans="1:7" x14ac:dyDescent="0.25">
      <c r="A119" s="512" t="s">
        <v>330</v>
      </c>
      <c r="B119" s="510">
        <v>0.625</v>
      </c>
      <c r="C119" s="509" t="s">
        <v>66</v>
      </c>
      <c r="D119" s="595" t="s">
        <v>653</v>
      </c>
      <c r="E119" s="509" t="s">
        <v>28</v>
      </c>
      <c r="F119" s="509" t="s">
        <v>263</v>
      </c>
      <c r="G119" s="509"/>
    </row>
    <row r="120" spans="1:7" x14ac:dyDescent="0.25">
      <c r="A120" s="512" t="s">
        <v>280</v>
      </c>
      <c r="B120" s="511"/>
      <c r="C120" s="509"/>
      <c r="D120" s="595"/>
      <c r="E120" s="509"/>
      <c r="F120" s="509"/>
      <c r="G120" s="509"/>
    </row>
    <row r="121" spans="1:7" x14ac:dyDescent="0.25">
      <c r="A121" s="512" t="s">
        <v>963</v>
      </c>
      <c r="B121" s="510">
        <v>0.625</v>
      </c>
      <c r="C121" s="509" t="s">
        <v>27</v>
      </c>
      <c r="D121" s="595" t="s">
        <v>962</v>
      </c>
      <c r="E121" s="509" t="s">
        <v>189</v>
      </c>
      <c r="F121" s="509" t="s">
        <v>417</v>
      </c>
      <c r="G121" s="509" t="s">
        <v>255</v>
      </c>
    </row>
    <row r="122" spans="1:7" x14ac:dyDescent="0.25">
      <c r="A122" s="512" t="s">
        <v>312</v>
      </c>
      <c r="B122" s="510">
        <v>0.625</v>
      </c>
      <c r="C122" s="509" t="s">
        <v>28</v>
      </c>
      <c r="D122" s="595" t="s">
        <v>960</v>
      </c>
      <c r="E122" s="509" t="s">
        <v>8</v>
      </c>
      <c r="F122" s="509" t="s">
        <v>257</v>
      </c>
      <c r="G122" s="509"/>
    </row>
    <row r="123" spans="1:7" x14ac:dyDescent="0.25">
      <c r="A123" s="512" t="s">
        <v>312</v>
      </c>
      <c r="B123" s="510">
        <v>0.625</v>
      </c>
      <c r="C123" s="509" t="s">
        <v>13</v>
      </c>
      <c r="D123" s="595" t="s">
        <v>961</v>
      </c>
      <c r="E123" s="509" t="s">
        <v>66</v>
      </c>
      <c r="F123" s="509" t="s">
        <v>415</v>
      </c>
      <c r="G123" s="509"/>
    </row>
    <row r="124" spans="1:7" x14ac:dyDescent="0.25">
      <c r="A124" s="512" t="s">
        <v>312</v>
      </c>
      <c r="B124" s="510">
        <v>0.63541666666666663</v>
      </c>
      <c r="C124" s="509" t="s">
        <v>21</v>
      </c>
      <c r="D124" s="595" t="s">
        <v>965</v>
      </c>
      <c r="E124" s="509" t="s">
        <v>10</v>
      </c>
      <c r="F124" s="509" t="s">
        <v>967</v>
      </c>
      <c r="G124" s="509" t="s">
        <v>255</v>
      </c>
    </row>
    <row r="125" spans="1:7" x14ac:dyDescent="0.25">
      <c r="A125" s="512" t="s">
        <v>331</v>
      </c>
      <c r="B125" s="510">
        <v>0.58333333333333337</v>
      </c>
      <c r="C125" s="509" t="s">
        <v>20</v>
      </c>
      <c r="D125" s="595" t="s">
        <v>884</v>
      </c>
      <c r="E125" s="509" t="s">
        <v>26</v>
      </c>
      <c r="F125" s="509" t="s">
        <v>414</v>
      </c>
      <c r="G125" s="509" t="s">
        <v>255</v>
      </c>
    </row>
    <row r="126" spans="1:7" x14ac:dyDescent="0.25">
      <c r="A126" s="512" t="s">
        <v>331</v>
      </c>
      <c r="B126" s="510">
        <v>0.60416666666666663</v>
      </c>
      <c r="C126" s="509" t="s">
        <v>15</v>
      </c>
      <c r="D126" s="595" t="s">
        <v>969</v>
      </c>
      <c r="E126" s="509" t="s">
        <v>256</v>
      </c>
      <c r="F126" s="509" t="s">
        <v>416</v>
      </c>
      <c r="G126" s="509"/>
    </row>
    <row r="127" spans="1:7" x14ac:dyDescent="0.25">
      <c r="A127" s="512" t="s">
        <v>281</v>
      </c>
      <c r="B127" s="511"/>
      <c r="C127" s="509"/>
      <c r="D127" s="595"/>
      <c r="E127" s="509"/>
      <c r="F127" s="509"/>
      <c r="G127" s="509"/>
    </row>
    <row r="128" spans="1:7" x14ac:dyDescent="0.25">
      <c r="A128" s="512" t="s">
        <v>978</v>
      </c>
      <c r="B128" s="510">
        <v>0.82291666666666663</v>
      </c>
      <c r="C128" s="509" t="s">
        <v>66</v>
      </c>
      <c r="D128" s="595" t="s">
        <v>977</v>
      </c>
      <c r="E128" s="509" t="s">
        <v>256</v>
      </c>
      <c r="F128" s="509" t="s">
        <v>263</v>
      </c>
      <c r="G128" s="509" t="s">
        <v>255</v>
      </c>
    </row>
    <row r="129" spans="1:7" x14ac:dyDescent="0.25">
      <c r="A129" s="512" t="s">
        <v>313</v>
      </c>
      <c r="B129" s="510">
        <v>0.625</v>
      </c>
      <c r="C129" s="509" t="s">
        <v>10</v>
      </c>
      <c r="D129" s="595" t="s">
        <v>980</v>
      </c>
      <c r="E129" s="509" t="s">
        <v>26</v>
      </c>
      <c r="F129" s="509" t="s">
        <v>413</v>
      </c>
      <c r="G129" s="509"/>
    </row>
    <row r="130" spans="1:7" x14ac:dyDescent="0.25">
      <c r="A130" s="512" t="s">
        <v>313</v>
      </c>
      <c r="B130" s="510">
        <v>0.63541666666666663</v>
      </c>
      <c r="C130" s="509" t="s">
        <v>21</v>
      </c>
      <c r="D130" s="595" t="s">
        <v>796</v>
      </c>
      <c r="E130" s="509" t="s">
        <v>28</v>
      </c>
      <c r="F130" s="509" t="s">
        <v>266</v>
      </c>
      <c r="G130" s="509" t="s">
        <v>255</v>
      </c>
    </row>
    <row r="131" spans="1:7" x14ac:dyDescent="0.25">
      <c r="A131" s="512" t="s">
        <v>332</v>
      </c>
      <c r="B131" s="510">
        <v>0.58333333333333337</v>
      </c>
      <c r="C131" s="509" t="s">
        <v>30</v>
      </c>
      <c r="D131" s="595" t="s">
        <v>986</v>
      </c>
      <c r="E131" s="509" t="s">
        <v>27</v>
      </c>
      <c r="F131" s="509" t="s">
        <v>261</v>
      </c>
      <c r="G131" s="509" t="s">
        <v>255</v>
      </c>
    </row>
    <row r="132" spans="1:7" x14ac:dyDescent="0.25">
      <c r="A132" s="512" t="s">
        <v>332</v>
      </c>
      <c r="B132" s="510">
        <v>0.60416666666666663</v>
      </c>
      <c r="C132" s="509" t="s">
        <v>15</v>
      </c>
      <c r="D132" s="595" t="s">
        <v>983</v>
      </c>
      <c r="E132" s="509" t="s">
        <v>189</v>
      </c>
      <c r="F132" s="509" t="s">
        <v>416</v>
      </c>
      <c r="G132" s="509"/>
    </row>
    <row r="133" spans="1:7" x14ac:dyDescent="0.25">
      <c r="A133" s="512" t="s">
        <v>332</v>
      </c>
      <c r="B133" s="510">
        <v>0.625</v>
      </c>
      <c r="C133" s="509" t="s">
        <v>13</v>
      </c>
      <c r="D133" s="595" t="s">
        <v>982</v>
      </c>
      <c r="E133" s="509" t="s">
        <v>20</v>
      </c>
      <c r="F133" s="509" t="s">
        <v>415</v>
      </c>
      <c r="G133" s="509"/>
    </row>
    <row r="134" spans="1:7" x14ac:dyDescent="0.25">
      <c r="A134" s="512" t="s">
        <v>282</v>
      </c>
      <c r="B134" s="511"/>
      <c r="C134" s="509"/>
      <c r="D134" s="595"/>
      <c r="E134" s="509"/>
      <c r="F134" s="509"/>
      <c r="G134" s="509"/>
    </row>
    <row r="135" spans="1:7" x14ac:dyDescent="0.25">
      <c r="A135" s="513" t="s">
        <v>996</v>
      </c>
      <c r="B135" s="510">
        <v>0.82291666666666663</v>
      </c>
      <c r="C135" s="509" t="s">
        <v>256</v>
      </c>
      <c r="D135" s="595" t="s">
        <v>995</v>
      </c>
      <c r="E135" s="509" t="s">
        <v>13</v>
      </c>
      <c r="F135" s="509" t="s">
        <v>412</v>
      </c>
      <c r="G135" s="509" t="s">
        <v>255</v>
      </c>
    </row>
    <row r="136" spans="1:7" x14ac:dyDescent="0.25">
      <c r="A136" s="512" t="s">
        <v>314</v>
      </c>
      <c r="B136" s="510">
        <v>0.58333333333333337</v>
      </c>
      <c r="C136" s="509" t="s">
        <v>20</v>
      </c>
      <c r="D136" s="595" t="s">
        <v>772</v>
      </c>
      <c r="E136" s="509" t="s">
        <v>10</v>
      </c>
      <c r="F136" s="509" t="s">
        <v>414</v>
      </c>
      <c r="G136" s="509"/>
    </row>
    <row r="137" spans="1:7" x14ac:dyDescent="0.25">
      <c r="A137" s="512" t="s">
        <v>314</v>
      </c>
      <c r="B137" s="510">
        <v>0.625</v>
      </c>
      <c r="C137" s="509" t="s">
        <v>26</v>
      </c>
      <c r="D137" s="595" t="s">
        <v>997</v>
      </c>
      <c r="E137" s="509" t="s">
        <v>66</v>
      </c>
      <c r="F137" s="509" t="s">
        <v>260</v>
      </c>
      <c r="G137" s="509"/>
    </row>
    <row r="138" spans="1:7" x14ac:dyDescent="0.25">
      <c r="A138" s="512" t="s">
        <v>314</v>
      </c>
      <c r="B138" s="510">
        <v>0.625</v>
      </c>
      <c r="C138" s="509" t="s">
        <v>28</v>
      </c>
      <c r="D138" s="595" t="s">
        <v>998</v>
      </c>
      <c r="E138" s="509" t="s">
        <v>15</v>
      </c>
      <c r="F138" s="509" t="s">
        <v>257</v>
      </c>
      <c r="G138" s="509"/>
    </row>
    <row r="139" spans="1:7" x14ac:dyDescent="0.25">
      <c r="A139" s="512" t="s">
        <v>314</v>
      </c>
      <c r="B139" s="510">
        <v>0.63541666666666663</v>
      </c>
      <c r="C139" s="509" t="s">
        <v>27</v>
      </c>
      <c r="D139" s="595" t="s">
        <v>999</v>
      </c>
      <c r="E139" s="509" t="s">
        <v>21</v>
      </c>
      <c r="F139" s="509" t="s">
        <v>283</v>
      </c>
      <c r="G139" s="509" t="s">
        <v>255</v>
      </c>
    </row>
    <row r="140" spans="1:7" x14ac:dyDescent="0.25">
      <c r="A140" s="512" t="s">
        <v>1000</v>
      </c>
      <c r="B140" s="510">
        <v>0.58333333333333337</v>
      </c>
      <c r="C140" s="509" t="s">
        <v>189</v>
      </c>
      <c r="D140" s="595" t="s">
        <v>1001</v>
      </c>
      <c r="E140" s="509" t="s">
        <v>8</v>
      </c>
      <c r="F140" s="509" t="s">
        <v>668</v>
      </c>
      <c r="G140" s="509" t="s">
        <v>255</v>
      </c>
    </row>
    <row r="141" spans="1:7" x14ac:dyDescent="0.25">
      <c r="A141" s="512" t="s">
        <v>284</v>
      </c>
      <c r="B141" s="511"/>
      <c r="C141" s="509"/>
      <c r="D141" s="595"/>
      <c r="E141" s="509"/>
      <c r="F141" s="509"/>
      <c r="G141" s="509"/>
    </row>
    <row r="142" spans="1:7" x14ac:dyDescent="0.25">
      <c r="A142" s="512" t="s">
        <v>1022</v>
      </c>
      <c r="B142" s="510">
        <v>0.82291666666666663</v>
      </c>
      <c r="C142" s="509" t="s">
        <v>10</v>
      </c>
      <c r="D142" s="595" t="s">
        <v>1023</v>
      </c>
      <c r="E142" s="509" t="s">
        <v>256</v>
      </c>
      <c r="F142" s="509" t="s">
        <v>413</v>
      </c>
      <c r="G142" s="509" t="s">
        <v>255</v>
      </c>
    </row>
    <row r="143" spans="1:7" x14ac:dyDescent="0.25">
      <c r="A143" s="512" t="s">
        <v>315</v>
      </c>
      <c r="B143" s="510">
        <v>0.58333333333333337</v>
      </c>
      <c r="C143" s="509" t="s">
        <v>29</v>
      </c>
      <c r="D143" s="595" t="s">
        <v>358</v>
      </c>
      <c r="E143" s="509" t="s">
        <v>66</v>
      </c>
      <c r="F143" s="509" t="s">
        <v>260</v>
      </c>
      <c r="G143" s="509"/>
    </row>
    <row r="144" spans="1:7" x14ac:dyDescent="0.25">
      <c r="A144" s="512" t="s">
        <v>315</v>
      </c>
      <c r="B144" s="510">
        <v>0.625</v>
      </c>
      <c r="C144" s="509" t="s">
        <v>26</v>
      </c>
      <c r="D144" s="595" t="s">
        <v>1024</v>
      </c>
      <c r="E144" s="509" t="s">
        <v>13</v>
      </c>
      <c r="F144" s="509" t="s">
        <v>260</v>
      </c>
      <c r="G144" s="509"/>
    </row>
    <row r="145" spans="1:7" x14ac:dyDescent="0.25">
      <c r="A145" s="512" t="s">
        <v>315</v>
      </c>
      <c r="B145" s="510">
        <v>0.63541666666666663</v>
      </c>
      <c r="C145" s="509" t="s">
        <v>27</v>
      </c>
      <c r="D145" s="595" t="s">
        <v>1025</v>
      </c>
      <c r="E145" s="509" t="s">
        <v>15</v>
      </c>
      <c r="F145" s="509" t="s">
        <v>417</v>
      </c>
      <c r="G145" s="509"/>
    </row>
    <row r="146" spans="1:7" x14ac:dyDescent="0.25">
      <c r="A146" s="512" t="s">
        <v>315</v>
      </c>
      <c r="B146" s="510">
        <v>0.63541666666666663</v>
      </c>
      <c r="C146" s="509" t="s">
        <v>189</v>
      </c>
      <c r="D146" s="595" t="s">
        <v>1026</v>
      </c>
      <c r="E146" s="509" t="s">
        <v>28</v>
      </c>
      <c r="F146" s="509" t="s">
        <v>668</v>
      </c>
      <c r="G146" s="509" t="s">
        <v>255</v>
      </c>
    </row>
    <row r="147" spans="1:7" x14ac:dyDescent="0.25">
      <c r="A147" s="512" t="s">
        <v>333</v>
      </c>
      <c r="B147" s="510">
        <v>0.58333333333333337</v>
      </c>
      <c r="C147" s="509" t="s">
        <v>21</v>
      </c>
      <c r="D147" s="595" t="s">
        <v>396</v>
      </c>
      <c r="E147" s="509" t="s">
        <v>30</v>
      </c>
      <c r="F147" s="509" t="s">
        <v>668</v>
      </c>
      <c r="G147" s="509" t="s">
        <v>255</v>
      </c>
    </row>
    <row r="148" spans="1:7" x14ac:dyDescent="0.25">
      <c r="A148" s="512" t="s">
        <v>285</v>
      </c>
      <c r="B148" s="511"/>
      <c r="C148" s="509"/>
      <c r="D148" s="595"/>
      <c r="E148" s="509"/>
      <c r="F148" s="509"/>
      <c r="G148" s="509"/>
    </row>
    <row r="149" spans="1:7" x14ac:dyDescent="0.25">
      <c r="A149" s="512" t="s">
        <v>1027</v>
      </c>
      <c r="B149" s="510">
        <v>0.64583333333333337</v>
      </c>
      <c r="C149" s="509" t="s">
        <v>256</v>
      </c>
      <c r="D149" s="595" t="s">
        <v>1046</v>
      </c>
      <c r="E149" s="509" t="s">
        <v>26</v>
      </c>
      <c r="F149" s="509" t="s">
        <v>412</v>
      </c>
      <c r="G149" s="509"/>
    </row>
    <row r="150" spans="1:7" x14ac:dyDescent="0.25">
      <c r="A150" s="512" t="s">
        <v>1027</v>
      </c>
      <c r="B150" s="510">
        <v>0.64583333333333337</v>
      </c>
      <c r="C150" s="509" t="s">
        <v>8</v>
      </c>
      <c r="D150" s="595" t="s">
        <v>1047</v>
      </c>
      <c r="E150" s="509" t="s">
        <v>20</v>
      </c>
      <c r="F150" s="509" t="s">
        <v>261</v>
      </c>
      <c r="G150" s="509" t="s">
        <v>255</v>
      </c>
    </row>
    <row r="151" spans="1:7" x14ac:dyDescent="0.25">
      <c r="A151" s="512" t="s">
        <v>1027</v>
      </c>
      <c r="B151" s="510">
        <v>0.64583333333333337</v>
      </c>
      <c r="C151" s="509" t="s">
        <v>28</v>
      </c>
      <c r="D151" s="595" t="s">
        <v>1048</v>
      </c>
      <c r="E151" s="509" t="s">
        <v>27</v>
      </c>
      <c r="F151" s="509" t="s">
        <v>257</v>
      </c>
      <c r="G151" s="509" t="s">
        <v>255</v>
      </c>
    </row>
    <row r="152" spans="1:7" x14ac:dyDescent="0.25">
      <c r="A152" s="512" t="s">
        <v>1027</v>
      </c>
      <c r="B152" s="510">
        <v>0.64583333333333337</v>
      </c>
      <c r="C152" s="509" t="s">
        <v>13</v>
      </c>
      <c r="D152" s="595" t="s">
        <v>1050</v>
      </c>
      <c r="E152" s="509" t="s">
        <v>189</v>
      </c>
      <c r="F152" s="509" t="s">
        <v>415</v>
      </c>
      <c r="G152" s="509"/>
    </row>
    <row r="153" spans="1:7" x14ac:dyDescent="0.25">
      <c r="A153" s="512" t="s">
        <v>1027</v>
      </c>
      <c r="B153" s="510">
        <v>0.64583333333333337</v>
      </c>
      <c r="C153" s="509" t="s">
        <v>15</v>
      </c>
      <c r="D153" s="595" t="s">
        <v>1051</v>
      </c>
      <c r="E153" s="509" t="s">
        <v>21</v>
      </c>
      <c r="F153" s="509" t="s">
        <v>416</v>
      </c>
      <c r="G153" s="509"/>
    </row>
    <row r="154" spans="1:7" x14ac:dyDescent="0.25">
      <c r="A154" s="512" t="s">
        <v>1027</v>
      </c>
      <c r="B154" s="510">
        <v>0.64583333333333337</v>
      </c>
      <c r="C154" s="509" t="s">
        <v>66</v>
      </c>
      <c r="D154" s="595" t="s">
        <v>1049</v>
      </c>
      <c r="E154" s="509" t="s">
        <v>10</v>
      </c>
      <c r="F154" s="509" t="s">
        <v>263</v>
      </c>
      <c r="G154" s="509"/>
    </row>
    <row r="155" spans="1:7" x14ac:dyDescent="0.25">
      <c r="A155" s="512" t="s">
        <v>334</v>
      </c>
      <c r="B155" s="511"/>
      <c r="C155" s="509"/>
      <c r="D155" s="595"/>
      <c r="E155" s="509"/>
      <c r="F155" s="509"/>
      <c r="G155" s="509"/>
    </row>
    <row r="156" spans="1:7" x14ac:dyDescent="0.25">
      <c r="A156" s="512" t="s">
        <v>1028</v>
      </c>
      <c r="B156" s="510">
        <v>0.58333333333333337</v>
      </c>
      <c r="C156" s="509" t="s">
        <v>27</v>
      </c>
      <c r="D156" s="595" t="s">
        <v>1061</v>
      </c>
      <c r="E156" s="509" t="s">
        <v>21</v>
      </c>
      <c r="F156" s="509" t="s">
        <v>417</v>
      </c>
      <c r="G156" s="509" t="s">
        <v>255</v>
      </c>
    </row>
    <row r="157" spans="1:7" x14ac:dyDescent="0.25">
      <c r="A157" s="512" t="s">
        <v>1028</v>
      </c>
      <c r="B157" s="510">
        <v>0.70833333333333337</v>
      </c>
      <c r="C157" s="509" t="s">
        <v>24</v>
      </c>
      <c r="D157" s="595" t="s">
        <v>1062</v>
      </c>
      <c r="E157" s="509" t="s">
        <v>28</v>
      </c>
      <c r="F157" s="509" t="s">
        <v>412</v>
      </c>
      <c r="G157" s="509" t="s">
        <v>255</v>
      </c>
    </row>
    <row r="158" spans="1:7" x14ac:dyDescent="0.25">
      <c r="A158" s="512" t="s">
        <v>335</v>
      </c>
      <c r="B158" s="511"/>
      <c r="C158" s="509"/>
      <c r="D158" s="595"/>
      <c r="E158" s="509"/>
      <c r="F158" s="509"/>
      <c r="G158" s="509"/>
    </row>
    <row r="159" spans="1:7" x14ac:dyDescent="0.25">
      <c r="A159" s="512" t="s">
        <v>1052</v>
      </c>
      <c r="B159" s="510">
        <v>0.60416666666666663</v>
      </c>
      <c r="C159" s="509" t="s">
        <v>24</v>
      </c>
      <c r="D159" s="595" t="s">
        <v>1066</v>
      </c>
      <c r="E159" s="509" t="s">
        <v>21</v>
      </c>
      <c r="F159" s="509" t="s">
        <v>411</v>
      </c>
      <c r="G159" s="509" t="s">
        <v>255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67"/>
  <sheetViews>
    <sheetView zoomScaleNormal="100" workbookViewId="0">
      <pane ySplit="2" topLeftCell="A3" activePane="bottomLeft" state="frozen"/>
      <selection pane="bottomLeft" sqref="A1:D1"/>
    </sheetView>
  </sheetViews>
  <sheetFormatPr defaultRowHeight="15" x14ac:dyDescent="0.25"/>
  <cols>
    <col min="1" max="1" width="7.7109375" customWidth="1"/>
    <col min="2" max="2" width="5.7109375" customWidth="1"/>
    <col min="3" max="3" width="14.140625" customWidth="1"/>
    <col min="4" max="18" width="3.7109375" customWidth="1"/>
    <col min="19" max="19" width="6.28515625" customWidth="1"/>
    <col min="20" max="20" width="5.7109375" customWidth="1"/>
    <col min="21" max="21" width="19.140625" customWidth="1"/>
    <col min="22" max="22" width="22" customWidth="1"/>
    <col min="23" max="23" width="20.140625" customWidth="1"/>
    <col min="24" max="24" width="21.140625" customWidth="1"/>
    <col min="25" max="36" width="3.7109375" customWidth="1"/>
    <col min="38" max="38" width="10.85546875" bestFit="1" customWidth="1"/>
    <col min="40" max="40" width="10.85546875" bestFit="1" customWidth="1"/>
    <col min="42" max="42" width="10.85546875" bestFit="1" customWidth="1"/>
    <col min="44" max="44" width="10.85546875" bestFit="1" customWidth="1"/>
  </cols>
  <sheetData>
    <row r="1" spans="1:45" ht="15" customHeight="1" thickBot="1" x14ac:dyDescent="0.3">
      <c r="A1" s="897" t="s">
        <v>153</v>
      </c>
      <c r="B1" s="898"/>
      <c r="C1" s="898"/>
      <c r="D1" s="899"/>
      <c r="E1" s="894" t="s">
        <v>77</v>
      </c>
      <c r="F1" s="895"/>
      <c r="G1" s="896"/>
      <c r="H1" s="894" t="s">
        <v>76</v>
      </c>
      <c r="I1" s="896"/>
      <c r="J1" s="900" t="s">
        <v>43</v>
      </c>
      <c r="K1" s="901"/>
      <c r="L1" s="901"/>
      <c r="M1" s="902"/>
      <c r="N1" s="900" t="s">
        <v>44</v>
      </c>
      <c r="O1" s="902"/>
      <c r="P1" s="900" t="s">
        <v>79</v>
      </c>
      <c r="Q1" s="901"/>
      <c r="R1" s="902"/>
      <c r="S1" s="603" t="s">
        <v>45</v>
      </c>
      <c r="T1" s="603" t="s">
        <v>46</v>
      </c>
      <c r="U1" s="604" t="s">
        <v>47</v>
      </c>
      <c r="V1" s="603" t="s">
        <v>48</v>
      </c>
      <c r="W1" s="605" t="s">
        <v>151</v>
      </c>
      <c r="X1" s="606" t="s">
        <v>152</v>
      </c>
      <c r="Y1" s="607" t="s">
        <v>71</v>
      </c>
      <c r="Z1" s="608"/>
      <c r="AA1" s="608"/>
      <c r="AB1" s="608"/>
      <c r="AC1" s="604" t="s">
        <v>72</v>
      </c>
      <c r="AD1" s="606"/>
      <c r="AE1" s="606"/>
      <c r="AF1" s="371"/>
      <c r="AG1" s="604" t="s">
        <v>73</v>
      </c>
      <c r="AH1" s="606"/>
      <c r="AI1" s="606"/>
      <c r="AJ1" s="371"/>
      <c r="AK1" s="608" t="s">
        <v>936</v>
      </c>
      <c r="AL1" s="608"/>
      <c r="AM1" s="608"/>
      <c r="AN1" s="608"/>
    </row>
    <row r="2" spans="1:45" ht="15" customHeight="1" thickBot="1" x14ac:dyDescent="0.3">
      <c r="A2" s="609" t="s">
        <v>69</v>
      </c>
      <c r="B2" s="610" t="s">
        <v>68</v>
      </c>
      <c r="C2" s="611" t="s">
        <v>67</v>
      </c>
      <c r="D2" s="611" t="s">
        <v>78</v>
      </c>
      <c r="E2" s="612" t="s">
        <v>53</v>
      </c>
      <c r="F2" s="612" t="s">
        <v>37</v>
      </c>
      <c r="G2" s="612" t="s">
        <v>38</v>
      </c>
      <c r="H2" s="613" t="s">
        <v>49</v>
      </c>
      <c r="I2" s="613" t="s">
        <v>36</v>
      </c>
      <c r="J2" s="613" t="s">
        <v>49</v>
      </c>
      <c r="K2" s="613" t="s">
        <v>50</v>
      </c>
      <c r="L2" s="613" t="s">
        <v>35</v>
      </c>
      <c r="M2" s="613" t="s">
        <v>51</v>
      </c>
      <c r="N2" s="613" t="s">
        <v>52</v>
      </c>
      <c r="O2" s="613" t="s">
        <v>53</v>
      </c>
      <c r="P2" s="613" t="s">
        <v>74</v>
      </c>
      <c r="Q2" s="613" t="s">
        <v>75</v>
      </c>
      <c r="R2" s="613" t="s">
        <v>49</v>
      </c>
      <c r="S2" s="614"/>
      <c r="T2" s="615"/>
      <c r="U2" s="616"/>
      <c r="V2" s="614"/>
      <c r="W2" s="617"/>
      <c r="X2" s="618"/>
      <c r="Y2" s="603" t="s">
        <v>33</v>
      </c>
      <c r="Z2" s="603" t="s">
        <v>34</v>
      </c>
      <c r="AA2" s="603" t="s">
        <v>35</v>
      </c>
      <c r="AB2" s="603" t="s">
        <v>36</v>
      </c>
      <c r="AC2" s="603" t="s">
        <v>33</v>
      </c>
      <c r="AD2" s="603" t="s">
        <v>34</v>
      </c>
      <c r="AE2" s="603" t="s">
        <v>35</v>
      </c>
      <c r="AF2" s="603" t="s">
        <v>36</v>
      </c>
      <c r="AG2" s="603" t="s">
        <v>33</v>
      </c>
      <c r="AH2" s="603" t="s">
        <v>34</v>
      </c>
      <c r="AI2" s="603" t="s">
        <v>35</v>
      </c>
      <c r="AJ2" s="603" t="s">
        <v>36</v>
      </c>
      <c r="AK2" s="813" t="s">
        <v>33</v>
      </c>
      <c r="AL2" s="813" t="s">
        <v>34</v>
      </c>
      <c r="AM2" s="813" t="s">
        <v>35</v>
      </c>
      <c r="AN2" s="813" t="s">
        <v>36</v>
      </c>
    </row>
    <row r="3" spans="1:45" ht="15" customHeight="1" thickBot="1" x14ac:dyDescent="0.3">
      <c r="A3" s="254" t="s">
        <v>89</v>
      </c>
      <c r="B3" s="255" t="s">
        <v>54</v>
      </c>
      <c r="C3" s="247" t="s">
        <v>29</v>
      </c>
      <c r="D3" s="257" t="s">
        <v>38</v>
      </c>
      <c r="E3" s="257" t="s">
        <v>34</v>
      </c>
      <c r="F3" s="257">
        <v>29</v>
      </c>
      <c r="G3" s="258">
        <v>20</v>
      </c>
      <c r="H3" s="259">
        <v>0</v>
      </c>
      <c r="I3" s="260">
        <v>0</v>
      </c>
      <c r="J3" s="260">
        <v>2</v>
      </c>
      <c r="K3" s="260">
        <v>2</v>
      </c>
      <c r="L3" s="260">
        <v>0</v>
      </c>
      <c r="M3" s="260">
        <v>5</v>
      </c>
      <c r="N3" s="260">
        <v>1</v>
      </c>
      <c r="O3" s="260">
        <v>0</v>
      </c>
      <c r="P3" s="260">
        <v>0</v>
      </c>
      <c r="Q3" s="260">
        <v>0</v>
      </c>
      <c r="R3" s="260">
        <v>2</v>
      </c>
      <c r="S3" s="261">
        <v>5353</v>
      </c>
      <c r="T3" s="262" t="s">
        <v>344</v>
      </c>
      <c r="U3" s="263" t="s">
        <v>345</v>
      </c>
      <c r="V3" s="261" t="s">
        <v>346</v>
      </c>
      <c r="W3" s="261" t="s">
        <v>347</v>
      </c>
      <c r="X3" s="264" t="s">
        <v>348</v>
      </c>
      <c r="Y3" s="261">
        <v>1</v>
      </c>
      <c r="Z3" s="261">
        <v>1</v>
      </c>
      <c r="AA3" s="261">
        <v>0</v>
      </c>
      <c r="AB3" s="168">
        <v>0</v>
      </c>
      <c r="AC3" s="261">
        <v>0</v>
      </c>
      <c r="AD3" s="261">
        <v>0</v>
      </c>
      <c r="AE3" s="261">
        <v>0</v>
      </c>
      <c r="AF3" s="168">
        <v>0</v>
      </c>
      <c r="AG3" s="261">
        <v>1</v>
      </c>
      <c r="AH3" s="261">
        <v>1</v>
      </c>
      <c r="AI3" s="261">
        <v>0</v>
      </c>
      <c r="AJ3" s="168">
        <v>0</v>
      </c>
    </row>
    <row r="4" spans="1:45" ht="15" customHeight="1" thickBot="1" x14ac:dyDescent="0.3">
      <c r="A4" s="239" t="s">
        <v>80</v>
      </c>
      <c r="B4" s="240" t="s">
        <v>54</v>
      </c>
      <c r="C4" s="122" t="s">
        <v>190</v>
      </c>
      <c r="D4" s="123" t="s">
        <v>90</v>
      </c>
      <c r="E4" s="123" t="s">
        <v>34</v>
      </c>
      <c r="F4" s="123">
        <v>53</v>
      </c>
      <c r="G4" s="241">
        <v>26</v>
      </c>
      <c r="H4" s="244">
        <v>1</v>
      </c>
      <c r="I4" s="242">
        <v>0</v>
      </c>
      <c r="J4" s="242">
        <v>7</v>
      </c>
      <c r="K4" s="123">
        <v>6</v>
      </c>
      <c r="L4" s="242">
        <v>0</v>
      </c>
      <c r="M4" s="123">
        <v>2</v>
      </c>
      <c r="N4" s="242">
        <v>0</v>
      </c>
      <c r="O4" s="242">
        <v>0</v>
      </c>
      <c r="P4" s="242">
        <v>1</v>
      </c>
      <c r="Q4" s="123">
        <v>0</v>
      </c>
      <c r="R4" s="242">
        <v>4</v>
      </c>
      <c r="S4" s="243">
        <v>12755</v>
      </c>
      <c r="T4" s="591" t="s">
        <v>385</v>
      </c>
      <c r="U4" s="245" t="s">
        <v>386</v>
      </c>
      <c r="V4" s="243" t="s">
        <v>346</v>
      </c>
      <c r="W4" s="243" t="s">
        <v>387</v>
      </c>
      <c r="X4" s="169" t="s">
        <v>376</v>
      </c>
      <c r="Y4" s="243">
        <v>1</v>
      </c>
      <c r="Z4" s="243">
        <v>1</v>
      </c>
      <c r="AA4" s="243">
        <v>0</v>
      </c>
      <c r="AB4" s="167">
        <v>0</v>
      </c>
      <c r="AC4" s="243">
        <v>1</v>
      </c>
      <c r="AD4" s="243">
        <v>1</v>
      </c>
      <c r="AE4" s="243">
        <v>0</v>
      </c>
      <c r="AF4" s="167">
        <v>0</v>
      </c>
      <c r="AG4" s="243">
        <v>0</v>
      </c>
      <c r="AH4" s="243">
        <v>0</v>
      </c>
      <c r="AI4" s="243">
        <v>0</v>
      </c>
      <c r="AJ4" s="167">
        <v>0</v>
      </c>
    </row>
    <row r="5" spans="1:45" ht="15" customHeight="1" thickBot="1" x14ac:dyDescent="0.3">
      <c r="A5" s="239" t="s">
        <v>108</v>
      </c>
      <c r="B5" s="240" t="s">
        <v>54</v>
      </c>
      <c r="C5" s="122" t="s">
        <v>28</v>
      </c>
      <c r="D5" s="123" t="s">
        <v>90</v>
      </c>
      <c r="E5" s="123" t="s">
        <v>34</v>
      </c>
      <c r="F5" s="123">
        <v>45</v>
      </c>
      <c r="G5" s="241">
        <v>0</v>
      </c>
      <c r="H5" s="368">
        <v>1</v>
      </c>
      <c r="I5" s="241">
        <v>0</v>
      </c>
      <c r="J5" s="242">
        <v>5</v>
      </c>
      <c r="K5" s="242">
        <v>4</v>
      </c>
      <c r="L5" s="242">
        <v>1</v>
      </c>
      <c r="M5" s="242">
        <v>3</v>
      </c>
      <c r="N5" s="242">
        <v>1</v>
      </c>
      <c r="O5" s="242">
        <v>0</v>
      </c>
      <c r="P5" s="123">
        <v>0</v>
      </c>
      <c r="Q5" s="242">
        <v>0</v>
      </c>
      <c r="R5" s="123">
        <v>0</v>
      </c>
      <c r="S5" s="243">
        <v>12817</v>
      </c>
      <c r="T5" s="592" t="s">
        <v>433</v>
      </c>
      <c r="U5" s="245" t="s">
        <v>338</v>
      </c>
      <c r="V5" s="243" t="s">
        <v>375</v>
      </c>
      <c r="W5" s="243" t="s">
        <v>340</v>
      </c>
      <c r="X5" s="243" t="s">
        <v>390</v>
      </c>
      <c r="Y5" s="243">
        <v>1</v>
      </c>
      <c r="Z5" s="243">
        <v>1</v>
      </c>
      <c r="AA5" s="243">
        <v>0</v>
      </c>
      <c r="AB5" s="167">
        <v>0</v>
      </c>
      <c r="AC5" s="243">
        <v>1</v>
      </c>
      <c r="AD5" s="243">
        <v>1</v>
      </c>
      <c r="AE5" s="243">
        <v>0</v>
      </c>
      <c r="AF5" s="167">
        <v>0</v>
      </c>
      <c r="AG5" s="243">
        <v>0</v>
      </c>
      <c r="AH5" s="243">
        <v>0</v>
      </c>
      <c r="AI5" s="243">
        <v>0</v>
      </c>
      <c r="AJ5" s="167">
        <v>0</v>
      </c>
    </row>
    <row r="6" spans="1:45" ht="15" customHeight="1" thickBot="1" x14ac:dyDescent="0.3">
      <c r="A6" s="256" t="s">
        <v>114</v>
      </c>
      <c r="B6" s="255" t="s">
        <v>54</v>
      </c>
      <c r="C6" s="247" t="s">
        <v>27</v>
      </c>
      <c r="D6" s="257" t="s">
        <v>38</v>
      </c>
      <c r="E6" s="257" t="s">
        <v>36</v>
      </c>
      <c r="F6" s="257">
        <v>24</v>
      </c>
      <c r="G6" s="258">
        <v>31</v>
      </c>
      <c r="H6" s="258">
        <v>0</v>
      </c>
      <c r="I6" s="260">
        <v>1</v>
      </c>
      <c r="J6" s="257">
        <v>3</v>
      </c>
      <c r="K6" s="257">
        <v>3</v>
      </c>
      <c r="L6" s="260">
        <v>0</v>
      </c>
      <c r="M6" s="260">
        <v>1</v>
      </c>
      <c r="N6" s="260">
        <v>1</v>
      </c>
      <c r="O6" s="260">
        <v>0</v>
      </c>
      <c r="P6" s="260">
        <v>1</v>
      </c>
      <c r="Q6" s="257">
        <v>0</v>
      </c>
      <c r="R6" s="260">
        <v>4</v>
      </c>
      <c r="S6" s="261">
        <v>13365</v>
      </c>
      <c r="T6" s="516" t="s">
        <v>453</v>
      </c>
      <c r="U6" s="263" t="s">
        <v>452</v>
      </c>
      <c r="V6" s="261" t="s">
        <v>393</v>
      </c>
      <c r="W6" s="261" t="s">
        <v>362</v>
      </c>
      <c r="X6" s="264" t="s">
        <v>356</v>
      </c>
      <c r="Y6" s="261">
        <v>1</v>
      </c>
      <c r="Z6" s="261">
        <v>0</v>
      </c>
      <c r="AA6" s="261">
        <v>0</v>
      </c>
      <c r="AB6" s="168">
        <v>1</v>
      </c>
      <c r="AC6" s="261">
        <v>0</v>
      </c>
      <c r="AD6" s="261">
        <v>0</v>
      </c>
      <c r="AE6" s="261">
        <v>0</v>
      </c>
      <c r="AF6" s="168">
        <v>0</v>
      </c>
      <c r="AG6" s="261">
        <v>1</v>
      </c>
      <c r="AH6" s="261">
        <v>0</v>
      </c>
      <c r="AI6" s="261">
        <v>0</v>
      </c>
      <c r="AJ6" s="168">
        <v>1</v>
      </c>
    </row>
    <row r="7" spans="1:45" ht="15" customHeight="1" thickBot="1" x14ac:dyDescent="0.3">
      <c r="A7" s="239" t="s">
        <v>194</v>
      </c>
      <c r="B7" s="240" t="s">
        <v>54</v>
      </c>
      <c r="C7" s="122" t="s">
        <v>21</v>
      </c>
      <c r="D7" s="123" t="s">
        <v>90</v>
      </c>
      <c r="E7" s="123" t="s">
        <v>34</v>
      </c>
      <c r="F7" s="123">
        <v>21</v>
      </c>
      <c r="G7" s="241">
        <v>11</v>
      </c>
      <c r="H7" s="244">
        <v>0</v>
      </c>
      <c r="I7" s="123">
        <v>0</v>
      </c>
      <c r="J7" s="242">
        <v>2</v>
      </c>
      <c r="K7" s="242">
        <v>1</v>
      </c>
      <c r="L7" s="242">
        <v>0</v>
      </c>
      <c r="M7" s="242">
        <v>3</v>
      </c>
      <c r="N7" s="242">
        <v>0</v>
      </c>
      <c r="O7" s="242">
        <v>0</v>
      </c>
      <c r="P7" s="242">
        <v>0</v>
      </c>
      <c r="Q7" s="242">
        <v>0</v>
      </c>
      <c r="R7" s="242">
        <v>1</v>
      </c>
      <c r="S7" s="243">
        <v>13314</v>
      </c>
      <c r="T7" s="591" t="s">
        <v>446</v>
      </c>
      <c r="U7" s="245" t="s">
        <v>367</v>
      </c>
      <c r="V7" s="243" t="s">
        <v>463</v>
      </c>
      <c r="W7" s="243" t="s">
        <v>340</v>
      </c>
      <c r="X7" s="169" t="s">
        <v>355</v>
      </c>
      <c r="Y7" s="243">
        <v>1</v>
      </c>
      <c r="Z7" s="243">
        <v>1</v>
      </c>
      <c r="AA7" s="243">
        <v>0</v>
      </c>
      <c r="AB7" s="167">
        <v>0</v>
      </c>
      <c r="AC7" s="243">
        <v>1</v>
      </c>
      <c r="AD7" s="243">
        <v>1</v>
      </c>
      <c r="AE7" s="243">
        <v>0</v>
      </c>
      <c r="AF7" s="167">
        <v>0</v>
      </c>
      <c r="AG7" s="243">
        <v>0</v>
      </c>
      <c r="AH7" s="243">
        <v>0</v>
      </c>
      <c r="AI7" s="243">
        <v>0</v>
      </c>
      <c r="AJ7" s="167">
        <v>0</v>
      </c>
    </row>
    <row r="8" spans="1:45" ht="15" customHeight="1" thickBot="1" x14ac:dyDescent="0.3">
      <c r="A8" s="256" t="s">
        <v>195</v>
      </c>
      <c r="B8" s="255" t="s">
        <v>54</v>
      </c>
      <c r="C8" s="247" t="s">
        <v>189</v>
      </c>
      <c r="D8" s="257" t="s">
        <v>380</v>
      </c>
      <c r="E8" s="257" t="s">
        <v>36</v>
      </c>
      <c r="F8" s="257">
        <v>22</v>
      </c>
      <c r="G8" s="258">
        <v>29</v>
      </c>
      <c r="H8" s="259">
        <v>0</v>
      </c>
      <c r="I8" s="257">
        <v>1</v>
      </c>
      <c r="J8" s="260">
        <v>3</v>
      </c>
      <c r="K8" s="260">
        <v>2</v>
      </c>
      <c r="L8" s="260">
        <v>0</v>
      </c>
      <c r="M8" s="260">
        <v>1</v>
      </c>
      <c r="N8" s="260">
        <v>3</v>
      </c>
      <c r="O8" s="260">
        <v>0</v>
      </c>
      <c r="P8" s="260">
        <v>0</v>
      </c>
      <c r="Q8" s="260">
        <v>0</v>
      </c>
      <c r="R8" s="260">
        <v>2</v>
      </c>
      <c r="S8" s="261">
        <v>7397</v>
      </c>
      <c r="T8" s="516" t="s">
        <v>494</v>
      </c>
      <c r="U8" s="263" t="s">
        <v>345</v>
      </c>
      <c r="V8" s="261" t="s">
        <v>339</v>
      </c>
      <c r="W8" s="261" t="s">
        <v>377</v>
      </c>
      <c r="X8" s="264" t="s">
        <v>347</v>
      </c>
      <c r="Y8" s="261">
        <v>1</v>
      </c>
      <c r="Z8" s="261">
        <v>0</v>
      </c>
      <c r="AA8" s="261">
        <v>0</v>
      </c>
      <c r="AB8" s="168">
        <v>1</v>
      </c>
      <c r="AC8" s="261">
        <v>0</v>
      </c>
      <c r="AD8" s="261">
        <v>0</v>
      </c>
      <c r="AE8" s="261">
        <v>0</v>
      </c>
      <c r="AF8" s="168">
        <v>0</v>
      </c>
      <c r="AG8" s="261">
        <v>1</v>
      </c>
      <c r="AH8" s="261">
        <v>0</v>
      </c>
      <c r="AI8" s="261">
        <v>0</v>
      </c>
      <c r="AJ8" s="168">
        <v>1</v>
      </c>
    </row>
    <row r="9" spans="1:45" ht="15" customHeight="1" thickBot="1" x14ac:dyDescent="0.3">
      <c r="A9" s="391" t="s">
        <v>107</v>
      </c>
      <c r="B9" s="392" t="s">
        <v>161</v>
      </c>
      <c r="C9" s="393" t="s">
        <v>219</v>
      </c>
      <c r="D9" s="394" t="s">
        <v>38</v>
      </c>
      <c r="E9" s="394" t="s">
        <v>36</v>
      </c>
      <c r="F9" s="394">
        <v>10</v>
      </c>
      <c r="G9" s="395">
        <v>37</v>
      </c>
      <c r="H9" s="396">
        <v>0</v>
      </c>
      <c r="I9" s="397">
        <v>0</v>
      </c>
      <c r="J9" s="397">
        <v>1</v>
      </c>
      <c r="K9" s="397">
        <v>1</v>
      </c>
      <c r="L9" s="397">
        <v>0</v>
      </c>
      <c r="M9" s="397">
        <v>1</v>
      </c>
      <c r="N9" s="397">
        <v>0</v>
      </c>
      <c r="O9" s="397">
        <v>0</v>
      </c>
      <c r="P9" s="397">
        <v>1</v>
      </c>
      <c r="Q9" s="394">
        <v>0</v>
      </c>
      <c r="R9" s="397">
        <v>5</v>
      </c>
      <c r="S9" s="398">
        <v>6746</v>
      </c>
      <c r="T9" s="641" t="s">
        <v>511</v>
      </c>
      <c r="U9" s="399" t="s">
        <v>512</v>
      </c>
      <c r="V9" s="398" t="s">
        <v>513</v>
      </c>
      <c r="W9" s="398" t="s">
        <v>514</v>
      </c>
      <c r="X9" s="400" t="s">
        <v>515</v>
      </c>
      <c r="Y9" s="398">
        <v>1</v>
      </c>
      <c r="Z9" s="398">
        <v>0</v>
      </c>
      <c r="AA9" s="398">
        <v>0</v>
      </c>
      <c r="AB9" s="401">
        <v>1</v>
      </c>
      <c r="AC9" s="398">
        <v>0</v>
      </c>
      <c r="AD9" s="398">
        <v>0</v>
      </c>
      <c r="AE9" s="398">
        <v>0</v>
      </c>
      <c r="AF9" s="401">
        <v>0</v>
      </c>
      <c r="AG9" s="398">
        <v>1</v>
      </c>
      <c r="AH9" s="398">
        <v>0</v>
      </c>
      <c r="AI9" s="398">
        <v>0</v>
      </c>
      <c r="AJ9" s="401">
        <v>1</v>
      </c>
    </row>
    <row r="10" spans="1:45" ht="15" customHeight="1" thickBot="1" x14ac:dyDescent="0.3">
      <c r="A10" s="402" t="s">
        <v>93</v>
      </c>
      <c r="B10" s="403" t="s">
        <v>161</v>
      </c>
      <c r="C10" s="404" t="s">
        <v>220</v>
      </c>
      <c r="D10" s="405" t="s">
        <v>90</v>
      </c>
      <c r="E10" s="405" t="s">
        <v>36</v>
      </c>
      <c r="F10" s="405">
        <v>19</v>
      </c>
      <c r="G10" s="406">
        <v>21</v>
      </c>
      <c r="H10" s="407">
        <v>0</v>
      </c>
      <c r="I10" s="408">
        <v>1</v>
      </c>
      <c r="J10" s="408">
        <v>1</v>
      </c>
      <c r="K10" s="408">
        <v>1</v>
      </c>
      <c r="L10" s="408">
        <v>1</v>
      </c>
      <c r="M10" s="408">
        <v>3</v>
      </c>
      <c r="N10" s="408">
        <v>0</v>
      </c>
      <c r="O10" s="408">
        <v>0</v>
      </c>
      <c r="P10" s="408">
        <v>0</v>
      </c>
      <c r="Q10" s="405">
        <v>0</v>
      </c>
      <c r="R10" s="408">
        <v>3</v>
      </c>
      <c r="S10" s="663">
        <v>13360</v>
      </c>
      <c r="T10" s="410" t="s">
        <v>553</v>
      </c>
      <c r="U10" s="411" t="s">
        <v>531</v>
      </c>
      <c r="V10" s="409" t="s">
        <v>533</v>
      </c>
      <c r="W10" s="409" t="s">
        <v>529</v>
      </c>
      <c r="X10" s="412" t="s">
        <v>554</v>
      </c>
      <c r="Y10" s="409">
        <v>1</v>
      </c>
      <c r="Z10" s="409">
        <v>0</v>
      </c>
      <c r="AA10" s="409">
        <v>0</v>
      </c>
      <c r="AB10" s="413">
        <v>1</v>
      </c>
      <c r="AC10" s="409">
        <v>1</v>
      </c>
      <c r="AD10" s="409">
        <v>0</v>
      </c>
      <c r="AE10" s="409">
        <v>0</v>
      </c>
      <c r="AF10" s="413">
        <v>1</v>
      </c>
      <c r="AG10" s="409">
        <v>0</v>
      </c>
      <c r="AH10" s="409">
        <v>0</v>
      </c>
      <c r="AI10" s="409">
        <v>0</v>
      </c>
      <c r="AJ10" s="413">
        <v>0</v>
      </c>
    </row>
    <row r="11" spans="1:45" ht="15" customHeight="1" thickBot="1" x14ac:dyDescent="0.3">
      <c r="A11" s="248" t="s">
        <v>94</v>
      </c>
      <c r="B11" s="249" t="s">
        <v>96</v>
      </c>
      <c r="C11" s="250" t="s">
        <v>190</v>
      </c>
      <c r="D11" s="283" t="s">
        <v>90</v>
      </c>
      <c r="E11" s="283" t="s">
        <v>34</v>
      </c>
      <c r="F11" s="283">
        <v>47</v>
      </c>
      <c r="G11" s="284">
        <v>7</v>
      </c>
      <c r="H11" s="277">
        <v>1</v>
      </c>
      <c r="I11" s="276">
        <v>0</v>
      </c>
      <c r="J11" s="276">
        <v>7</v>
      </c>
      <c r="K11" s="276">
        <v>3</v>
      </c>
      <c r="L11" s="276">
        <v>0</v>
      </c>
      <c r="M11" s="276">
        <v>2</v>
      </c>
      <c r="N11" s="276">
        <v>0</v>
      </c>
      <c r="O11" s="276">
        <v>0</v>
      </c>
      <c r="P11" s="276">
        <v>0</v>
      </c>
      <c r="Q11" s="283">
        <v>0</v>
      </c>
      <c r="R11" s="276">
        <v>1</v>
      </c>
      <c r="S11" s="443">
        <v>13300</v>
      </c>
      <c r="T11" s="647" t="s">
        <v>605</v>
      </c>
      <c r="U11" s="444" t="s">
        <v>606</v>
      </c>
      <c r="V11" s="445" t="s">
        <v>510</v>
      </c>
      <c r="W11" s="445" t="s">
        <v>356</v>
      </c>
      <c r="X11" s="278" t="s">
        <v>341</v>
      </c>
      <c r="Y11" s="278">
        <v>1</v>
      </c>
      <c r="Z11" s="278">
        <v>1</v>
      </c>
      <c r="AA11" s="278">
        <v>0</v>
      </c>
      <c r="AB11" s="281">
        <v>0</v>
      </c>
      <c r="AC11" s="278">
        <v>1</v>
      </c>
      <c r="AD11" s="278">
        <v>1</v>
      </c>
      <c r="AE11" s="278">
        <v>0</v>
      </c>
      <c r="AF11" s="281">
        <v>0</v>
      </c>
      <c r="AG11" s="278">
        <v>0</v>
      </c>
      <c r="AH11" s="278">
        <v>0</v>
      </c>
      <c r="AI11" s="278">
        <v>0</v>
      </c>
      <c r="AJ11" s="281">
        <v>0</v>
      </c>
    </row>
    <row r="12" spans="1:45" ht="13.15" customHeight="1" thickBot="1" x14ac:dyDescent="0.3">
      <c r="A12" s="251" t="s">
        <v>95</v>
      </c>
      <c r="B12" s="252" t="s">
        <v>96</v>
      </c>
      <c r="C12" s="253" t="s">
        <v>30</v>
      </c>
      <c r="D12" s="269" t="s">
        <v>38</v>
      </c>
      <c r="E12" s="269" t="s">
        <v>36</v>
      </c>
      <c r="F12" s="269">
        <v>6</v>
      </c>
      <c r="G12" s="275">
        <v>18</v>
      </c>
      <c r="H12" s="268">
        <v>0</v>
      </c>
      <c r="I12" s="267">
        <v>0</v>
      </c>
      <c r="J12" s="267">
        <v>0</v>
      </c>
      <c r="K12" s="267">
        <v>0</v>
      </c>
      <c r="L12" s="267">
        <v>0</v>
      </c>
      <c r="M12" s="267">
        <v>2</v>
      </c>
      <c r="N12" s="267">
        <v>0</v>
      </c>
      <c r="O12" s="267">
        <v>0</v>
      </c>
      <c r="P12" s="267">
        <v>0</v>
      </c>
      <c r="Q12" s="269">
        <v>0</v>
      </c>
      <c r="R12" s="267">
        <v>2</v>
      </c>
      <c r="S12" s="272">
        <v>11785</v>
      </c>
      <c r="T12" s="653" t="s">
        <v>398</v>
      </c>
      <c r="U12" s="271" t="s">
        <v>623</v>
      </c>
      <c r="V12" s="272" t="s">
        <v>510</v>
      </c>
      <c r="W12" s="272" t="s">
        <v>356</v>
      </c>
      <c r="X12" s="273" t="s">
        <v>370</v>
      </c>
      <c r="Y12" s="272">
        <v>1</v>
      </c>
      <c r="Z12" s="272">
        <v>0</v>
      </c>
      <c r="AA12" s="272">
        <v>0</v>
      </c>
      <c r="AB12" s="274">
        <v>1</v>
      </c>
      <c r="AC12" s="272">
        <v>0</v>
      </c>
      <c r="AD12" s="272">
        <v>0</v>
      </c>
      <c r="AE12" s="272">
        <v>0</v>
      </c>
      <c r="AF12" s="274">
        <v>0</v>
      </c>
      <c r="AG12" s="272">
        <v>1</v>
      </c>
      <c r="AH12" s="272">
        <v>0</v>
      </c>
      <c r="AI12" s="272">
        <v>0</v>
      </c>
      <c r="AJ12" s="274">
        <v>1</v>
      </c>
      <c r="AL12" s="20"/>
      <c r="AM12" s="367"/>
      <c r="AN12" s="367"/>
      <c r="AO12" s="367"/>
      <c r="AP12" s="367"/>
      <c r="AQ12" s="367"/>
      <c r="AR12" s="367"/>
      <c r="AS12" s="367"/>
    </row>
    <row r="13" spans="1:45" ht="15" customHeight="1" thickBot="1" x14ac:dyDescent="0.3">
      <c r="A13" s="239" t="s">
        <v>109</v>
      </c>
      <c r="B13" s="240" t="s">
        <v>54</v>
      </c>
      <c r="C13" s="122" t="s">
        <v>66</v>
      </c>
      <c r="D13" s="123" t="s">
        <v>90</v>
      </c>
      <c r="E13" s="123" t="s">
        <v>34</v>
      </c>
      <c r="F13" s="123">
        <v>23</v>
      </c>
      <c r="G13" s="241">
        <v>14</v>
      </c>
      <c r="H13" s="244">
        <v>0</v>
      </c>
      <c r="I13" s="242">
        <v>0</v>
      </c>
      <c r="J13" s="242">
        <v>2</v>
      </c>
      <c r="K13" s="242">
        <v>2</v>
      </c>
      <c r="L13" s="242">
        <v>1</v>
      </c>
      <c r="M13" s="242">
        <v>2</v>
      </c>
      <c r="N13" s="242">
        <v>0</v>
      </c>
      <c r="O13" s="242">
        <v>0</v>
      </c>
      <c r="P13" s="242">
        <v>0</v>
      </c>
      <c r="Q13" s="123">
        <v>0</v>
      </c>
      <c r="R13" s="242">
        <v>2</v>
      </c>
      <c r="S13" s="243">
        <v>12877</v>
      </c>
      <c r="T13" s="591" t="s">
        <v>642</v>
      </c>
      <c r="U13" s="245" t="s">
        <v>485</v>
      </c>
      <c r="V13" s="243" t="s">
        <v>463</v>
      </c>
      <c r="W13" s="243" t="s">
        <v>370</v>
      </c>
      <c r="X13" s="169" t="s">
        <v>445</v>
      </c>
      <c r="Y13" s="243">
        <v>1</v>
      </c>
      <c r="Z13" s="243">
        <v>1</v>
      </c>
      <c r="AA13" s="243">
        <v>0</v>
      </c>
      <c r="AB13" s="167">
        <v>0</v>
      </c>
      <c r="AC13" s="243">
        <v>1</v>
      </c>
      <c r="AD13" s="243">
        <v>1</v>
      </c>
      <c r="AE13" s="243">
        <v>0</v>
      </c>
      <c r="AF13" s="167">
        <v>0</v>
      </c>
      <c r="AG13" s="243">
        <v>0</v>
      </c>
      <c r="AH13" s="243">
        <v>0</v>
      </c>
      <c r="AI13" s="243">
        <v>0</v>
      </c>
      <c r="AJ13" s="167">
        <v>0</v>
      </c>
      <c r="AL13" s="367"/>
      <c r="AM13" s="367"/>
      <c r="AN13" s="367"/>
      <c r="AO13" s="367"/>
      <c r="AP13" s="367"/>
      <c r="AQ13" s="367"/>
      <c r="AR13" s="367"/>
      <c r="AS13" s="367"/>
    </row>
    <row r="14" spans="1:45" ht="15" customHeight="1" thickBot="1" x14ac:dyDescent="0.3">
      <c r="A14" s="256" t="s">
        <v>112</v>
      </c>
      <c r="B14" s="255" t="s">
        <v>54</v>
      </c>
      <c r="C14" s="247" t="s">
        <v>13</v>
      </c>
      <c r="D14" s="257" t="s">
        <v>38</v>
      </c>
      <c r="E14" s="257" t="s">
        <v>34</v>
      </c>
      <c r="F14" s="257">
        <v>33</v>
      </c>
      <c r="G14" s="258">
        <v>23</v>
      </c>
      <c r="H14" s="258">
        <v>0</v>
      </c>
      <c r="I14" s="260">
        <v>0</v>
      </c>
      <c r="J14" s="260">
        <v>3</v>
      </c>
      <c r="K14" s="260">
        <v>3</v>
      </c>
      <c r="L14" s="260">
        <v>0</v>
      </c>
      <c r="M14" s="260">
        <v>4</v>
      </c>
      <c r="N14" s="260">
        <v>1</v>
      </c>
      <c r="O14" s="260">
        <v>0</v>
      </c>
      <c r="P14" s="260">
        <v>0</v>
      </c>
      <c r="Q14" s="257">
        <v>0</v>
      </c>
      <c r="R14" s="260">
        <v>2</v>
      </c>
      <c r="S14" s="261">
        <v>8137</v>
      </c>
      <c r="T14" s="590" t="s">
        <v>479</v>
      </c>
      <c r="U14" s="263" t="s">
        <v>353</v>
      </c>
      <c r="V14" s="261" t="s">
        <v>368</v>
      </c>
      <c r="W14" s="261" t="s">
        <v>356</v>
      </c>
      <c r="X14" s="264" t="s">
        <v>377</v>
      </c>
      <c r="Y14" s="261">
        <v>1</v>
      </c>
      <c r="Z14" s="261">
        <v>1</v>
      </c>
      <c r="AA14" s="261">
        <v>0</v>
      </c>
      <c r="AB14" s="168">
        <v>0</v>
      </c>
      <c r="AC14" s="261">
        <v>0</v>
      </c>
      <c r="AD14" s="261">
        <v>0</v>
      </c>
      <c r="AE14" s="261">
        <v>0</v>
      </c>
      <c r="AF14" s="168">
        <v>0</v>
      </c>
      <c r="AG14" s="261">
        <v>1</v>
      </c>
      <c r="AH14" s="261">
        <v>1</v>
      </c>
      <c r="AI14" s="261">
        <v>0</v>
      </c>
      <c r="AJ14" s="168">
        <v>0</v>
      </c>
      <c r="AL14" s="881"/>
      <c r="AM14" s="881"/>
      <c r="AN14" s="881"/>
      <c r="AO14" s="881"/>
      <c r="AP14" s="881"/>
      <c r="AQ14" s="881"/>
      <c r="AR14" s="881"/>
      <c r="AS14" s="881"/>
    </row>
    <row r="15" spans="1:45" ht="15" customHeight="1" thickBot="1" x14ac:dyDescent="0.3">
      <c r="A15" s="239" t="s">
        <v>154</v>
      </c>
      <c r="B15" s="240" t="s">
        <v>54</v>
      </c>
      <c r="C15" s="122" t="s">
        <v>10</v>
      </c>
      <c r="D15" s="123" t="s">
        <v>90</v>
      </c>
      <c r="E15" s="123" t="s">
        <v>34</v>
      </c>
      <c r="F15" s="123">
        <v>25</v>
      </c>
      <c r="G15" s="241">
        <v>6</v>
      </c>
      <c r="H15" s="244">
        <v>1</v>
      </c>
      <c r="I15" s="242">
        <v>0</v>
      </c>
      <c r="J15" s="242">
        <v>4</v>
      </c>
      <c r="K15" s="242">
        <v>1</v>
      </c>
      <c r="L15" s="242">
        <v>0</v>
      </c>
      <c r="M15" s="242">
        <v>1</v>
      </c>
      <c r="N15" s="123">
        <v>0</v>
      </c>
      <c r="O15" s="242">
        <v>0</v>
      </c>
      <c r="P15" s="242">
        <v>0</v>
      </c>
      <c r="Q15" s="123">
        <v>0</v>
      </c>
      <c r="R15" s="242">
        <v>0</v>
      </c>
      <c r="S15" s="243">
        <v>13327</v>
      </c>
      <c r="T15" s="591" t="s">
        <v>625</v>
      </c>
      <c r="U15" s="245" t="s">
        <v>338</v>
      </c>
      <c r="V15" s="243" t="s">
        <v>361</v>
      </c>
      <c r="W15" s="243" t="s">
        <v>370</v>
      </c>
      <c r="X15" s="169" t="s">
        <v>340</v>
      </c>
      <c r="Y15" s="243">
        <v>1</v>
      </c>
      <c r="Z15" s="243">
        <v>1</v>
      </c>
      <c r="AA15" s="243">
        <v>0</v>
      </c>
      <c r="AB15" s="167">
        <v>0</v>
      </c>
      <c r="AC15" s="243">
        <v>1</v>
      </c>
      <c r="AD15" s="243">
        <v>1</v>
      </c>
      <c r="AE15" s="243">
        <v>0</v>
      </c>
      <c r="AF15" s="167">
        <v>0</v>
      </c>
      <c r="AG15" s="243">
        <v>0</v>
      </c>
      <c r="AH15" s="243">
        <v>0</v>
      </c>
      <c r="AI15" s="243">
        <v>0</v>
      </c>
      <c r="AJ15" s="167">
        <v>0</v>
      </c>
      <c r="AL15" s="809"/>
      <c r="AM15" s="768"/>
      <c r="AN15" s="809"/>
      <c r="AO15" s="811"/>
      <c r="AP15" s="809"/>
      <c r="AQ15" s="768"/>
      <c r="AR15" s="809"/>
      <c r="AS15" s="768"/>
    </row>
    <row r="16" spans="1:45" ht="15" customHeight="1" thickBot="1" x14ac:dyDescent="0.3">
      <c r="A16" s="391" t="s">
        <v>689</v>
      </c>
      <c r="B16" s="392" t="s">
        <v>161</v>
      </c>
      <c r="C16" s="414" t="s">
        <v>221</v>
      </c>
      <c r="D16" s="394" t="s">
        <v>38</v>
      </c>
      <c r="E16" s="394" t="s">
        <v>34</v>
      </c>
      <c r="F16" s="394">
        <v>30</v>
      </c>
      <c r="G16" s="395">
        <v>5</v>
      </c>
      <c r="H16" s="396">
        <v>0</v>
      </c>
      <c r="I16" s="397">
        <v>0</v>
      </c>
      <c r="J16" s="397">
        <v>3</v>
      </c>
      <c r="K16" s="397">
        <v>3</v>
      </c>
      <c r="L16" s="397">
        <v>1</v>
      </c>
      <c r="M16" s="397">
        <v>2</v>
      </c>
      <c r="N16" s="397">
        <v>1</v>
      </c>
      <c r="O16" s="397">
        <v>0</v>
      </c>
      <c r="P16" s="397">
        <v>0</v>
      </c>
      <c r="Q16" s="394">
        <v>0</v>
      </c>
      <c r="R16" s="397">
        <v>1</v>
      </c>
      <c r="S16" s="415">
        <v>5000</v>
      </c>
      <c r="T16" s="664" t="s">
        <v>433</v>
      </c>
      <c r="U16" s="399" t="s">
        <v>568</v>
      </c>
      <c r="V16" s="398" t="s">
        <v>528</v>
      </c>
      <c r="W16" s="398" t="s">
        <v>529</v>
      </c>
      <c r="X16" s="400" t="s">
        <v>690</v>
      </c>
      <c r="Y16" s="398">
        <v>1</v>
      </c>
      <c r="Z16" s="398">
        <v>1</v>
      </c>
      <c r="AA16" s="398">
        <v>0</v>
      </c>
      <c r="AB16" s="401">
        <v>0</v>
      </c>
      <c r="AC16" s="398">
        <v>0</v>
      </c>
      <c r="AD16" s="398">
        <v>0</v>
      </c>
      <c r="AE16" s="398">
        <v>0</v>
      </c>
      <c r="AF16" s="401">
        <v>0</v>
      </c>
      <c r="AG16" s="398">
        <v>1</v>
      </c>
      <c r="AH16" s="398">
        <v>1</v>
      </c>
      <c r="AI16" s="398">
        <v>0</v>
      </c>
      <c r="AJ16" s="401">
        <v>0</v>
      </c>
      <c r="AL16" s="809"/>
      <c r="AM16" s="768"/>
      <c r="AN16" s="809"/>
      <c r="AO16" s="811"/>
      <c r="AP16" s="809"/>
      <c r="AQ16" s="768"/>
      <c r="AR16" s="809"/>
      <c r="AS16" s="768"/>
    </row>
    <row r="17" spans="1:45" ht="15" customHeight="1" thickBot="1" x14ac:dyDescent="0.3">
      <c r="A17" s="402" t="s">
        <v>711</v>
      </c>
      <c r="B17" s="403" t="s">
        <v>161</v>
      </c>
      <c r="C17" s="404" t="s">
        <v>221</v>
      </c>
      <c r="D17" s="405" t="s">
        <v>90</v>
      </c>
      <c r="E17" s="405" t="s">
        <v>34</v>
      </c>
      <c r="F17" s="405">
        <v>32</v>
      </c>
      <c r="G17" s="406">
        <v>12</v>
      </c>
      <c r="H17" s="407">
        <v>1</v>
      </c>
      <c r="I17" s="408">
        <v>0</v>
      </c>
      <c r="J17" s="408">
        <v>4</v>
      </c>
      <c r="K17" s="408">
        <v>3</v>
      </c>
      <c r="L17" s="408">
        <v>0</v>
      </c>
      <c r="M17" s="408">
        <v>2</v>
      </c>
      <c r="N17" s="408">
        <v>0</v>
      </c>
      <c r="O17" s="408">
        <v>0</v>
      </c>
      <c r="P17" s="408">
        <v>0</v>
      </c>
      <c r="Q17" s="408">
        <v>0</v>
      </c>
      <c r="R17" s="408">
        <v>2</v>
      </c>
      <c r="S17" s="409">
        <v>13282</v>
      </c>
      <c r="T17" s="665" t="s">
        <v>378</v>
      </c>
      <c r="U17" s="411" t="s">
        <v>548</v>
      </c>
      <c r="V17" s="409" t="s">
        <v>549</v>
      </c>
      <c r="W17" s="409" t="s">
        <v>596</v>
      </c>
      <c r="X17" s="412" t="s">
        <v>551</v>
      </c>
      <c r="Y17" s="409">
        <v>1</v>
      </c>
      <c r="Z17" s="409">
        <v>1</v>
      </c>
      <c r="AA17" s="409">
        <v>0</v>
      </c>
      <c r="AB17" s="413">
        <v>0</v>
      </c>
      <c r="AC17" s="409">
        <v>1</v>
      </c>
      <c r="AD17" s="409">
        <v>1</v>
      </c>
      <c r="AE17" s="409">
        <v>0</v>
      </c>
      <c r="AF17" s="413">
        <v>0</v>
      </c>
      <c r="AG17" s="409">
        <v>0</v>
      </c>
      <c r="AH17" s="409">
        <v>0</v>
      </c>
      <c r="AI17" s="409">
        <v>0</v>
      </c>
      <c r="AJ17" s="413">
        <v>0</v>
      </c>
      <c r="AL17" s="809"/>
      <c r="AM17" s="768"/>
      <c r="AN17" s="809"/>
      <c r="AO17" s="811"/>
      <c r="AP17" s="809"/>
      <c r="AQ17" s="768"/>
      <c r="AR17" s="809"/>
      <c r="AS17" s="768"/>
    </row>
    <row r="18" spans="1:45" ht="15" customHeight="1" thickBot="1" x14ac:dyDescent="0.3">
      <c r="A18" s="256" t="s">
        <v>104</v>
      </c>
      <c r="B18" s="255" t="s">
        <v>54</v>
      </c>
      <c r="C18" s="247" t="s">
        <v>26</v>
      </c>
      <c r="D18" s="257" t="s">
        <v>38</v>
      </c>
      <c r="E18" s="257" t="s">
        <v>34</v>
      </c>
      <c r="F18" s="257">
        <v>39</v>
      </c>
      <c r="G18" s="258">
        <v>16</v>
      </c>
      <c r="H18" s="259">
        <v>0</v>
      </c>
      <c r="I18" s="260">
        <v>0</v>
      </c>
      <c r="J18" s="260">
        <v>3</v>
      </c>
      <c r="K18" s="260">
        <v>3</v>
      </c>
      <c r="L18" s="260">
        <v>0</v>
      </c>
      <c r="M18" s="260">
        <v>6</v>
      </c>
      <c r="N18" s="260">
        <v>0</v>
      </c>
      <c r="O18" s="260">
        <v>0</v>
      </c>
      <c r="P18" s="260">
        <v>0</v>
      </c>
      <c r="Q18" s="260">
        <v>0</v>
      </c>
      <c r="R18" s="260">
        <v>1</v>
      </c>
      <c r="S18" s="261">
        <v>16000</v>
      </c>
      <c r="T18" s="515" t="s">
        <v>723</v>
      </c>
      <c r="U18" s="263" t="s">
        <v>367</v>
      </c>
      <c r="V18" s="261" t="s">
        <v>399</v>
      </c>
      <c r="W18" s="261" t="s">
        <v>340</v>
      </c>
      <c r="X18" s="264" t="s">
        <v>377</v>
      </c>
      <c r="Y18" s="261">
        <v>1</v>
      </c>
      <c r="Z18" s="261">
        <v>1</v>
      </c>
      <c r="AA18" s="261">
        <v>0</v>
      </c>
      <c r="AB18" s="168">
        <v>0</v>
      </c>
      <c r="AC18" s="261">
        <v>0</v>
      </c>
      <c r="AD18" s="261">
        <v>0</v>
      </c>
      <c r="AE18" s="261">
        <v>0</v>
      </c>
      <c r="AF18" s="168">
        <v>0</v>
      </c>
      <c r="AG18" s="261">
        <v>1</v>
      </c>
      <c r="AH18" s="261">
        <v>1</v>
      </c>
      <c r="AI18" s="261">
        <v>0</v>
      </c>
      <c r="AJ18" s="168">
        <v>0</v>
      </c>
      <c r="AL18" s="809"/>
      <c r="AM18" s="768"/>
      <c r="AN18" s="809"/>
      <c r="AO18" s="811"/>
      <c r="AP18" s="809"/>
      <c r="AQ18" s="768"/>
      <c r="AR18" s="809"/>
      <c r="AS18" s="768"/>
    </row>
    <row r="19" spans="1:45" ht="15" customHeight="1" thickBot="1" x14ac:dyDescent="0.3">
      <c r="A19" s="239" t="s">
        <v>98</v>
      </c>
      <c r="B19" s="240" t="s">
        <v>54</v>
      </c>
      <c r="C19" s="122" t="s">
        <v>30</v>
      </c>
      <c r="D19" s="123" t="s">
        <v>90</v>
      </c>
      <c r="E19" s="123" t="s">
        <v>34</v>
      </c>
      <c r="F19" s="123">
        <v>31</v>
      </c>
      <c r="G19" s="241">
        <v>14</v>
      </c>
      <c r="H19" s="244">
        <v>1</v>
      </c>
      <c r="I19" s="242">
        <v>0</v>
      </c>
      <c r="J19" s="242">
        <v>4</v>
      </c>
      <c r="K19" s="242">
        <v>4</v>
      </c>
      <c r="L19" s="242">
        <v>0</v>
      </c>
      <c r="M19" s="242">
        <v>1</v>
      </c>
      <c r="N19" s="242">
        <v>0</v>
      </c>
      <c r="O19" s="242">
        <v>0</v>
      </c>
      <c r="P19" s="242">
        <v>0</v>
      </c>
      <c r="Q19" s="242">
        <v>0</v>
      </c>
      <c r="R19" s="242">
        <v>2</v>
      </c>
      <c r="S19" s="243">
        <v>13349</v>
      </c>
      <c r="T19" s="591" t="s">
        <v>759</v>
      </c>
      <c r="U19" s="245" t="s">
        <v>345</v>
      </c>
      <c r="V19" s="243" t="s">
        <v>399</v>
      </c>
      <c r="W19" s="243" t="s">
        <v>347</v>
      </c>
      <c r="X19" s="169" t="s">
        <v>376</v>
      </c>
      <c r="Y19" s="243">
        <v>1</v>
      </c>
      <c r="Z19" s="243">
        <v>1</v>
      </c>
      <c r="AA19" s="243">
        <v>0</v>
      </c>
      <c r="AB19" s="167">
        <v>0</v>
      </c>
      <c r="AC19" s="243">
        <v>1</v>
      </c>
      <c r="AD19" s="243">
        <v>1</v>
      </c>
      <c r="AE19" s="243">
        <v>0</v>
      </c>
      <c r="AF19" s="167">
        <v>0</v>
      </c>
      <c r="AG19" s="243">
        <v>0</v>
      </c>
      <c r="AH19" s="243">
        <v>0</v>
      </c>
      <c r="AI19" s="243">
        <v>0</v>
      </c>
      <c r="AJ19" s="167">
        <v>0</v>
      </c>
      <c r="AL19" s="809"/>
      <c r="AM19" s="768"/>
      <c r="AN19" s="809"/>
      <c r="AO19" s="811"/>
      <c r="AP19" s="809"/>
      <c r="AQ19" s="768"/>
      <c r="AR19" s="809"/>
      <c r="AS19" s="768"/>
    </row>
    <row r="20" spans="1:45" ht="15" customHeight="1" thickBot="1" x14ac:dyDescent="0.3">
      <c r="A20" s="256" t="s">
        <v>216</v>
      </c>
      <c r="B20" s="255" t="s">
        <v>54</v>
      </c>
      <c r="C20" s="247" t="s">
        <v>28</v>
      </c>
      <c r="D20" s="257" t="s">
        <v>38</v>
      </c>
      <c r="E20" s="257" t="s">
        <v>36</v>
      </c>
      <c r="F20" s="257">
        <v>8</v>
      </c>
      <c r="G20" s="258">
        <v>17</v>
      </c>
      <c r="H20" s="259">
        <v>0</v>
      </c>
      <c r="I20" s="260">
        <v>0</v>
      </c>
      <c r="J20" s="260">
        <v>1</v>
      </c>
      <c r="K20" s="260">
        <v>0</v>
      </c>
      <c r="L20" s="260">
        <v>0</v>
      </c>
      <c r="M20" s="260">
        <v>1</v>
      </c>
      <c r="N20" s="260">
        <v>0</v>
      </c>
      <c r="O20" s="260">
        <v>0</v>
      </c>
      <c r="P20" s="260">
        <v>0</v>
      </c>
      <c r="Q20" s="260">
        <v>0</v>
      </c>
      <c r="R20" s="260">
        <v>1</v>
      </c>
      <c r="S20" s="668">
        <v>24000</v>
      </c>
      <c r="T20" s="669" t="s">
        <v>791</v>
      </c>
      <c r="U20" s="263" t="s">
        <v>419</v>
      </c>
      <c r="V20" s="261" t="s">
        <v>375</v>
      </c>
      <c r="W20" s="261" t="s">
        <v>387</v>
      </c>
      <c r="X20" s="264" t="s">
        <v>340</v>
      </c>
      <c r="Y20" s="261">
        <v>1</v>
      </c>
      <c r="Z20" s="261">
        <v>0</v>
      </c>
      <c r="AA20" s="261">
        <v>0</v>
      </c>
      <c r="AB20" s="168">
        <v>1</v>
      </c>
      <c r="AC20" s="261">
        <v>0</v>
      </c>
      <c r="AD20" s="261">
        <v>0</v>
      </c>
      <c r="AE20" s="261">
        <v>0</v>
      </c>
      <c r="AF20" s="168">
        <v>0</v>
      </c>
      <c r="AG20" s="261">
        <v>1</v>
      </c>
      <c r="AH20" s="261">
        <v>0</v>
      </c>
      <c r="AI20" s="261">
        <v>0</v>
      </c>
      <c r="AJ20" s="168">
        <v>1</v>
      </c>
      <c r="AL20" s="809"/>
      <c r="AM20" s="812"/>
      <c r="AN20" s="809"/>
      <c r="AO20" s="811"/>
      <c r="AP20" s="809"/>
      <c r="AQ20" s="812"/>
      <c r="AR20" s="809"/>
      <c r="AS20" s="768"/>
    </row>
    <row r="21" spans="1:45" ht="15" customHeight="1" thickBot="1" x14ac:dyDescent="0.3">
      <c r="A21" s="239" t="s">
        <v>100</v>
      </c>
      <c r="B21" s="240" t="s">
        <v>54</v>
      </c>
      <c r="C21" s="122" t="s">
        <v>189</v>
      </c>
      <c r="D21" s="123" t="s">
        <v>90</v>
      </c>
      <c r="E21" s="123" t="s">
        <v>34</v>
      </c>
      <c r="F21" s="123">
        <v>39</v>
      </c>
      <c r="G21" s="241">
        <v>26</v>
      </c>
      <c r="H21" s="244">
        <v>1</v>
      </c>
      <c r="I21" s="242">
        <v>0</v>
      </c>
      <c r="J21" s="242">
        <v>5</v>
      </c>
      <c r="K21" s="242">
        <v>4</v>
      </c>
      <c r="L21" s="242">
        <v>0</v>
      </c>
      <c r="M21" s="242">
        <v>2</v>
      </c>
      <c r="N21" s="242">
        <v>0</v>
      </c>
      <c r="O21" s="242">
        <v>0</v>
      </c>
      <c r="P21" s="242">
        <v>1</v>
      </c>
      <c r="Q21" s="242">
        <v>0</v>
      </c>
      <c r="R21" s="242">
        <v>4</v>
      </c>
      <c r="S21" s="243">
        <v>13352</v>
      </c>
      <c r="T21" s="591" t="s">
        <v>811</v>
      </c>
      <c r="U21" s="245" t="s">
        <v>353</v>
      </c>
      <c r="V21" s="243" t="s">
        <v>354</v>
      </c>
      <c r="W21" s="243" t="s">
        <v>367</v>
      </c>
      <c r="X21" s="169" t="s">
        <v>356</v>
      </c>
      <c r="Y21" s="243">
        <v>1</v>
      </c>
      <c r="Z21" s="243">
        <v>1</v>
      </c>
      <c r="AA21" s="243">
        <v>0</v>
      </c>
      <c r="AB21" s="167">
        <v>0</v>
      </c>
      <c r="AC21" s="243">
        <v>1</v>
      </c>
      <c r="AD21" s="243">
        <v>1</v>
      </c>
      <c r="AE21" s="243">
        <v>0</v>
      </c>
      <c r="AF21" s="167">
        <v>0</v>
      </c>
      <c r="AG21" s="243">
        <v>0</v>
      </c>
      <c r="AH21" s="243">
        <v>0</v>
      </c>
      <c r="AI21" s="243">
        <v>0</v>
      </c>
      <c r="AJ21" s="167">
        <v>0</v>
      </c>
      <c r="AL21" s="809"/>
      <c r="AM21" s="768"/>
      <c r="AN21" s="809"/>
      <c r="AO21" s="811"/>
      <c r="AP21" s="809"/>
      <c r="AQ21" s="768"/>
      <c r="AR21" s="809"/>
      <c r="AS21" s="768"/>
    </row>
    <row r="22" spans="1:45" ht="15" customHeight="1" thickBot="1" x14ac:dyDescent="0.3">
      <c r="A22" s="391" t="s">
        <v>776</v>
      </c>
      <c r="B22" s="392" t="s">
        <v>161</v>
      </c>
      <c r="C22" s="414" t="s">
        <v>220</v>
      </c>
      <c r="D22" s="394" t="s">
        <v>38</v>
      </c>
      <c r="E22" s="394" t="s">
        <v>34</v>
      </c>
      <c r="F22" s="394">
        <v>35</v>
      </c>
      <c r="G22" s="395">
        <v>18</v>
      </c>
      <c r="H22" s="396">
        <v>1</v>
      </c>
      <c r="I22" s="397">
        <v>0</v>
      </c>
      <c r="J22" s="397">
        <v>4</v>
      </c>
      <c r="K22" s="397">
        <v>3</v>
      </c>
      <c r="L22" s="397">
        <v>0</v>
      </c>
      <c r="M22" s="397">
        <v>3</v>
      </c>
      <c r="N22" s="394">
        <v>0</v>
      </c>
      <c r="O22" s="397">
        <v>0</v>
      </c>
      <c r="P22" s="397">
        <v>0</v>
      </c>
      <c r="Q22" s="397">
        <v>0</v>
      </c>
      <c r="R22" s="397">
        <v>2</v>
      </c>
      <c r="S22" s="398">
        <v>16061</v>
      </c>
      <c r="T22" s="664" t="s">
        <v>761</v>
      </c>
      <c r="U22" s="399" t="s">
        <v>536</v>
      </c>
      <c r="V22" s="398" t="s">
        <v>566</v>
      </c>
      <c r="W22" s="398" t="s">
        <v>562</v>
      </c>
      <c r="X22" s="400" t="s">
        <v>827</v>
      </c>
      <c r="Y22" s="398">
        <v>1</v>
      </c>
      <c r="Z22" s="398">
        <v>1</v>
      </c>
      <c r="AA22" s="398">
        <v>0</v>
      </c>
      <c r="AB22" s="401">
        <v>0</v>
      </c>
      <c r="AC22" s="398">
        <v>0</v>
      </c>
      <c r="AD22" s="398">
        <v>0</v>
      </c>
      <c r="AE22" s="398">
        <v>0</v>
      </c>
      <c r="AF22" s="401">
        <v>0</v>
      </c>
      <c r="AG22" s="398">
        <v>1</v>
      </c>
      <c r="AH22" s="398">
        <v>1</v>
      </c>
      <c r="AI22" s="398">
        <v>0</v>
      </c>
      <c r="AJ22" s="401">
        <v>0</v>
      </c>
      <c r="AL22" s="809"/>
      <c r="AM22" s="768"/>
      <c r="AN22" s="809"/>
      <c r="AO22" s="811"/>
      <c r="AP22" s="809"/>
      <c r="AQ22" s="768"/>
      <c r="AR22" s="809"/>
      <c r="AS22" s="768"/>
    </row>
    <row r="23" spans="1:45" ht="15" customHeight="1" thickBot="1" x14ac:dyDescent="0.3">
      <c r="A23" s="402" t="s">
        <v>785</v>
      </c>
      <c r="B23" s="403" t="s">
        <v>161</v>
      </c>
      <c r="C23" s="404" t="s">
        <v>219</v>
      </c>
      <c r="D23" s="405" t="s">
        <v>90</v>
      </c>
      <c r="E23" s="405" t="s">
        <v>34</v>
      </c>
      <c r="F23" s="405">
        <v>20</v>
      </c>
      <c r="G23" s="406">
        <v>15</v>
      </c>
      <c r="H23" s="407">
        <v>0</v>
      </c>
      <c r="I23" s="408">
        <v>0</v>
      </c>
      <c r="J23" s="408">
        <v>2</v>
      </c>
      <c r="K23" s="408">
        <v>2</v>
      </c>
      <c r="L23" s="408">
        <v>0</v>
      </c>
      <c r="M23" s="408">
        <v>2</v>
      </c>
      <c r="N23" s="408">
        <v>0</v>
      </c>
      <c r="O23" s="408">
        <v>0</v>
      </c>
      <c r="P23" s="408">
        <v>0</v>
      </c>
      <c r="Q23" s="408">
        <v>1</v>
      </c>
      <c r="R23" s="408">
        <v>2</v>
      </c>
      <c r="S23" s="409">
        <v>13349</v>
      </c>
      <c r="T23" s="416" t="s">
        <v>553</v>
      </c>
      <c r="U23" s="411" t="s">
        <v>517</v>
      </c>
      <c r="V23" s="409" t="s">
        <v>520</v>
      </c>
      <c r="W23" s="409" t="s">
        <v>827</v>
      </c>
      <c r="X23" s="412" t="s">
        <v>753</v>
      </c>
      <c r="Y23" s="409">
        <v>1</v>
      </c>
      <c r="Z23" s="409">
        <v>1</v>
      </c>
      <c r="AA23" s="409">
        <v>0</v>
      </c>
      <c r="AB23" s="413">
        <v>0</v>
      </c>
      <c r="AC23" s="409">
        <v>1</v>
      </c>
      <c r="AD23" s="409">
        <v>1</v>
      </c>
      <c r="AE23" s="409">
        <v>0</v>
      </c>
      <c r="AF23" s="413">
        <v>0</v>
      </c>
      <c r="AG23" s="409">
        <v>0</v>
      </c>
      <c r="AH23" s="409">
        <v>0</v>
      </c>
      <c r="AI23" s="409">
        <v>0</v>
      </c>
      <c r="AJ23" s="413">
        <v>0</v>
      </c>
    </row>
    <row r="24" spans="1:45" ht="15" customHeight="1" thickBot="1" x14ac:dyDescent="0.3">
      <c r="A24" s="251" t="s">
        <v>103</v>
      </c>
      <c r="B24" s="252" t="s">
        <v>96</v>
      </c>
      <c r="C24" s="253" t="s">
        <v>10</v>
      </c>
      <c r="D24" s="269" t="s">
        <v>38</v>
      </c>
      <c r="E24" s="269" t="s">
        <v>34</v>
      </c>
      <c r="F24" s="269">
        <v>23</v>
      </c>
      <c r="G24" s="275">
        <v>21</v>
      </c>
      <c r="H24" s="268">
        <v>0</v>
      </c>
      <c r="I24" s="267">
        <v>0</v>
      </c>
      <c r="J24" s="269">
        <v>2</v>
      </c>
      <c r="K24" s="267">
        <v>2</v>
      </c>
      <c r="L24" s="267">
        <v>0</v>
      </c>
      <c r="M24" s="267">
        <v>3</v>
      </c>
      <c r="N24" s="267">
        <v>0</v>
      </c>
      <c r="O24" s="267">
        <v>0</v>
      </c>
      <c r="P24" s="267">
        <v>0</v>
      </c>
      <c r="Q24" s="267">
        <v>1</v>
      </c>
      <c r="R24" s="267">
        <v>2</v>
      </c>
      <c r="S24" s="270">
        <v>13767</v>
      </c>
      <c r="T24" s="651" t="s">
        <v>857</v>
      </c>
      <c r="U24" s="271" t="s">
        <v>627</v>
      </c>
      <c r="V24" s="272" t="s">
        <v>341</v>
      </c>
      <c r="W24" s="272" t="s">
        <v>686</v>
      </c>
      <c r="X24" s="273" t="s">
        <v>347</v>
      </c>
      <c r="Y24" s="272">
        <v>1</v>
      </c>
      <c r="Z24" s="272">
        <v>1</v>
      </c>
      <c r="AA24" s="272">
        <v>0</v>
      </c>
      <c r="AB24" s="274">
        <v>0</v>
      </c>
      <c r="AC24" s="272">
        <v>0</v>
      </c>
      <c r="AD24" s="272">
        <v>0</v>
      </c>
      <c r="AE24" s="272">
        <v>0</v>
      </c>
      <c r="AF24" s="274">
        <v>0</v>
      </c>
      <c r="AG24" s="272">
        <v>1</v>
      </c>
      <c r="AH24" s="272">
        <v>1</v>
      </c>
      <c r="AI24" s="272">
        <v>0</v>
      </c>
      <c r="AJ24" s="274">
        <v>0</v>
      </c>
    </row>
    <row r="25" spans="1:45" ht="15" customHeight="1" thickBot="1" x14ac:dyDescent="0.3">
      <c r="A25" s="248" t="s">
        <v>111</v>
      </c>
      <c r="B25" s="249" t="s">
        <v>96</v>
      </c>
      <c r="C25" s="250" t="s">
        <v>229</v>
      </c>
      <c r="D25" s="283" t="s">
        <v>90</v>
      </c>
      <c r="E25" s="283" t="s">
        <v>36</v>
      </c>
      <c r="F25" s="283">
        <v>10</v>
      </c>
      <c r="G25" s="284">
        <v>13</v>
      </c>
      <c r="H25" s="277">
        <v>0</v>
      </c>
      <c r="I25" s="276">
        <v>1</v>
      </c>
      <c r="J25" s="276">
        <v>2</v>
      </c>
      <c r="K25" s="276">
        <v>0</v>
      </c>
      <c r="L25" s="276">
        <v>0</v>
      </c>
      <c r="M25" s="276">
        <v>0</v>
      </c>
      <c r="N25" s="276">
        <v>1</v>
      </c>
      <c r="O25" s="276">
        <v>0</v>
      </c>
      <c r="P25" s="276">
        <v>0</v>
      </c>
      <c r="Q25" s="276">
        <v>0</v>
      </c>
      <c r="R25" s="276">
        <v>1</v>
      </c>
      <c r="S25" s="278">
        <v>13349</v>
      </c>
      <c r="T25" s="726" t="s">
        <v>603</v>
      </c>
      <c r="U25" s="279" t="s">
        <v>374</v>
      </c>
      <c r="V25" s="278" t="s">
        <v>510</v>
      </c>
      <c r="W25" s="278" t="s">
        <v>363</v>
      </c>
      <c r="X25" s="280" t="s">
        <v>356</v>
      </c>
      <c r="Y25" s="278">
        <v>1</v>
      </c>
      <c r="Z25" s="278">
        <v>0</v>
      </c>
      <c r="AA25" s="278">
        <v>0</v>
      </c>
      <c r="AB25" s="281">
        <v>1</v>
      </c>
      <c r="AC25" s="278">
        <v>1</v>
      </c>
      <c r="AD25" s="278">
        <v>0</v>
      </c>
      <c r="AE25" s="278">
        <v>0</v>
      </c>
      <c r="AF25" s="281">
        <v>1</v>
      </c>
      <c r="AG25" s="278">
        <v>0</v>
      </c>
      <c r="AH25" s="278">
        <v>0</v>
      </c>
      <c r="AI25" s="278">
        <v>0</v>
      </c>
      <c r="AJ25" s="281">
        <v>0</v>
      </c>
    </row>
    <row r="26" spans="1:45" ht="15" customHeight="1" thickBot="1" x14ac:dyDescent="0.3">
      <c r="A26" s="256" t="s">
        <v>196</v>
      </c>
      <c r="B26" s="255" t="s">
        <v>54</v>
      </c>
      <c r="C26" s="247" t="s">
        <v>21</v>
      </c>
      <c r="D26" s="257" t="s">
        <v>38</v>
      </c>
      <c r="E26" s="257" t="s">
        <v>36</v>
      </c>
      <c r="F26" s="257">
        <v>24</v>
      </c>
      <c r="G26" s="258">
        <v>34</v>
      </c>
      <c r="H26" s="259">
        <v>0</v>
      </c>
      <c r="I26" s="260">
        <v>0</v>
      </c>
      <c r="J26" s="260">
        <v>3</v>
      </c>
      <c r="K26" s="260">
        <v>3</v>
      </c>
      <c r="L26" s="260">
        <v>0</v>
      </c>
      <c r="M26" s="260">
        <v>1</v>
      </c>
      <c r="N26" s="260">
        <v>0</v>
      </c>
      <c r="O26" s="260">
        <v>0</v>
      </c>
      <c r="P26" s="260">
        <v>0</v>
      </c>
      <c r="Q26" s="260">
        <v>0</v>
      </c>
      <c r="R26" s="260">
        <v>3</v>
      </c>
      <c r="S26" s="373">
        <v>9225</v>
      </c>
      <c r="T26" s="516" t="s">
        <v>791</v>
      </c>
      <c r="U26" s="263" t="s">
        <v>360</v>
      </c>
      <c r="V26" s="261" t="s">
        <v>361</v>
      </c>
      <c r="W26" s="261" t="s">
        <v>340</v>
      </c>
      <c r="X26" s="264" t="s">
        <v>377</v>
      </c>
      <c r="Y26" s="261">
        <v>1</v>
      </c>
      <c r="Z26" s="261">
        <v>0</v>
      </c>
      <c r="AA26" s="261">
        <v>0</v>
      </c>
      <c r="AB26" s="168">
        <v>1</v>
      </c>
      <c r="AC26" s="261">
        <v>0</v>
      </c>
      <c r="AD26" s="261">
        <v>0</v>
      </c>
      <c r="AE26" s="261">
        <v>0</v>
      </c>
      <c r="AF26" s="168">
        <v>0</v>
      </c>
      <c r="AG26" s="261">
        <v>1</v>
      </c>
      <c r="AH26" s="261">
        <v>0</v>
      </c>
      <c r="AI26" s="261">
        <v>0</v>
      </c>
      <c r="AJ26" s="168">
        <v>1</v>
      </c>
    </row>
    <row r="27" spans="1:45" ht="15" customHeight="1" thickBot="1" x14ac:dyDescent="0.3">
      <c r="A27" s="239" t="s">
        <v>156</v>
      </c>
      <c r="B27" s="240" t="s">
        <v>54</v>
      </c>
      <c r="C27" s="122" t="s">
        <v>27</v>
      </c>
      <c r="D27" s="123" t="s">
        <v>90</v>
      </c>
      <c r="E27" s="123" t="s">
        <v>36</v>
      </c>
      <c r="F27" s="123">
        <v>13</v>
      </c>
      <c r="G27" s="241">
        <v>21</v>
      </c>
      <c r="H27" s="244">
        <v>0</v>
      </c>
      <c r="I27" s="242">
        <v>0</v>
      </c>
      <c r="J27" s="242">
        <v>1</v>
      </c>
      <c r="K27" s="242">
        <v>1</v>
      </c>
      <c r="L27" s="242">
        <v>0</v>
      </c>
      <c r="M27" s="242">
        <v>2</v>
      </c>
      <c r="N27" s="242">
        <v>0</v>
      </c>
      <c r="O27" s="242">
        <v>0</v>
      </c>
      <c r="P27" s="242">
        <v>0</v>
      </c>
      <c r="Q27" s="242">
        <v>0</v>
      </c>
      <c r="R27" s="242">
        <v>2</v>
      </c>
      <c r="S27" s="282">
        <v>13349</v>
      </c>
      <c r="T27" s="246" t="s">
        <v>442</v>
      </c>
      <c r="U27" s="245" t="s">
        <v>367</v>
      </c>
      <c r="V27" s="243" t="s">
        <v>368</v>
      </c>
      <c r="W27" s="243" t="s">
        <v>356</v>
      </c>
      <c r="X27" s="169" t="s">
        <v>348</v>
      </c>
      <c r="Y27" s="243">
        <v>1</v>
      </c>
      <c r="Z27" s="243">
        <v>0</v>
      </c>
      <c r="AA27" s="243">
        <v>0</v>
      </c>
      <c r="AB27" s="167">
        <v>1</v>
      </c>
      <c r="AC27" s="243">
        <v>1</v>
      </c>
      <c r="AD27" s="243">
        <v>0</v>
      </c>
      <c r="AE27" s="243">
        <v>0</v>
      </c>
      <c r="AF27" s="167">
        <v>1</v>
      </c>
      <c r="AG27" s="243">
        <v>0</v>
      </c>
      <c r="AH27" s="243">
        <v>0</v>
      </c>
      <c r="AI27" s="243">
        <v>0</v>
      </c>
      <c r="AJ27" s="167">
        <v>0</v>
      </c>
    </row>
    <row r="28" spans="1:45" ht="15" customHeight="1" thickBot="1" x14ac:dyDescent="0.3">
      <c r="A28" s="256" t="s">
        <v>97</v>
      </c>
      <c r="B28" s="255" t="s">
        <v>54</v>
      </c>
      <c r="C28" s="247" t="s">
        <v>30</v>
      </c>
      <c r="D28" s="257" t="s">
        <v>38</v>
      </c>
      <c r="E28" s="257" t="s">
        <v>36</v>
      </c>
      <c r="F28" s="257">
        <v>6</v>
      </c>
      <c r="G28" s="258">
        <v>16</v>
      </c>
      <c r="H28" s="259">
        <v>0</v>
      </c>
      <c r="I28" s="260">
        <v>0</v>
      </c>
      <c r="J28" s="260">
        <v>0</v>
      </c>
      <c r="K28" s="260">
        <v>0</v>
      </c>
      <c r="L28" s="260">
        <v>0</v>
      </c>
      <c r="M28" s="260">
        <v>2</v>
      </c>
      <c r="N28" s="260">
        <v>1</v>
      </c>
      <c r="O28" s="260">
        <v>0</v>
      </c>
      <c r="P28" s="260">
        <v>0</v>
      </c>
      <c r="Q28" s="260">
        <v>0</v>
      </c>
      <c r="R28" s="260">
        <v>1</v>
      </c>
      <c r="S28" s="261">
        <v>12621</v>
      </c>
      <c r="T28" s="662" t="s">
        <v>733</v>
      </c>
      <c r="U28" s="263" t="s">
        <v>374</v>
      </c>
      <c r="V28" s="261" t="s">
        <v>399</v>
      </c>
      <c r="W28" s="261" t="s">
        <v>652</v>
      </c>
      <c r="X28" s="264" t="s">
        <v>347</v>
      </c>
      <c r="Y28" s="261">
        <v>1</v>
      </c>
      <c r="Z28" s="261">
        <v>0</v>
      </c>
      <c r="AA28" s="261">
        <v>0</v>
      </c>
      <c r="AB28" s="168">
        <v>1</v>
      </c>
      <c r="AC28" s="261">
        <v>0</v>
      </c>
      <c r="AD28" s="261">
        <v>0</v>
      </c>
      <c r="AE28" s="261">
        <v>0</v>
      </c>
      <c r="AF28" s="168">
        <v>0</v>
      </c>
      <c r="AG28" s="261">
        <v>1</v>
      </c>
      <c r="AH28" s="261">
        <v>0</v>
      </c>
      <c r="AI28" s="261">
        <v>0</v>
      </c>
      <c r="AJ28" s="168">
        <v>1</v>
      </c>
    </row>
    <row r="29" spans="1:45" ht="15" customHeight="1" thickBot="1" x14ac:dyDescent="0.3">
      <c r="A29" s="239" t="s">
        <v>784</v>
      </c>
      <c r="B29" s="240" t="s">
        <v>54</v>
      </c>
      <c r="C29" s="122" t="s">
        <v>29</v>
      </c>
      <c r="D29" s="123" t="s">
        <v>90</v>
      </c>
      <c r="E29" s="123" t="s">
        <v>34</v>
      </c>
      <c r="F29" s="123">
        <v>12</v>
      </c>
      <c r="G29" s="241">
        <v>3</v>
      </c>
      <c r="H29" s="244">
        <v>0</v>
      </c>
      <c r="I29" s="242">
        <v>0</v>
      </c>
      <c r="J29" s="242">
        <v>0</v>
      </c>
      <c r="K29" s="242">
        <v>0</v>
      </c>
      <c r="L29" s="242">
        <v>0</v>
      </c>
      <c r="M29" s="242">
        <v>4</v>
      </c>
      <c r="N29" s="242">
        <v>0</v>
      </c>
      <c r="O29" s="242">
        <v>0</v>
      </c>
      <c r="P29" s="242">
        <v>0</v>
      </c>
      <c r="Q29" s="242">
        <v>0</v>
      </c>
      <c r="R29" s="242">
        <v>0</v>
      </c>
      <c r="S29" s="243">
        <v>13430</v>
      </c>
      <c r="T29" s="591" t="s">
        <v>733</v>
      </c>
      <c r="U29" s="245" t="s">
        <v>338</v>
      </c>
      <c r="V29" s="243" t="s">
        <v>339</v>
      </c>
      <c r="W29" s="243" t="s">
        <v>353</v>
      </c>
      <c r="X29" s="169" t="s">
        <v>376</v>
      </c>
      <c r="Y29" s="243">
        <v>1</v>
      </c>
      <c r="Z29" s="243">
        <v>1</v>
      </c>
      <c r="AA29" s="243">
        <v>0</v>
      </c>
      <c r="AB29" s="167">
        <v>0</v>
      </c>
      <c r="AC29" s="243">
        <v>1</v>
      </c>
      <c r="AD29" s="243">
        <v>1</v>
      </c>
      <c r="AE29" s="243">
        <v>0</v>
      </c>
      <c r="AF29" s="167">
        <v>0</v>
      </c>
      <c r="AG29" s="243">
        <v>0</v>
      </c>
      <c r="AH29" s="243">
        <v>0</v>
      </c>
      <c r="AI29" s="243">
        <v>0</v>
      </c>
      <c r="AJ29" s="167">
        <v>0</v>
      </c>
    </row>
    <row r="30" spans="1:45" ht="15" customHeight="1" thickBot="1" x14ac:dyDescent="0.3">
      <c r="A30" s="256" t="s">
        <v>197</v>
      </c>
      <c r="B30" s="255" t="s">
        <v>54</v>
      </c>
      <c r="C30" s="247" t="s">
        <v>190</v>
      </c>
      <c r="D30" s="257" t="s">
        <v>38</v>
      </c>
      <c r="E30" s="257" t="s">
        <v>34</v>
      </c>
      <c r="F30" s="257">
        <v>29</v>
      </c>
      <c r="G30" s="258">
        <v>14</v>
      </c>
      <c r="H30" s="259">
        <v>1</v>
      </c>
      <c r="I30" s="260">
        <v>0</v>
      </c>
      <c r="J30" s="257">
        <v>5</v>
      </c>
      <c r="K30" s="260">
        <v>2</v>
      </c>
      <c r="L30" s="260">
        <v>0</v>
      </c>
      <c r="M30" s="260">
        <v>0</v>
      </c>
      <c r="N30" s="260">
        <v>0</v>
      </c>
      <c r="O30" s="260">
        <v>0</v>
      </c>
      <c r="P30" s="260">
        <v>0</v>
      </c>
      <c r="Q30" s="260">
        <v>0</v>
      </c>
      <c r="R30" s="260">
        <v>2</v>
      </c>
      <c r="S30" s="261">
        <v>3354</v>
      </c>
      <c r="T30" s="590" t="s">
        <v>642</v>
      </c>
      <c r="U30" s="263" t="s">
        <v>652</v>
      </c>
      <c r="V30" s="261" t="s">
        <v>354</v>
      </c>
      <c r="W30" s="261" t="s">
        <v>356</v>
      </c>
      <c r="X30" s="264" t="s">
        <v>347</v>
      </c>
      <c r="Y30" s="261">
        <v>1</v>
      </c>
      <c r="Z30" s="261">
        <v>1</v>
      </c>
      <c r="AA30" s="261">
        <v>0</v>
      </c>
      <c r="AB30" s="168">
        <v>0</v>
      </c>
      <c r="AC30" s="261">
        <v>0</v>
      </c>
      <c r="AD30" s="261">
        <v>0</v>
      </c>
      <c r="AE30" s="261">
        <v>0</v>
      </c>
      <c r="AF30" s="168">
        <v>0</v>
      </c>
      <c r="AG30" s="261">
        <v>1</v>
      </c>
      <c r="AH30" s="261">
        <v>1</v>
      </c>
      <c r="AI30" s="261">
        <v>0</v>
      </c>
      <c r="AJ30" s="168">
        <v>0</v>
      </c>
    </row>
    <row r="31" spans="1:45" ht="15" customHeight="1" thickBot="1" x14ac:dyDescent="0.3">
      <c r="A31" s="391" t="s">
        <v>144</v>
      </c>
      <c r="B31" s="392" t="s">
        <v>160</v>
      </c>
      <c r="C31" s="414" t="s">
        <v>227</v>
      </c>
      <c r="D31" s="394" t="s">
        <v>629</v>
      </c>
      <c r="E31" s="394" t="s">
        <v>36</v>
      </c>
      <c r="F31" s="394">
        <v>15</v>
      </c>
      <c r="G31" s="395">
        <v>18</v>
      </c>
      <c r="H31" s="396" t="s">
        <v>85</v>
      </c>
      <c r="I31" s="397" t="s">
        <v>85</v>
      </c>
      <c r="J31" s="397">
        <v>2</v>
      </c>
      <c r="K31" s="397">
        <v>1</v>
      </c>
      <c r="L31" s="397">
        <v>0</v>
      </c>
      <c r="M31" s="397">
        <v>1</v>
      </c>
      <c r="N31" s="397">
        <v>1</v>
      </c>
      <c r="O31" s="397">
        <v>0</v>
      </c>
      <c r="P31" s="397" t="s">
        <v>85</v>
      </c>
      <c r="Q31" s="397" t="s">
        <v>85</v>
      </c>
      <c r="R31" s="397">
        <v>0</v>
      </c>
      <c r="S31" s="398">
        <v>43958</v>
      </c>
      <c r="T31" s="641" t="s">
        <v>973</v>
      </c>
      <c r="U31" s="399" t="s">
        <v>512</v>
      </c>
      <c r="V31" s="398" t="s">
        <v>534</v>
      </c>
      <c r="W31" s="398" t="s">
        <v>524</v>
      </c>
      <c r="X31" s="400" t="s">
        <v>590</v>
      </c>
      <c r="Y31" s="398">
        <v>1</v>
      </c>
      <c r="Z31" s="398">
        <v>0</v>
      </c>
      <c r="AA31" s="398">
        <v>0</v>
      </c>
      <c r="AB31" s="401">
        <v>1</v>
      </c>
      <c r="AC31" s="398">
        <v>0</v>
      </c>
      <c r="AD31" s="398">
        <v>0</v>
      </c>
      <c r="AE31" s="398">
        <v>0</v>
      </c>
      <c r="AF31" s="401">
        <v>0</v>
      </c>
      <c r="AG31" s="398">
        <v>1</v>
      </c>
      <c r="AH31" s="398">
        <v>0</v>
      </c>
      <c r="AI31" s="398">
        <v>0</v>
      </c>
      <c r="AJ31" s="401">
        <v>1</v>
      </c>
    </row>
    <row r="32" spans="1:45" ht="15" customHeight="1" thickBot="1" x14ac:dyDescent="0.3">
      <c r="A32" s="256" t="s">
        <v>900</v>
      </c>
      <c r="B32" s="255" t="s">
        <v>54</v>
      </c>
      <c r="C32" s="247" t="s">
        <v>66</v>
      </c>
      <c r="D32" s="257" t="s">
        <v>38</v>
      </c>
      <c r="E32" s="257" t="s">
        <v>34</v>
      </c>
      <c r="F32" s="257">
        <v>29</v>
      </c>
      <c r="G32" s="258">
        <v>19</v>
      </c>
      <c r="H32" s="259">
        <v>1</v>
      </c>
      <c r="I32" s="260">
        <v>0</v>
      </c>
      <c r="J32" s="260">
        <v>4</v>
      </c>
      <c r="K32" s="260">
        <v>3</v>
      </c>
      <c r="L32" s="260">
        <v>0</v>
      </c>
      <c r="M32" s="260">
        <v>1</v>
      </c>
      <c r="N32" s="257">
        <v>1</v>
      </c>
      <c r="O32" s="260">
        <v>0</v>
      </c>
      <c r="P32" s="260">
        <v>0</v>
      </c>
      <c r="Q32" s="260">
        <v>0</v>
      </c>
      <c r="R32" s="260">
        <v>1</v>
      </c>
      <c r="S32" s="370">
        <v>7492</v>
      </c>
      <c r="T32" s="590" t="s">
        <v>946</v>
      </c>
      <c r="U32" s="263" t="s">
        <v>345</v>
      </c>
      <c r="V32" s="261" t="s">
        <v>346</v>
      </c>
      <c r="W32" s="261" t="s">
        <v>600</v>
      </c>
      <c r="X32" s="264" t="s">
        <v>369</v>
      </c>
      <c r="Y32" s="261">
        <v>1</v>
      </c>
      <c r="Z32" s="261">
        <v>1</v>
      </c>
      <c r="AA32" s="261">
        <v>0</v>
      </c>
      <c r="AB32" s="168">
        <v>0</v>
      </c>
      <c r="AC32" s="261">
        <v>0</v>
      </c>
      <c r="AD32" s="261">
        <v>0</v>
      </c>
      <c r="AE32" s="261">
        <v>0</v>
      </c>
      <c r="AF32" s="168">
        <v>0</v>
      </c>
      <c r="AG32" s="261">
        <v>1</v>
      </c>
      <c r="AH32" s="261">
        <v>1</v>
      </c>
      <c r="AI32" s="261">
        <v>0</v>
      </c>
      <c r="AJ32" s="168">
        <v>0</v>
      </c>
    </row>
    <row r="33" spans="1:40" ht="15" customHeight="1" thickBot="1" x14ac:dyDescent="0.3">
      <c r="A33" s="239" t="s">
        <v>901</v>
      </c>
      <c r="B33" s="240" t="s">
        <v>54</v>
      </c>
      <c r="C33" s="122" t="s">
        <v>13</v>
      </c>
      <c r="D33" s="123" t="s">
        <v>90</v>
      </c>
      <c r="E33" s="123" t="s">
        <v>34</v>
      </c>
      <c r="F33" s="123">
        <v>43</v>
      </c>
      <c r="G33" s="241">
        <v>18</v>
      </c>
      <c r="H33" s="244">
        <v>1</v>
      </c>
      <c r="I33" s="242">
        <v>0</v>
      </c>
      <c r="J33" s="242">
        <v>5</v>
      </c>
      <c r="K33" s="242">
        <v>3</v>
      </c>
      <c r="L33" s="242">
        <v>0</v>
      </c>
      <c r="M33" s="242">
        <v>4</v>
      </c>
      <c r="N33" s="242">
        <v>0</v>
      </c>
      <c r="O33" s="242">
        <v>0</v>
      </c>
      <c r="P33" s="242">
        <v>0</v>
      </c>
      <c r="Q33" s="242">
        <v>0</v>
      </c>
      <c r="R33" s="242">
        <v>2</v>
      </c>
      <c r="S33" s="243">
        <v>13349</v>
      </c>
      <c r="T33" s="246" t="s">
        <v>1002</v>
      </c>
      <c r="U33" s="245" t="s">
        <v>360</v>
      </c>
      <c r="V33" s="243" t="s">
        <v>375</v>
      </c>
      <c r="W33" s="243" t="s">
        <v>387</v>
      </c>
      <c r="X33" s="169" t="s">
        <v>390</v>
      </c>
      <c r="Y33" s="243">
        <v>1</v>
      </c>
      <c r="Z33" s="243">
        <v>1</v>
      </c>
      <c r="AA33" s="243">
        <v>0</v>
      </c>
      <c r="AB33" s="167">
        <v>0</v>
      </c>
      <c r="AC33" s="243">
        <v>1</v>
      </c>
      <c r="AD33" s="243">
        <v>0</v>
      </c>
      <c r="AE33" s="243">
        <v>0</v>
      </c>
      <c r="AF33" s="167">
        <v>0</v>
      </c>
      <c r="AG33" s="243">
        <v>0</v>
      </c>
      <c r="AH33" s="243">
        <v>0</v>
      </c>
      <c r="AI33" s="243">
        <v>0</v>
      </c>
      <c r="AJ33" s="167">
        <v>0</v>
      </c>
    </row>
    <row r="34" spans="1:40" ht="15" customHeight="1" thickBot="1" x14ac:dyDescent="0.3">
      <c r="A34" s="256" t="s">
        <v>898</v>
      </c>
      <c r="B34" s="255" t="s">
        <v>54</v>
      </c>
      <c r="C34" s="247" t="s">
        <v>10</v>
      </c>
      <c r="D34" s="257" t="s">
        <v>38</v>
      </c>
      <c r="E34" s="257" t="s">
        <v>34</v>
      </c>
      <c r="F34" s="257">
        <v>27</v>
      </c>
      <c r="G34" s="258">
        <v>26</v>
      </c>
      <c r="H34" s="259">
        <v>0</v>
      </c>
      <c r="I34" s="260">
        <v>0</v>
      </c>
      <c r="J34" s="260">
        <v>3</v>
      </c>
      <c r="K34" s="260">
        <v>3</v>
      </c>
      <c r="L34" s="260">
        <v>0</v>
      </c>
      <c r="M34" s="260">
        <v>2</v>
      </c>
      <c r="N34" s="260">
        <v>0</v>
      </c>
      <c r="O34" s="260">
        <v>0</v>
      </c>
      <c r="P34" s="260">
        <v>0</v>
      </c>
      <c r="Q34" s="260">
        <v>1</v>
      </c>
      <c r="R34" s="260">
        <v>3</v>
      </c>
      <c r="S34" s="265">
        <v>14800</v>
      </c>
      <c r="T34" s="516" t="s">
        <v>1010</v>
      </c>
      <c r="U34" s="263" t="s">
        <v>367</v>
      </c>
      <c r="V34" s="261" t="s">
        <v>393</v>
      </c>
      <c r="W34" s="261" t="s">
        <v>369</v>
      </c>
      <c r="X34" s="264" t="s">
        <v>345</v>
      </c>
      <c r="Y34" s="261">
        <v>1</v>
      </c>
      <c r="Z34" s="261">
        <v>1</v>
      </c>
      <c r="AA34" s="261">
        <v>0</v>
      </c>
      <c r="AB34" s="168">
        <v>0</v>
      </c>
      <c r="AC34" s="261">
        <v>0</v>
      </c>
      <c r="AD34" s="261">
        <v>0</v>
      </c>
      <c r="AE34" s="261">
        <v>0</v>
      </c>
      <c r="AF34" s="168">
        <v>0</v>
      </c>
      <c r="AG34" s="261">
        <v>1</v>
      </c>
      <c r="AH34" s="261">
        <v>1</v>
      </c>
      <c r="AI34" s="261">
        <v>0</v>
      </c>
      <c r="AJ34" s="168">
        <v>0</v>
      </c>
    </row>
    <row r="35" spans="1:40" ht="15" customHeight="1" thickBot="1" x14ac:dyDescent="0.3">
      <c r="A35" s="239" t="s">
        <v>148</v>
      </c>
      <c r="B35" s="240" t="s">
        <v>54</v>
      </c>
      <c r="C35" s="122" t="s">
        <v>26</v>
      </c>
      <c r="D35" s="123" t="s">
        <v>90</v>
      </c>
      <c r="E35" s="123" t="s">
        <v>34</v>
      </c>
      <c r="F35" s="123">
        <v>50</v>
      </c>
      <c r="G35" s="241">
        <v>30</v>
      </c>
      <c r="H35" s="244">
        <v>1</v>
      </c>
      <c r="I35" s="242">
        <v>0</v>
      </c>
      <c r="J35" s="242">
        <v>7</v>
      </c>
      <c r="K35" s="242">
        <v>6</v>
      </c>
      <c r="L35" s="242">
        <v>0</v>
      </c>
      <c r="M35" s="242">
        <v>1</v>
      </c>
      <c r="N35" s="242">
        <v>0</v>
      </c>
      <c r="O35" s="242">
        <v>0</v>
      </c>
      <c r="P35" s="242">
        <v>1</v>
      </c>
      <c r="Q35" s="242">
        <v>0</v>
      </c>
      <c r="R35" s="242">
        <v>4</v>
      </c>
      <c r="S35" s="285">
        <v>13397</v>
      </c>
      <c r="T35" s="793" t="s">
        <v>1030</v>
      </c>
      <c r="U35" s="286" t="s">
        <v>374</v>
      </c>
      <c r="V35" s="287" t="s">
        <v>341</v>
      </c>
      <c r="W35" s="287" t="s">
        <v>390</v>
      </c>
      <c r="X35" s="288" t="s">
        <v>445</v>
      </c>
      <c r="Y35" s="243">
        <v>1</v>
      </c>
      <c r="Z35" s="243">
        <v>1</v>
      </c>
      <c r="AA35" s="243">
        <v>0</v>
      </c>
      <c r="AB35" s="167">
        <v>0</v>
      </c>
      <c r="AC35" s="243">
        <v>1</v>
      </c>
      <c r="AD35" s="243">
        <v>1</v>
      </c>
      <c r="AE35" s="243">
        <v>0</v>
      </c>
      <c r="AF35" s="167">
        <v>0</v>
      </c>
      <c r="AG35" s="243">
        <v>0</v>
      </c>
      <c r="AH35" s="243">
        <v>0</v>
      </c>
      <c r="AI35" s="243">
        <v>0</v>
      </c>
      <c r="AJ35" s="167">
        <v>0</v>
      </c>
    </row>
    <row r="36" spans="1:40" ht="15" customHeight="1" thickBot="1" x14ac:dyDescent="0.3">
      <c r="A36" s="239" t="s">
        <v>143</v>
      </c>
      <c r="B36" s="240" t="s">
        <v>126</v>
      </c>
      <c r="C36" s="122" t="s">
        <v>28</v>
      </c>
      <c r="D36" s="123" t="s">
        <v>90</v>
      </c>
      <c r="E36" s="123" t="s">
        <v>34</v>
      </c>
      <c r="F36" s="123">
        <v>47</v>
      </c>
      <c r="G36" s="241">
        <v>10</v>
      </c>
      <c r="H36" s="244" t="s">
        <v>85</v>
      </c>
      <c r="I36" s="242" t="s">
        <v>85</v>
      </c>
      <c r="J36" s="242">
        <v>7</v>
      </c>
      <c r="K36" s="242">
        <v>6</v>
      </c>
      <c r="L36" s="242">
        <v>0</v>
      </c>
      <c r="M36" s="242">
        <v>0</v>
      </c>
      <c r="N36" s="242">
        <v>2</v>
      </c>
      <c r="O36" s="242">
        <v>0</v>
      </c>
      <c r="P36" s="242" t="s">
        <v>85</v>
      </c>
      <c r="Q36" s="242" t="s">
        <v>85</v>
      </c>
      <c r="R36" s="242">
        <v>1</v>
      </c>
      <c r="S36" s="285">
        <v>13349</v>
      </c>
      <c r="T36" s="793" t="s">
        <v>986</v>
      </c>
      <c r="U36" s="286" t="s">
        <v>345</v>
      </c>
      <c r="V36" s="287" t="s">
        <v>375</v>
      </c>
      <c r="W36" s="287" t="s">
        <v>340</v>
      </c>
      <c r="X36" s="288" t="s">
        <v>369</v>
      </c>
      <c r="Y36" s="243">
        <v>1</v>
      </c>
      <c r="Z36" s="243">
        <v>1</v>
      </c>
      <c r="AA36" s="243">
        <v>0</v>
      </c>
      <c r="AB36" s="167">
        <v>0</v>
      </c>
      <c r="AC36" s="243">
        <v>1</v>
      </c>
      <c r="AD36" s="243">
        <v>1</v>
      </c>
      <c r="AE36" s="243">
        <v>0</v>
      </c>
      <c r="AF36" s="167">
        <v>0</v>
      </c>
      <c r="AG36" s="243">
        <v>0</v>
      </c>
      <c r="AH36" s="243">
        <v>0</v>
      </c>
      <c r="AI36" s="243">
        <v>0</v>
      </c>
      <c r="AJ36" s="167">
        <v>0</v>
      </c>
    </row>
    <row r="37" spans="1:40" ht="15" customHeight="1" thickBot="1" x14ac:dyDescent="0.3">
      <c r="A37" s="498" t="s">
        <v>165</v>
      </c>
      <c r="B37" s="486" t="s">
        <v>124</v>
      </c>
      <c r="C37" s="487" t="s">
        <v>21</v>
      </c>
      <c r="D37" s="488" t="s">
        <v>1057</v>
      </c>
      <c r="E37" s="488" t="s">
        <v>36</v>
      </c>
      <c r="F37" s="488">
        <v>16</v>
      </c>
      <c r="G37" s="489">
        <v>28</v>
      </c>
      <c r="H37" s="490" t="s">
        <v>85</v>
      </c>
      <c r="I37" s="491" t="s">
        <v>85</v>
      </c>
      <c r="J37" s="491">
        <v>1</v>
      </c>
      <c r="K37" s="491">
        <v>1</v>
      </c>
      <c r="L37" s="491">
        <v>0</v>
      </c>
      <c r="M37" s="491">
        <v>3</v>
      </c>
      <c r="N37" s="491">
        <v>0</v>
      </c>
      <c r="O37" s="491">
        <v>0</v>
      </c>
      <c r="P37" s="491" t="s">
        <v>85</v>
      </c>
      <c r="Q37" s="491" t="s">
        <v>85</v>
      </c>
      <c r="R37" s="491">
        <v>3</v>
      </c>
      <c r="S37" s="494">
        <v>80589</v>
      </c>
      <c r="T37" s="492" t="s">
        <v>1064</v>
      </c>
      <c r="U37" s="493" t="s">
        <v>338</v>
      </c>
      <c r="V37" s="494" t="s">
        <v>375</v>
      </c>
      <c r="W37" s="494" t="s">
        <v>345</v>
      </c>
      <c r="X37" s="495" t="s">
        <v>367</v>
      </c>
      <c r="Y37" s="496">
        <v>1</v>
      </c>
      <c r="Z37" s="496">
        <v>0</v>
      </c>
      <c r="AA37" s="496">
        <v>0</v>
      </c>
      <c r="AB37" s="497">
        <v>1</v>
      </c>
      <c r="AC37" s="496">
        <v>0</v>
      </c>
      <c r="AD37" s="496">
        <v>0</v>
      </c>
      <c r="AE37" s="496">
        <v>0</v>
      </c>
      <c r="AF37" s="497">
        <v>0</v>
      </c>
      <c r="AG37" s="496">
        <v>0</v>
      </c>
      <c r="AH37" s="496">
        <v>0</v>
      </c>
      <c r="AI37" s="496">
        <v>0</v>
      </c>
      <c r="AJ37" s="497">
        <v>0</v>
      </c>
      <c r="AK37" s="771">
        <v>1</v>
      </c>
      <c r="AL37" s="771">
        <v>0</v>
      </c>
      <c r="AM37" s="771">
        <v>0</v>
      </c>
      <c r="AN37" s="771">
        <v>1</v>
      </c>
    </row>
    <row r="38" spans="1:40" ht="15" customHeight="1" thickBot="1" x14ac:dyDescent="0.3">
      <c r="A38" s="66"/>
      <c r="B38" s="67"/>
      <c r="C38" s="885" t="s">
        <v>173</v>
      </c>
      <c r="D38" s="886"/>
      <c r="E38" s="887"/>
      <c r="F38" s="291">
        <f t="shared" ref="F38:R38" si="0">SUM(F3+F4+F5+F6+F7+F8+F13+F14+F15+F18+F19+F20+F21+F26+F27+F28+F29+F30+F32+F33+F34+F35)</f>
        <v>625</v>
      </c>
      <c r="G38" s="291">
        <f t="shared" si="0"/>
        <v>414</v>
      </c>
      <c r="H38" s="291">
        <f t="shared" si="0"/>
        <v>9</v>
      </c>
      <c r="I38" s="291">
        <f t="shared" si="0"/>
        <v>2</v>
      </c>
      <c r="J38" s="291">
        <f t="shared" si="0"/>
        <v>72</v>
      </c>
      <c r="K38" s="291">
        <f t="shared" si="0"/>
        <v>56</v>
      </c>
      <c r="L38" s="291">
        <f t="shared" si="0"/>
        <v>2</v>
      </c>
      <c r="M38" s="291">
        <f t="shared" si="0"/>
        <v>49</v>
      </c>
      <c r="N38" s="291">
        <f t="shared" si="0"/>
        <v>9</v>
      </c>
      <c r="O38" s="291">
        <f t="shared" si="0"/>
        <v>0</v>
      </c>
      <c r="P38" s="291">
        <f t="shared" si="0"/>
        <v>4</v>
      </c>
      <c r="Q38" s="291">
        <f t="shared" si="0"/>
        <v>1</v>
      </c>
      <c r="R38" s="291">
        <f t="shared" si="0"/>
        <v>43</v>
      </c>
      <c r="S38" s="68"/>
      <c r="T38" s="68"/>
      <c r="U38" s="68"/>
      <c r="V38" s="68"/>
      <c r="W38" s="328"/>
      <c r="X38" s="310" t="s">
        <v>173</v>
      </c>
      <c r="Y38" s="291">
        <f t="shared" ref="Y38:AJ38" si="1">SUM(Y3+Y4+Y5+Y6+Y7+Y8+Y13+Y14+Y15+Y18+Y19+Y20+Y21+Y26+Y27+Y28+Y29+Y30+Y32+Y33+Y34+Y35)</f>
        <v>22</v>
      </c>
      <c r="Z38" s="291">
        <f t="shared" si="1"/>
        <v>16</v>
      </c>
      <c r="AA38" s="291">
        <f t="shared" si="1"/>
        <v>0</v>
      </c>
      <c r="AB38" s="291">
        <f t="shared" si="1"/>
        <v>6</v>
      </c>
      <c r="AC38" s="121">
        <f t="shared" si="1"/>
        <v>11</v>
      </c>
      <c r="AD38" s="121">
        <v>10</v>
      </c>
      <c r="AE38" s="121">
        <f t="shared" si="1"/>
        <v>0</v>
      </c>
      <c r="AF38" s="121">
        <f t="shared" si="1"/>
        <v>1</v>
      </c>
      <c r="AG38" s="289">
        <f t="shared" si="1"/>
        <v>11</v>
      </c>
      <c r="AH38" s="289">
        <f t="shared" si="1"/>
        <v>6</v>
      </c>
      <c r="AI38" s="289">
        <f t="shared" si="1"/>
        <v>0</v>
      </c>
      <c r="AJ38" s="289">
        <f t="shared" si="1"/>
        <v>5</v>
      </c>
      <c r="AK38" s="815">
        <v>0</v>
      </c>
      <c r="AL38" s="815">
        <v>0</v>
      </c>
      <c r="AM38" s="815">
        <v>0</v>
      </c>
      <c r="AN38" s="815">
        <v>0</v>
      </c>
    </row>
    <row r="39" spans="1:40" ht="15" customHeight="1" thickBot="1" x14ac:dyDescent="0.3">
      <c r="A39" s="66"/>
      <c r="B39" s="67"/>
      <c r="C39" s="885" t="s">
        <v>174</v>
      </c>
      <c r="D39" s="886"/>
      <c r="E39" s="887"/>
      <c r="F39" s="298">
        <f>SUM(F36+F37)</f>
        <v>63</v>
      </c>
      <c r="G39" s="298">
        <f t="shared" ref="G39:R39" si="2">SUM(G36+G37)</f>
        <v>38</v>
      </c>
      <c r="H39" s="298" t="s">
        <v>85</v>
      </c>
      <c r="I39" s="298" t="s">
        <v>85</v>
      </c>
      <c r="J39" s="298">
        <f t="shared" si="2"/>
        <v>8</v>
      </c>
      <c r="K39" s="298">
        <f t="shared" si="2"/>
        <v>7</v>
      </c>
      <c r="L39" s="298">
        <f t="shared" si="2"/>
        <v>0</v>
      </c>
      <c r="M39" s="298">
        <f t="shared" si="2"/>
        <v>3</v>
      </c>
      <c r="N39" s="298">
        <f t="shared" si="2"/>
        <v>2</v>
      </c>
      <c r="O39" s="298">
        <f t="shared" si="2"/>
        <v>0</v>
      </c>
      <c r="P39" s="298" t="s">
        <v>85</v>
      </c>
      <c r="Q39" s="298" t="s">
        <v>85</v>
      </c>
      <c r="R39" s="298">
        <f t="shared" si="2"/>
        <v>4</v>
      </c>
      <c r="S39" s="68"/>
      <c r="T39" s="68"/>
      <c r="U39" s="68"/>
      <c r="V39" s="68"/>
      <c r="W39" s="328"/>
      <c r="X39" s="310" t="s">
        <v>174</v>
      </c>
      <c r="Y39" s="291">
        <f t="shared" ref="Y39:AJ39" si="3">SUM(Y36+Y37)</f>
        <v>2</v>
      </c>
      <c r="Z39" s="298">
        <f t="shared" si="3"/>
        <v>1</v>
      </c>
      <c r="AA39" s="298">
        <f t="shared" si="3"/>
        <v>0</v>
      </c>
      <c r="AB39" s="298">
        <f t="shared" si="3"/>
        <v>1</v>
      </c>
      <c r="AC39" s="389">
        <f t="shared" si="3"/>
        <v>1</v>
      </c>
      <c r="AD39" s="389">
        <f t="shared" si="3"/>
        <v>1</v>
      </c>
      <c r="AE39" s="389">
        <f t="shared" si="3"/>
        <v>0</v>
      </c>
      <c r="AF39" s="389">
        <f t="shared" si="3"/>
        <v>0</v>
      </c>
      <c r="AG39" s="299">
        <f t="shared" si="3"/>
        <v>0</v>
      </c>
      <c r="AH39" s="299">
        <f t="shared" si="3"/>
        <v>0</v>
      </c>
      <c r="AI39" s="299">
        <f t="shared" si="3"/>
        <v>0</v>
      </c>
      <c r="AJ39" s="299">
        <f t="shared" si="3"/>
        <v>0</v>
      </c>
      <c r="AK39" s="815">
        <v>1</v>
      </c>
      <c r="AL39" s="815">
        <v>0</v>
      </c>
      <c r="AM39" s="815">
        <v>0</v>
      </c>
      <c r="AN39" s="815">
        <v>1</v>
      </c>
    </row>
    <row r="40" spans="1:40" ht="15" customHeight="1" thickBot="1" x14ac:dyDescent="0.3">
      <c r="A40" s="66"/>
      <c r="B40" s="67"/>
      <c r="C40" s="888" t="s">
        <v>178</v>
      </c>
      <c r="D40" s="889"/>
      <c r="E40" s="890"/>
      <c r="F40" s="417">
        <f t="shared" ref="F40:R40" si="4">SUM(F9+F10+F16+F17+F22+F23)</f>
        <v>146</v>
      </c>
      <c r="G40" s="417">
        <f t="shared" si="4"/>
        <v>108</v>
      </c>
      <c r="H40" s="417">
        <f t="shared" si="4"/>
        <v>2</v>
      </c>
      <c r="I40" s="417">
        <f t="shared" si="4"/>
        <v>1</v>
      </c>
      <c r="J40" s="417">
        <f t="shared" si="4"/>
        <v>15</v>
      </c>
      <c r="K40" s="417">
        <f t="shared" si="4"/>
        <v>13</v>
      </c>
      <c r="L40" s="417">
        <f t="shared" si="4"/>
        <v>2</v>
      </c>
      <c r="M40" s="417">
        <f t="shared" si="4"/>
        <v>13</v>
      </c>
      <c r="N40" s="417">
        <f t="shared" si="4"/>
        <v>1</v>
      </c>
      <c r="O40" s="417">
        <f t="shared" si="4"/>
        <v>0</v>
      </c>
      <c r="P40" s="417">
        <f t="shared" si="4"/>
        <v>1</v>
      </c>
      <c r="Q40" s="417">
        <f t="shared" si="4"/>
        <v>1</v>
      </c>
      <c r="R40" s="417">
        <f t="shared" si="4"/>
        <v>15</v>
      </c>
      <c r="S40" s="418"/>
      <c r="T40" s="418"/>
      <c r="U40" s="418"/>
      <c r="V40" s="418"/>
      <c r="W40" s="419"/>
      <c r="X40" s="420" t="s">
        <v>178</v>
      </c>
      <c r="Y40" s="421">
        <f t="shared" ref="Y40:AJ40" si="5">SUM(Y9+Y10+Y16+Y17+Y22+Y23)</f>
        <v>6</v>
      </c>
      <c r="Z40" s="417">
        <f t="shared" si="5"/>
        <v>4</v>
      </c>
      <c r="AA40" s="417">
        <f t="shared" si="5"/>
        <v>0</v>
      </c>
      <c r="AB40" s="417">
        <f t="shared" si="5"/>
        <v>2</v>
      </c>
      <c r="AC40" s="423">
        <f t="shared" si="5"/>
        <v>3</v>
      </c>
      <c r="AD40" s="423">
        <f t="shared" si="5"/>
        <v>2</v>
      </c>
      <c r="AE40" s="423">
        <f t="shared" si="5"/>
        <v>0</v>
      </c>
      <c r="AF40" s="423">
        <f t="shared" si="5"/>
        <v>1</v>
      </c>
      <c r="AG40" s="422">
        <f t="shared" si="5"/>
        <v>3</v>
      </c>
      <c r="AH40" s="422">
        <f t="shared" si="5"/>
        <v>2</v>
      </c>
      <c r="AI40" s="422">
        <f t="shared" si="5"/>
        <v>0</v>
      </c>
      <c r="AJ40" s="422">
        <f t="shared" si="5"/>
        <v>1</v>
      </c>
      <c r="AK40" s="816">
        <v>0</v>
      </c>
      <c r="AL40" s="816">
        <v>0</v>
      </c>
      <c r="AM40" s="816">
        <v>0</v>
      </c>
      <c r="AN40" s="816">
        <v>0</v>
      </c>
    </row>
    <row r="41" spans="1:40" ht="15" customHeight="1" thickBot="1" x14ac:dyDescent="0.3">
      <c r="A41" s="66"/>
      <c r="B41" s="67"/>
      <c r="C41" s="888" t="s">
        <v>179</v>
      </c>
      <c r="D41" s="889"/>
      <c r="E41" s="890"/>
      <c r="F41" s="417">
        <f>SUM(F31)</f>
        <v>15</v>
      </c>
      <c r="G41" s="417">
        <f>SUM(G31)</f>
        <v>18</v>
      </c>
      <c r="H41" s="417" t="s">
        <v>85</v>
      </c>
      <c r="I41" s="417" t="s">
        <v>85</v>
      </c>
      <c r="J41" s="417">
        <f t="shared" ref="J41:O41" si="6">SUM(J31)</f>
        <v>2</v>
      </c>
      <c r="K41" s="417">
        <f t="shared" si="6"/>
        <v>1</v>
      </c>
      <c r="L41" s="417">
        <f t="shared" si="6"/>
        <v>0</v>
      </c>
      <c r="M41" s="417">
        <f t="shared" si="6"/>
        <v>1</v>
      </c>
      <c r="N41" s="417">
        <f t="shared" si="6"/>
        <v>1</v>
      </c>
      <c r="O41" s="417">
        <f t="shared" si="6"/>
        <v>0</v>
      </c>
      <c r="P41" s="417" t="s">
        <v>85</v>
      </c>
      <c r="Q41" s="417" t="s">
        <v>85</v>
      </c>
      <c r="R41" s="417">
        <f>SUM(R31)</f>
        <v>0</v>
      </c>
      <c r="S41" s="418"/>
      <c r="T41" s="418"/>
      <c r="U41" s="418"/>
      <c r="V41" s="418"/>
      <c r="W41" s="419"/>
      <c r="X41" s="420" t="s">
        <v>179</v>
      </c>
      <c r="Y41" s="421">
        <f>SUM(Y31)</f>
        <v>1</v>
      </c>
      <c r="Z41" s="421">
        <f t="shared" ref="Z41:AJ41" si="7">SUM(Z31)</f>
        <v>0</v>
      </c>
      <c r="AA41" s="421">
        <f t="shared" si="7"/>
        <v>0</v>
      </c>
      <c r="AB41" s="421">
        <f t="shared" si="7"/>
        <v>1</v>
      </c>
      <c r="AC41" s="759">
        <f t="shared" si="7"/>
        <v>0</v>
      </c>
      <c r="AD41" s="759">
        <f t="shared" si="7"/>
        <v>0</v>
      </c>
      <c r="AE41" s="759">
        <f t="shared" si="7"/>
        <v>0</v>
      </c>
      <c r="AF41" s="759">
        <f t="shared" si="7"/>
        <v>0</v>
      </c>
      <c r="AG41" s="760">
        <f t="shared" si="7"/>
        <v>1</v>
      </c>
      <c r="AH41" s="760">
        <f t="shared" si="7"/>
        <v>0</v>
      </c>
      <c r="AI41" s="760">
        <f t="shared" si="7"/>
        <v>0</v>
      </c>
      <c r="AJ41" s="760">
        <f t="shared" si="7"/>
        <v>1</v>
      </c>
      <c r="AK41" s="816">
        <v>0</v>
      </c>
      <c r="AL41" s="816">
        <v>0</v>
      </c>
      <c r="AM41" s="816">
        <v>0</v>
      </c>
      <c r="AN41" s="816">
        <v>0</v>
      </c>
    </row>
    <row r="42" spans="1:40" ht="15" customHeight="1" thickBot="1" x14ac:dyDescent="0.3">
      <c r="A42" s="66"/>
      <c r="B42" s="67"/>
      <c r="C42" s="891" t="s">
        <v>168</v>
      </c>
      <c r="D42" s="892"/>
      <c r="E42" s="893"/>
      <c r="F42" s="319">
        <f t="shared" ref="F42:R42" si="8">SUM(F11+F12+F24+F25)</f>
        <v>86</v>
      </c>
      <c r="G42" s="319">
        <f t="shared" si="8"/>
        <v>59</v>
      </c>
      <c r="H42" s="319">
        <f t="shared" si="8"/>
        <v>1</v>
      </c>
      <c r="I42" s="319">
        <f t="shared" si="8"/>
        <v>1</v>
      </c>
      <c r="J42" s="319">
        <f t="shared" si="8"/>
        <v>11</v>
      </c>
      <c r="K42" s="319">
        <f t="shared" si="8"/>
        <v>5</v>
      </c>
      <c r="L42" s="319">
        <f t="shared" si="8"/>
        <v>0</v>
      </c>
      <c r="M42" s="319">
        <f t="shared" si="8"/>
        <v>7</v>
      </c>
      <c r="N42" s="319">
        <f t="shared" si="8"/>
        <v>1</v>
      </c>
      <c r="O42" s="319">
        <f t="shared" si="8"/>
        <v>0</v>
      </c>
      <c r="P42" s="319">
        <f t="shared" si="8"/>
        <v>0</v>
      </c>
      <c r="Q42" s="319">
        <f t="shared" si="8"/>
        <v>1</v>
      </c>
      <c r="R42" s="319">
        <f t="shared" si="8"/>
        <v>6</v>
      </c>
      <c r="S42" s="321"/>
      <c r="T42" s="321"/>
      <c r="U42" s="321"/>
      <c r="V42" s="321"/>
      <c r="W42" s="329"/>
      <c r="X42" s="322" t="s">
        <v>168</v>
      </c>
      <c r="Y42" s="320">
        <f t="shared" ref="Y42:AJ42" si="9">SUM(Y11+Y12+Y24+Y25)</f>
        <v>4</v>
      </c>
      <c r="Z42" s="319">
        <f t="shared" si="9"/>
        <v>2</v>
      </c>
      <c r="AA42" s="319">
        <f t="shared" si="9"/>
        <v>0</v>
      </c>
      <c r="AB42" s="319">
        <f t="shared" si="9"/>
        <v>2</v>
      </c>
      <c r="AC42" s="324">
        <f t="shared" si="9"/>
        <v>2</v>
      </c>
      <c r="AD42" s="324">
        <f t="shared" si="9"/>
        <v>1</v>
      </c>
      <c r="AE42" s="324">
        <f t="shared" si="9"/>
        <v>0</v>
      </c>
      <c r="AF42" s="324">
        <f t="shared" si="9"/>
        <v>1</v>
      </c>
      <c r="AG42" s="323">
        <f t="shared" si="9"/>
        <v>2</v>
      </c>
      <c r="AH42" s="323">
        <f t="shared" si="9"/>
        <v>1</v>
      </c>
      <c r="AI42" s="323">
        <f t="shared" si="9"/>
        <v>0</v>
      </c>
      <c r="AJ42" s="323">
        <f t="shared" si="9"/>
        <v>1</v>
      </c>
      <c r="AK42" s="819">
        <v>0</v>
      </c>
      <c r="AL42" s="819">
        <v>0</v>
      </c>
      <c r="AM42" s="819">
        <v>0</v>
      </c>
      <c r="AN42" s="819">
        <v>0</v>
      </c>
    </row>
    <row r="43" spans="1:40" ht="15" customHeight="1" thickBot="1" x14ac:dyDescent="0.3">
      <c r="A43" s="66"/>
      <c r="B43" s="67"/>
      <c r="C43" s="458" t="s">
        <v>166</v>
      </c>
      <c r="D43" s="459"/>
      <c r="E43" s="460"/>
      <c r="F43" s="461">
        <v>0</v>
      </c>
      <c r="G43" s="461">
        <v>0</v>
      </c>
      <c r="H43" s="465">
        <v>0</v>
      </c>
      <c r="I43" s="465">
        <v>0</v>
      </c>
      <c r="J43" s="461">
        <v>0</v>
      </c>
      <c r="K43" s="461">
        <v>0</v>
      </c>
      <c r="L43" s="461">
        <v>0</v>
      </c>
      <c r="M43" s="461">
        <v>0</v>
      </c>
      <c r="N43" s="461">
        <v>0</v>
      </c>
      <c r="O43" s="461">
        <v>0</v>
      </c>
      <c r="P43" s="461">
        <v>0</v>
      </c>
      <c r="Q43" s="461">
        <v>0</v>
      </c>
      <c r="R43" s="461">
        <v>0</v>
      </c>
      <c r="S43" s="462"/>
      <c r="T43" s="462"/>
      <c r="U43" s="462"/>
      <c r="V43" s="462"/>
      <c r="W43" s="463"/>
      <c r="X43" s="464" t="s">
        <v>166</v>
      </c>
      <c r="Y43" s="465">
        <v>0</v>
      </c>
      <c r="Z43" s="461">
        <v>0</v>
      </c>
      <c r="AA43" s="461">
        <v>0</v>
      </c>
      <c r="AB43" s="461">
        <v>0</v>
      </c>
      <c r="AC43" s="468">
        <v>0</v>
      </c>
      <c r="AD43" s="469">
        <v>0</v>
      </c>
      <c r="AE43" s="469">
        <v>0</v>
      </c>
      <c r="AF43" s="469">
        <v>0</v>
      </c>
      <c r="AG43" s="466">
        <v>0</v>
      </c>
      <c r="AH43" s="467">
        <v>0</v>
      </c>
      <c r="AI43" s="467">
        <v>0</v>
      </c>
      <c r="AJ43" s="467">
        <v>0</v>
      </c>
      <c r="AK43" s="818">
        <v>0</v>
      </c>
      <c r="AL43" s="818">
        <v>0</v>
      </c>
      <c r="AM43" s="817">
        <v>0</v>
      </c>
      <c r="AN43" s="818">
        <v>0</v>
      </c>
    </row>
    <row r="44" spans="1:40" ht="15" customHeight="1" thickBot="1" x14ac:dyDescent="0.3">
      <c r="A44" s="68"/>
      <c r="B44" s="68"/>
      <c r="C44" s="882" t="s">
        <v>70</v>
      </c>
      <c r="D44" s="883"/>
      <c r="E44" s="884"/>
      <c r="F44" s="293">
        <f t="shared" ref="F44:R44" si="10">SUM(F3:F37)</f>
        <v>935</v>
      </c>
      <c r="G44" s="293">
        <f t="shared" si="10"/>
        <v>637</v>
      </c>
      <c r="H44" s="292">
        <f t="shared" si="10"/>
        <v>12</v>
      </c>
      <c r="I44" s="292">
        <f t="shared" si="10"/>
        <v>4</v>
      </c>
      <c r="J44" s="293">
        <f t="shared" si="10"/>
        <v>108</v>
      </c>
      <c r="K44" s="293">
        <f t="shared" si="10"/>
        <v>82</v>
      </c>
      <c r="L44" s="293">
        <f t="shared" si="10"/>
        <v>4</v>
      </c>
      <c r="M44" s="293">
        <f t="shared" si="10"/>
        <v>73</v>
      </c>
      <c r="N44" s="293">
        <f t="shared" si="10"/>
        <v>14</v>
      </c>
      <c r="O44" s="293">
        <f t="shared" si="10"/>
        <v>0</v>
      </c>
      <c r="P44" s="293">
        <f t="shared" si="10"/>
        <v>5</v>
      </c>
      <c r="Q44" s="293">
        <f t="shared" si="10"/>
        <v>3</v>
      </c>
      <c r="R44" s="293">
        <f t="shared" si="10"/>
        <v>68</v>
      </c>
      <c r="S44" s="68"/>
      <c r="T44" s="68"/>
      <c r="U44" s="68"/>
      <c r="V44" s="68"/>
      <c r="W44" s="331"/>
      <c r="X44" s="309" t="s">
        <v>70</v>
      </c>
      <c r="Y44" s="292">
        <f t="shared" ref="Y44:AN44" si="11">SUM(Y3:Y37)</f>
        <v>35</v>
      </c>
      <c r="Z44" s="293">
        <f t="shared" si="11"/>
        <v>23</v>
      </c>
      <c r="AA44" s="293">
        <f t="shared" si="11"/>
        <v>0</v>
      </c>
      <c r="AB44" s="293">
        <f t="shared" si="11"/>
        <v>12</v>
      </c>
      <c r="AC44" s="198">
        <f t="shared" si="11"/>
        <v>17</v>
      </c>
      <c r="AD44" s="390">
        <f t="shared" si="11"/>
        <v>13</v>
      </c>
      <c r="AE44" s="390">
        <f t="shared" si="11"/>
        <v>0</v>
      </c>
      <c r="AF44" s="390">
        <f t="shared" si="11"/>
        <v>3</v>
      </c>
      <c r="AG44" s="290">
        <f t="shared" si="11"/>
        <v>17</v>
      </c>
      <c r="AH44" s="133">
        <f t="shared" si="11"/>
        <v>9</v>
      </c>
      <c r="AI44" s="133">
        <f t="shared" si="11"/>
        <v>0</v>
      </c>
      <c r="AJ44" s="133">
        <f t="shared" si="11"/>
        <v>8</v>
      </c>
      <c r="AK44" s="820">
        <f t="shared" si="11"/>
        <v>1</v>
      </c>
      <c r="AL44" s="820">
        <f t="shared" si="11"/>
        <v>0</v>
      </c>
      <c r="AM44" s="821">
        <f t="shared" si="11"/>
        <v>0</v>
      </c>
      <c r="AN44" s="821">
        <f t="shared" si="11"/>
        <v>1</v>
      </c>
    </row>
    <row r="45" spans="1:40" ht="15" customHeight="1" x14ac:dyDescent="0.25">
      <c r="A45" s="68" t="s">
        <v>1058</v>
      </c>
      <c r="B45" s="68"/>
      <c r="C45" s="68"/>
      <c r="D45" s="68"/>
      <c r="E45" s="314"/>
      <c r="F45" s="315"/>
      <c r="G45" s="315"/>
      <c r="H45" s="316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02"/>
      <c r="T45" s="68"/>
      <c r="U45" s="68"/>
      <c r="V45" s="68"/>
      <c r="W45" s="68"/>
      <c r="X45" s="302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</row>
    <row r="46" spans="1:40" ht="15" customHeight="1" x14ac:dyDescent="0.25">
      <c r="A46" s="470" t="s">
        <v>253</v>
      </c>
      <c r="B46" s="68"/>
      <c r="C46" s="68"/>
      <c r="D46" s="68"/>
      <c r="E46" s="68"/>
      <c r="F46" s="303"/>
      <c r="G46" s="303"/>
      <c r="H46" s="904"/>
      <c r="I46" s="904"/>
      <c r="J46" s="903"/>
      <c r="K46" s="903"/>
      <c r="L46" s="903"/>
      <c r="M46" s="903"/>
      <c r="N46" s="903"/>
      <c r="O46" s="903"/>
      <c r="P46" s="903"/>
      <c r="Q46" s="903"/>
      <c r="R46" s="903"/>
      <c r="S46" s="68"/>
      <c r="T46" s="68"/>
      <c r="U46" s="68"/>
      <c r="V46" s="68"/>
      <c r="W46" s="68"/>
      <c r="X46" s="302"/>
      <c r="Y46" s="304"/>
      <c r="Z46" s="303"/>
      <c r="AA46" s="303"/>
      <c r="AB46" s="303"/>
      <c r="AC46" s="304"/>
      <c r="AD46" s="303"/>
      <c r="AE46" s="303"/>
      <c r="AF46" s="303"/>
      <c r="AG46" s="304"/>
      <c r="AH46" s="303"/>
      <c r="AI46" s="303"/>
      <c r="AJ46" s="303"/>
    </row>
    <row r="47" spans="1:40" ht="15" customHeight="1" x14ac:dyDescent="0.25">
      <c r="A47" s="68"/>
      <c r="B47" s="68"/>
      <c r="C47" s="68"/>
      <c r="D47" s="68"/>
      <c r="E47" s="68"/>
      <c r="F47" s="317"/>
      <c r="G47" s="317"/>
      <c r="H47" s="304"/>
      <c r="I47" s="318"/>
      <c r="J47" s="317"/>
      <c r="K47" s="317"/>
      <c r="L47" s="317"/>
      <c r="M47" s="317"/>
      <c r="N47" s="317"/>
      <c r="O47" s="317"/>
      <c r="P47" s="317"/>
      <c r="Q47" s="317"/>
      <c r="R47" s="317"/>
      <c r="S47" s="68"/>
      <c r="T47" s="68"/>
      <c r="U47" s="68"/>
      <c r="V47" s="68"/>
      <c r="W47" s="68"/>
      <c r="X47" s="302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</row>
    <row r="48" spans="1:40" ht="15" customHeight="1" x14ac:dyDescent="0.25">
      <c r="A48" s="68"/>
      <c r="B48" s="68"/>
      <c r="C48" s="68"/>
      <c r="D48" s="68"/>
      <c r="E48" s="68"/>
      <c r="F48" s="317"/>
      <c r="G48" s="317"/>
      <c r="H48" s="304"/>
      <c r="I48" s="317"/>
      <c r="J48" s="317"/>
      <c r="K48" s="317"/>
      <c r="L48" s="317"/>
      <c r="M48" s="317"/>
      <c r="N48" s="317"/>
      <c r="O48" s="317"/>
      <c r="P48" s="317"/>
      <c r="Q48" s="317"/>
      <c r="R48" s="317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</row>
    <row r="49" spans="1:36" x14ac:dyDescent="0.25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</row>
    <row r="50" spans="1:36" x14ac:dyDescent="0.25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</row>
    <row r="51" spans="1:36" x14ac:dyDescent="0.25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</row>
    <row r="52" spans="1:36" x14ac:dyDescent="0.2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</row>
    <row r="53" spans="1:36" x14ac:dyDescent="0.25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</row>
    <row r="54" spans="1:36" x14ac:dyDescent="0.25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</row>
    <row r="55" spans="1:36" x14ac:dyDescent="0.25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</row>
    <row r="56" spans="1:36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</row>
    <row r="57" spans="1:36" x14ac:dyDescent="0.25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</row>
    <row r="58" spans="1:36" x14ac:dyDescent="0.25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</row>
    <row r="59" spans="1:36" x14ac:dyDescent="0.25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</row>
    <row r="60" spans="1:36" x14ac:dyDescent="0.25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</row>
    <row r="61" spans="1:36" x14ac:dyDescent="0.25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</row>
    <row r="62" spans="1:36" x14ac:dyDescent="0.25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</row>
    <row r="63" spans="1:36" x14ac:dyDescent="0.25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</row>
    <row r="64" spans="1:36" x14ac:dyDescent="0.25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</row>
    <row r="65" spans="1:36" x14ac:dyDescent="0.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</row>
    <row r="66" spans="1:36" x14ac:dyDescent="0.25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</row>
    <row r="67" spans="1:36" x14ac:dyDescent="0.25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</row>
  </sheetData>
  <mergeCells count="20">
    <mergeCell ref="P1:R1"/>
    <mergeCell ref="P46:R46"/>
    <mergeCell ref="J46:M46"/>
    <mergeCell ref="N46:O46"/>
    <mergeCell ref="H1:I1"/>
    <mergeCell ref="H46:I46"/>
    <mergeCell ref="E1:G1"/>
    <mergeCell ref="A1:D1"/>
    <mergeCell ref="J1:M1"/>
    <mergeCell ref="N1:O1"/>
    <mergeCell ref="C38:E38"/>
    <mergeCell ref="AL14:AM14"/>
    <mergeCell ref="AN14:AO14"/>
    <mergeCell ref="AP14:AQ14"/>
    <mergeCell ref="AR14:AS14"/>
    <mergeCell ref="C44:E44"/>
    <mergeCell ref="C39:E39"/>
    <mergeCell ref="C40:E40"/>
    <mergeCell ref="C41:E41"/>
    <mergeCell ref="C42:E4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47"/>
  <sheetViews>
    <sheetView topLeftCell="V1" workbookViewId="0">
      <pane ySplit="2" topLeftCell="A30" activePane="bottomLeft" state="frozen"/>
      <selection pane="bottomLeft" activeCell="AI5" sqref="AI5"/>
    </sheetView>
  </sheetViews>
  <sheetFormatPr defaultRowHeight="15" x14ac:dyDescent="0.25"/>
  <cols>
    <col min="1" max="1" width="7.7109375" customWidth="1"/>
    <col min="2" max="2" width="5.7109375" customWidth="1"/>
    <col min="3" max="3" width="14.140625" customWidth="1"/>
    <col min="4" max="18" width="3.7109375" customWidth="1"/>
    <col min="19" max="19" width="6.28515625" customWidth="1"/>
    <col min="20" max="20" width="5.7109375" customWidth="1"/>
    <col min="21" max="21" width="22.140625" customWidth="1"/>
    <col min="22" max="24" width="20.42578125" customWidth="1"/>
    <col min="25" max="36" width="3.7109375" customWidth="1"/>
  </cols>
  <sheetData>
    <row r="1" spans="1:37" ht="15" customHeight="1" thickBot="1" x14ac:dyDescent="0.3">
      <c r="A1" s="905" t="s">
        <v>177</v>
      </c>
      <c r="B1" s="906"/>
      <c r="C1" s="906"/>
      <c r="D1" s="907"/>
      <c r="E1" s="908" t="s">
        <v>77</v>
      </c>
      <c r="F1" s="909"/>
      <c r="G1" s="910"/>
      <c r="H1" s="908" t="s">
        <v>76</v>
      </c>
      <c r="I1" s="910"/>
      <c r="J1" s="914" t="s">
        <v>43</v>
      </c>
      <c r="K1" s="915"/>
      <c r="L1" s="915"/>
      <c r="M1" s="916"/>
      <c r="N1" s="914" t="s">
        <v>44</v>
      </c>
      <c r="O1" s="916"/>
      <c r="P1" s="914" t="s">
        <v>79</v>
      </c>
      <c r="Q1" s="915"/>
      <c r="R1" s="916"/>
      <c r="S1" s="118" t="s">
        <v>45</v>
      </c>
      <c r="T1" s="118" t="s">
        <v>46</v>
      </c>
      <c r="U1" s="170" t="s">
        <v>47</v>
      </c>
      <c r="V1" s="118" t="s">
        <v>48</v>
      </c>
      <c r="W1" s="118" t="s">
        <v>151</v>
      </c>
      <c r="X1" s="327" t="s">
        <v>152</v>
      </c>
      <c r="Y1" s="119" t="s">
        <v>71</v>
      </c>
      <c r="Z1" s="120"/>
      <c r="AA1" s="120"/>
      <c r="AB1" s="120"/>
      <c r="AC1" s="170" t="s">
        <v>72</v>
      </c>
      <c r="AD1" s="169"/>
      <c r="AE1" s="169"/>
      <c r="AF1" s="167"/>
      <c r="AG1" s="170" t="s">
        <v>73</v>
      </c>
      <c r="AH1" s="169"/>
      <c r="AI1" s="169"/>
      <c r="AJ1" s="120"/>
      <c r="AK1" t="s">
        <v>936</v>
      </c>
    </row>
    <row r="2" spans="1:37" ht="15" customHeight="1" thickBot="1" x14ac:dyDescent="0.3">
      <c r="A2" s="181" t="s">
        <v>69</v>
      </c>
      <c r="B2" s="182" t="s">
        <v>68</v>
      </c>
      <c r="C2" s="183" t="s">
        <v>67</v>
      </c>
      <c r="D2" s="183" t="s">
        <v>78</v>
      </c>
      <c r="E2" s="121" t="s">
        <v>53</v>
      </c>
      <c r="F2" s="121" t="s">
        <v>37</v>
      </c>
      <c r="G2" s="121" t="s">
        <v>38</v>
      </c>
      <c r="H2" s="122" t="s">
        <v>74</v>
      </c>
      <c r="I2" s="123" t="s">
        <v>75</v>
      </c>
      <c r="J2" s="123" t="s">
        <v>49</v>
      </c>
      <c r="K2" s="123" t="s">
        <v>50</v>
      </c>
      <c r="L2" s="123" t="s">
        <v>35</v>
      </c>
      <c r="M2" s="123" t="s">
        <v>51</v>
      </c>
      <c r="N2" s="123" t="s">
        <v>52</v>
      </c>
      <c r="O2" s="123" t="s">
        <v>53</v>
      </c>
      <c r="P2" s="123" t="s">
        <v>74</v>
      </c>
      <c r="Q2" s="123" t="s">
        <v>75</v>
      </c>
      <c r="R2" s="123" t="s">
        <v>49</v>
      </c>
      <c r="S2" s="171"/>
      <c r="T2" s="172"/>
      <c r="U2" s="173"/>
      <c r="V2" s="171"/>
      <c r="W2" s="171"/>
      <c r="X2" s="174"/>
      <c r="Y2" s="118" t="s">
        <v>33</v>
      </c>
      <c r="Z2" s="118" t="s">
        <v>34</v>
      </c>
      <c r="AA2" s="118" t="s">
        <v>35</v>
      </c>
      <c r="AB2" s="118" t="s">
        <v>36</v>
      </c>
      <c r="AC2" s="118" t="s">
        <v>33</v>
      </c>
      <c r="AD2" s="118" t="s">
        <v>34</v>
      </c>
      <c r="AE2" s="118" t="s">
        <v>35</v>
      </c>
      <c r="AF2" s="118" t="s">
        <v>36</v>
      </c>
      <c r="AG2" s="118" t="s">
        <v>33</v>
      </c>
      <c r="AH2" s="118" t="s">
        <v>34</v>
      </c>
      <c r="AI2" s="118" t="s">
        <v>35</v>
      </c>
      <c r="AJ2" s="118" t="s">
        <v>36</v>
      </c>
    </row>
    <row r="3" spans="1:37" ht="15" customHeight="1" thickBot="1" x14ac:dyDescent="0.3">
      <c r="A3" s="254" t="s">
        <v>191</v>
      </c>
      <c r="B3" s="255" t="s">
        <v>54</v>
      </c>
      <c r="C3" s="247" t="s">
        <v>190</v>
      </c>
      <c r="D3" s="257" t="s">
        <v>38</v>
      </c>
      <c r="E3" s="257" t="s">
        <v>34</v>
      </c>
      <c r="F3" s="257">
        <v>52</v>
      </c>
      <c r="G3" s="258">
        <v>0</v>
      </c>
      <c r="H3" s="259">
        <v>1</v>
      </c>
      <c r="I3" s="260">
        <v>0</v>
      </c>
      <c r="J3" s="260">
        <v>7</v>
      </c>
      <c r="K3" s="260">
        <v>7</v>
      </c>
      <c r="L3" s="260">
        <v>0</v>
      </c>
      <c r="M3" s="260">
        <v>1</v>
      </c>
      <c r="N3" s="260">
        <v>1</v>
      </c>
      <c r="O3" s="260">
        <v>0</v>
      </c>
      <c r="P3" s="260">
        <v>0</v>
      </c>
      <c r="Q3" s="260">
        <v>0</v>
      </c>
      <c r="R3" s="260">
        <v>0</v>
      </c>
      <c r="S3" s="261">
        <v>2776</v>
      </c>
      <c r="T3" s="590" t="s">
        <v>378</v>
      </c>
      <c r="U3" s="263" t="s">
        <v>374</v>
      </c>
      <c r="V3" s="261" t="s">
        <v>375</v>
      </c>
      <c r="W3" s="261" t="s">
        <v>376</v>
      </c>
      <c r="X3" s="264" t="s">
        <v>377</v>
      </c>
      <c r="Y3" s="261">
        <v>1</v>
      </c>
      <c r="Z3" s="261">
        <v>1</v>
      </c>
      <c r="AA3" s="261">
        <v>0</v>
      </c>
      <c r="AB3" s="168">
        <v>0</v>
      </c>
      <c r="AC3" s="261">
        <v>0</v>
      </c>
      <c r="AD3" s="261">
        <v>0</v>
      </c>
      <c r="AE3" s="261">
        <v>0</v>
      </c>
      <c r="AF3" s="168">
        <v>0</v>
      </c>
      <c r="AG3" s="261">
        <v>1</v>
      </c>
      <c r="AH3" s="261">
        <v>1</v>
      </c>
      <c r="AI3" s="261">
        <v>0</v>
      </c>
      <c r="AJ3" s="168">
        <v>0</v>
      </c>
    </row>
    <row r="4" spans="1:37" ht="15" customHeight="1" thickBot="1" x14ac:dyDescent="0.3">
      <c r="A4" s="239" t="s">
        <v>80</v>
      </c>
      <c r="B4" s="240" t="s">
        <v>54</v>
      </c>
      <c r="C4" s="122" t="s">
        <v>28</v>
      </c>
      <c r="D4" s="123" t="s">
        <v>90</v>
      </c>
      <c r="E4" s="123" t="s">
        <v>36</v>
      </c>
      <c r="F4" s="123">
        <v>20</v>
      </c>
      <c r="G4" s="241">
        <v>24</v>
      </c>
      <c r="H4" s="244">
        <v>0</v>
      </c>
      <c r="I4" s="242">
        <v>1</v>
      </c>
      <c r="J4" s="242">
        <v>2</v>
      </c>
      <c r="K4" s="123">
        <v>2</v>
      </c>
      <c r="L4" s="242">
        <v>0</v>
      </c>
      <c r="M4" s="123">
        <v>2</v>
      </c>
      <c r="N4" s="242">
        <v>1</v>
      </c>
      <c r="O4" s="242">
        <v>0</v>
      </c>
      <c r="P4" s="242">
        <v>0</v>
      </c>
      <c r="Q4" s="123">
        <v>0</v>
      </c>
      <c r="R4" s="242">
        <v>2</v>
      </c>
      <c r="S4" s="243">
        <v>9721</v>
      </c>
      <c r="T4" s="591" t="s">
        <v>392</v>
      </c>
      <c r="U4" s="245" t="s">
        <v>345</v>
      </c>
      <c r="V4" s="243" t="s">
        <v>393</v>
      </c>
      <c r="W4" s="243" t="s">
        <v>347</v>
      </c>
      <c r="X4" s="169" t="s">
        <v>348</v>
      </c>
      <c r="Y4" s="243">
        <v>1</v>
      </c>
      <c r="Z4" s="243">
        <v>0</v>
      </c>
      <c r="AA4" s="243">
        <v>0</v>
      </c>
      <c r="AB4" s="167">
        <v>1</v>
      </c>
      <c r="AC4" s="243">
        <v>1</v>
      </c>
      <c r="AD4" s="243">
        <v>0</v>
      </c>
      <c r="AE4" s="243">
        <v>0</v>
      </c>
      <c r="AF4" s="167">
        <v>1</v>
      </c>
      <c r="AG4" s="243">
        <v>0</v>
      </c>
      <c r="AH4" s="243">
        <v>0</v>
      </c>
      <c r="AI4" s="243">
        <v>0</v>
      </c>
      <c r="AJ4" s="167">
        <v>0</v>
      </c>
    </row>
    <row r="5" spans="1:37" ht="15" customHeight="1" thickBot="1" x14ac:dyDescent="0.3">
      <c r="A5" s="256" t="s">
        <v>192</v>
      </c>
      <c r="B5" s="255" t="s">
        <v>54</v>
      </c>
      <c r="C5" s="247" t="s">
        <v>26</v>
      </c>
      <c r="D5" s="257" t="s">
        <v>38</v>
      </c>
      <c r="E5" s="257" t="s">
        <v>34</v>
      </c>
      <c r="F5" s="257">
        <v>25</v>
      </c>
      <c r="G5" s="258">
        <v>22</v>
      </c>
      <c r="H5" s="265">
        <v>0</v>
      </c>
      <c r="I5" s="258">
        <v>0</v>
      </c>
      <c r="J5" s="260">
        <v>1</v>
      </c>
      <c r="K5" s="260">
        <v>1</v>
      </c>
      <c r="L5" s="260">
        <v>0</v>
      </c>
      <c r="M5" s="260">
        <v>6</v>
      </c>
      <c r="N5" s="260">
        <v>1</v>
      </c>
      <c r="O5" s="260">
        <v>0</v>
      </c>
      <c r="P5" s="257">
        <v>0</v>
      </c>
      <c r="Q5" s="260">
        <v>1</v>
      </c>
      <c r="R5" s="257">
        <v>3</v>
      </c>
      <c r="S5" s="261">
        <v>13463</v>
      </c>
      <c r="T5" s="590" t="s">
        <v>420</v>
      </c>
      <c r="U5" s="263" t="s">
        <v>419</v>
      </c>
      <c r="V5" s="261" t="s">
        <v>399</v>
      </c>
      <c r="W5" s="261" t="s">
        <v>376</v>
      </c>
      <c r="X5" s="264" t="s">
        <v>370</v>
      </c>
      <c r="Y5" s="261">
        <v>1</v>
      </c>
      <c r="Z5" s="261">
        <v>1</v>
      </c>
      <c r="AA5" s="261">
        <v>0</v>
      </c>
      <c r="AB5" s="168">
        <v>0</v>
      </c>
      <c r="AC5" s="261">
        <v>0</v>
      </c>
      <c r="AD5" s="261">
        <v>0</v>
      </c>
      <c r="AE5" s="261">
        <v>0</v>
      </c>
      <c r="AF5" s="168">
        <v>0</v>
      </c>
      <c r="AG5" s="261">
        <v>1</v>
      </c>
      <c r="AH5" s="261">
        <v>1</v>
      </c>
      <c r="AI5" s="261">
        <v>0</v>
      </c>
      <c r="AJ5" s="168">
        <v>0</v>
      </c>
    </row>
    <row r="6" spans="1:37" ht="15" customHeight="1" thickBot="1" x14ac:dyDescent="0.3">
      <c r="A6" s="239" t="s">
        <v>193</v>
      </c>
      <c r="B6" s="240" t="s">
        <v>54</v>
      </c>
      <c r="C6" s="122" t="s">
        <v>10</v>
      </c>
      <c r="D6" s="123" t="s">
        <v>90</v>
      </c>
      <c r="E6" s="123" t="s">
        <v>34</v>
      </c>
      <c r="F6" s="123">
        <v>36</v>
      </c>
      <c r="G6" s="241">
        <v>13</v>
      </c>
      <c r="H6" s="241">
        <v>0</v>
      </c>
      <c r="I6" s="242">
        <v>0</v>
      </c>
      <c r="J6" s="123">
        <v>3</v>
      </c>
      <c r="K6" s="123">
        <v>3</v>
      </c>
      <c r="L6" s="242">
        <v>0</v>
      </c>
      <c r="M6" s="242">
        <v>5</v>
      </c>
      <c r="N6" s="242">
        <v>1</v>
      </c>
      <c r="O6" s="242">
        <v>0</v>
      </c>
      <c r="P6" s="242">
        <v>0</v>
      </c>
      <c r="Q6" s="123">
        <v>0</v>
      </c>
      <c r="R6" s="242">
        <v>1</v>
      </c>
      <c r="S6" s="243">
        <v>8860</v>
      </c>
      <c r="T6" s="591" t="s">
        <v>455</v>
      </c>
      <c r="U6" s="245" t="s">
        <v>353</v>
      </c>
      <c r="V6" s="243" t="s">
        <v>399</v>
      </c>
      <c r="W6" s="243" t="s">
        <v>369</v>
      </c>
      <c r="X6" s="169" t="s">
        <v>376</v>
      </c>
      <c r="Y6" s="243">
        <v>1</v>
      </c>
      <c r="Z6" s="243">
        <v>1</v>
      </c>
      <c r="AA6" s="243">
        <v>0</v>
      </c>
      <c r="AB6" s="167">
        <v>0</v>
      </c>
      <c r="AC6" s="243">
        <v>1</v>
      </c>
      <c r="AD6" s="243">
        <v>1</v>
      </c>
      <c r="AE6" s="243">
        <v>0</v>
      </c>
      <c r="AF6" s="167">
        <v>0</v>
      </c>
      <c r="AG6" s="243">
        <v>0</v>
      </c>
      <c r="AH6" s="243">
        <v>0</v>
      </c>
      <c r="AI6" s="243">
        <v>0</v>
      </c>
      <c r="AJ6" s="167">
        <v>0</v>
      </c>
    </row>
    <row r="7" spans="1:37" ht="15" customHeight="1" thickBot="1" x14ac:dyDescent="0.3">
      <c r="A7" s="256" t="s">
        <v>199</v>
      </c>
      <c r="B7" s="255" t="s">
        <v>54</v>
      </c>
      <c r="C7" s="247" t="s">
        <v>66</v>
      </c>
      <c r="D7" s="257" t="s">
        <v>38</v>
      </c>
      <c r="E7" s="257" t="s">
        <v>36</v>
      </c>
      <c r="F7" s="257">
        <v>24</v>
      </c>
      <c r="G7" s="258">
        <v>29</v>
      </c>
      <c r="H7" s="259">
        <v>0</v>
      </c>
      <c r="I7" s="257">
        <v>1</v>
      </c>
      <c r="J7" s="260">
        <v>3</v>
      </c>
      <c r="K7" s="260">
        <v>0</v>
      </c>
      <c r="L7" s="260">
        <v>0</v>
      </c>
      <c r="M7" s="260">
        <v>3</v>
      </c>
      <c r="N7" s="260">
        <v>0</v>
      </c>
      <c r="O7" s="260">
        <v>0</v>
      </c>
      <c r="P7" s="260">
        <v>0</v>
      </c>
      <c r="Q7" s="260">
        <v>0</v>
      </c>
      <c r="R7" s="260">
        <v>3</v>
      </c>
      <c r="S7" s="261">
        <v>4216</v>
      </c>
      <c r="T7" s="590" t="s">
        <v>472</v>
      </c>
      <c r="U7" s="263" t="s">
        <v>452</v>
      </c>
      <c r="V7" s="261" t="s">
        <v>361</v>
      </c>
      <c r="W7" s="261" t="s">
        <v>377</v>
      </c>
      <c r="X7" s="264" t="s">
        <v>340</v>
      </c>
      <c r="Y7" s="261">
        <v>1</v>
      </c>
      <c r="Z7" s="261">
        <v>0</v>
      </c>
      <c r="AA7" s="261">
        <v>0</v>
      </c>
      <c r="AB7" s="168">
        <v>1</v>
      </c>
      <c r="AC7" s="261">
        <v>0</v>
      </c>
      <c r="AD7" s="261">
        <v>0</v>
      </c>
      <c r="AE7" s="261">
        <v>0</v>
      </c>
      <c r="AF7" s="168">
        <v>0</v>
      </c>
      <c r="AG7" s="261">
        <v>1</v>
      </c>
      <c r="AH7" s="261">
        <v>0</v>
      </c>
      <c r="AI7" s="261">
        <v>0</v>
      </c>
      <c r="AJ7" s="168">
        <v>1</v>
      </c>
    </row>
    <row r="8" spans="1:37" ht="15" customHeight="1" thickBot="1" x14ac:dyDescent="0.3">
      <c r="A8" s="239" t="s">
        <v>105</v>
      </c>
      <c r="B8" s="240" t="s">
        <v>54</v>
      </c>
      <c r="C8" s="122" t="s">
        <v>13</v>
      </c>
      <c r="D8" s="123" t="s">
        <v>90</v>
      </c>
      <c r="E8" s="123" t="s">
        <v>34</v>
      </c>
      <c r="F8" s="123">
        <v>44</v>
      </c>
      <c r="G8" s="241">
        <v>24</v>
      </c>
      <c r="H8" s="244">
        <v>1</v>
      </c>
      <c r="I8" s="123">
        <v>0</v>
      </c>
      <c r="J8" s="242">
        <v>5</v>
      </c>
      <c r="K8" s="242">
        <v>5</v>
      </c>
      <c r="L8" s="242">
        <v>0</v>
      </c>
      <c r="M8" s="242">
        <v>3</v>
      </c>
      <c r="N8" s="242">
        <v>0</v>
      </c>
      <c r="O8" s="242">
        <v>0</v>
      </c>
      <c r="P8" s="242">
        <v>0</v>
      </c>
      <c r="Q8" s="242">
        <v>0</v>
      </c>
      <c r="R8" s="242">
        <v>3</v>
      </c>
      <c r="S8" s="243">
        <v>8654</v>
      </c>
      <c r="T8" s="591" t="s">
        <v>484</v>
      </c>
      <c r="U8" s="245" t="s">
        <v>485</v>
      </c>
      <c r="V8" s="243" t="s">
        <v>361</v>
      </c>
      <c r="W8" s="243" t="s">
        <v>356</v>
      </c>
      <c r="X8" s="169" t="s">
        <v>370</v>
      </c>
      <c r="Y8" s="243">
        <v>1</v>
      </c>
      <c r="Z8" s="243">
        <v>1</v>
      </c>
      <c r="AA8" s="243">
        <v>0</v>
      </c>
      <c r="AB8" s="167">
        <v>0</v>
      </c>
      <c r="AC8" s="243">
        <v>1</v>
      </c>
      <c r="AD8" s="243">
        <v>1</v>
      </c>
      <c r="AE8" s="243">
        <v>0</v>
      </c>
      <c r="AF8" s="167">
        <v>0</v>
      </c>
      <c r="AG8" s="243">
        <v>0</v>
      </c>
      <c r="AH8" s="243">
        <v>0</v>
      </c>
      <c r="AI8" s="243">
        <v>0</v>
      </c>
      <c r="AJ8" s="167">
        <v>0</v>
      </c>
    </row>
    <row r="9" spans="1:37" ht="15" customHeight="1" thickBot="1" x14ac:dyDescent="0.3">
      <c r="A9" s="689" t="s">
        <v>107</v>
      </c>
      <c r="B9" s="690" t="s">
        <v>169</v>
      </c>
      <c r="C9" s="704" t="s">
        <v>238</v>
      </c>
      <c r="D9" s="692" t="s">
        <v>38</v>
      </c>
      <c r="E9" s="692" t="s">
        <v>36</v>
      </c>
      <c r="F9" s="692">
        <v>24</v>
      </c>
      <c r="G9" s="693">
        <v>30</v>
      </c>
      <c r="H9" s="694">
        <v>0</v>
      </c>
      <c r="I9" s="695">
        <v>1</v>
      </c>
      <c r="J9" s="695">
        <v>2</v>
      </c>
      <c r="K9" s="695">
        <v>1</v>
      </c>
      <c r="L9" s="695">
        <v>0</v>
      </c>
      <c r="M9" s="695">
        <v>4</v>
      </c>
      <c r="N9" s="695">
        <v>0</v>
      </c>
      <c r="O9" s="695">
        <v>0</v>
      </c>
      <c r="P9" s="695">
        <v>0</v>
      </c>
      <c r="Q9" s="692">
        <v>0</v>
      </c>
      <c r="R9" s="695">
        <v>3</v>
      </c>
      <c r="S9" s="696">
        <v>6813</v>
      </c>
      <c r="T9" s="706" t="s">
        <v>579</v>
      </c>
      <c r="U9" s="698" t="s">
        <v>576</v>
      </c>
      <c r="V9" s="696" t="s">
        <v>510</v>
      </c>
      <c r="W9" s="696" t="s">
        <v>577</v>
      </c>
      <c r="X9" s="699" t="s">
        <v>578</v>
      </c>
      <c r="Y9" s="696">
        <v>1</v>
      </c>
      <c r="Z9" s="696">
        <v>0</v>
      </c>
      <c r="AA9" s="696">
        <v>0</v>
      </c>
      <c r="AB9" s="700">
        <v>1</v>
      </c>
      <c r="AC9" s="696">
        <v>0</v>
      </c>
      <c r="AD9" s="696">
        <v>0</v>
      </c>
      <c r="AE9" s="696">
        <v>0</v>
      </c>
      <c r="AF9" s="700">
        <v>0</v>
      </c>
      <c r="AG9" s="696">
        <v>1</v>
      </c>
      <c r="AH9" s="696">
        <v>0</v>
      </c>
      <c r="AI9" s="696">
        <v>0</v>
      </c>
      <c r="AJ9" s="700">
        <v>1</v>
      </c>
    </row>
    <row r="10" spans="1:37" ht="15" customHeight="1" thickBot="1" x14ac:dyDescent="0.3">
      <c r="A10" s="677" t="s">
        <v>93</v>
      </c>
      <c r="B10" s="678" t="s">
        <v>169</v>
      </c>
      <c r="C10" s="679" t="s">
        <v>243</v>
      </c>
      <c r="D10" s="680" t="s">
        <v>90</v>
      </c>
      <c r="E10" s="680" t="s">
        <v>34</v>
      </c>
      <c r="F10" s="680">
        <v>33</v>
      </c>
      <c r="G10" s="681">
        <v>13</v>
      </c>
      <c r="H10" s="682">
        <v>1</v>
      </c>
      <c r="I10" s="683">
        <v>0</v>
      </c>
      <c r="J10" s="683">
        <v>5</v>
      </c>
      <c r="K10" s="683">
        <v>4</v>
      </c>
      <c r="L10" s="683">
        <v>0</v>
      </c>
      <c r="M10" s="683">
        <v>0</v>
      </c>
      <c r="N10" s="683">
        <v>0</v>
      </c>
      <c r="O10" s="683">
        <v>0</v>
      </c>
      <c r="P10" s="683">
        <v>0</v>
      </c>
      <c r="Q10" s="680">
        <v>0</v>
      </c>
      <c r="R10" s="683">
        <v>1</v>
      </c>
      <c r="S10" s="684">
        <v>8484</v>
      </c>
      <c r="T10" s="707" t="s">
        <v>455</v>
      </c>
      <c r="U10" s="686" t="s">
        <v>597</v>
      </c>
      <c r="V10" s="684" t="s">
        <v>510</v>
      </c>
      <c r="W10" s="684" t="s">
        <v>598</v>
      </c>
      <c r="X10" s="687" t="s">
        <v>599</v>
      </c>
      <c r="Y10" s="684">
        <v>1</v>
      </c>
      <c r="Z10" s="684">
        <v>1</v>
      </c>
      <c r="AA10" s="684">
        <v>0</v>
      </c>
      <c r="AB10" s="688">
        <v>0</v>
      </c>
      <c r="AC10" s="684">
        <v>1</v>
      </c>
      <c r="AD10" s="684">
        <v>1</v>
      </c>
      <c r="AE10" s="684">
        <v>0</v>
      </c>
      <c r="AF10" s="688">
        <v>0</v>
      </c>
      <c r="AG10" s="684">
        <v>0</v>
      </c>
      <c r="AH10" s="684">
        <v>0</v>
      </c>
      <c r="AI10" s="684">
        <v>0</v>
      </c>
      <c r="AJ10" s="688">
        <v>0</v>
      </c>
    </row>
    <row r="11" spans="1:37" ht="15" customHeight="1" thickBot="1" x14ac:dyDescent="0.3">
      <c r="A11" s="251" t="s">
        <v>94</v>
      </c>
      <c r="B11" s="252" t="s">
        <v>96</v>
      </c>
      <c r="C11" s="253" t="s">
        <v>26</v>
      </c>
      <c r="D11" s="269" t="s">
        <v>90</v>
      </c>
      <c r="E11" s="269" t="s">
        <v>34</v>
      </c>
      <c r="F11" s="269">
        <v>28</v>
      </c>
      <c r="G11" s="275">
        <v>27</v>
      </c>
      <c r="H11" s="268">
        <v>0</v>
      </c>
      <c r="I11" s="267">
        <v>0</v>
      </c>
      <c r="J11" s="267">
        <v>3</v>
      </c>
      <c r="K11" s="267">
        <v>2</v>
      </c>
      <c r="L11" s="267">
        <v>0</v>
      </c>
      <c r="M11" s="267">
        <v>3</v>
      </c>
      <c r="N11" s="267">
        <v>1</v>
      </c>
      <c r="O11" s="267">
        <v>0</v>
      </c>
      <c r="P11" s="267">
        <v>0</v>
      </c>
      <c r="Q11" s="269">
        <v>1</v>
      </c>
      <c r="R11" s="267">
        <v>3</v>
      </c>
      <c r="S11" s="294">
        <v>8471</v>
      </c>
      <c r="T11" s="654" t="s">
        <v>516</v>
      </c>
      <c r="U11" s="296" t="s">
        <v>604</v>
      </c>
      <c r="V11" s="297" t="s">
        <v>510</v>
      </c>
      <c r="W11" s="272" t="s">
        <v>370</v>
      </c>
      <c r="X11" s="273" t="s">
        <v>387</v>
      </c>
      <c r="Y11" s="272">
        <v>1</v>
      </c>
      <c r="Z11" s="272">
        <v>1</v>
      </c>
      <c r="AA11" s="272">
        <v>0</v>
      </c>
      <c r="AB11" s="274">
        <v>0</v>
      </c>
      <c r="AC11" s="272">
        <v>1</v>
      </c>
      <c r="AD11" s="272">
        <v>1</v>
      </c>
      <c r="AE11" s="272">
        <v>0</v>
      </c>
      <c r="AF11" s="274">
        <v>0</v>
      </c>
      <c r="AG11" s="272">
        <v>0</v>
      </c>
      <c r="AH11" s="272">
        <v>0</v>
      </c>
      <c r="AI11" s="272">
        <v>0</v>
      </c>
      <c r="AJ11" s="274">
        <v>0</v>
      </c>
    </row>
    <row r="12" spans="1:37" ht="15" customHeight="1" thickBot="1" x14ac:dyDescent="0.3">
      <c r="A12" s="248" t="s">
        <v>95</v>
      </c>
      <c r="B12" s="249" t="s">
        <v>96</v>
      </c>
      <c r="C12" s="250" t="s">
        <v>24</v>
      </c>
      <c r="D12" s="283" t="s">
        <v>90</v>
      </c>
      <c r="E12" s="283" t="s">
        <v>34</v>
      </c>
      <c r="F12" s="283">
        <v>18</v>
      </c>
      <c r="G12" s="284">
        <v>6</v>
      </c>
      <c r="H12" s="277">
        <v>0</v>
      </c>
      <c r="I12" s="276">
        <v>0</v>
      </c>
      <c r="J12" s="276">
        <v>2</v>
      </c>
      <c r="K12" s="276">
        <v>1</v>
      </c>
      <c r="L12" s="276">
        <v>0</v>
      </c>
      <c r="M12" s="276">
        <v>2</v>
      </c>
      <c r="N12" s="276">
        <v>0</v>
      </c>
      <c r="O12" s="276">
        <v>0</v>
      </c>
      <c r="P12" s="276">
        <v>0</v>
      </c>
      <c r="Q12" s="283">
        <v>0</v>
      </c>
      <c r="R12" s="276">
        <v>0</v>
      </c>
      <c r="S12" s="278">
        <v>11785</v>
      </c>
      <c r="T12" s="652" t="s">
        <v>398</v>
      </c>
      <c r="U12" s="279" t="s">
        <v>623</v>
      </c>
      <c r="V12" s="278" t="s">
        <v>510</v>
      </c>
      <c r="W12" s="278" t="s">
        <v>356</v>
      </c>
      <c r="X12" s="280" t="s">
        <v>370</v>
      </c>
      <c r="Y12" s="278">
        <v>1</v>
      </c>
      <c r="Z12" s="278">
        <v>1</v>
      </c>
      <c r="AA12" s="278">
        <v>0</v>
      </c>
      <c r="AB12" s="281">
        <v>0</v>
      </c>
      <c r="AC12" s="278">
        <v>1</v>
      </c>
      <c r="AD12" s="278">
        <v>1</v>
      </c>
      <c r="AE12" s="278">
        <v>0</v>
      </c>
      <c r="AF12" s="281">
        <v>0</v>
      </c>
      <c r="AG12" s="278">
        <v>0</v>
      </c>
      <c r="AH12" s="278">
        <v>0</v>
      </c>
      <c r="AI12" s="278">
        <v>0</v>
      </c>
      <c r="AJ12" s="281">
        <v>0</v>
      </c>
    </row>
    <row r="13" spans="1:37" ht="15" customHeight="1" thickBot="1" x14ac:dyDescent="0.3">
      <c r="A13" s="256" t="s">
        <v>633</v>
      </c>
      <c r="B13" s="255" t="s">
        <v>54</v>
      </c>
      <c r="C13" s="247" t="s">
        <v>27</v>
      </c>
      <c r="D13" s="257" t="s">
        <v>38</v>
      </c>
      <c r="E13" s="257" t="s">
        <v>34</v>
      </c>
      <c r="F13" s="257">
        <v>24</v>
      </c>
      <c r="G13" s="258">
        <v>18</v>
      </c>
      <c r="H13" s="259">
        <v>0</v>
      </c>
      <c r="I13" s="260">
        <v>0</v>
      </c>
      <c r="J13" s="260">
        <v>3</v>
      </c>
      <c r="K13" s="260">
        <v>3</v>
      </c>
      <c r="L13" s="260">
        <v>0</v>
      </c>
      <c r="M13" s="260">
        <v>1</v>
      </c>
      <c r="N13" s="260">
        <v>0</v>
      </c>
      <c r="O13" s="260">
        <v>0</v>
      </c>
      <c r="P13" s="260">
        <v>0</v>
      </c>
      <c r="Q13" s="257">
        <v>1</v>
      </c>
      <c r="R13" s="260">
        <v>2</v>
      </c>
      <c r="S13" s="261">
        <v>13362</v>
      </c>
      <c r="T13" s="590" t="s">
        <v>637</v>
      </c>
      <c r="U13" s="263" t="s">
        <v>636</v>
      </c>
      <c r="V13" s="261" t="s">
        <v>393</v>
      </c>
      <c r="W13" s="261" t="s">
        <v>387</v>
      </c>
      <c r="X13" s="264" t="s">
        <v>348</v>
      </c>
      <c r="Y13" s="261">
        <v>1</v>
      </c>
      <c r="Z13" s="261">
        <v>1</v>
      </c>
      <c r="AA13" s="261">
        <v>0</v>
      </c>
      <c r="AB13" s="168">
        <v>0</v>
      </c>
      <c r="AC13" s="261">
        <v>0</v>
      </c>
      <c r="AD13" s="261">
        <v>0</v>
      </c>
      <c r="AE13" s="261">
        <v>0</v>
      </c>
      <c r="AF13" s="168">
        <v>0</v>
      </c>
      <c r="AG13" s="261">
        <v>1</v>
      </c>
      <c r="AH13" s="261">
        <v>1</v>
      </c>
      <c r="AI13" s="261">
        <v>0</v>
      </c>
      <c r="AJ13" s="168">
        <v>0</v>
      </c>
    </row>
    <row r="14" spans="1:37" ht="15" customHeight="1" thickBot="1" x14ac:dyDescent="0.3">
      <c r="A14" s="239" t="s">
        <v>112</v>
      </c>
      <c r="B14" s="240" t="s">
        <v>54</v>
      </c>
      <c r="C14" s="122" t="s">
        <v>189</v>
      </c>
      <c r="D14" s="123" t="s">
        <v>90</v>
      </c>
      <c r="E14" s="123" t="s">
        <v>34</v>
      </c>
      <c r="F14" s="123">
        <v>31</v>
      </c>
      <c r="G14" s="241">
        <v>15</v>
      </c>
      <c r="H14" s="241">
        <v>0</v>
      </c>
      <c r="I14" s="242">
        <v>0</v>
      </c>
      <c r="J14" s="242">
        <v>3</v>
      </c>
      <c r="K14" s="242">
        <v>2</v>
      </c>
      <c r="L14" s="242">
        <v>0</v>
      </c>
      <c r="M14" s="242">
        <v>4</v>
      </c>
      <c r="N14" s="242">
        <v>1</v>
      </c>
      <c r="O14" s="242">
        <v>0</v>
      </c>
      <c r="P14" s="242">
        <v>0</v>
      </c>
      <c r="Q14" s="123">
        <v>0</v>
      </c>
      <c r="R14" s="242">
        <v>2</v>
      </c>
      <c r="S14" s="243">
        <v>8878</v>
      </c>
      <c r="T14" s="591" t="s">
        <v>659</v>
      </c>
      <c r="U14" s="245" t="s">
        <v>485</v>
      </c>
      <c r="V14" s="243" t="s">
        <v>393</v>
      </c>
      <c r="W14" s="243" t="s">
        <v>347</v>
      </c>
      <c r="X14" s="169" t="s">
        <v>652</v>
      </c>
      <c r="Y14" s="243">
        <v>1</v>
      </c>
      <c r="Z14" s="243">
        <v>1</v>
      </c>
      <c r="AA14" s="243">
        <v>0</v>
      </c>
      <c r="AB14" s="167">
        <v>0</v>
      </c>
      <c r="AC14" s="243">
        <v>1</v>
      </c>
      <c r="AD14" s="243">
        <v>1</v>
      </c>
      <c r="AE14" s="243">
        <v>0</v>
      </c>
      <c r="AF14" s="167">
        <v>0</v>
      </c>
      <c r="AG14" s="243">
        <v>0</v>
      </c>
      <c r="AH14" s="243">
        <v>0</v>
      </c>
      <c r="AI14" s="243">
        <v>0</v>
      </c>
      <c r="AJ14" s="167">
        <v>0</v>
      </c>
    </row>
    <row r="15" spans="1:37" ht="15" customHeight="1" thickBot="1" x14ac:dyDescent="0.3">
      <c r="A15" s="239" t="s">
        <v>154</v>
      </c>
      <c r="B15" s="240" t="s">
        <v>54</v>
      </c>
      <c r="C15" s="122" t="s">
        <v>21</v>
      </c>
      <c r="D15" s="123" t="s">
        <v>90</v>
      </c>
      <c r="E15" s="123" t="s">
        <v>34</v>
      </c>
      <c r="F15" s="123">
        <v>27</v>
      </c>
      <c r="G15" s="241">
        <v>19</v>
      </c>
      <c r="H15" s="244">
        <v>0</v>
      </c>
      <c r="I15" s="242">
        <v>0</v>
      </c>
      <c r="J15" s="242">
        <v>0</v>
      </c>
      <c r="K15" s="242">
        <v>0</v>
      </c>
      <c r="L15" s="242">
        <v>0</v>
      </c>
      <c r="M15" s="242">
        <v>9</v>
      </c>
      <c r="N15" s="123">
        <v>0</v>
      </c>
      <c r="O15" s="242">
        <v>0</v>
      </c>
      <c r="P15" s="242">
        <v>0</v>
      </c>
      <c r="Q15" s="123">
        <v>0</v>
      </c>
      <c r="R15" s="242">
        <v>1</v>
      </c>
      <c r="S15" s="243">
        <v>10335</v>
      </c>
      <c r="T15" s="591" t="s">
        <v>675</v>
      </c>
      <c r="U15" s="245" t="s">
        <v>367</v>
      </c>
      <c r="V15" s="243" t="s">
        <v>399</v>
      </c>
      <c r="W15" s="243" t="s">
        <v>347</v>
      </c>
      <c r="X15" s="169" t="s">
        <v>355</v>
      </c>
      <c r="Y15" s="243">
        <v>1</v>
      </c>
      <c r="Z15" s="243">
        <v>1</v>
      </c>
      <c r="AA15" s="243">
        <v>0</v>
      </c>
      <c r="AB15" s="167">
        <v>0</v>
      </c>
      <c r="AC15" s="243">
        <v>1</v>
      </c>
      <c r="AD15" s="243">
        <v>1</v>
      </c>
      <c r="AE15" s="243">
        <v>0</v>
      </c>
      <c r="AF15" s="167">
        <v>0</v>
      </c>
      <c r="AG15" s="243">
        <v>0</v>
      </c>
      <c r="AH15" s="243">
        <v>0</v>
      </c>
      <c r="AI15" s="243">
        <v>0</v>
      </c>
      <c r="AJ15" s="167">
        <v>0</v>
      </c>
    </row>
    <row r="16" spans="1:37" ht="15" customHeight="1" thickBot="1" x14ac:dyDescent="0.3">
      <c r="A16" s="689" t="s">
        <v>701</v>
      </c>
      <c r="B16" s="690" t="s">
        <v>169</v>
      </c>
      <c r="C16" s="691" t="s">
        <v>246</v>
      </c>
      <c r="D16" s="692" t="s">
        <v>38</v>
      </c>
      <c r="E16" s="692" t="s">
        <v>34</v>
      </c>
      <c r="F16" s="692">
        <v>36</v>
      </c>
      <c r="G16" s="693">
        <v>10</v>
      </c>
      <c r="H16" s="694">
        <v>1</v>
      </c>
      <c r="I16" s="695">
        <v>0</v>
      </c>
      <c r="J16" s="695">
        <v>4</v>
      </c>
      <c r="K16" s="695">
        <v>2</v>
      </c>
      <c r="L16" s="695">
        <v>0</v>
      </c>
      <c r="M16" s="695">
        <v>4</v>
      </c>
      <c r="N16" s="695">
        <v>0</v>
      </c>
      <c r="O16" s="695">
        <v>0</v>
      </c>
      <c r="P16" s="695">
        <v>0</v>
      </c>
      <c r="Q16" s="692">
        <v>0</v>
      </c>
      <c r="R16" s="695">
        <v>1</v>
      </c>
      <c r="S16" s="701">
        <v>10864</v>
      </c>
      <c r="T16" s="708" t="s">
        <v>702</v>
      </c>
      <c r="U16" s="698" t="s">
        <v>585</v>
      </c>
      <c r="V16" s="696" t="s">
        <v>588</v>
      </c>
      <c r="W16" s="696" t="s">
        <v>586</v>
      </c>
      <c r="X16" s="699" t="s">
        <v>587</v>
      </c>
      <c r="Y16" s="696">
        <v>1</v>
      </c>
      <c r="Z16" s="696">
        <v>1</v>
      </c>
      <c r="AA16" s="696">
        <v>0</v>
      </c>
      <c r="AB16" s="700">
        <v>0</v>
      </c>
      <c r="AC16" s="696">
        <v>0</v>
      </c>
      <c r="AD16" s="696">
        <v>0</v>
      </c>
      <c r="AE16" s="696">
        <v>0</v>
      </c>
      <c r="AF16" s="700">
        <v>0</v>
      </c>
      <c r="AG16" s="696">
        <v>1</v>
      </c>
      <c r="AH16" s="696">
        <v>1</v>
      </c>
      <c r="AI16" s="696">
        <v>0</v>
      </c>
      <c r="AJ16" s="700">
        <v>0</v>
      </c>
    </row>
    <row r="17" spans="1:40" ht="15" customHeight="1" thickBot="1" x14ac:dyDescent="0.3">
      <c r="A17" s="677" t="s">
        <v>122</v>
      </c>
      <c r="B17" s="678" t="s">
        <v>169</v>
      </c>
      <c r="C17" s="679" t="s">
        <v>246</v>
      </c>
      <c r="D17" s="680" t="s">
        <v>90</v>
      </c>
      <c r="E17" s="680" t="s">
        <v>34</v>
      </c>
      <c r="F17" s="680">
        <v>41</v>
      </c>
      <c r="G17" s="681">
        <v>17</v>
      </c>
      <c r="H17" s="682">
        <v>1</v>
      </c>
      <c r="I17" s="683">
        <v>0</v>
      </c>
      <c r="J17" s="683">
        <v>6</v>
      </c>
      <c r="K17" s="683">
        <v>4</v>
      </c>
      <c r="L17" s="683">
        <v>0</v>
      </c>
      <c r="M17" s="683">
        <v>1</v>
      </c>
      <c r="N17" s="683">
        <v>0</v>
      </c>
      <c r="O17" s="683">
        <v>0</v>
      </c>
      <c r="P17" s="683">
        <v>0</v>
      </c>
      <c r="Q17" s="683">
        <v>0</v>
      </c>
      <c r="R17" s="683">
        <v>2</v>
      </c>
      <c r="S17" s="684">
        <v>9043</v>
      </c>
      <c r="T17" s="707" t="s">
        <v>703</v>
      </c>
      <c r="U17" s="686" t="s">
        <v>527</v>
      </c>
      <c r="V17" s="684" t="s">
        <v>510</v>
      </c>
      <c r="W17" s="684" t="s">
        <v>694</v>
      </c>
      <c r="X17" s="687" t="s">
        <v>700</v>
      </c>
      <c r="Y17" s="684">
        <v>1</v>
      </c>
      <c r="Z17" s="684">
        <v>1</v>
      </c>
      <c r="AA17" s="684">
        <v>0</v>
      </c>
      <c r="AB17" s="688">
        <v>0</v>
      </c>
      <c r="AC17" s="684">
        <v>1</v>
      </c>
      <c r="AD17" s="684">
        <v>1</v>
      </c>
      <c r="AE17" s="684">
        <v>0</v>
      </c>
      <c r="AF17" s="688">
        <v>0</v>
      </c>
      <c r="AG17" s="684">
        <v>0</v>
      </c>
      <c r="AH17" s="684">
        <v>0</v>
      </c>
      <c r="AI17" s="684">
        <v>0</v>
      </c>
      <c r="AJ17" s="688">
        <v>0</v>
      </c>
    </row>
    <row r="18" spans="1:40" ht="15" customHeight="1" thickBot="1" x14ac:dyDescent="0.3">
      <c r="A18" s="256" t="s">
        <v>704</v>
      </c>
      <c r="B18" s="255" t="s">
        <v>54</v>
      </c>
      <c r="C18" s="247" t="s">
        <v>29</v>
      </c>
      <c r="D18" s="257" t="s">
        <v>38</v>
      </c>
      <c r="E18" s="257" t="s">
        <v>36</v>
      </c>
      <c r="F18" s="257">
        <v>11</v>
      </c>
      <c r="G18" s="258">
        <v>18</v>
      </c>
      <c r="H18" s="259">
        <v>0</v>
      </c>
      <c r="I18" s="260">
        <v>1</v>
      </c>
      <c r="J18" s="260">
        <v>1</v>
      </c>
      <c r="K18" s="260">
        <v>0</v>
      </c>
      <c r="L18" s="260">
        <v>0</v>
      </c>
      <c r="M18" s="260">
        <v>2</v>
      </c>
      <c r="N18" s="260">
        <v>2</v>
      </c>
      <c r="O18" s="260">
        <v>0</v>
      </c>
      <c r="P18" s="260">
        <v>0</v>
      </c>
      <c r="Q18" s="260">
        <v>0</v>
      </c>
      <c r="R18" s="260">
        <v>2</v>
      </c>
      <c r="S18" s="261">
        <v>5266</v>
      </c>
      <c r="T18" s="516" t="s">
        <v>734</v>
      </c>
      <c r="U18" s="263" t="s">
        <v>338</v>
      </c>
      <c r="V18" s="261" t="s">
        <v>375</v>
      </c>
      <c r="W18" s="261" t="s">
        <v>348</v>
      </c>
      <c r="X18" s="264" t="s">
        <v>390</v>
      </c>
      <c r="Y18" s="261">
        <v>1</v>
      </c>
      <c r="Z18" s="261">
        <v>0</v>
      </c>
      <c r="AA18" s="261">
        <v>0</v>
      </c>
      <c r="AB18" s="168">
        <v>1</v>
      </c>
      <c r="AC18" s="261">
        <v>0</v>
      </c>
      <c r="AD18" s="261">
        <v>0</v>
      </c>
      <c r="AE18" s="261">
        <v>0</v>
      </c>
      <c r="AF18" s="168">
        <v>0</v>
      </c>
      <c r="AG18" s="261">
        <v>1</v>
      </c>
      <c r="AH18" s="261">
        <v>0</v>
      </c>
      <c r="AI18" s="261">
        <v>0</v>
      </c>
      <c r="AJ18" s="168">
        <v>1</v>
      </c>
    </row>
    <row r="19" spans="1:40" ht="15" customHeight="1" thickBot="1" x14ac:dyDescent="0.3">
      <c r="A19" s="256" t="s">
        <v>98</v>
      </c>
      <c r="B19" s="255" t="s">
        <v>54</v>
      </c>
      <c r="C19" s="247" t="s">
        <v>24</v>
      </c>
      <c r="D19" s="257" t="s">
        <v>38</v>
      </c>
      <c r="E19" s="257" t="s">
        <v>36</v>
      </c>
      <c r="F19" s="257">
        <v>14</v>
      </c>
      <c r="G19" s="258">
        <v>31</v>
      </c>
      <c r="H19" s="259">
        <v>0</v>
      </c>
      <c r="I19" s="260">
        <v>0</v>
      </c>
      <c r="J19" s="260">
        <v>2</v>
      </c>
      <c r="K19" s="260">
        <v>2</v>
      </c>
      <c r="L19" s="260">
        <v>0</v>
      </c>
      <c r="M19" s="260">
        <v>0</v>
      </c>
      <c r="N19" s="260">
        <v>1</v>
      </c>
      <c r="O19" s="260">
        <v>0</v>
      </c>
      <c r="P19" s="260">
        <v>1</v>
      </c>
      <c r="Q19" s="260">
        <v>0</v>
      </c>
      <c r="R19" s="260">
        <v>4</v>
      </c>
      <c r="S19" s="261">
        <v>13349</v>
      </c>
      <c r="T19" s="262" t="s">
        <v>760</v>
      </c>
      <c r="U19" s="263" t="s">
        <v>345</v>
      </c>
      <c r="V19" s="261" t="s">
        <v>399</v>
      </c>
      <c r="W19" s="261" t="s">
        <v>347</v>
      </c>
      <c r="X19" s="264" t="s">
        <v>376</v>
      </c>
      <c r="Y19" s="261">
        <v>1</v>
      </c>
      <c r="Z19" s="261">
        <v>0</v>
      </c>
      <c r="AA19" s="261">
        <v>0</v>
      </c>
      <c r="AB19" s="168">
        <v>1</v>
      </c>
      <c r="AC19" s="261">
        <v>0</v>
      </c>
      <c r="AD19" s="261">
        <v>0</v>
      </c>
      <c r="AE19" s="261">
        <v>0</v>
      </c>
      <c r="AF19" s="168">
        <v>0</v>
      </c>
      <c r="AG19" s="261">
        <v>1</v>
      </c>
      <c r="AH19" s="261">
        <v>0</v>
      </c>
      <c r="AI19" s="261">
        <v>0</v>
      </c>
      <c r="AJ19" s="168">
        <v>1</v>
      </c>
    </row>
    <row r="20" spans="1:40" ht="15" customHeight="1" thickBot="1" x14ac:dyDescent="0.3">
      <c r="A20" s="239" t="s">
        <v>99</v>
      </c>
      <c r="B20" s="240" t="s">
        <v>54</v>
      </c>
      <c r="C20" s="122" t="s">
        <v>26</v>
      </c>
      <c r="D20" s="123" t="s">
        <v>90</v>
      </c>
      <c r="E20" s="123" t="s">
        <v>36</v>
      </c>
      <c r="F20" s="123">
        <v>25</v>
      </c>
      <c r="G20" s="241">
        <v>26</v>
      </c>
      <c r="H20" s="244">
        <v>0</v>
      </c>
      <c r="I20" s="242">
        <v>1</v>
      </c>
      <c r="J20" s="242">
        <v>3</v>
      </c>
      <c r="K20" s="242">
        <v>2</v>
      </c>
      <c r="L20" s="242">
        <v>0</v>
      </c>
      <c r="M20" s="242">
        <v>2</v>
      </c>
      <c r="N20" s="242">
        <v>0</v>
      </c>
      <c r="O20" s="242">
        <v>0</v>
      </c>
      <c r="P20" s="242">
        <v>0</v>
      </c>
      <c r="Q20" s="242">
        <v>0</v>
      </c>
      <c r="R20" s="242">
        <v>2</v>
      </c>
      <c r="S20" s="661">
        <v>12621</v>
      </c>
      <c r="T20" s="246" t="s">
        <v>788</v>
      </c>
      <c r="U20" s="245" t="s">
        <v>353</v>
      </c>
      <c r="V20" s="243" t="s">
        <v>368</v>
      </c>
      <c r="W20" s="243" t="s">
        <v>360</v>
      </c>
      <c r="X20" s="169" t="s">
        <v>348</v>
      </c>
      <c r="Y20" s="243">
        <v>1</v>
      </c>
      <c r="Z20" s="243">
        <v>0</v>
      </c>
      <c r="AA20" s="243">
        <v>0</v>
      </c>
      <c r="AB20" s="167">
        <v>1</v>
      </c>
      <c r="AC20" s="243">
        <v>1</v>
      </c>
      <c r="AD20" s="243">
        <v>0</v>
      </c>
      <c r="AE20" s="243">
        <v>0</v>
      </c>
      <c r="AF20" s="167">
        <v>1</v>
      </c>
      <c r="AG20" s="243">
        <v>0</v>
      </c>
      <c r="AH20" s="243">
        <v>0</v>
      </c>
      <c r="AI20" s="243">
        <v>0</v>
      </c>
      <c r="AJ20" s="167">
        <v>0</v>
      </c>
    </row>
    <row r="21" spans="1:40" ht="15" customHeight="1" thickBot="1" x14ac:dyDescent="0.3">
      <c r="A21" s="256" t="s">
        <v>200</v>
      </c>
      <c r="B21" s="255" t="s">
        <v>54</v>
      </c>
      <c r="C21" s="247" t="s">
        <v>13</v>
      </c>
      <c r="D21" s="257" t="s">
        <v>38</v>
      </c>
      <c r="E21" s="257" t="s">
        <v>36</v>
      </c>
      <c r="F21" s="257">
        <v>26</v>
      </c>
      <c r="G21" s="258">
        <v>28</v>
      </c>
      <c r="H21" s="259">
        <v>0</v>
      </c>
      <c r="I21" s="260">
        <v>1</v>
      </c>
      <c r="J21" s="260">
        <v>2</v>
      </c>
      <c r="K21" s="260">
        <v>2</v>
      </c>
      <c r="L21" s="260">
        <v>0</v>
      </c>
      <c r="M21" s="260">
        <v>4</v>
      </c>
      <c r="N21" s="260">
        <v>0</v>
      </c>
      <c r="O21" s="260">
        <v>0</v>
      </c>
      <c r="P21" s="260">
        <v>1</v>
      </c>
      <c r="Q21" s="260">
        <v>0</v>
      </c>
      <c r="R21" s="260">
        <v>4</v>
      </c>
      <c r="S21" s="261">
        <v>5909</v>
      </c>
      <c r="T21" s="590" t="s">
        <v>818</v>
      </c>
      <c r="U21" s="263" t="s">
        <v>374</v>
      </c>
      <c r="V21" s="261" t="s">
        <v>375</v>
      </c>
      <c r="W21" s="261" t="s">
        <v>355</v>
      </c>
      <c r="X21" s="264" t="s">
        <v>370</v>
      </c>
      <c r="Y21" s="261">
        <v>1</v>
      </c>
      <c r="Z21" s="261">
        <v>0</v>
      </c>
      <c r="AA21" s="261">
        <v>0</v>
      </c>
      <c r="AB21" s="168">
        <v>1</v>
      </c>
      <c r="AC21" s="261">
        <v>0</v>
      </c>
      <c r="AD21" s="261">
        <v>0</v>
      </c>
      <c r="AE21" s="261">
        <v>0</v>
      </c>
      <c r="AF21" s="168">
        <v>0</v>
      </c>
      <c r="AG21" s="261">
        <v>1</v>
      </c>
      <c r="AH21" s="261">
        <v>0</v>
      </c>
      <c r="AI21" s="261">
        <v>0</v>
      </c>
      <c r="AJ21" s="168">
        <v>1</v>
      </c>
    </row>
    <row r="22" spans="1:40" ht="15" customHeight="1" thickBot="1" x14ac:dyDescent="0.3">
      <c r="A22" s="689" t="s">
        <v>776</v>
      </c>
      <c r="B22" s="690" t="s">
        <v>169</v>
      </c>
      <c r="C22" s="691" t="s">
        <v>243</v>
      </c>
      <c r="D22" s="692" t="s">
        <v>38</v>
      </c>
      <c r="E22" s="692" t="s">
        <v>34</v>
      </c>
      <c r="F22" s="692">
        <v>33</v>
      </c>
      <c r="G22" s="693">
        <v>24</v>
      </c>
      <c r="H22" s="694">
        <v>0</v>
      </c>
      <c r="I22" s="695">
        <v>0</v>
      </c>
      <c r="J22" s="695">
        <v>3</v>
      </c>
      <c r="K22" s="695">
        <v>3</v>
      </c>
      <c r="L22" s="695">
        <v>0</v>
      </c>
      <c r="M22" s="695">
        <v>4</v>
      </c>
      <c r="N22" s="692">
        <v>0</v>
      </c>
      <c r="O22" s="695">
        <v>0</v>
      </c>
      <c r="P22" s="695">
        <v>1</v>
      </c>
      <c r="Q22" s="695">
        <v>0</v>
      </c>
      <c r="R22" s="695">
        <v>4</v>
      </c>
      <c r="S22" s="696">
        <v>5088</v>
      </c>
      <c r="T22" s="709" t="s">
        <v>453</v>
      </c>
      <c r="U22" s="698" t="s">
        <v>834</v>
      </c>
      <c r="V22" s="696" t="s">
        <v>718</v>
      </c>
      <c r="W22" s="696" t="s">
        <v>598</v>
      </c>
      <c r="X22" s="699" t="s">
        <v>542</v>
      </c>
      <c r="Y22" s="696">
        <v>1</v>
      </c>
      <c r="Z22" s="696">
        <v>1</v>
      </c>
      <c r="AA22" s="696">
        <v>0</v>
      </c>
      <c r="AB22" s="700">
        <v>0</v>
      </c>
      <c r="AC22" s="696">
        <v>0</v>
      </c>
      <c r="AD22" s="696">
        <v>0</v>
      </c>
      <c r="AE22" s="696">
        <v>0</v>
      </c>
      <c r="AF22" s="700">
        <v>0</v>
      </c>
      <c r="AG22" s="696">
        <v>1</v>
      </c>
      <c r="AH22" s="696">
        <v>1</v>
      </c>
      <c r="AI22" s="696">
        <v>0</v>
      </c>
      <c r="AJ22" s="700">
        <v>0</v>
      </c>
    </row>
    <row r="23" spans="1:40" ht="15" customHeight="1" thickBot="1" x14ac:dyDescent="0.3">
      <c r="A23" s="677" t="s">
        <v>102</v>
      </c>
      <c r="B23" s="678" t="s">
        <v>169</v>
      </c>
      <c r="C23" s="679" t="s">
        <v>238</v>
      </c>
      <c r="D23" s="680" t="s">
        <v>90</v>
      </c>
      <c r="E23" s="680" t="s">
        <v>34</v>
      </c>
      <c r="F23" s="680">
        <v>45</v>
      </c>
      <c r="G23" s="681">
        <v>3</v>
      </c>
      <c r="H23" s="682">
        <v>1</v>
      </c>
      <c r="I23" s="683">
        <v>0</v>
      </c>
      <c r="J23" s="683">
        <v>6</v>
      </c>
      <c r="K23" s="683">
        <v>3</v>
      </c>
      <c r="L23" s="683">
        <v>0</v>
      </c>
      <c r="M23" s="683">
        <v>3</v>
      </c>
      <c r="N23" s="683">
        <v>0</v>
      </c>
      <c r="O23" s="683">
        <v>0</v>
      </c>
      <c r="P23" s="683">
        <v>0</v>
      </c>
      <c r="Q23" s="683">
        <v>0</v>
      </c>
      <c r="R23" s="683">
        <v>0</v>
      </c>
      <c r="S23" s="684">
        <v>8830</v>
      </c>
      <c r="T23" s="707" t="s">
        <v>787</v>
      </c>
      <c r="U23" s="686" t="s">
        <v>585</v>
      </c>
      <c r="V23" s="684" t="s">
        <v>510</v>
      </c>
      <c r="W23" s="684" t="s">
        <v>835</v>
      </c>
      <c r="X23" s="687" t="s">
        <v>836</v>
      </c>
      <c r="Y23" s="684">
        <v>1</v>
      </c>
      <c r="Z23" s="684">
        <v>1</v>
      </c>
      <c r="AA23" s="684">
        <v>0</v>
      </c>
      <c r="AB23" s="688">
        <v>0</v>
      </c>
      <c r="AC23" s="684">
        <v>1</v>
      </c>
      <c r="AD23" s="684">
        <v>1</v>
      </c>
      <c r="AE23" s="684">
        <v>0</v>
      </c>
      <c r="AF23" s="688">
        <v>0</v>
      </c>
      <c r="AG23" s="684">
        <v>0</v>
      </c>
      <c r="AH23" s="684">
        <v>0</v>
      </c>
      <c r="AI23" s="684">
        <v>0</v>
      </c>
      <c r="AJ23" s="688">
        <v>0</v>
      </c>
    </row>
    <row r="24" spans="1:40" ht="15" customHeight="1" thickBot="1" x14ac:dyDescent="0.3">
      <c r="A24" s="251" t="s">
        <v>249</v>
      </c>
      <c r="B24" s="252" t="s">
        <v>96</v>
      </c>
      <c r="C24" s="253" t="s">
        <v>242</v>
      </c>
      <c r="D24" s="269" t="s">
        <v>38</v>
      </c>
      <c r="E24" s="269" t="s">
        <v>34</v>
      </c>
      <c r="F24" s="269">
        <v>37</v>
      </c>
      <c r="G24" s="275">
        <v>32</v>
      </c>
      <c r="H24" s="268">
        <v>1</v>
      </c>
      <c r="I24" s="267">
        <v>0</v>
      </c>
      <c r="J24" s="269">
        <v>5</v>
      </c>
      <c r="K24" s="267">
        <v>3</v>
      </c>
      <c r="L24" s="267">
        <v>0</v>
      </c>
      <c r="M24" s="267">
        <v>2</v>
      </c>
      <c r="N24" s="267">
        <v>1</v>
      </c>
      <c r="O24" s="267">
        <v>0</v>
      </c>
      <c r="P24" s="267">
        <v>1</v>
      </c>
      <c r="Q24" s="267">
        <v>1</v>
      </c>
      <c r="R24" s="267">
        <v>4</v>
      </c>
      <c r="S24" s="270">
        <v>5081</v>
      </c>
      <c r="T24" s="655" t="s">
        <v>675</v>
      </c>
      <c r="U24" s="271" t="s">
        <v>860</v>
      </c>
      <c r="V24" s="272" t="s">
        <v>510</v>
      </c>
      <c r="W24" s="272" t="s">
        <v>623</v>
      </c>
      <c r="X24" s="273" t="s">
        <v>529</v>
      </c>
      <c r="Y24" s="272">
        <v>1</v>
      </c>
      <c r="Z24" s="272">
        <v>1</v>
      </c>
      <c r="AA24" s="272">
        <v>0</v>
      </c>
      <c r="AB24" s="274">
        <v>0</v>
      </c>
      <c r="AC24" s="272">
        <v>0</v>
      </c>
      <c r="AD24" s="272">
        <v>0</v>
      </c>
      <c r="AE24" s="272">
        <v>0</v>
      </c>
      <c r="AF24" s="274">
        <v>0</v>
      </c>
      <c r="AG24" s="272">
        <v>1</v>
      </c>
      <c r="AH24" s="272">
        <v>1</v>
      </c>
      <c r="AI24" s="272">
        <v>0</v>
      </c>
      <c r="AJ24" s="274">
        <v>0</v>
      </c>
    </row>
    <row r="25" spans="1:40" ht="15" customHeight="1" thickBot="1" x14ac:dyDescent="0.3">
      <c r="A25" s="251" t="s">
        <v>777</v>
      </c>
      <c r="B25" s="252" t="s">
        <v>96</v>
      </c>
      <c r="C25" s="253" t="s">
        <v>21</v>
      </c>
      <c r="D25" s="269" t="s">
        <v>38</v>
      </c>
      <c r="E25" s="269" t="s">
        <v>36</v>
      </c>
      <c r="F25" s="269">
        <v>18</v>
      </c>
      <c r="G25" s="275">
        <v>35</v>
      </c>
      <c r="H25" s="268">
        <v>0</v>
      </c>
      <c r="I25" s="267">
        <v>0</v>
      </c>
      <c r="J25" s="267">
        <v>2</v>
      </c>
      <c r="K25" s="267">
        <v>1</v>
      </c>
      <c r="L25" s="267">
        <v>0</v>
      </c>
      <c r="M25" s="267">
        <v>2</v>
      </c>
      <c r="N25" s="267">
        <v>1</v>
      </c>
      <c r="O25" s="267">
        <v>0</v>
      </c>
      <c r="P25" s="267">
        <v>1</v>
      </c>
      <c r="Q25" s="267">
        <v>0</v>
      </c>
      <c r="R25" s="267">
        <v>5</v>
      </c>
      <c r="S25" s="272">
        <v>6124</v>
      </c>
      <c r="T25" s="651" t="s">
        <v>874</v>
      </c>
      <c r="U25" s="271" t="s">
        <v>614</v>
      </c>
      <c r="V25" s="272" t="s">
        <v>368</v>
      </c>
      <c r="W25" s="272" t="s">
        <v>340</v>
      </c>
      <c r="X25" s="273" t="s">
        <v>869</v>
      </c>
      <c r="Y25" s="272">
        <v>1</v>
      </c>
      <c r="Z25" s="272">
        <v>0</v>
      </c>
      <c r="AA25" s="272">
        <v>0</v>
      </c>
      <c r="AB25" s="274">
        <v>1</v>
      </c>
      <c r="AC25" s="272">
        <v>0</v>
      </c>
      <c r="AD25" s="272">
        <v>0</v>
      </c>
      <c r="AE25" s="272">
        <v>0</v>
      </c>
      <c r="AF25" s="274">
        <v>0</v>
      </c>
      <c r="AG25" s="272">
        <v>1</v>
      </c>
      <c r="AH25" s="272">
        <v>0</v>
      </c>
      <c r="AI25" s="272">
        <v>0</v>
      </c>
      <c r="AJ25" s="274">
        <v>1</v>
      </c>
    </row>
    <row r="26" spans="1:40" ht="15" customHeight="1" thickBot="1" x14ac:dyDescent="0.3">
      <c r="A26" s="239" t="s">
        <v>106</v>
      </c>
      <c r="B26" s="240" t="s">
        <v>54</v>
      </c>
      <c r="C26" s="122" t="s">
        <v>66</v>
      </c>
      <c r="D26" s="123" t="s">
        <v>90</v>
      </c>
      <c r="E26" s="123" t="s">
        <v>34</v>
      </c>
      <c r="F26" s="123">
        <v>46</v>
      </c>
      <c r="G26" s="241">
        <v>17</v>
      </c>
      <c r="H26" s="244">
        <v>1</v>
      </c>
      <c r="I26" s="242">
        <v>0</v>
      </c>
      <c r="J26" s="242">
        <v>6</v>
      </c>
      <c r="K26" s="242">
        <v>5</v>
      </c>
      <c r="L26" s="242">
        <v>0</v>
      </c>
      <c r="M26" s="242">
        <v>2</v>
      </c>
      <c r="N26" s="242">
        <v>0</v>
      </c>
      <c r="O26" s="242">
        <v>0</v>
      </c>
      <c r="P26" s="242">
        <v>0</v>
      </c>
      <c r="Q26" s="242">
        <v>0</v>
      </c>
      <c r="R26" s="242">
        <v>2</v>
      </c>
      <c r="S26" s="243">
        <v>7218</v>
      </c>
      <c r="T26" s="591" t="s">
        <v>879</v>
      </c>
      <c r="U26" s="245" t="s">
        <v>880</v>
      </c>
      <c r="V26" s="243" t="s">
        <v>368</v>
      </c>
      <c r="W26" s="243" t="s">
        <v>355</v>
      </c>
      <c r="X26" s="169" t="s">
        <v>686</v>
      </c>
      <c r="Y26" s="243">
        <v>1</v>
      </c>
      <c r="Z26" s="243">
        <v>1</v>
      </c>
      <c r="AA26" s="243">
        <v>0</v>
      </c>
      <c r="AB26" s="167">
        <v>0</v>
      </c>
      <c r="AC26" s="243">
        <v>1</v>
      </c>
      <c r="AD26" s="243">
        <v>1</v>
      </c>
      <c r="AE26" s="243">
        <v>0</v>
      </c>
      <c r="AF26" s="167">
        <v>0</v>
      </c>
      <c r="AG26" s="243">
        <v>0</v>
      </c>
      <c r="AH26" s="243">
        <v>0</v>
      </c>
      <c r="AI26" s="243">
        <v>0</v>
      </c>
      <c r="AJ26" s="167">
        <v>0</v>
      </c>
    </row>
    <row r="27" spans="1:40" ht="15" customHeight="1" thickBot="1" x14ac:dyDescent="0.3">
      <c r="A27" s="256" t="s">
        <v>156</v>
      </c>
      <c r="B27" s="255" t="s">
        <v>54</v>
      </c>
      <c r="C27" s="247" t="s">
        <v>10</v>
      </c>
      <c r="D27" s="257" t="s">
        <v>38</v>
      </c>
      <c r="E27" s="257" t="s">
        <v>34</v>
      </c>
      <c r="F27" s="257">
        <v>32</v>
      </c>
      <c r="G27" s="258">
        <v>21</v>
      </c>
      <c r="H27" s="259">
        <v>0</v>
      </c>
      <c r="I27" s="260">
        <v>0</v>
      </c>
      <c r="J27" s="260">
        <v>2</v>
      </c>
      <c r="K27" s="260">
        <v>2</v>
      </c>
      <c r="L27" s="260">
        <v>0</v>
      </c>
      <c r="M27" s="260">
        <v>6</v>
      </c>
      <c r="N27" s="260">
        <v>3</v>
      </c>
      <c r="O27" s="260">
        <v>0</v>
      </c>
      <c r="P27" s="260">
        <v>0</v>
      </c>
      <c r="Q27" s="260">
        <v>0</v>
      </c>
      <c r="R27" s="260">
        <v>2</v>
      </c>
      <c r="S27" s="373">
        <v>14800</v>
      </c>
      <c r="T27" s="590" t="s">
        <v>896</v>
      </c>
      <c r="U27" s="263" t="s">
        <v>419</v>
      </c>
      <c r="V27" s="261" t="s">
        <v>393</v>
      </c>
      <c r="W27" s="261" t="s">
        <v>387</v>
      </c>
      <c r="X27" s="264" t="s">
        <v>377</v>
      </c>
      <c r="Y27" s="261">
        <v>1</v>
      </c>
      <c r="Z27" s="261">
        <v>1</v>
      </c>
      <c r="AA27" s="261">
        <v>0</v>
      </c>
      <c r="AB27" s="168">
        <v>0</v>
      </c>
      <c r="AC27" s="261">
        <v>0</v>
      </c>
      <c r="AD27" s="261">
        <v>0</v>
      </c>
      <c r="AE27" s="261">
        <v>0</v>
      </c>
      <c r="AF27" s="168">
        <v>0</v>
      </c>
      <c r="AG27" s="261">
        <v>1</v>
      </c>
      <c r="AH27" s="261">
        <v>1</v>
      </c>
      <c r="AI27" s="261">
        <v>0</v>
      </c>
      <c r="AJ27" s="168">
        <v>0</v>
      </c>
    </row>
    <row r="28" spans="1:40" ht="15" customHeight="1" thickBot="1" x14ac:dyDescent="0.3">
      <c r="A28" s="239" t="s">
        <v>97</v>
      </c>
      <c r="B28" s="240" t="s">
        <v>54</v>
      </c>
      <c r="C28" s="122" t="s">
        <v>24</v>
      </c>
      <c r="D28" s="123" t="s">
        <v>90</v>
      </c>
      <c r="E28" s="123" t="s">
        <v>34</v>
      </c>
      <c r="F28" s="123">
        <v>16</v>
      </c>
      <c r="G28" s="241">
        <v>6</v>
      </c>
      <c r="H28" s="244">
        <v>0</v>
      </c>
      <c r="I28" s="242">
        <v>0</v>
      </c>
      <c r="J28" s="242">
        <v>1</v>
      </c>
      <c r="K28" s="242">
        <v>1</v>
      </c>
      <c r="L28" s="242">
        <v>0</v>
      </c>
      <c r="M28" s="242">
        <v>3</v>
      </c>
      <c r="N28" s="242">
        <v>0</v>
      </c>
      <c r="O28" s="242">
        <v>0</v>
      </c>
      <c r="P28" s="242">
        <v>0</v>
      </c>
      <c r="Q28" s="242">
        <v>0</v>
      </c>
      <c r="R28" s="242">
        <v>0</v>
      </c>
      <c r="S28" s="243">
        <v>12621</v>
      </c>
      <c r="T28" s="246" t="s">
        <v>734</v>
      </c>
      <c r="U28" s="245" t="s">
        <v>374</v>
      </c>
      <c r="V28" s="243" t="s">
        <v>399</v>
      </c>
      <c r="W28" s="243" t="s">
        <v>652</v>
      </c>
      <c r="X28" s="169" t="s">
        <v>347</v>
      </c>
      <c r="Y28" s="243">
        <v>1</v>
      </c>
      <c r="Z28" s="243">
        <v>1</v>
      </c>
      <c r="AA28" s="243">
        <v>0</v>
      </c>
      <c r="AB28" s="167">
        <v>0</v>
      </c>
      <c r="AC28" s="243">
        <v>1</v>
      </c>
      <c r="AD28" s="243">
        <v>1</v>
      </c>
      <c r="AE28" s="243">
        <v>0</v>
      </c>
      <c r="AF28" s="167">
        <v>0</v>
      </c>
      <c r="AG28" s="243">
        <v>0</v>
      </c>
      <c r="AH28" s="243">
        <v>0</v>
      </c>
      <c r="AI28" s="243">
        <v>0</v>
      </c>
      <c r="AJ28" s="167">
        <v>0</v>
      </c>
    </row>
    <row r="29" spans="1:40" ht="15" customHeight="1" thickBot="1" x14ac:dyDescent="0.3">
      <c r="A29" s="239" t="s">
        <v>157</v>
      </c>
      <c r="B29" s="240" t="s">
        <v>54</v>
      </c>
      <c r="C29" s="122" t="s">
        <v>190</v>
      </c>
      <c r="D29" s="123" t="s">
        <v>90</v>
      </c>
      <c r="E29" s="123" t="s">
        <v>34</v>
      </c>
      <c r="F29" s="123">
        <v>74</v>
      </c>
      <c r="G29" s="241">
        <v>19</v>
      </c>
      <c r="H29" s="244">
        <v>1</v>
      </c>
      <c r="I29" s="242">
        <v>0</v>
      </c>
      <c r="J29" s="242">
        <v>10</v>
      </c>
      <c r="K29" s="242">
        <v>9</v>
      </c>
      <c r="L29" s="242">
        <v>0</v>
      </c>
      <c r="M29" s="242">
        <v>2</v>
      </c>
      <c r="N29" s="242">
        <v>0</v>
      </c>
      <c r="O29" s="242">
        <v>0</v>
      </c>
      <c r="P29" s="242">
        <v>0</v>
      </c>
      <c r="Q29" s="242">
        <v>0</v>
      </c>
      <c r="R29" s="242">
        <v>3</v>
      </c>
      <c r="S29" s="243">
        <v>8721</v>
      </c>
      <c r="T29" s="591" t="s">
        <v>940</v>
      </c>
      <c r="U29" s="245" t="s">
        <v>614</v>
      </c>
      <c r="V29" s="243" t="s">
        <v>399</v>
      </c>
      <c r="W29" s="243" t="s">
        <v>356</v>
      </c>
      <c r="X29" s="169" t="s">
        <v>370</v>
      </c>
      <c r="Y29" s="243">
        <v>1</v>
      </c>
      <c r="Z29" s="243">
        <v>1</v>
      </c>
      <c r="AA29" s="243">
        <v>0</v>
      </c>
      <c r="AB29" s="167">
        <v>0</v>
      </c>
      <c r="AC29" s="243">
        <v>1</v>
      </c>
      <c r="AD29" s="243">
        <v>1</v>
      </c>
      <c r="AE29" s="243">
        <v>0</v>
      </c>
      <c r="AF29" s="167">
        <v>0</v>
      </c>
      <c r="AG29" s="243">
        <v>0</v>
      </c>
      <c r="AH29" s="243">
        <v>0</v>
      </c>
      <c r="AI29" s="243">
        <v>0</v>
      </c>
      <c r="AJ29" s="167">
        <v>0</v>
      </c>
    </row>
    <row r="30" spans="1:40" ht="15" customHeight="1" thickBot="1" x14ac:dyDescent="0.3">
      <c r="A30" s="251" t="s">
        <v>865</v>
      </c>
      <c r="B30" s="252" t="s">
        <v>127</v>
      </c>
      <c r="C30" s="253" t="s">
        <v>28</v>
      </c>
      <c r="D30" s="269" t="s">
        <v>38</v>
      </c>
      <c r="E30" s="269" t="s">
        <v>34</v>
      </c>
      <c r="F30" s="269">
        <v>30</v>
      </c>
      <c r="G30" s="275">
        <v>22</v>
      </c>
      <c r="H30" s="268" t="s">
        <v>85</v>
      </c>
      <c r="I30" s="267" t="s">
        <v>85</v>
      </c>
      <c r="J30" s="267">
        <v>3</v>
      </c>
      <c r="K30" s="267">
        <v>3</v>
      </c>
      <c r="L30" s="267">
        <v>0</v>
      </c>
      <c r="M30" s="267">
        <v>3</v>
      </c>
      <c r="N30" s="267">
        <v>1</v>
      </c>
      <c r="O30" s="267">
        <v>0</v>
      </c>
      <c r="P30" s="267" t="s">
        <v>85</v>
      </c>
      <c r="Q30" s="267" t="s">
        <v>85</v>
      </c>
      <c r="R30" s="269">
        <v>1</v>
      </c>
      <c r="S30" s="272">
        <v>11040</v>
      </c>
      <c r="T30" s="655" t="s">
        <v>400</v>
      </c>
      <c r="U30" s="271" t="s">
        <v>452</v>
      </c>
      <c r="V30" s="272" t="s">
        <v>361</v>
      </c>
      <c r="W30" s="272" t="s">
        <v>363</v>
      </c>
      <c r="X30" s="273" t="s">
        <v>485</v>
      </c>
      <c r="Y30" s="272">
        <v>1</v>
      </c>
      <c r="Z30" s="272">
        <v>1</v>
      </c>
      <c r="AA30" s="272">
        <v>0</v>
      </c>
      <c r="AB30" s="274">
        <v>0</v>
      </c>
      <c r="AC30" s="272">
        <v>0</v>
      </c>
      <c r="AD30" s="272">
        <v>0</v>
      </c>
      <c r="AE30" s="272">
        <v>0</v>
      </c>
      <c r="AF30" s="274">
        <v>0</v>
      </c>
      <c r="AG30" s="272">
        <v>1</v>
      </c>
      <c r="AH30" s="272">
        <v>1</v>
      </c>
      <c r="AI30" s="272">
        <v>0</v>
      </c>
      <c r="AJ30" s="274">
        <v>0</v>
      </c>
    </row>
    <row r="31" spans="1:40" ht="15" customHeight="1" thickBot="1" x14ac:dyDescent="0.3">
      <c r="A31" s="476" t="s">
        <v>957</v>
      </c>
      <c r="B31" s="474" t="s">
        <v>123</v>
      </c>
      <c r="C31" s="477" t="s">
        <v>21</v>
      </c>
      <c r="D31" s="478" t="s">
        <v>955</v>
      </c>
      <c r="E31" s="478" t="s">
        <v>36</v>
      </c>
      <c r="F31" s="478">
        <v>20</v>
      </c>
      <c r="G31" s="479">
        <v>23</v>
      </c>
      <c r="H31" s="480" t="s">
        <v>85</v>
      </c>
      <c r="I31" s="481" t="s">
        <v>85</v>
      </c>
      <c r="J31" s="481">
        <v>2</v>
      </c>
      <c r="K31" s="481">
        <v>2</v>
      </c>
      <c r="L31" s="481">
        <v>0</v>
      </c>
      <c r="M31" s="481">
        <v>2</v>
      </c>
      <c r="N31" s="481">
        <v>0</v>
      </c>
      <c r="O31" s="481">
        <v>0</v>
      </c>
      <c r="P31" s="481" t="s">
        <v>85</v>
      </c>
      <c r="Q31" s="481" t="s">
        <v>85</v>
      </c>
      <c r="R31" s="481">
        <v>3</v>
      </c>
      <c r="S31" s="482"/>
      <c r="T31" s="521" t="s">
        <v>734</v>
      </c>
      <c r="U31" s="483" t="s">
        <v>568</v>
      </c>
      <c r="V31" s="482" t="s">
        <v>533</v>
      </c>
      <c r="W31" s="482" t="s">
        <v>737</v>
      </c>
      <c r="X31" s="484" t="s">
        <v>619</v>
      </c>
      <c r="Y31" s="482">
        <v>1</v>
      </c>
      <c r="Z31" s="482">
        <v>0</v>
      </c>
      <c r="AA31" s="482">
        <v>0</v>
      </c>
      <c r="AB31" s="485">
        <v>1</v>
      </c>
      <c r="AC31" s="482">
        <v>0</v>
      </c>
      <c r="AD31" s="482">
        <v>0</v>
      </c>
      <c r="AE31" s="482">
        <v>0</v>
      </c>
      <c r="AF31" s="485">
        <v>0</v>
      </c>
      <c r="AG31" s="482">
        <v>0</v>
      </c>
      <c r="AH31" s="482">
        <v>0</v>
      </c>
      <c r="AI31" s="482">
        <v>0</v>
      </c>
      <c r="AJ31" s="485">
        <v>0</v>
      </c>
      <c r="AK31" s="755">
        <v>1</v>
      </c>
      <c r="AL31" s="755">
        <v>0</v>
      </c>
      <c r="AM31" s="755">
        <v>0</v>
      </c>
      <c r="AN31" s="755">
        <v>1</v>
      </c>
    </row>
    <row r="32" spans="1:40" ht="15" customHeight="1" thickBot="1" x14ac:dyDescent="0.3">
      <c r="A32" s="256" t="s">
        <v>159</v>
      </c>
      <c r="B32" s="255" t="s">
        <v>54</v>
      </c>
      <c r="C32" s="247" t="s">
        <v>28</v>
      </c>
      <c r="D32" s="257" t="s">
        <v>38</v>
      </c>
      <c r="E32" s="257" t="s">
        <v>36</v>
      </c>
      <c r="F32" s="257">
        <v>18</v>
      </c>
      <c r="G32" s="258">
        <v>25</v>
      </c>
      <c r="H32" s="259">
        <v>0</v>
      </c>
      <c r="I32" s="260">
        <v>1</v>
      </c>
      <c r="J32" s="257">
        <v>2</v>
      </c>
      <c r="K32" s="260">
        <v>1</v>
      </c>
      <c r="L32" s="260">
        <v>0</v>
      </c>
      <c r="M32" s="260">
        <v>2</v>
      </c>
      <c r="N32" s="260">
        <v>0</v>
      </c>
      <c r="O32" s="260">
        <v>0</v>
      </c>
      <c r="P32" s="260">
        <v>0</v>
      </c>
      <c r="Q32" s="260">
        <v>0</v>
      </c>
      <c r="R32" s="260">
        <v>1</v>
      </c>
      <c r="S32" s="261">
        <v>24000</v>
      </c>
      <c r="T32" s="516" t="s">
        <v>359</v>
      </c>
      <c r="U32" s="263" t="s">
        <v>345</v>
      </c>
      <c r="V32" s="261" t="s">
        <v>393</v>
      </c>
      <c r="W32" s="261" t="s">
        <v>355</v>
      </c>
      <c r="X32" s="264" t="s">
        <v>362</v>
      </c>
      <c r="Y32" s="261">
        <v>1</v>
      </c>
      <c r="Z32" s="261">
        <v>0</v>
      </c>
      <c r="AA32" s="261">
        <v>0</v>
      </c>
      <c r="AB32" s="168">
        <v>1</v>
      </c>
      <c r="AC32" s="261">
        <v>0</v>
      </c>
      <c r="AD32" s="261">
        <v>0</v>
      </c>
      <c r="AE32" s="261">
        <v>0</v>
      </c>
      <c r="AF32" s="168">
        <v>0</v>
      </c>
      <c r="AG32" s="261">
        <v>1</v>
      </c>
      <c r="AH32" s="261">
        <v>0</v>
      </c>
      <c r="AI32" s="261">
        <v>0</v>
      </c>
      <c r="AJ32" s="168">
        <v>1</v>
      </c>
    </row>
    <row r="33" spans="1:40" ht="15" customHeight="1" thickBot="1" x14ac:dyDescent="0.3">
      <c r="A33" s="677" t="s">
        <v>144</v>
      </c>
      <c r="B33" s="678" t="s">
        <v>170</v>
      </c>
      <c r="C33" s="679" t="s">
        <v>66</v>
      </c>
      <c r="D33" s="680" t="s">
        <v>90</v>
      </c>
      <c r="E33" s="680" t="s">
        <v>34</v>
      </c>
      <c r="F33" s="680">
        <v>48</v>
      </c>
      <c r="G33" s="681">
        <v>13</v>
      </c>
      <c r="H33" s="682" t="s">
        <v>85</v>
      </c>
      <c r="I33" s="683" t="s">
        <v>85</v>
      </c>
      <c r="J33" s="683">
        <v>6</v>
      </c>
      <c r="K33" s="683">
        <v>6</v>
      </c>
      <c r="L33" s="683">
        <v>0</v>
      </c>
      <c r="M33" s="683">
        <v>2</v>
      </c>
      <c r="N33" s="683">
        <v>0</v>
      </c>
      <c r="O33" s="683">
        <v>0</v>
      </c>
      <c r="P33" s="683" t="s">
        <v>85</v>
      </c>
      <c r="Q33" s="683" t="s">
        <v>85</v>
      </c>
      <c r="R33" s="683">
        <v>1</v>
      </c>
      <c r="S33" s="684">
        <v>10022</v>
      </c>
      <c r="T33" s="685" t="s">
        <v>391</v>
      </c>
      <c r="U33" s="686" t="s">
        <v>548</v>
      </c>
      <c r="V33" s="684" t="s">
        <v>588</v>
      </c>
      <c r="W33" s="684" t="s">
        <v>741</v>
      </c>
      <c r="X33" s="687" t="s">
        <v>508</v>
      </c>
      <c r="Y33" s="684">
        <v>1</v>
      </c>
      <c r="Z33" s="684">
        <v>1</v>
      </c>
      <c r="AA33" s="684">
        <v>0</v>
      </c>
      <c r="AB33" s="688">
        <v>0</v>
      </c>
      <c r="AC33" s="684">
        <v>1</v>
      </c>
      <c r="AD33" s="684">
        <v>1</v>
      </c>
      <c r="AE33" s="684">
        <v>0</v>
      </c>
      <c r="AF33" s="688">
        <v>0</v>
      </c>
      <c r="AG33" s="684">
        <v>0</v>
      </c>
      <c r="AH33" s="684">
        <v>0</v>
      </c>
      <c r="AI33" s="684">
        <v>0</v>
      </c>
      <c r="AJ33" s="688">
        <v>0</v>
      </c>
    </row>
    <row r="34" spans="1:40" ht="15" customHeight="1" thickBot="1" x14ac:dyDescent="0.3">
      <c r="A34" s="239" t="s">
        <v>198</v>
      </c>
      <c r="B34" s="240" t="s">
        <v>54</v>
      </c>
      <c r="C34" s="122" t="s">
        <v>27</v>
      </c>
      <c r="D34" s="123" t="s">
        <v>90</v>
      </c>
      <c r="E34" s="123" t="s">
        <v>34</v>
      </c>
      <c r="F34" s="123">
        <v>21</v>
      </c>
      <c r="G34" s="241">
        <v>10</v>
      </c>
      <c r="H34" s="244">
        <v>0</v>
      </c>
      <c r="I34" s="242">
        <v>0</v>
      </c>
      <c r="J34" s="242">
        <v>2</v>
      </c>
      <c r="K34" s="242">
        <v>1</v>
      </c>
      <c r="L34" s="242">
        <v>0</v>
      </c>
      <c r="M34" s="242">
        <v>3</v>
      </c>
      <c r="N34" s="123">
        <v>1</v>
      </c>
      <c r="O34" s="242">
        <v>0</v>
      </c>
      <c r="P34" s="242">
        <v>0</v>
      </c>
      <c r="Q34" s="242">
        <v>0</v>
      </c>
      <c r="R34" s="242">
        <v>2</v>
      </c>
      <c r="S34" s="243">
        <v>12139</v>
      </c>
      <c r="T34" s="591" t="s">
        <v>984</v>
      </c>
      <c r="U34" s="245" t="s">
        <v>338</v>
      </c>
      <c r="V34" s="243" t="s">
        <v>399</v>
      </c>
      <c r="W34" s="243" t="s">
        <v>376</v>
      </c>
      <c r="X34" s="169" t="s">
        <v>347</v>
      </c>
      <c r="Y34" s="243">
        <v>1</v>
      </c>
      <c r="Z34" s="243">
        <v>1</v>
      </c>
      <c r="AA34" s="243">
        <v>0</v>
      </c>
      <c r="AB34" s="167">
        <v>0</v>
      </c>
      <c r="AC34" s="243">
        <v>1</v>
      </c>
      <c r="AD34" s="243">
        <v>1</v>
      </c>
      <c r="AE34" s="243">
        <v>0</v>
      </c>
      <c r="AF34" s="167">
        <v>0</v>
      </c>
      <c r="AG34" s="243">
        <v>0</v>
      </c>
      <c r="AH34" s="243">
        <v>0</v>
      </c>
      <c r="AI34" s="243">
        <v>0</v>
      </c>
      <c r="AJ34" s="167">
        <v>0</v>
      </c>
    </row>
    <row r="35" spans="1:40" ht="15" customHeight="1" thickBot="1" x14ac:dyDescent="0.3">
      <c r="A35" s="689" t="s">
        <v>162</v>
      </c>
      <c r="B35" s="690" t="s">
        <v>171</v>
      </c>
      <c r="C35" s="691" t="s">
        <v>26</v>
      </c>
      <c r="D35" s="692" t="s">
        <v>38</v>
      </c>
      <c r="E35" s="692" t="s">
        <v>36</v>
      </c>
      <c r="F35" s="692">
        <v>19</v>
      </c>
      <c r="G35" s="693">
        <v>30</v>
      </c>
      <c r="H35" s="694" t="s">
        <v>85</v>
      </c>
      <c r="I35" s="695" t="s">
        <v>85</v>
      </c>
      <c r="J35" s="695">
        <v>1</v>
      </c>
      <c r="K35" s="695">
        <v>1</v>
      </c>
      <c r="L35" s="695">
        <v>0</v>
      </c>
      <c r="M35" s="695">
        <v>4</v>
      </c>
      <c r="N35" s="695">
        <v>0</v>
      </c>
      <c r="O35" s="695">
        <v>0</v>
      </c>
      <c r="P35" s="695" t="s">
        <v>85</v>
      </c>
      <c r="Q35" s="695" t="s">
        <v>85</v>
      </c>
      <c r="R35" s="695">
        <v>3</v>
      </c>
      <c r="S35" s="696">
        <v>11907</v>
      </c>
      <c r="T35" s="709" t="s">
        <v>444</v>
      </c>
      <c r="U35" s="698" t="s">
        <v>517</v>
      </c>
      <c r="V35" s="696" t="s">
        <v>588</v>
      </c>
      <c r="W35" s="696" t="s">
        <v>512</v>
      </c>
      <c r="X35" s="699" t="s">
        <v>597</v>
      </c>
      <c r="Y35" s="696">
        <v>1</v>
      </c>
      <c r="Z35" s="696">
        <v>0</v>
      </c>
      <c r="AA35" s="696">
        <v>0</v>
      </c>
      <c r="AB35" s="700">
        <v>1</v>
      </c>
      <c r="AC35" s="696">
        <v>0</v>
      </c>
      <c r="AD35" s="696">
        <v>0</v>
      </c>
      <c r="AE35" s="696">
        <v>0</v>
      </c>
      <c r="AF35" s="700">
        <v>0</v>
      </c>
      <c r="AG35" s="696">
        <v>1</v>
      </c>
      <c r="AH35" s="696">
        <v>0</v>
      </c>
      <c r="AI35" s="696">
        <v>0</v>
      </c>
      <c r="AJ35" s="700">
        <v>1</v>
      </c>
    </row>
    <row r="36" spans="1:40" ht="15" customHeight="1" thickBot="1" x14ac:dyDescent="0.3">
      <c r="A36" s="256" t="s">
        <v>899</v>
      </c>
      <c r="B36" s="255" t="s">
        <v>54</v>
      </c>
      <c r="C36" s="247" t="s">
        <v>189</v>
      </c>
      <c r="D36" s="257" t="s">
        <v>38</v>
      </c>
      <c r="E36" s="257" t="s">
        <v>36</v>
      </c>
      <c r="F36" s="257">
        <v>29</v>
      </c>
      <c r="G36" s="258">
        <v>36</v>
      </c>
      <c r="H36" s="259">
        <v>0</v>
      </c>
      <c r="I36" s="260">
        <v>1</v>
      </c>
      <c r="J36" s="260">
        <v>2</v>
      </c>
      <c r="K36" s="260">
        <v>2</v>
      </c>
      <c r="L36" s="260">
        <v>1</v>
      </c>
      <c r="M36" s="260">
        <v>4</v>
      </c>
      <c r="N36" s="260">
        <v>1</v>
      </c>
      <c r="O36" s="260">
        <v>0</v>
      </c>
      <c r="P36" s="260">
        <v>0</v>
      </c>
      <c r="Q36" s="260">
        <v>0</v>
      </c>
      <c r="R36" s="260">
        <v>3</v>
      </c>
      <c r="S36" s="384">
        <v>16712</v>
      </c>
      <c r="T36" s="526" t="s">
        <v>1006</v>
      </c>
      <c r="U36" s="385" t="s">
        <v>419</v>
      </c>
      <c r="V36" s="384" t="s">
        <v>339</v>
      </c>
      <c r="W36" s="384" t="s">
        <v>377</v>
      </c>
      <c r="X36" s="386" t="s">
        <v>355</v>
      </c>
      <c r="Y36" s="261">
        <v>1</v>
      </c>
      <c r="Z36" s="261">
        <v>0</v>
      </c>
      <c r="AA36" s="261">
        <v>0</v>
      </c>
      <c r="AB36" s="168">
        <v>1</v>
      </c>
      <c r="AC36" s="261">
        <v>0</v>
      </c>
      <c r="AD36" s="261">
        <v>0</v>
      </c>
      <c r="AE36" s="261">
        <v>0</v>
      </c>
      <c r="AF36" s="168">
        <v>0</v>
      </c>
      <c r="AG36" s="261">
        <v>1</v>
      </c>
      <c r="AH36" s="261">
        <v>0</v>
      </c>
      <c r="AI36" s="261">
        <v>0</v>
      </c>
      <c r="AJ36" s="168">
        <v>1</v>
      </c>
    </row>
    <row r="37" spans="1:40" ht="15" customHeight="1" thickBot="1" x14ac:dyDescent="0.3">
      <c r="A37" s="256" t="s">
        <v>209</v>
      </c>
      <c r="B37" s="255" t="s">
        <v>54</v>
      </c>
      <c r="C37" s="247" t="s">
        <v>21</v>
      </c>
      <c r="D37" s="257" t="s">
        <v>38</v>
      </c>
      <c r="E37" s="257" t="s">
        <v>34</v>
      </c>
      <c r="F37" s="257">
        <v>24</v>
      </c>
      <c r="G37" s="258">
        <v>20</v>
      </c>
      <c r="H37" s="259">
        <v>0</v>
      </c>
      <c r="I37" s="260">
        <v>0</v>
      </c>
      <c r="J37" s="260">
        <v>3</v>
      </c>
      <c r="K37" s="260">
        <v>3</v>
      </c>
      <c r="L37" s="260">
        <v>0</v>
      </c>
      <c r="M37" s="260">
        <v>1</v>
      </c>
      <c r="N37" s="260">
        <v>0</v>
      </c>
      <c r="O37" s="260">
        <v>0</v>
      </c>
      <c r="P37" s="260">
        <v>0</v>
      </c>
      <c r="Q37" s="260">
        <v>1</v>
      </c>
      <c r="R37" s="260">
        <v>2</v>
      </c>
      <c r="S37" s="265">
        <v>9815</v>
      </c>
      <c r="T37" s="516" t="s">
        <v>1019</v>
      </c>
      <c r="U37" s="263" t="s">
        <v>345</v>
      </c>
      <c r="V37" s="261" t="s">
        <v>361</v>
      </c>
      <c r="W37" s="261" t="s">
        <v>452</v>
      </c>
      <c r="X37" s="264" t="s">
        <v>356</v>
      </c>
      <c r="Y37" s="261">
        <v>1</v>
      </c>
      <c r="Z37" s="261">
        <v>1</v>
      </c>
      <c r="AA37" s="261">
        <v>0</v>
      </c>
      <c r="AB37" s="168">
        <v>0</v>
      </c>
      <c r="AC37" s="261">
        <v>0</v>
      </c>
      <c r="AD37" s="261">
        <v>0</v>
      </c>
      <c r="AE37" s="261">
        <v>0</v>
      </c>
      <c r="AF37" s="168">
        <v>0</v>
      </c>
      <c r="AG37" s="261">
        <v>1</v>
      </c>
      <c r="AH37" s="261">
        <v>1</v>
      </c>
      <c r="AI37" s="261">
        <v>0</v>
      </c>
      <c r="AJ37" s="168">
        <v>0</v>
      </c>
    </row>
    <row r="38" spans="1:40" ht="15" customHeight="1" thickBot="1" x14ac:dyDescent="0.3">
      <c r="A38" s="239" t="s">
        <v>148</v>
      </c>
      <c r="B38" s="240" t="s">
        <v>54</v>
      </c>
      <c r="C38" s="122" t="s">
        <v>29</v>
      </c>
      <c r="D38" s="123" t="s">
        <v>90</v>
      </c>
      <c r="E38" s="123" t="s">
        <v>34</v>
      </c>
      <c r="F38" s="123">
        <v>44</v>
      </c>
      <c r="G38" s="241">
        <v>16</v>
      </c>
      <c r="H38" s="244">
        <v>1</v>
      </c>
      <c r="I38" s="242">
        <v>0</v>
      </c>
      <c r="J38" s="242">
        <v>7</v>
      </c>
      <c r="K38" s="242">
        <v>3</v>
      </c>
      <c r="L38" s="242">
        <v>0</v>
      </c>
      <c r="M38" s="242">
        <v>1</v>
      </c>
      <c r="N38" s="242">
        <v>1</v>
      </c>
      <c r="O38" s="242">
        <v>0</v>
      </c>
      <c r="P38" s="242">
        <v>0</v>
      </c>
      <c r="Q38" s="242">
        <v>0</v>
      </c>
      <c r="R38" s="242">
        <v>2</v>
      </c>
      <c r="S38" s="803">
        <v>12642</v>
      </c>
      <c r="T38" s="793" t="s">
        <v>1035</v>
      </c>
      <c r="U38" s="286" t="s">
        <v>338</v>
      </c>
      <c r="V38" s="287" t="s">
        <v>399</v>
      </c>
      <c r="W38" s="287" t="s">
        <v>377</v>
      </c>
      <c r="X38" s="288" t="s">
        <v>376</v>
      </c>
      <c r="Y38" s="243">
        <v>1</v>
      </c>
      <c r="Z38" s="243">
        <v>1</v>
      </c>
      <c r="AA38" s="243">
        <v>0</v>
      </c>
      <c r="AB38" s="167">
        <v>0</v>
      </c>
      <c r="AC38" s="243">
        <v>1</v>
      </c>
      <c r="AD38" s="243">
        <v>1</v>
      </c>
      <c r="AE38" s="243">
        <v>0</v>
      </c>
      <c r="AF38" s="167">
        <v>0</v>
      </c>
      <c r="AG38" s="243">
        <v>0</v>
      </c>
      <c r="AH38" s="243">
        <v>0</v>
      </c>
      <c r="AI38" s="243">
        <v>0</v>
      </c>
      <c r="AJ38" s="167">
        <v>0</v>
      </c>
    </row>
    <row r="39" spans="1:40" ht="15" customHeight="1" thickBot="1" x14ac:dyDescent="0.3">
      <c r="A39" s="66"/>
      <c r="B39" s="67"/>
      <c r="C39" s="885" t="s">
        <v>173</v>
      </c>
      <c r="D39" s="886"/>
      <c r="E39" s="887"/>
      <c r="F39" s="291">
        <f t="shared" ref="F39:R39" si="0">SUM(F3+F4+F5+F6+F7+F8+F13+F14+F15+F18+F19+F20+F21+F26+F27+F28+F29+F32+F34+F36+F37+F38)</f>
        <v>663</v>
      </c>
      <c r="G39" s="291">
        <f t="shared" si="0"/>
        <v>437</v>
      </c>
      <c r="H39" s="291">
        <f t="shared" si="0"/>
        <v>5</v>
      </c>
      <c r="I39" s="291">
        <f t="shared" si="0"/>
        <v>7</v>
      </c>
      <c r="J39" s="291">
        <f t="shared" si="0"/>
        <v>70</v>
      </c>
      <c r="K39" s="291">
        <f t="shared" si="0"/>
        <v>56</v>
      </c>
      <c r="L39" s="291">
        <f t="shared" si="0"/>
        <v>1</v>
      </c>
      <c r="M39" s="291">
        <f t="shared" si="0"/>
        <v>66</v>
      </c>
      <c r="N39" s="291">
        <f t="shared" si="0"/>
        <v>14</v>
      </c>
      <c r="O39" s="291">
        <f t="shared" si="0"/>
        <v>0</v>
      </c>
      <c r="P39" s="291">
        <f t="shared" si="0"/>
        <v>2</v>
      </c>
      <c r="Q39" s="291">
        <f t="shared" si="0"/>
        <v>3</v>
      </c>
      <c r="R39" s="291">
        <f t="shared" si="0"/>
        <v>46</v>
      </c>
      <c r="S39" s="68"/>
      <c r="T39" s="68"/>
      <c r="U39" s="68"/>
      <c r="V39" s="68"/>
      <c r="W39" s="68"/>
      <c r="X39" s="310" t="s">
        <v>173</v>
      </c>
      <c r="Y39" s="291">
        <f t="shared" ref="Y39:AJ39" si="1">SUM(Y3+Y4+Y5+Y6+Y7+Y8+Y13+Y14+Y15+Y18+Y19+Y20+Y21+Y26+Y27+Y28+Y29+Y32+Y34+Y36+Y37+Y38)</f>
        <v>22</v>
      </c>
      <c r="Z39" s="291">
        <f t="shared" si="1"/>
        <v>14</v>
      </c>
      <c r="AA39" s="291">
        <f t="shared" si="1"/>
        <v>0</v>
      </c>
      <c r="AB39" s="291">
        <f t="shared" si="1"/>
        <v>8</v>
      </c>
      <c r="AC39" s="121">
        <f t="shared" si="1"/>
        <v>11</v>
      </c>
      <c r="AD39" s="121">
        <f t="shared" si="1"/>
        <v>9</v>
      </c>
      <c r="AE39" s="121">
        <f t="shared" si="1"/>
        <v>0</v>
      </c>
      <c r="AF39" s="121">
        <f t="shared" si="1"/>
        <v>2</v>
      </c>
      <c r="AG39" s="289">
        <f t="shared" si="1"/>
        <v>11</v>
      </c>
      <c r="AH39" s="289">
        <f t="shared" si="1"/>
        <v>5</v>
      </c>
      <c r="AI39" s="289">
        <f t="shared" si="1"/>
        <v>0</v>
      </c>
      <c r="AJ39" s="289">
        <f t="shared" si="1"/>
        <v>6</v>
      </c>
    </row>
    <row r="40" spans="1:40" ht="15" customHeight="1" thickBot="1" x14ac:dyDescent="0.3">
      <c r="A40" s="68"/>
      <c r="B40" s="68"/>
      <c r="C40" s="911" t="s">
        <v>175</v>
      </c>
      <c r="D40" s="912"/>
      <c r="E40" s="913"/>
      <c r="F40" s="633">
        <f t="shared" ref="F40:R40" si="2">SUM(F9+F10+F16+F17+F22+F23)</f>
        <v>212</v>
      </c>
      <c r="G40" s="633">
        <f t="shared" si="2"/>
        <v>97</v>
      </c>
      <c r="H40" s="633">
        <f t="shared" si="2"/>
        <v>4</v>
      </c>
      <c r="I40" s="633">
        <f t="shared" si="2"/>
        <v>1</v>
      </c>
      <c r="J40" s="633">
        <f t="shared" si="2"/>
        <v>26</v>
      </c>
      <c r="K40" s="633">
        <f t="shared" si="2"/>
        <v>17</v>
      </c>
      <c r="L40" s="633">
        <f t="shared" si="2"/>
        <v>0</v>
      </c>
      <c r="M40" s="633">
        <f t="shared" si="2"/>
        <v>16</v>
      </c>
      <c r="N40" s="633">
        <f t="shared" si="2"/>
        <v>0</v>
      </c>
      <c r="O40" s="633">
        <f t="shared" si="2"/>
        <v>0</v>
      </c>
      <c r="P40" s="633">
        <f t="shared" si="2"/>
        <v>1</v>
      </c>
      <c r="Q40" s="633">
        <f t="shared" si="2"/>
        <v>0</v>
      </c>
      <c r="R40" s="633">
        <f t="shared" si="2"/>
        <v>11</v>
      </c>
      <c r="S40" s="634"/>
      <c r="T40" s="634"/>
      <c r="U40" s="634"/>
      <c r="V40" s="634"/>
      <c r="W40" s="635"/>
      <c r="X40" s="636" t="s">
        <v>175</v>
      </c>
      <c r="Y40" s="637">
        <f t="shared" ref="Y40:AJ40" si="3">SUM(Y9+Y10+Y16+Y17+Y22+Y23)</f>
        <v>6</v>
      </c>
      <c r="Z40" s="633">
        <f t="shared" si="3"/>
        <v>5</v>
      </c>
      <c r="AA40" s="633">
        <f t="shared" si="3"/>
        <v>0</v>
      </c>
      <c r="AB40" s="633">
        <f t="shared" si="3"/>
        <v>1</v>
      </c>
      <c r="AC40" s="638">
        <f t="shared" si="3"/>
        <v>3</v>
      </c>
      <c r="AD40" s="638">
        <f t="shared" si="3"/>
        <v>3</v>
      </c>
      <c r="AE40" s="638">
        <f t="shared" si="3"/>
        <v>0</v>
      </c>
      <c r="AF40" s="638">
        <f t="shared" si="3"/>
        <v>0</v>
      </c>
      <c r="AG40" s="639">
        <f t="shared" si="3"/>
        <v>3</v>
      </c>
      <c r="AH40" s="639">
        <f t="shared" si="3"/>
        <v>2</v>
      </c>
      <c r="AI40" s="639">
        <f t="shared" si="3"/>
        <v>0</v>
      </c>
      <c r="AJ40" s="639">
        <f t="shared" si="3"/>
        <v>1</v>
      </c>
    </row>
    <row r="41" spans="1:40" ht="15" customHeight="1" thickBot="1" x14ac:dyDescent="0.3">
      <c r="A41" s="68"/>
      <c r="B41" s="68"/>
      <c r="C41" s="911" t="s">
        <v>176</v>
      </c>
      <c r="D41" s="912"/>
      <c r="E41" s="913"/>
      <c r="F41" s="633">
        <f>SUM(F33+F35)</f>
        <v>67</v>
      </c>
      <c r="G41" s="633">
        <f>SUM(G33+G35)</f>
        <v>43</v>
      </c>
      <c r="H41" s="633" t="s">
        <v>85</v>
      </c>
      <c r="I41" s="633" t="s">
        <v>85</v>
      </c>
      <c r="J41" s="633">
        <f t="shared" ref="J41:O41" si="4">SUM(J33+J35)</f>
        <v>7</v>
      </c>
      <c r="K41" s="633">
        <f t="shared" si="4"/>
        <v>7</v>
      </c>
      <c r="L41" s="633">
        <f t="shared" si="4"/>
        <v>0</v>
      </c>
      <c r="M41" s="633">
        <f t="shared" si="4"/>
        <v>6</v>
      </c>
      <c r="N41" s="633">
        <f t="shared" si="4"/>
        <v>0</v>
      </c>
      <c r="O41" s="633">
        <f t="shared" si="4"/>
        <v>0</v>
      </c>
      <c r="P41" s="633" t="s">
        <v>85</v>
      </c>
      <c r="Q41" s="633" t="s">
        <v>85</v>
      </c>
      <c r="R41" s="633">
        <f>SUM(R33+R35)</f>
        <v>4</v>
      </c>
      <c r="S41" s="634"/>
      <c r="T41" s="634"/>
      <c r="U41" s="634"/>
      <c r="V41" s="634"/>
      <c r="W41" s="635"/>
      <c r="X41" s="636" t="s">
        <v>176</v>
      </c>
      <c r="Y41" s="633">
        <f t="shared" ref="Y41:AJ41" si="5">SUM(Y33+Y35)</f>
        <v>2</v>
      </c>
      <c r="Z41" s="633">
        <f t="shared" si="5"/>
        <v>1</v>
      </c>
      <c r="AA41" s="633">
        <f t="shared" si="5"/>
        <v>0</v>
      </c>
      <c r="AB41" s="633">
        <f t="shared" si="5"/>
        <v>1</v>
      </c>
      <c r="AC41" s="638">
        <f t="shared" si="5"/>
        <v>1</v>
      </c>
      <c r="AD41" s="638">
        <f t="shared" si="5"/>
        <v>1</v>
      </c>
      <c r="AE41" s="638">
        <f t="shared" si="5"/>
        <v>0</v>
      </c>
      <c r="AF41" s="638">
        <f t="shared" si="5"/>
        <v>0</v>
      </c>
      <c r="AG41" s="639">
        <f t="shared" si="5"/>
        <v>1</v>
      </c>
      <c r="AH41" s="639">
        <f t="shared" si="5"/>
        <v>0</v>
      </c>
      <c r="AI41" s="639">
        <f t="shared" si="5"/>
        <v>0</v>
      </c>
      <c r="AJ41" s="639">
        <f t="shared" si="5"/>
        <v>1</v>
      </c>
    </row>
    <row r="42" spans="1:40" ht="15" customHeight="1" thickBot="1" x14ac:dyDescent="0.3">
      <c r="A42" s="68"/>
      <c r="B42" s="68"/>
      <c r="C42" s="891" t="s">
        <v>168</v>
      </c>
      <c r="D42" s="892"/>
      <c r="E42" s="893"/>
      <c r="F42" s="319">
        <f t="shared" ref="F42:R42" si="6">SUM(F11+F12+F24+F25)</f>
        <v>101</v>
      </c>
      <c r="G42" s="319">
        <f t="shared" si="6"/>
        <v>100</v>
      </c>
      <c r="H42" s="319">
        <f t="shared" si="6"/>
        <v>1</v>
      </c>
      <c r="I42" s="319">
        <f t="shared" si="6"/>
        <v>0</v>
      </c>
      <c r="J42" s="319">
        <f t="shared" si="6"/>
        <v>12</v>
      </c>
      <c r="K42" s="319">
        <f t="shared" si="6"/>
        <v>7</v>
      </c>
      <c r="L42" s="319">
        <f t="shared" si="6"/>
        <v>0</v>
      </c>
      <c r="M42" s="319">
        <f t="shared" si="6"/>
        <v>9</v>
      </c>
      <c r="N42" s="319">
        <f t="shared" si="6"/>
        <v>3</v>
      </c>
      <c r="O42" s="319">
        <f t="shared" si="6"/>
        <v>0</v>
      </c>
      <c r="P42" s="319">
        <f t="shared" si="6"/>
        <v>2</v>
      </c>
      <c r="Q42" s="319">
        <f t="shared" si="6"/>
        <v>2</v>
      </c>
      <c r="R42" s="319">
        <f t="shared" si="6"/>
        <v>12</v>
      </c>
      <c r="S42" s="321"/>
      <c r="T42" s="321"/>
      <c r="U42" s="321"/>
      <c r="V42" s="321"/>
      <c r="W42" s="329"/>
      <c r="X42" s="322" t="s">
        <v>168</v>
      </c>
      <c r="Y42" s="320">
        <f t="shared" ref="Y42:AJ42" si="7">SUM(Y11+Y12+Y24+Y25)</f>
        <v>4</v>
      </c>
      <c r="Z42" s="319">
        <f t="shared" si="7"/>
        <v>3</v>
      </c>
      <c r="AA42" s="319">
        <f t="shared" si="7"/>
        <v>0</v>
      </c>
      <c r="AB42" s="319">
        <f t="shared" si="7"/>
        <v>1</v>
      </c>
      <c r="AC42" s="324">
        <f t="shared" si="7"/>
        <v>2</v>
      </c>
      <c r="AD42" s="324">
        <f t="shared" si="7"/>
        <v>2</v>
      </c>
      <c r="AE42" s="324">
        <f t="shared" si="7"/>
        <v>0</v>
      </c>
      <c r="AF42" s="324">
        <f t="shared" si="7"/>
        <v>0</v>
      </c>
      <c r="AG42" s="323">
        <f t="shared" si="7"/>
        <v>2</v>
      </c>
      <c r="AH42" s="323">
        <f t="shared" si="7"/>
        <v>1</v>
      </c>
      <c r="AI42" s="323">
        <f t="shared" si="7"/>
        <v>0</v>
      </c>
      <c r="AJ42" s="323">
        <f t="shared" si="7"/>
        <v>1</v>
      </c>
    </row>
    <row r="43" spans="1:40" ht="15" customHeight="1" thickBot="1" x14ac:dyDescent="0.3">
      <c r="A43" s="68"/>
      <c r="B43" s="68"/>
      <c r="C43" s="891" t="s">
        <v>167</v>
      </c>
      <c r="D43" s="892"/>
      <c r="E43" s="893"/>
      <c r="F43" s="319">
        <f>SUM(F30+F31)</f>
        <v>50</v>
      </c>
      <c r="G43" s="319">
        <f>SUM(G30+G31)</f>
        <v>45</v>
      </c>
      <c r="H43" s="319" t="s">
        <v>85</v>
      </c>
      <c r="I43" s="319" t="s">
        <v>85</v>
      </c>
      <c r="J43" s="319">
        <f t="shared" ref="J43:O43" si="8">SUM(J30+J31)</f>
        <v>5</v>
      </c>
      <c r="K43" s="319">
        <f t="shared" si="8"/>
        <v>5</v>
      </c>
      <c r="L43" s="319">
        <f t="shared" si="8"/>
        <v>0</v>
      </c>
      <c r="M43" s="319">
        <f t="shared" si="8"/>
        <v>5</v>
      </c>
      <c r="N43" s="319">
        <f t="shared" si="8"/>
        <v>1</v>
      </c>
      <c r="O43" s="319">
        <f t="shared" si="8"/>
        <v>0</v>
      </c>
      <c r="P43" s="319" t="s">
        <v>85</v>
      </c>
      <c r="Q43" s="319" t="s">
        <v>85</v>
      </c>
      <c r="R43" s="319">
        <f>SUM(R30+R31)</f>
        <v>4</v>
      </c>
      <c r="S43" s="321"/>
      <c r="T43" s="321"/>
      <c r="U43" s="321"/>
      <c r="V43" s="321"/>
      <c r="W43" s="329"/>
      <c r="X43" s="322" t="s">
        <v>167</v>
      </c>
      <c r="Y43" s="320">
        <f t="shared" ref="Y43:AJ43" si="9">SUM(Y30+Y31)</f>
        <v>2</v>
      </c>
      <c r="Z43" s="319">
        <f t="shared" si="9"/>
        <v>1</v>
      </c>
      <c r="AA43" s="319">
        <f t="shared" si="9"/>
        <v>0</v>
      </c>
      <c r="AB43" s="319">
        <f t="shared" si="9"/>
        <v>1</v>
      </c>
      <c r="AC43" s="324">
        <f t="shared" si="9"/>
        <v>0</v>
      </c>
      <c r="AD43" s="324">
        <f t="shared" si="9"/>
        <v>0</v>
      </c>
      <c r="AE43" s="324">
        <f t="shared" si="9"/>
        <v>0</v>
      </c>
      <c r="AF43" s="324">
        <f t="shared" si="9"/>
        <v>0</v>
      </c>
      <c r="AG43" s="323">
        <f t="shared" si="9"/>
        <v>1</v>
      </c>
      <c r="AH43" s="323">
        <f t="shared" si="9"/>
        <v>1</v>
      </c>
      <c r="AI43" s="323">
        <f t="shared" si="9"/>
        <v>0</v>
      </c>
      <c r="AJ43" s="323">
        <f t="shared" si="9"/>
        <v>0</v>
      </c>
      <c r="AK43">
        <v>1</v>
      </c>
      <c r="AL43">
        <v>0</v>
      </c>
      <c r="AM43">
        <v>0</v>
      </c>
      <c r="AN43">
        <v>1</v>
      </c>
    </row>
    <row r="44" spans="1:40" ht="15.75" thickBot="1" x14ac:dyDescent="0.3">
      <c r="A44" s="68"/>
      <c r="B44" s="68"/>
      <c r="C44" s="458" t="s">
        <v>166</v>
      </c>
      <c r="D44" s="459"/>
      <c r="E44" s="460"/>
      <c r="F44" s="461">
        <v>0</v>
      </c>
      <c r="G44" s="461">
        <v>0</v>
      </c>
      <c r="H44" s="465">
        <v>0</v>
      </c>
      <c r="I44" s="465">
        <v>0</v>
      </c>
      <c r="J44" s="461">
        <v>0</v>
      </c>
      <c r="K44" s="461">
        <v>0</v>
      </c>
      <c r="L44" s="461">
        <v>0</v>
      </c>
      <c r="M44" s="461">
        <v>0</v>
      </c>
      <c r="N44" s="461">
        <v>0</v>
      </c>
      <c r="O44" s="461">
        <v>0</v>
      </c>
      <c r="P44" s="461">
        <v>0</v>
      </c>
      <c r="Q44" s="461">
        <v>0</v>
      </c>
      <c r="R44" s="461">
        <v>0</v>
      </c>
      <c r="S44" s="462"/>
      <c r="T44" s="462"/>
      <c r="U44" s="462"/>
      <c r="V44" s="462"/>
      <c r="W44" s="463"/>
      <c r="X44" s="464" t="s">
        <v>166</v>
      </c>
      <c r="Y44" s="465">
        <v>0</v>
      </c>
      <c r="Z44" s="461">
        <v>0</v>
      </c>
      <c r="AA44" s="461">
        <v>0</v>
      </c>
      <c r="AB44" s="461">
        <v>0</v>
      </c>
      <c r="AC44" s="468">
        <v>0</v>
      </c>
      <c r="AD44" s="469">
        <v>0</v>
      </c>
      <c r="AE44" s="469">
        <v>0</v>
      </c>
      <c r="AF44" s="469">
        <v>0</v>
      </c>
      <c r="AG44" s="466">
        <v>0</v>
      </c>
      <c r="AH44" s="467">
        <v>0</v>
      </c>
      <c r="AI44" s="467">
        <v>0</v>
      </c>
      <c r="AJ44" s="467">
        <v>0</v>
      </c>
    </row>
    <row r="45" spans="1:40" ht="15.75" thickBot="1" x14ac:dyDescent="0.3">
      <c r="A45" s="68"/>
      <c r="B45" s="68"/>
      <c r="C45" s="882" t="s">
        <v>70</v>
      </c>
      <c r="D45" s="883"/>
      <c r="E45" s="884"/>
      <c r="F45" s="293">
        <f t="shared" ref="F45:R45" si="10">SUM(F3:F38)</f>
        <v>1093</v>
      </c>
      <c r="G45" s="293">
        <f t="shared" si="10"/>
        <v>722</v>
      </c>
      <c r="H45" s="292">
        <f t="shared" si="10"/>
        <v>10</v>
      </c>
      <c r="I45" s="292">
        <f t="shared" si="10"/>
        <v>8</v>
      </c>
      <c r="J45" s="293">
        <f t="shared" si="10"/>
        <v>120</v>
      </c>
      <c r="K45" s="293">
        <f t="shared" si="10"/>
        <v>92</v>
      </c>
      <c r="L45" s="293">
        <f t="shared" si="10"/>
        <v>1</v>
      </c>
      <c r="M45" s="293">
        <f t="shared" si="10"/>
        <v>102</v>
      </c>
      <c r="N45" s="293">
        <f t="shared" si="10"/>
        <v>18</v>
      </c>
      <c r="O45" s="293">
        <f t="shared" si="10"/>
        <v>0</v>
      </c>
      <c r="P45" s="293">
        <f t="shared" si="10"/>
        <v>5</v>
      </c>
      <c r="Q45" s="293">
        <f t="shared" si="10"/>
        <v>5</v>
      </c>
      <c r="R45" s="293">
        <f t="shared" si="10"/>
        <v>77</v>
      </c>
      <c r="S45" s="68"/>
      <c r="T45" s="68"/>
      <c r="U45" s="68"/>
      <c r="V45" s="68"/>
      <c r="W45" s="331"/>
      <c r="X45" s="309" t="s">
        <v>70</v>
      </c>
      <c r="Y45" s="292">
        <f t="shared" ref="Y45:AJ45" si="11">SUM(Y3:Y38)</f>
        <v>36</v>
      </c>
      <c r="Z45" s="293">
        <f t="shared" si="11"/>
        <v>24</v>
      </c>
      <c r="AA45" s="293">
        <f t="shared" si="11"/>
        <v>0</v>
      </c>
      <c r="AB45" s="293">
        <f t="shared" si="11"/>
        <v>12</v>
      </c>
      <c r="AC45" s="198">
        <f t="shared" si="11"/>
        <v>17</v>
      </c>
      <c r="AD45" s="390">
        <f t="shared" si="11"/>
        <v>15</v>
      </c>
      <c r="AE45" s="390">
        <f t="shared" si="11"/>
        <v>0</v>
      </c>
      <c r="AF45" s="390">
        <f t="shared" si="11"/>
        <v>2</v>
      </c>
      <c r="AG45" s="290">
        <f t="shared" si="11"/>
        <v>18</v>
      </c>
      <c r="AH45" s="133">
        <f t="shared" si="11"/>
        <v>9</v>
      </c>
      <c r="AI45" s="133">
        <f t="shared" si="11"/>
        <v>0</v>
      </c>
      <c r="AJ45" s="133">
        <f t="shared" si="11"/>
        <v>9</v>
      </c>
      <c r="AK45">
        <v>1</v>
      </c>
      <c r="AL45">
        <v>0</v>
      </c>
      <c r="AM45">
        <v>0</v>
      </c>
      <c r="AN45">
        <v>1</v>
      </c>
    </row>
    <row r="46" spans="1:40" x14ac:dyDescent="0.25">
      <c r="A46" t="s">
        <v>956</v>
      </c>
    </row>
    <row r="47" spans="1:40" x14ac:dyDescent="0.25">
      <c r="A47" s="470" t="s">
        <v>253</v>
      </c>
    </row>
  </sheetData>
  <mergeCells count="12">
    <mergeCell ref="H1:I1"/>
    <mergeCell ref="J1:M1"/>
    <mergeCell ref="N1:O1"/>
    <mergeCell ref="P1:R1"/>
    <mergeCell ref="C39:E39"/>
    <mergeCell ref="C42:E42"/>
    <mergeCell ref="C43:E43"/>
    <mergeCell ref="C45:E45"/>
    <mergeCell ref="A1:D1"/>
    <mergeCell ref="E1:G1"/>
    <mergeCell ref="C40:E40"/>
    <mergeCell ref="C41:E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232</vt:i4>
      </vt:variant>
    </vt:vector>
  </HeadingPairs>
  <TitlesOfParts>
    <vt:vector size="251" baseType="lpstr">
      <vt:lpstr>Summary</vt:lpstr>
      <vt:lpstr>Yr-By-Yr</vt:lpstr>
      <vt:lpstr>Cards</vt:lpstr>
      <vt:lpstr>Team Stats</vt:lpstr>
      <vt:lpstr>Form</vt:lpstr>
      <vt:lpstr>Table</vt:lpstr>
      <vt:lpstr>Results</vt:lpstr>
      <vt:lpstr>BTH</vt:lpstr>
      <vt:lpstr>EXE</vt:lpstr>
      <vt:lpstr>GLO</vt:lpstr>
      <vt:lpstr>HAR</vt:lpstr>
      <vt:lpstr>LEI</vt:lpstr>
      <vt:lpstr>LIR</vt:lpstr>
      <vt:lpstr>LWE</vt:lpstr>
      <vt:lpstr>NEW</vt:lpstr>
      <vt:lpstr>NOR</vt:lpstr>
      <vt:lpstr>SAL</vt:lpstr>
      <vt:lpstr>SAR</vt:lpstr>
      <vt:lpstr>WAS</vt:lpstr>
      <vt:lpstr>bathbonus</vt:lpstr>
      <vt:lpstr>bathbonusccorrect</vt:lpstr>
      <vt:lpstr>bathconceded</vt:lpstr>
      <vt:lpstr>bathdrawn</vt:lpstr>
      <vt:lpstr>bathdropgoals</vt:lpstr>
      <vt:lpstr>bathlost</vt:lpstr>
      <vt:lpstr>bathpld</vt:lpstr>
      <vt:lpstr>bathpodrawn</vt:lpstr>
      <vt:lpstr>bathpolost</vt:lpstr>
      <vt:lpstr>bathpopld</vt:lpstr>
      <vt:lpstr>bathpoptsconceded</vt:lpstr>
      <vt:lpstr>bathpoptsscored</vt:lpstr>
      <vt:lpstr>bathpored</vt:lpstr>
      <vt:lpstr>bathpotriesconceded</vt:lpstr>
      <vt:lpstr>bathpotriesscored</vt:lpstr>
      <vt:lpstr>bathpowon</vt:lpstr>
      <vt:lpstr>bathpoyellow</vt:lpstr>
      <vt:lpstr>bathred</vt:lpstr>
      <vt:lpstr>bathscored</vt:lpstr>
      <vt:lpstr>bathtriesconceded</vt:lpstr>
      <vt:lpstr>bathtriesscored</vt:lpstr>
      <vt:lpstr>bathtrybonus</vt:lpstr>
      <vt:lpstr>bathtrybonusconceded</vt:lpstr>
      <vt:lpstr>bathwon</vt:lpstr>
      <vt:lpstr>bathyellow</vt:lpstr>
      <vt:lpstr>exeterbonus</vt:lpstr>
      <vt:lpstr>exeterconceded</vt:lpstr>
      <vt:lpstr>exeterdrawn</vt:lpstr>
      <vt:lpstr>exeterlosingbonus</vt:lpstr>
      <vt:lpstr>exeterlosingbonusconceded</vt:lpstr>
      <vt:lpstr>exeterlost</vt:lpstr>
      <vt:lpstr>exeterpld</vt:lpstr>
      <vt:lpstr>exeterred</vt:lpstr>
      <vt:lpstr>exeterscored</vt:lpstr>
      <vt:lpstr>exetertriesconceded</vt:lpstr>
      <vt:lpstr>exetertriesscored</vt:lpstr>
      <vt:lpstr>exetertrybonusconceded</vt:lpstr>
      <vt:lpstr>exetertrybonusscored</vt:lpstr>
      <vt:lpstr>exeterwon</vt:lpstr>
      <vt:lpstr>exeteryellow</vt:lpstr>
      <vt:lpstr>glosconceded</vt:lpstr>
      <vt:lpstr>glosdrawn</vt:lpstr>
      <vt:lpstr>gloslosingbonus</vt:lpstr>
      <vt:lpstr>gloslosingbonusconceded</vt:lpstr>
      <vt:lpstr>gloslost</vt:lpstr>
      <vt:lpstr>glosplayed</vt:lpstr>
      <vt:lpstr>glosred</vt:lpstr>
      <vt:lpstr>glosscored</vt:lpstr>
      <vt:lpstr>glostries</vt:lpstr>
      <vt:lpstr>glostriesconceded</vt:lpstr>
      <vt:lpstr>glostrybonus</vt:lpstr>
      <vt:lpstr>glostrybonusconceded</vt:lpstr>
      <vt:lpstr>gloswon</vt:lpstr>
      <vt:lpstr>glosyellow</vt:lpstr>
      <vt:lpstr>harbonus</vt:lpstr>
      <vt:lpstr>harconceded</vt:lpstr>
      <vt:lpstr>hardrawn</vt:lpstr>
      <vt:lpstr>harlosingbonus</vt:lpstr>
      <vt:lpstr>harlosingbonusconceded</vt:lpstr>
      <vt:lpstr>harlost</vt:lpstr>
      <vt:lpstr>harplayed</vt:lpstr>
      <vt:lpstr>harred</vt:lpstr>
      <vt:lpstr>harscored</vt:lpstr>
      <vt:lpstr>hartriesconceded</vt:lpstr>
      <vt:lpstr>hartriesscored</vt:lpstr>
      <vt:lpstr>hartrybonus</vt:lpstr>
      <vt:lpstr>hartrybonusconceded</vt:lpstr>
      <vt:lpstr>harwon</vt:lpstr>
      <vt:lpstr>haryellow</vt:lpstr>
      <vt:lpstr>leicesterpoconceded</vt:lpstr>
      <vt:lpstr>leicesterpolost</vt:lpstr>
      <vt:lpstr>leicesterpoplayed</vt:lpstr>
      <vt:lpstr>leicesterpored</vt:lpstr>
      <vt:lpstr>leicesterposcored</vt:lpstr>
      <vt:lpstr>leicesterpotriesconceded</vt:lpstr>
      <vt:lpstr>leicesterpotriesscored</vt:lpstr>
      <vt:lpstr>leicesterpowon</vt:lpstr>
      <vt:lpstr>leicesterpoyellow</vt:lpstr>
      <vt:lpstr>leicsbonus</vt:lpstr>
      <vt:lpstr>leicsconceded</vt:lpstr>
      <vt:lpstr>leicsdrawn</vt:lpstr>
      <vt:lpstr>leicslosingbonus</vt:lpstr>
      <vt:lpstr>leicslosingbonusconceded</vt:lpstr>
      <vt:lpstr>leicslost</vt:lpstr>
      <vt:lpstr>leicsplayed</vt:lpstr>
      <vt:lpstr>leicsred</vt:lpstr>
      <vt:lpstr>leicsscored</vt:lpstr>
      <vt:lpstr>leicstries</vt:lpstr>
      <vt:lpstr>leicstriesconceded</vt:lpstr>
      <vt:lpstr>leicstrybonus</vt:lpstr>
      <vt:lpstr>leicstrybonusconceded</vt:lpstr>
      <vt:lpstr>leicswon</vt:lpstr>
      <vt:lpstr>leicsyellow</vt:lpstr>
      <vt:lpstr>liconceded</vt:lpstr>
      <vt:lpstr>lidrawn</vt:lpstr>
      <vt:lpstr>lilosingbonus</vt:lpstr>
      <vt:lpstr>lilosingbonusconceded</vt:lpstr>
      <vt:lpstr>lilost</vt:lpstr>
      <vt:lpstr>liplayed</vt:lpstr>
      <vt:lpstr>lired</vt:lpstr>
      <vt:lpstr>liscored</vt:lpstr>
      <vt:lpstr>litries</vt:lpstr>
      <vt:lpstr>litriesconceded</vt:lpstr>
      <vt:lpstr>litrybonus</vt:lpstr>
      <vt:lpstr>litrybonusconceded</vt:lpstr>
      <vt:lpstr>liwon</vt:lpstr>
      <vt:lpstr>liyellow</vt:lpstr>
      <vt:lpstr>lweagainst</vt:lpstr>
      <vt:lpstr>lwedrawn</vt:lpstr>
      <vt:lpstr>lwelosingbonus</vt:lpstr>
      <vt:lpstr>lwelosingbonusonceded</vt:lpstr>
      <vt:lpstr>lwelost</vt:lpstr>
      <vt:lpstr>lweplayed</vt:lpstr>
      <vt:lpstr>lwered</vt:lpstr>
      <vt:lpstr>lwescored</vt:lpstr>
      <vt:lpstr>lwetriesconceded</vt:lpstr>
      <vt:lpstr>lwetriesscored</vt:lpstr>
      <vt:lpstr>lwetrybonus</vt:lpstr>
      <vt:lpstr>lwetrybonusconceded</vt:lpstr>
      <vt:lpstr>lwewon</vt:lpstr>
      <vt:lpstr>lweyellow</vt:lpstr>
      <vt:lpstr>newcconceded</vt:lpstr>
      <vt:lpstr>newcdrawn</vt:lpstr>
      <vt:lpstr>newclosingbonus</vt:lpstr>
      <vt:lpstr>newclosingbonusconceded</vt:lpstr>
      <vt:lpstr>newclost</vt:lpstr>
      <vt:lpstr>newcplayed</vt:lpstr>
      <vt:lpstr>newcred</vt:lpstr>
      <vt:lpstr>newcscored</vt:lpstr>
      <vt:lpstr>newctriesconceded</vt:lpstr>
      <vt:lpstr>newctriesscored</vt:lpstr>
      <vt:lpstr>newctrybonus</vt:lpstr>
      <vt:lpstr>newctrybonusconceded</vt:lpstr>
      <vt:lpstr>newcwon</vt:lpstr>
      <vt:lpstr>newcyellow</vt:lpstr>
      <vt:lpstr>sainstpotriesconcededcorrect</vt:lpstr>
      <vt:lpstr>sainstpowon</vt:lpstr>
      <vt:lpstr>saintsbonus</vt:lpstr>
      <vt:lpstr>saintsconceded</vt:lpstr>
      <vt:lpstr>saintsdrawn</vt:lpstr>
      <vt:lpstr>saintslosingbonus</vt:lpstr>
      <vt:lpstr>saintslosingbonusconceded</vt:lpstr>
      <vt:lpstr>saintslost</vt:lpstr>
      <vt:lpstr>saintsplayed</vt:lpstr>
      <vt:lpstr>saintspoconceded</vt:lpstr>
      <vt:lpstr>saintspodrawn</vt:lpstr>
      <vt:lpstr>saintspolost</vt:lpstr>
      <vt:lpstr>saintspoplayed</vt:lpstr>
      <vt:lpstr>saintspored</vt:lpstr>
      <vt:lpstr>saintsposcored</vt:lpstr>
      <vt:lpstr>saintspotriesconceded</vt:lpstr>
      <vt:lpstr>saintspotriesscored</vt:lpstr>
      <vt:lpstr>Saintspoyellow</vt:lpstr>
      <vt:lpstr>saintsred</vt:lpstr>
      <vt:lpstr>saintsscored</vt:lpstr>
      <vt:lpstr>saintstriesconceded</vt:lpstr>
      <vt:lpstr>saintstriesscored</vt:lpstr>
      <vt:lpstr>saintstrybonus</vt:lpstr>
      <vt:lpstr>saintstrybonusconceded</vt:lpstr>
      <vt:lpstr>saintswon</vt:lpstr>
      <vt:lpstr>saintsyellow</vt:lpstr>
      <vt:lpstr>saleconceded</vt:lpstr>
      <vt:lpstr>saledrawn</vt:lpstr>
      <vt:lpstr>salelosingbonus</vt:lpstr>
      <vt:lpstr>salelosingbonusconceded</vt:lpstr>
      <vt:lpstr>salelost</vt:lpstr>
      <vt:lpstr>saleplayed</vt:lpstr>
      <vt:lpstr>salered</vt:lpstr>
      <vt:lpstr>salescored</vt:lpstr>
      <vt:lpstr>saletriesconceded</vt:lpstr>
      <vt:lpstr>saletriesscored</vt:lpstr>
      <vt:lpstr>saletrybonus</vt:lpstr>
      <vt:lpstr>saletrybonusconceded</vt:lpstr>
      <vt:lpstr>salewon</vt:lpstr>
      <vt:lpstr>saleyellow</vt:lpstr>
      <vt:lpstr>saracenspoconceded</vt:lpstr>
      <vt:lpstr>saracenspolost</vt:lpstr>
      <vt:lpstr>saracenspoplayed</vt:lpstr>
      <vt:lpstr>saracenspored</vt:lpstr>
      <vt:lpstr>saracensposcored</vt:lpstr>
      <vt:lpstr>saracenspotriesconceded</vt:lpstr>
      <vt:lpstr>saracenspotriesscored</vt:lpstr>
      <vt:lpstr>saracenspowon</vt:lpstr>
      <vt:lpstr>saracenspoyellow</vt:lpstr>
      <vt:lpstr>sarriesbonus</vt:lpstr>
      <vt:lpstr>sarriesconceded</vt:lpstr>
      <vt:lpstr>sarriesdrawn</vt:lpstr>
      <vt:lpstr>sarrieslosingbonus</vt:lpstr>
      <vt:lpstr>sarrieslosingbonusconceded</vt:lpstr>
      <vt:lpstr>sarrieslost</vt:lpstr>
      <vt:lpstr>sarriesplayed</vt:lpstr>
      <vt:lpstr>sarriesred</vt:lpstr>
      <vt:lpstr>sarriesscored</vt:lpstr>
      <vt:lpstr>sarriestriesconceded</vt:lpstr>
      <vt:lpstr>sarriestriesscored</vt:lpstr>
      <vt:lpstr>sarriestrybonus</vt:lpstr>
      <vt:lpstr>sarriestrybonusconceded</vt:lpstr>
      <vt:lpstr>sarrieswon</vt:lpstr>
      <vt:lpstr>sarriesyellow</vt:lpstr>
      <vt:lpstr>waspsconceded</vt:lpstr>
      <vt:lpstr>waspsdrawn</vt:lpstr>
      <vt:lpstr>waspsdrawncorrect</vt:lpstr>
      <vt:lpstr>waspslosingbonus</vt:lpstr>
      <vt:lpstr>waspslosingbonusconceded</vt:lpstr>
      <vt:lpstr>waspslost</vt:lpstr>
      <vt:lpstr>waspsplayed</vt:lpstr>
      <vt:lpstr>waspsred</vt:lpstr>
      <vt:lpstr>waspsscored</vt:lpstr>
      <vt:lpstr>waspstriesconceded</vt:lpstr>
      <vt:lpstr>waspstriesscored</vt:lpstr>
      <vt:lpstr>waspstrybonus</vt:lpstr>
      <vt:lpstr>waspstrybonusconceded</vt:lpstr>
      <vt:lpstr>waspswon</vt:lpstr>
      <vt:lpstr>waspsyellow</vt:lpstr>
      <vt:lpstr>welshlosingbonus</vt:lpstr>
      <vt:lpstr>welshtrybonus</vt:lpstr>
      <vt:lpstr>worcester201314triesagainst</vt:lpstr>
      <vt:lpstr>worcestertriesscored</vt:lpstr>
      <vt:lpstr>worconceded</vt:lpstr>
      <vt:lpstr>wordrawn</vt:lpstr>
      <vt:lpstr>worlosingbonus</vt:lpstr>
      <vt:lpstr>worlosingbonusconceded</vt:lpstr>
      <vt:lpstr>worlost</vt:lpstr>
      <vt:lpstr>worplayed</vt:lpstr>
      <vt:lpstr>worred</vt:lpstr>
      <vt:lpstr>worscored</vt:lpstr>
      <vt:lpstr>wortriesconceded</vt:lpstr>
      <vt:lpstr>wortriesscored</vt:lpstr>
      <vt:lpstr>wortrybonus</vt:lpstr>
      <vt:lpstr>wortrybonusconceded</vt:lpstr>
      <vt:lpstr>worwon</vt:lpstr>
      <vt:lpstr>woryellow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2014-11-10T19:20:47Z</cp:lastPrinted>
  <dcterms:created xsi:type="dcterms:W3CDTF">2013-06-01T17:42:48Z</dcterms:created>
  <dcterms:modified xsi:type="dcterms:W3CDTF">2021-02-24T10:32:40Z</dcterms:modified>
</cp:coreProperties>
</file>