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97D62A7607D3EE9B/Hillsport Media/PWR/2025-26/"/>
    </mc:Choice>
  </mc:AlternateContent>
  <xr:revisionPtr revIDLastSave="18456" documentId="8_{83203017-89E3-4D87-8C29-BFB0C94BFAB9}" xr6:coauthVersionLast="47" xr6:coauthVersionMax="47" xr10:uidLastSave="{3F27C941-29C4-41E9-A464-F2998DB49C3E}"/>
  <bookViews>
    <workbookView xWindow="-109" yWindow="-109" windowWidth="26301" windowHeight="14169" tabRatio="952" activeTab="9" xr2:uid="{00000000-000D-0000-FFFF-FFFF00000000}"/>
  </bookViews>
  <sheets>
    <sheet name="BRI" sheetId="6" r:id="rId1"/>
    <sheet name="EXE" sheetId="2" r:id="rId2"/>
    <sheet name="GLO" sheetId="3" r:id="rId3"/>
    <sheet name="HAR" sheetId="16" r:id="rId4"/>
    <sheet name="LEI" sheetId="17" r:id="rId5"/>
    <sheet name="LOU" sheetId="18" r:id="rId6"/>
    <sheet name="SAL" sheetId="15" r:id="rId7"/>
    <sheet name="SAR" sheetId="14" r:id="rId8"/>
    <sheet name="TFW" sheetId="19" r:id="rId9"/>
    <sheet name="OVERALL" sheetId="13" r:id="rId10"/>
  </sheets>
  <externalReferences>
    <externalReference r:id="rId11"/>
  </externalReferences>
  <definedNames>
    <definedName name="A_Wallerpts">#REF!</definedName>
    <definedName name="A_Wallertries">#REF!</definedName>
    <definedName name="Abbottjakepts">#REF!</definedName>
    <definedName name="Abbottjaketries">#REF!</definedName>
    <definedName name="Abendanonnickpts">#REF!</definedName>
    <definedName name="Abendanonnicktries">#REF!</definedName>
    <definedName name="Ackermannglopts">GLO!#REF!</definedName>
    <definedName name="Ackermannglotries">GLO!#REF!</definedName>
    <definedName name="Adams_Halesarpts">#REF!</definedName>
    <definedName name="Adams_Halesarptscorrect">SAR!#REF!</definedName>
    <definedName name="Adams_Halesartries">#REF!</definedName>
    <definedName name="Adams_Halesartriescorrect">SAR!#REF!</definedName>
    <definedName name="Adamsworpts">#REF!</definedName>
    <definedName name="Adamswortries">#REF!</definedName>
    <definedName name="Addisonsalpts">#REF!</definedName>
    <definedName name="Addisonsaltries">#REF!</definedName>
    <definedName name="Adejimisarpts">SAR!$F$3</definedName>
    <definedName name="Adejimisartries">SAR!$B$3</definedName>
    <definedName name="Adendorffnorpts">#REF!</definedName>
    <definedName name="Adendorffnortries">#REF!</definedName>
    <definedName name="Adeolokunbripts">BRI!$F$5</definedName>
    <definedName name="Adeolokunbritries">BRI!$B$5</definedName>
    <definedName name="afoabripts">BRI!$F$6</definedName>
    <definedName name="afoabritries">BRI!$B$6</definedName>
    <definedName name="Afoaglopts">GLO!#REF!</definedName>
    <definedName name="Afoaglotries">GLO!#REF!</definedName>
    <definedName name="Agullabatpts">#REF!</definedName>
    <definedName name="Agullabattries">#REF!</definedName>
    <definedName name="Agullapts">#REF!</definedName>
    <definedName name="Agullatries">#REF!</definedName>
    <definedName name="Ah_Younewpts">#REF!</definedName>
    <definedName name="Ah_Younewtries">#REF!</definedName>
    <definedName name="Aholeleiwelshpts">#REF!</definedName>
    <definedName name="Aholeleiwelshtries">#REF!</definedName>
    <definedName name="Aitchisonbriatt">BRI!#REF!</definedName>
    <definedName name="Aitchisonbrigls">BRI!#REF!</definedName>
    <definedName name="Aitchisonbripts">BRI!#REF!</definedName>
    <definedName name="Aitchisonbritries">BRI!#REF!</definedName>
    <definedName name="Aitchisonsalgls">SAL!$J$4</definedName>
    <definedName name="Aitchisonsalpts">SAL!$F$3</definedName>
    <definedName name="Aitchisonsaltries">SAL!$B$3</definedName>
    <definedName name="Alemaleipts">LEI!$F$3</definedName>
    <definedName name="Alemaleitries">LEI!$B$3</definedName>
    <definedName name="Alemannoglopts">GLO!#REF!</definedName>
    <definedName name="Alemannoglotries">GLO!#REF!</definedName>
    <definedName name="Allenanthonypts">#REF!</definedName>
    <definedName name="Allenanthonytries">#REF!</definedName>
    <definedName name="ALLENEXEATT">EXE!$K$4</definedName>
    <definedName name="AllenEXEGLS">EXE!$J$4</definedName>
    <definedName name="Allinsonbatpts">#REF!</definedName>
    <definedName name="Allinsonbattries">#REF!</definedName>
    <definedName name="allinsonliatt">BRI!#REF!</definedName>
    <definedName name="allinsonligoals">BRI!#REF!</definedName>
    <definedName name="Allinsonlipts">BRI!#REF!</definedName>
    <definedName name="Allinsonlitries">BRI!#REF!</definedName>
    <definedName name="Allinsonpts">BRI!#REF!</definedName>
    <definedName name="Allinsontries">BRI!#REF!</definedName>
    <definedName name="Allmannorpts">#REF!</definedName>
    <definedName name="Allmannortries">#REF!</definedName>
    <definedName name="Alofafartries">#REF!</definedName>
    <definedName name="Alofaharpts">#REF!</definedName>
    <definedName name="Aloworpts">#REF!</definedName>
    <definedName name="Alowortries">#REF!</definedName>
    <definedName name="Amorytfrpts">TFW!$F$3</definedName>
    <definedName name="Amorytfrtries">TFW!$B$3</definedName>
    <definedName name="amorytfwatt">TFW!$K$4</definedName>
    <definedName name="Amorytfwgls">TFW!$J$4</definedName>
    <definedName name="Andersonharpts">#REF!</definedName>
    <definedName name="Andersonhartries">#REF!</definedName>
    <definedName name="Annettbthpts">#REF!</definedName>
    <definedName name="Annettbthtries">#REF!</definedName>
    <definedName name="Antwissalpts">SAL!$F$4</definedName>
    <definedName name="Antwissaltries">SAL!$B$4</definedName>
    <definedName name="Anyanwuharpts">#REF!</definedName>
    <definedName name="Anyanwuhartries">#REF!</definedName>
    <definedName name="Armanddonpts">EXE!$F$3</definedName>
    <definedName name="Armanddontries">EXE!$B$3</definedName>
    <definedName name="Armitageguytries">BRI!#REF!</definedName>
    <definedName name="Armitagewaspts">#REF!</definedName>
    <definedName name="Armitagewastries">#REF!</definedName>
    <definedName name="Armstrongbripts">BRI!$F$9</definedName>
    <definedName name="Armstrongbritries">BRI!$B$9</definedName>
    <definedName name="Armstrongjakebripts">BRI!$F$7</definedName>
    <definedName name="Armstrongjakebritries">BRI!$B$7</definedName>
    <definedName name="Armtageguypts">BRI!#REF!</definedName>
    <definedName name="Arnottexepts">EXE!#REF!</definedName>
    <definedName name="Arnottexetries">EXE!#REF!</definedName>
    <definedName name="Arscottbatpts">#REF!</definedName>
    <definedName name="Arscottbattries">#REF!</definedName>
    <definedName name="arscottbriatt">BRI!#REF!</definedName>
    <definedName name="Arscottbrigoals">BRI!#REF!</definedName>
    <definedName name="Arscottlukepts">EXE!#REF!</definedName>
    <definedName name="Arscottluketries">EXE!#REF!</definedName>
    <definedName name="arscottnewatt">#REF!</definedName>
    <definedName name="arscottnewgls">#REF!</definedName>
    <definedName name="Arscottnewpts">#REF!</definedName>
    <definedName name="Arscottnewptscorrect">#REF!</definedName>
    <definedName name="Arscottnewtries">#REF!</definedName>
    <definedName name="Arscottnewtriescorrect">#REF!</definedName>
    <definedName name="Arscottsalpts">#REF!</definedName>
    <definedName name="Arscottsaltries">#REF!</definedName>
    <definedName name="arscotttomatt">#REF!</definedName>
    <definedName name="arscotttomgoals">#REF!</definedName>
    <definedName name="Arscotttompts">#REF!</definedName>
    <definedName name="Arscotttomptscorrect">#REF!</definedName>
    <definedName name="Arscotttomtries">#REF!</definedName>
    <definedName name="Arundellirpts">#REF!</definedName>
    <definedName name="Arundellirtries">#REF!</definedName>
    <definedName name="Ascherlbripts">BRI!$F$8</definedName>
    <definedName name="Ascherlbritries">BRI!$B$8</definedName>
    <definedName name="Ashmansalpts">#REF!</definedName>
    <definedName name="Ashmansaltries">#REF!</definedName>
    <definedName name="Ashtonchrisptscorrect">#REF!</definedName>
    <definedName name="Ashtonchristriescorrect">#REF!</definedName>
    <definedName name="Ashtonpts">#REF!</definedName>
    <definedName name="Ashtonsalpts">#REF!</definedName>
    <definedName name="Ashtonsaltries">#REF!</definedName>
    <definedName name="ashtontries">#REF!</definedName>
    <definedName name="Ashtonworpts">#REF!</definedName>
    <definedName name="Ashtonwortries">#REF!</definedName>
    <definedName name="Aspinallglopts">GLO!$F$3</definedName>
    <definedName name="Aspinallglotries">GLO!$B$3</definedName>
    <definedName name="atichisonsalatt">SAL!$K$4</definedName>
    <definedName name="Atkin_Daviesbripts">BRI!$F$3</definedName>
    <definedName name="Atkin_Daviesbritries">BRI!$B$3</definedName>
    <definedName name="Atkinsbthatt">#REF!</definedName>
    <definedName name="Atkinsbthgls">#REF!</definedName>
    <definedName name="Atkinsbthpts">#REF!</definedName>
    <definedName name="Atkinsbthtries">#REF!</definedName>
    <definedName name="atkinsliratt">BRI!#REF!</definedName>
    <definedName name="atkinslirgls">BRI!#REF!</definedName>
    <definedName name="Atkinson_Sglopts">GLO!$F$4</definedName>
    <definedName name="Atkinson_Sglotries">GLO!$B$4</definedName>
    <definedName name="Atkinsonglopts">GLO!#REF!</definedName>
    <definedName name="Atkinsonglotries">GLO!#REF!</definedName>
    <definedName name="atkinsonleicatt">#REF!</definedName>
    <definedName name="atkinsonleicgls">#REF!</definedName>
    <definedName name="atkinsonwasatt">#REF!</definedName>
    <definedName name="atkinsonwasgls">#REF!</definedName>
    <definedName name="Atkinsonwaspts">#REF!</definedName>
    <definedName name="Atkinsonwastries">#REF!</definedName>
    <definedName name="Atkinsonworpts">#REF!</definedName>
    <definedName name="Atkinsonwortries">#REF!</definedName>
    <definedName name="Attwooddavepts">#REF!</definedName>
    <definedName name="Attwooddavetries">#REF!</definedName>
    <definedName name="Attwoodpts">#REF!</definedName>
    <definedName name="attwoodtries">#REF!</definedName>
    <definedName name="Auckenharpts">HAR!$F$3</definedName>
    <definedName name="Auckenhartries">HAR!$B$3</definedName>
    <definedName name="Augustusnorpts">#REF!</definedName>
    <definedName name="Augustusnortries">#REF!</definedName>
    <definedName name="Aulikalipts">BRI!#REF!</definedName>
    <definedName name="Aulikalitries">BRI!#REF!</definedName>
    <definedName name="Aulikasalpts">#REF!</definedName>
    <definedName name="Aulikasaltries">#REF!</definedName>
    <definedName name="Autagavaiafaatoinapts">#REF!</definedName>
    <definedName name="Autagavaiafaatoinatries">#REF!</definedName>
    <definedName name="Auteracharpts">#REF!</definedName>
    <definedName name="Auterachartries">#REF!</definedName>
    <definedName name="Auteracnicbatpts">#REF!</definedName>
    <definedName name="auteracnicbattries">#REF!</definedName>
    <definedName name="Auteracnorpts">#REF!</definedName>
    <definedName name="Auteracnortries">#REF!</definedName>
    <definedName name="Awcockalanpts">#REF!</definedName>
    <definedName name="Awcockalantries">#REF!</definedName>
    <definedName name="Ayerzaleipts">#REF!</definedName>
    <definedName name="Ayerzaleitries">#REF!</definedName>
    <definedName name="Baileipts">#REF!</definedName>
    <definedName name="Baileitries">#REF!</definedName>
    <definedName name="baileybriatt">BRI!$K$4</definedName>
    <definedName name="baileybrigls">BRI!$J$4</definedName>
    <definedName name="Baileybripts">BRI!$F$4</definedName>
    <definedName name="Baileybritries">BRI!$B$4</definedName>
    <definedName name="baileybthatt">#REF!</definedName>
    <definedName name="Baileybthgls">#REF!</definedName>
    <definedName name="Baileybthpts">#REF!</definedName>
    <definedName name="Baileybthtries">#REF!</definedName>
    <definedName name="Baileyharpts">HAR!$F$4</definedName>
    <definedName name="Baileyhartries">HAR!$B$4</definedName>
    <definedName name="Bainessalpts">#REF!</definedName>
    <definedName name="Bainessaltries">#REF!</definedName>
    <definedName name="Baldwinharpts">#REF!</definedName>
    <definedName name="Baldwinhartries">#REF!</definedName>
    <definedName name="Balmainglopts">GLO!$F$5</definedName>
    <definedName name="Balmainglotries">GLO!$B$5</definedName>
    <definedName name="Balmainleipts">#REF!</definedName>
    <definedName name="Balmainleitries">#REF!</definedName>
    <definedName name="banahanbatatt">#REF!</definedName>
    <definedName name="banahanbatgoals">#REF!</definedName>
    <definedName name="Banahanglopts">GLO!#REF!</definedName>
    <definedName name="Banahanglotries">GLO!#REF!</definedName>
    <definedName name="Banahanmatttries">#REF!</definedName>
    <definedName name="Banahanpts2">#REF!</definedName>
    <definedName name="Banahanptscorrect">#REF!</definedName>
    <definedName name="Banahantries">#REF!</definedName>
    <definedName name="banahantries2">#REF!</definedName>
    <definedName name="Banahantriescorrect">#REF!</definedName>
    <definedName name="banhanpts">#REF!</definedName>
    <definedName name="Barbearywaspts">#REF!</definedName>
    <definedName name="Barbearywastrie">#REF!</definedName>
    <definedName name="Barbierileipts">#REF!</definedName>
    <definedName name="Barbierileitries">#REF!</definedName>
    <definedName name="Barkleyollypts">#REF!</definedName>
    <definedName name="Barkleyollytries">#REF!</definedName>
    <definedName name="barkleywelatt">#REF!</definedName>
    <definedName name="barkleywelgoals">#REF!</definedName>
    <definedName name="Barnesharpts">#REF!</definedName>
    <definedName name="Barneshartries">#REF!</definedName>
    <definedName name="Barnesnewpts">#REF!</definedName>
    <definedName name="Barnesnewtries">#REF!</definedName>
    <definedName name="Barringtonrichardpts">#REF!</definedName>
    <definedName name="Barringtonrichardtries">#REF!</definedName>
    <definedName name="Barringtonsarptscorrect">SAR!#REF!</definedName>
    <definedName name="Barringtonsartriescorrect">SAR!#REF!</definedName>
    <definedName name="Barrittbradpts">#REF!</definedName>
    <definedName name="Barrittbradtries">#REF!</definedName>
    <definedName name="Barrownewpts">#REF!</definedName>
    <definedName name="Barrownewtries">#REF!</definedName>
    <definedName name="Barrownorpts">#REF!</definedName>
    <definedName name="Barrownortries">#REF!</definedName>
    <definedName name="Bartlettglopts">GLO!#REF!</definedName>
    <definedName name="Bartlettglotries">GLO!#REF!</definedName>
    <definedName name="Bartlettleipts">LEI!$F$5</definedName>
    <definedName name="Bartlettleitries">LEI!$B$5</definedName>
    <definedName name="Bartongloatt">GLO!#REF!</definedName>
    <definedName name="Bartonglogls">GLO!#REF!</definedName>
    <definedName name="Bartonglopts">GLO!$F$7</definedName>
    <definedName name="Bartonglotries">GLO!$B$7</definedName>
    <definedName name="Barwicktfrpts">TFW!$F$4</definedName>
    <definedName name="Barwicktfrtries">TFW!$B$4</definedName>
    <definedName name="Bashamlirpts">#REF!</definedName>
    <definedName name="Bashamlirtries">#REF!</definedName>
    <definedName name="Bashamnewpts">#REF!</definedName>
    <definedName name="Bashamnewtries">#REF!</definedName>
    <definedName name="Bassettharpts">#REF!</definedName>
    <definedName name="BassettHartries">#REF!</definedName>
    <definedName name="bassettjoshtries">#REF!</definedName>
    <definedName name="Bassettpts">#REF!</definedName>
    <definedName name="bassetttries">#REF!</definedName>
    <definedName name="Bassettwaspts">#REF!</definedName>
    <definedName name="Bassettwastries">#REF!</definedName>
    <definedName name="Batemangregpts">EXE!#REF!</definedName>
    <definedName name="Batemangregtries">EXE!#REF!</definedName>
    <definedName name="Batemanleipts">#REF!</definedName>
    <definedName name="Batemanleitries">#REF!</definedName>
    <definedName name="Batesbripts">BRI!#REF!</definedName>
    <definedName name="Batesbritries">BRI!#REF!</definedName>
    <definedName name="bathpentries">#REF!</definedName>
    <definedName name="bathpentriespts">#REF!</definedName>
    <definedName name="bathpentriesptscorrect">#REF!</definedName>
    <definedName name="bathpentriesptsthisone">#REF!</definedName>
    <definedName name="bathpentriestriescorrect">#REF!</definedName>
    <definedName name="bathpentriestriesthisone">#REF!</definedName>
    <definedName name="BathPts">#REF!</definedName>
    <definedName name="bathscorers">#REF!</definedName>
    <definedName name="BathTries">#REF!</definedName>
    <definedName name="Batleybripts">BRI!#REF!</definedName>
    <definedName name="Batleybriptscorrect">BRI!#REF!</definedName>
    <definedName name="Batleybritries">BRI!#REF!</definedName>
    <definedName name="Batleybritriescorrect">BRI!#REF!</definedName>
    <definedName name="Batleyworpts">#REF!</definedName>
    <definedName name="Batleywortries">#REF!</definedName>
    <definedName name="Battyrosspts">#REF!</definedName>
    <definedName name="Battyrosstries">#REF!</definedName>
    <definedName name="Bawdensalpts">SAL!$F$5</definedName>
    <definedName name="Bawdensaltries">SAL!$B$5</definedName>
    <definedName name="Baxterharpts">#REF!</definedName>
    <definedName name="Baxterhartries">#REF!</definedName>
    <definedName name="Baylissbthpts">#REF!</definedName>
    <definedName name="Baylissbthtries">#REF!</definedName>
    <definedName name="Bealewaspts">#REF!</definedName>
    <definedName name="Bealewastries">#REF!</definedName>
    <definedName name="beardharatt">#REF!</definedName>
    <definedName name="beardhargls">#REF!</definedName>
    <definedName name="Beardharpts">#REF!</definedName>
    <definedName name="Beardhartries">#REF!</definedName>
    <definedName name="Beatonsarpts">SAR!#REF!</definedName>
    <definedName name="Beatonsartries">SAR!#REF!</definedName>
    <definedName name="Beaumontsalpts">#REF!</definedName>
    <definedName name="Beaumontsaltries">#REF!</definedName>
    <definedName name="Beaverleipts">LEI!$F$6</definedName>
    <definedName name="Beaverleitries">LEI!$B$6</definedName>
    <definedName name="becconsallexeatt">EXE!$K$5</definedName>
    <definedName name="becconsallexegls">EXE!$J$5</definedName>
    <definedName name="Beckworpts">#REF!</definedName>
    <definedName name="Beckwortries">#REF!</definedName>
    <definedName name="bedlowbriatt">BRI!$K$5</definedName>
    <definedName name="Bedlowbrigls">BRI!$J$5</definedName>
    <definedName name="Bedlowbripts">BRI!$F$12</definedName>
    <definedName name="bedlowbritries">BRI!$B$12</definedName>
    <definedName name="bedlowsalatt">#REF!</definedName>
    <definedName name="Bedlowsalgls">#REF!</definedName>
    <definedName name="BedlowSALPTS">#REF!</definedName>
    <definedName name="BedlowSALTRIES">#REF!</definedName>
    <definedName name="Beechcharliepts">#REF!</definedName>
    <definedName name="Beechcharlietries">#REF!</definedName>
    <definedName name="Belisleloupts">LOU!$F$4</definedName>
    <definedName name="Belisleloutries">LOU!$B$4</definedName>
    <definedName name="Bell_C">#REF!</definedName>
    <definedName name="Bellchrispts">#REF!</definedName>
    <definedName name="Bellchristries">#REF!</definedName>
    <definedName name="Bellharpts">HAR!$F$5</definedName>
    <definedName name="Bellhartries">HAR!$B$5</definedName>
    <definedName name="bellleiatt">#REF!</definedName>
    <definedName name="Bellleigoals">#REF!</definedName>
    <definedName name="Bellleipts">#REF!</definedName>
    <definedName name="Bellleitries">#REF!</definedName>
    <definedName name="Bellloupts">LOU!$F$5</definedName>
    <definedName name="Bellloutries">LOU!$B$5</definedName>
    <definedName name="Belltommypts">#REF!</definedName>
    <definedName name="Belltommytries">#REF!</definedName>
    <definedName name="BenettonPts">[1]BEN!$F$54</definedName>
    <definedName name="BenettonTries">[1]BEN!$B$54</definedName>
    <definedName name="Benjaminharpts">HAR!$F$6</definedName>
    <definedName name="Benjaminhartries">HAR!$B$6</definedName>
    <definedName name="Benjaminleipts">#REF!</definedName>
    <definedName name="Benjaminleitries">#REF!</definedName>
    <definedName name="Benjaminmilespts">#REF!</definedName>
    <definedName name="Benjaminmilestries">#REF!</definedName>
    <definedName name="Bennettnorpts">#REF!</definedName>
    <definedName name="Bennettnortries">#REF!</definedName>
    <definedName name="bensonharatt">#REF!</definedName>
    <definedName name="bensonhargls">#REF!</definedName>
    <definedName name="Bensonharpts">#REF!</definedName>
    <definedName name="Bensonhartries">#REF!</definedName>
    <definedName name="Bensonsalpts">SAL!$F$7</definedName>
    <definedName name="Bensonsaltries">SAL!$B$7</definedName>
    <definedName name="Bentleyjonnypts">GLO!#REF!</definedName>
    <definedName name="Benz_Salomon_Jbripts">BRI!$F$16</definedName>
    <definedName name="Benz_Salomon_Jbritri">BRI!$B$16</definedName>
    <definedName name="Bermudezloupts">LOU!$F$6</definedName>
    <definedName name="Bermudezloutries">LOU!$B$6</definedName>
    <definedName name="Bettencourtnewpts">#REF!</definedName>
    <definedName name="Bettencourtnewtries">#REF!</definedName>
    <definedName name="Bettysampts">#REF!</definedName>
    <definedName name="Bettysamtries">#REF!</definedName>
    <definedName name="Beukeboomtfwpts">TFW!$F$5</definedName>
    <definedName name="Beukeboomtfwtries">TFW!$B$5</definedName>
    <definedName name="Bevingtonbstpts">BRI!$F$9</definedName>
    <definedName name="Bevingtonbsttries">BRI!$B$9</definedName>
    <definedName name="Biggarnorpts">#REF!</definedName>
    <definedName name="Biggarnortries">#REF!</definedName>
    <definedName name="Biggstompts">#REF!</definedName>
    <definedName name="Biggstomtries">#REF!</definedName>
    <definedName name="Birchsalpts">#REF!</definedName>
    <definedName name="Birchsaltries">#REF!</definedName>
    <definedName name="bitterleiatt">LEI!$K$4</definedName>
    <definedName name="Bitterleigls">LEI!$J$4</definedName>
    <definedName name="Blackburn__Emilyharpts">HAR!$F$7</definedName>
    <definedName name="Blackburn__Emilyhartries">HAR!$B$7</definedName>
    <definedName name="Blackburn__Emmaharpts">HAR!$F$8</definedName>
    <definedName name="Blackburn__Emmahartries">HAR!$B$8</definedName>
    <definedName name="blackettnewatt">#REF!</definedName>
    <definedName name="blackettnewgls">#REF!</definedName>
    <definedName name="Blackettnewpts">#REF!</definedName>
    <definedName name="Blackettnewtries">#REF!</definedName>
    <definedName name="blacklocksaratt">SAR!$K$4</definedName>
    <definedName name="Blacklocksargls">SAR!$J$4</definedName>
    <definedName name="Blackworpts">#REF!</definedName>
    <definedName name="Blackwortries">#REF!</definedName>
    <definedName name="Blairnewpts">#REF!</definedName>
    <definedName name="Blairpts">#REF!</definedName>
    <definedName name="Blairtries">#REF!</definedName>
    <definedName name="Blakeglopts">GLO!$F$8</definedName>
    <definedName name="Blakeglotries">GLO!$B$8</definedName>
    <definedName name="Blamirenewpts">#REF!</definedName>
    <definedName name="Blamirenewtries">#REF!</definedName>
    <definedName name="Blancotfwgls">TFW!$B$6</definedName>
    <definedName name="Blancotfwpts">TFW!$F$6</definedName>
    <definedName name="Blancotfwtries">TFW!$B$6</definedName>
    <definedName name="Blommetjiesleicpts">#REF!</definedName>
    <definedName name="Blommetjiesleictries">#REF!</definedName>
    <definedName name="Boagglopts">GLO!$F$6</definedName>
    <definedName name="Boagglotries">GLO!$B$6</definedName>
    <definedName name="Boatmantfwpts">TFW!$F$7</definedName>
    <definedName name="Boatmantfwtries">TFW!$B$7</definedName>
    <definedName name="Bodillyexepts">EXE!#REF!</definedName>
    <definedName name="Bodillyexetries">EXE!#REF!</definedName>
    <definedName name="Borlandtfwpts">TFW!$F$8</definedName>
    <definedName name="Borlandtfwtries">TFW!$B$8</definedName>
    <definedName name="boschatt">#REF!</definedName>
    <definedName name="Boschgoals">#REF!</definedName>
    <definedName name="Boschmarcelopts">#REF!</definedName>
    <definedName name="Boschmarcelotries">#REF!</definedName>
    <definedName name="Bothaexepts">EXE!#REF!</definedName>
    <definedName name="Bothaexetries">EXE!#REF!</definedName>
    <definedName name="Bothalirpts">#REF!</definedName>
    <definedName name="Bothalirtries">#REF!</definedName>
    <definedName name="Bothamouritzpts">#REF!</definedName>
    <definedName name="Bothamouritztries">#REF!</definedName>
    <definedName name="Bothmaharpts">#REF!</definedName>
    <definedName name="Bothmahartries">#REF!</definedName>
    <definedName name="boticaatt">#REF!</definedName>
    <definedName name="Boticabentries">#REF!</definedName>
    <definedName name="boticagoals">#REF!</definedName>
    <definedName name="Boticaharpts">#REF!</definedName>
    <definedName name="Boticapts">#REF!</definedName>
    <definedName name="Botterman_Hbritries">BRI!$B$10</definedName>
    <definedName name="Bottermanbripts">BRI!$F$10</definedName>
    <definedName name="Bowdendanpts">#REF!</definedName>
    <definedName name="Bowdendantries">#REF!</definedName>
    <definedName name="Bowdenpts">#REF!</definedName>
    <definedName name="bowdentries">#REF!</definedName>
    <definedName name="Boycebthpts">#REF!</definedName>
    <definedName name="Boycebthtries">#REF!</definedName>
    <definedName name="Boyceharpts">#REF!</definedName>
    <definedName name="Boycehartries">#REF!</definedName>
    <definedName name="Bradburybripts">BRI!#REF!</definedName>
    <definedName name="Bradburybritries">BRI!#REF!</definedName>
    <definedName name="Bradleyharpts">#REF!</definedName>
    <definedName name="Bradleyhartries">#REF!</definedName>
    <definedName name="Bradleytfwpts">TFW!$F$9</definedName>
    <definedName name="Bradleytfwtries">TFW!$B$9</definedName>
    <definedName name="Bradyleipts">#REF!</definedName>
    <definedName name="Bradyleitries">#REF!</definedName>
    <definedName name="Bradytompts">#REF!</definedName>
    <definedName name="Bradytomtries">#REF!</definedName>
    <definedName name="Braiddanpts">#REF!</definedName>
    <definedName name="Braiddantries">#REF!</definedName>
    <definedName name="Braidpts">#REF!</definedName>
    <definedName name="Braidtries">#REF!</definedName>
    <definedName name="braidworatt">#REF!</definedName>
    <definedName name="braidworgoals">#REF!</definedName>
    <definedName name="Braidworpts">#REF!</definedName>
    <definedName name="Braidwortries">#REF!</definedName>
    <definedName name="Braleyglopts">GLO!#REF!</definedName>
    <definedName name="Braleyglotries">GLO!#REF!</definedName>
    <definedName name="Braleynorpts">#REF!</definedName>
    <definedName name="Braleynortries">#REF!</definedName>
    <definedName name="Brebner_Holdenloupts">LOU!$F$7</definedName>
    <definedName name="Brebner_Holdenloutries">LOU!$B$7</definedName>
    <definedName name="Bregvadzeworpts">#REF!</definedName>
    <definedName name="Bregvadzewortries">#REF!</definedName>
    <definedName name="brennanexepts">EXE!$F$5</definedName>
    <definedName name="Brennanexetries">EXE!$B$5</definedName>
    <definedName name="Breslerworpts">#REF!</definedName>
    <definedName name="Breslerwortries">#REF!</definedName>
    <definedName name="Brewbthpts">#REF!</definedName>
    <definedName name="Brewbthtries">#REF!</definedName>
    <definedName name="Bricknellexepts">EXE!$F$6</definedName>
    <definedName name="Bricknellexetries">EXE!$B$6</definedName>
    <definedName name="Bridgerglopts">SAR!$F$8</definedName>
    <definedName name="Bridgerglotries">SAR!$B$8</definedName>
    <definedName name="Briggsleipts">#REF!</definedName>
    <definedName name="Briggsleitries">#REF!</definedName>
    <definedName name="Briggssalpts">#REF!</definedName>
    <definedName name="Briggssaltries">#REF!</definedName>
    <definedName name="Brincattfwpts">TFW!$F$10</definedName>
    <definedName name="Brincattfwtries">TFW!$B$10</definedName>
    <definedName name="BristolPts">BRI!$F$49</definedName>
    <definedName name="BristolTries">BRI!$B$49</definedName>
    <definedName name="Bristowleipts">#REF!</definedName>
    <definedName name="Bristowleitries">#REF!</definedName>
    <definedName name="Bristowsalpts">#REF!</definedName>
    <definedName name="Bristowsaltries">#REF!</definedName>
    <definedName name="Britspts">#REF!</definedName>
    <definedName name="britstris">#REF!</definedName>
    <definedName name="Brittonwelpts">#REF!</definedName>
    <definedName name="Brittonweltries">#REF!</definedName>
    <definedName name="Brodyleipts">LEI!#REF!</definedName>
    <definedName name="Brodyleitries">LEI!#REF!</definedName>
    <definedName name="Brodyloupts">LOU!$F$8</definedName>
    <definedName name="Brodyloutries">LOU!$B$8</definedName>
    <definedName name="Brookerglopts">GLO!#REF!</definedName>
    <definedName name="Brookerglotries">GLO!#REF!</definedName>
    <definedName name="Brookesnewpts">#REF!</definedName>
    <definedName name="Brookesnewtries">#REF!</definedName>
    <definedName name="Brookesnoprpts">#REF!</definedName>
    <definedName name="Brookesnortries">#REF!</definedName>
    <definedName name="Brookeswaspts">#REF!</definedName>
    <definedName name="Brookeswastries">#REF!</definedName>
    <definedName name="Brophy_Clewslirgoals">BRI!#REF!</definedName>
    <definedName name="Brophy_Clewslirpts">BRI!#REF!</definedName>
    <definedName name="Brophy_Clewslirtries">BRI!#REF!</definedName>
    <definedName name="brophyclewsliratt">BRI!#REF!</definedName>
    <definedName name="BrophyClewslirpts">BRI!#REF!</definedName>
    <definedName name="BrophyClewslirtries">BRI!#REF!</definedName>
    <definedName name="Brown">#REF!</definedName>
    <definedName name="brown2">#REF!</definedName>
    <definedName name="Brownedanielpts">#REF!</definedName>
    <definedName name="Brownedanieltries">#REF!</definedName>
    <definedName name="Brownepetepts">#REF!</definedName>
    <definedName name="Brownepetetries">#REF!</definedName>
    <definedName name="brownexepts">EXE!#REF!</definedName>
    <definedName name="brownexetries">EXE!#REF!</definedName>
    <definedName name="Brownharpts">#REF!</definedName>
    <definedName name="Brownhartries">#REF!</definedName>
    <definedName name="brownkellypts">#REF!</definedName>
    <definedName name="brownkellytries">#REF!</definedName>
    <definedName name="brownleipts">#REF!</definedName>
    <definedName name="brownleitries">#REF!</definedName>
    <definedName name="brownmikepts2">#REF!</definedName>
    <definedName name="Brownmiketries">#REF!</definedName>
    <definedName name="brownmiketriescorrect">#REF!</definedName>
    <definedName name="brownnewpts">#REF!</definedName>
    <definedName name="brownnewtries">#REF!</definedName>
    <definedName name="brownsarpts">#REF!</definedName>
    <definedName name="brownsartries">#REF!</definedName>
    <definedName name="brownsharpts">HAR!$F$10</definedName>
    <definedName name="brownshartries">HAR!$B$10</definedName>
    <definedName name="Brussownorpts">#REF!</definedName>
    <definedName name="Brussownortries">#REF!</definedName>
    <definedName name="Bryansarpts">SAR!$F$6</definedName>
    <definedName name="Bryansartries">SAR!$B$6</definedName>
    <definedName name="bryantleiatt">#REF!</definedName>
    <definedName name="Bryantleigoals">#REF!</definedName>
    <definedName name="Bryantleipts">#REF!</definedName>
    <definedName name="Bryantleitries">#REF!</definedName>
    <definedName name="Buchananpts">#REF!</definedName>
    <definedName name="buchanantries">#REF!</definedName>
    <definedName name="Buckleysalpts">#REF!</definedName>
    <definedName name="Buckleysaltries">#REF!</definedName>
    <definedName name="Buisabripts">BRI!$F$11</definedName>
    <definedName name="Buisabritries">BRI!$B$11</definedName>
    <definedName name="Burgerjacquespts">#REF!</definedName>
    <definedName name="Burgerjacquestries">#REF!</definedName>
    <definedName name="Burgesssampts">#REF!</definedName>
    <definedName name="Burgesssamtries">#REF!</definedName>
    <definedName name="Burnsbillypts">GLO!#REF!</definedName>
    <definedName name="Burnsbillytries">GLO!#REF!</definedName>
    <definedName name="burnsbthpts">#REF!</definedName>
    <definedName name="burnsbthtries">#REF!</definedName>
    <definedName name="burnsfreddieatt">GLO!#REF!</definedName>
    <definedName name="burnsfreddiegoals">GLO!#REF!</definedName>
    <definedName name="Burnsfreddiepts">GLO!#REF!</definedName>
    <definedName name="Burnsfreddietries">GLO!#REF!</definedName>
    <definedName name="burnsgloatt">GLO!#REF!</definedName>
    <definedName name="burnsglogoals">GLO!#REF!</definedName>
    <definedName name="Burnsharpts">#REF!</definedName>
    <definedName name="Burnshartries">#REF!</definedName>
    <definedName name="burnsleiatt">#REF!</definedName>
    <definedName name="Burnsleicpts">#REF!</definedName>
    <definedName name="Burnsleictries">#REF!</definedName>
    <definedName name="burnsleigoals">#REF!</definedName>
    <definedName name="Burnsleipts">#REF!</definedName>
    <definedName name="Burnsleitries">#REF!</definedName>
    <definedName name="Burrelllutherpts">#REF!</definedName>
    <definedName name="Burrellnewpts">#REF!</definedName>
    <definedName name="Burrellnewtries">#REF!</definedName>
    <definedName name="Burrellpts">#REF!</definedName>
    <definedName name="Burrelltries">#REF!</definedName>
    <definedName name="Burrelltriescorrect">#REF!</definedName>
    <definedName name="Burrowsnewpts">#REF!</definedName>
    <definedName name="Burrowsnewtries">#REF!</definedName>
    <definedName name="Burtontfwpts">TFW!$F$13</definedName>
    <definedName name="Burtontfwtries">TFW!$B$13</definedName>
    <definedName name="Bushharpts">HAR!$F$11</definedName>
    <definedName name="Bushhartries">HAR!$B$11</definedName>
    <definedName name="Buttbthpts">#REF!</definedName>
    <definedName name="Buttbthtries">#REF!</definedName>
    <definedName name="Byrnebripts">BRI!$F$17</definedName>
    <definedName name="Byrnebritries">BRI!$B$17</definedName>
    <definedName name="Cahillshanepts">#REF!</definedName>
    <definedName name="Cahillshanetries">#REF!</definedName>
    <definedName name="Cairnsexepts">EXE!$F$4</definedName>
    <definedName name="Cairnsexetries">EXE!$B$4</definedName>
    <definedName name="Caldwellexepts">EXE!$F$7</definedName>
    <definedName name="Caldwellexetries">EXE!$B$7</definedName>
    <definedName name="Calladineloupts">LOU!$F$9</definedName>
    <definedName name="Calladineloutries">LOU!$B$9</definedName>
    <definedName name="Callenderharpts">HAR!$F$12</definedName>
    <definedName name="Callenderhartries">HAR!$B$12</definedName>
    <definedName name="Camacholeipts">#REF!</definedName>
    <definedName name="Camacholeitries">#REF!</definedName>
    <definedName name="Campagnarowaspts">#REF!</definedName>
    <definedName name="Campagnarowastries">#REF!</definedName>
    <definedName name="Campbellsalpts">SAL!$F$10</definedName>
    <definedName name="Campbellsaltries">SAL!$B$10</definedName>
    <definedName name="Cannonwaspts">#REF!</definedName>
    <definedName name="Cannonwastries">#REF!</definedName>
    <definedName name="Capellsalpts">SAL!$F$11</definedName>
    <definedName name="Capellsaltries">SAL!$B$11</definedName>
    <definedName name="Caponbripts">BRI!#REF!</definedName>
    <definedName name="Caponbritries">BRI!#REF!</definedName>
    <definedName name="Capstickexepts">EXE!$F$7</definedName>
    <definedName name="Capstickexetries">EXE!$B$7</definedName>
    <definedName name="Cardallwaspts">#REF!</definedName>
    <definedName name="Cardallwastries">#REF!</definedName>
    <definedName name="CardiffPts">[1]CBL!$F$50</definedName>
    <definedName name="CardiffTries">[1]CBL!$B$50</definedName>
    <definedName name="Care" comment="constant">#REF!</definedName>
    <definedName name="Carepts">#REF!</definedName>
    <definedName name="caretries" comment="constant">#REF!</definedName>
    <definedName name="carlisleatt">#REF!</definedName>
    <definedName name="carlislegoals">#REF!</definedName>
    <definedName name="Carlislejoetries">#REF!</definedName>
    <definedName name="Carlislepts">#REF!</definedName>
    <definedName name="Carpentersalpts">#REF!</definedName>
    <definedName name="Carpentersaltries">#REF!</definedName>
    <definedName name="Carrbripts">BRI!$F$13</definedName>
    <definedName name="Carrbritries">BRI!$B$13</definedName>
    <definedName name="carrerasgloatt">GLO!#REF!</definedName>
    <definedName name="Carrerasglogls">GLO!#REF!</definedName>
    <definedName name="Carrerasglopts">GLO!$F$9</definedName>
    <definedName name="Carrerasglotries">GLO!$B$9</definedName>
    <definedName name="Carrerasnewpts">#REF!</definedName>
    <definedName name="Carrerasnewtries">#REF!</definedName>
    <definedName name="Carrharpts">#REF!</definedName>
    <definedName name="Carrhartries">#REF!</definedName>
    <definedName name="Carrick_Smithexepts">EXE!$F$8</definedName>
    <definedName name="Carrick_Smithexetries">EXE!$B$8</definedName>
    <definedName name="Carrnwaspts">#REF!</definedName>
    <definedName name="Carrnwastries">#REF!</definedName>
    <definedName name="Carrwaspts">#REF!</definedName>
    <definedName name="Carrwastries">#REF!</definedName>
    <definedName name="Cassonharpts">#REF!</definedName>
    <definedName name="Cassonhartries">#REF!</definedName>
    <definedName name="Catonewpts">#REF!</definedName>
    <definedName name="Catonoahpts">#REF!</definedName>
    <definedName name="Catonoahtries">#REF!</definedName>
    <definedName name="Catrakilisharpts">#REF!</definedName>
    <definedName name="Catrakilishartries">#REF!</definedName>
    <definedName name="catterickatt">#REF!</definedName>
    <definedName name="catterickgoals">#REF!</definedName>
    <definedName name="Cattericknewtries">#REF!</definedName>
    <definedName name="Catterickpts">#REF!</definedName>
    <definedName name="Cattericktries">#REF!</definedName>
    <definedName name="Cattnathanpts">#REF!</definedName>
    <definedName name="Cattnathantries">#REF!</definedName>
    <definedName name="Cauxbriptsd">BRI!#REF!</definedName>
    <definedName name="Cauxbritries">BRI!#REF!</definedName>
    <definedName name="Challengerbripts">BRI!#REF!</definedName>
    <definedName name="Challengerbritries">BRI!#REF!</definedName>
    <definedName name="chapmangloatt">GLO!$K$4</definedName>
    <definedName name="chapmanglogls">GLO!$J$4</definedName>
    <definedName name="Chapmanglopts">GLO!$F$10</definedName>
    <definedName name="Chapmanglotries">GLO!$B$10</definedName>
    <definedName name="Charlesbthpts">#REF!</definedName>
    <definedName name="Charlesbthtries">#REF!</definedName>
    <definedName name="Charterisbthpts">#REF!</definedName>
    <definedName name="Charterisbthtries">#REF!</definedName>
    <definedName name="Cheesemanharpts">#REF!</definedName>
    <definedName name="Cheesemanhartries">#REF!</definedName>
    <definedName name="CheetahsPts">[1]CHE!$E$62</definedName>
    <definedName name="CheetahsTries">[1]CHE!$B$62</definedName>
    <definedName name="Chessum_Lleipts">#REF!</definedName>
    <definedName name="Chessum_Lleitries">#REF!</definedName>
    <definedName name="Chessumleicpts">#REF!</definedName>
    <definedName name="Chessumleictries">#REF!</definedName>
    <definedName name="Chicknewpts">#REF!</definedName>
    <definedName name="Chicknewtries">#REF!</definedName>
    <definedName name="childsleiatt">LEI!#REF!</definedName>
    <definedName name="Childsleigls">LEI!#REF!</definedName>
    <definedName name="Childsleipts">LEI!$F$8</definedName>
    <definedName name="Childsleitries">LEI!$B$8</definedName>
    <definedName name="Childssalpts">SAL!$F$12</definedName>
    <definedName name="Childssaltries">SAL!$B$12</definedName>
    <definedName name="Chisanganewpts">#REF!</definedName>
    <definedName name="Chisanganewtries">#REF!</definedName>
    <definedName name="Chisholm_Jharpts">#REF!</definedName>
    <definedName name="Chisholm_Jhartries">#REF!</definedName>
    <definedName name="Chisholm_Rharpts">#REF!</definedName>
    <definedName name="Chisholm_Rhartries">#REF!</definedName>
    <definedName name="chisholmharatt">#REF!</definedName>
    <definedName name="chisholmhargls">#REF!</definedName>
    <definedName name="Chisholmjamesharpts">#REF!</definedName>
    <definedName name="Chisholmjameshartries">#REF!</definedName>
    <definedName name="Christiesarptscorrect">SAR!#REF!</definedName>
    <definedName name="Christiesartriescorrect">SAR!#REF!</definedName>
    <definedName name="Chudleybthpts">#REF!</definedName>
    <definedName name="Chudleybthtries">#REF!</definedName>
    <definedName name="Chudleyexepts">EXE!#REF!</definedName>
    <definedName name="Chudleyexetries">EXE!#REF!</definedName>
    <definedName name="Chudleyworpts">#REF!</definedName>
    <definedName name="Chudleywortries">#REF!</definedName>
    <definedName name="Cilliersleipts">#REF!</definedName>
    <definedName name="Cilliersleitries">#REF!</definedName>
    <definedName name="Cintilirpts">#REF!</definedName>
    <definedName name="Cintilirtries">#REF!</definedName>
    <definedName name="ciprianiatt">#REF!</definedName>
    <definedName name="ciprianibthatt">#REF!</definedName>
    <definedName name="ciprianibthgls">#REF!</definedName>
    <definedName name="ciprianibthpts">#REF!</definedName>
    <definedName name="Ciprianibthtries">#REF!</definedName>
    <definedName name="Ciprianidannytries">#REF!</definedName>
    <definedName name="ciprianigloatt">GLO!#REF!</definedName>
    <definedName name="ciprianiglogls">GLO!#REF!</definedName>
    <definedName name="Ciprianiglopts">GLO!#REF!</definedName>
    <definedName name="Ciprianiglotries">GLO!#REF!</definedName>
    <definedName name="ciprianigoals">#REF!</definedName>
    <definedName name="Ciprianipts">#REF!</definedName>
    <definedName name="Ciprianisalpts">#REF!</definedName>
    <definedName name="ciprianitries">#REF!</definedName>
    <definedName name="Ciprianitriescorrect">#REF!</definedName>
    <definedName name="Ciprianiwaspts">#REF!</definedName>
    <definedName name="Ciprianiwastries">#REF!</definedName>
    <definedName name="Cittadiniwaspts">#REF!</definedName>
    <definedName name="Cittadiniwastries">#REF!</definedName>
    <definedName name="Civettanewpts">#REF!</definedName>
    <definedName name="Civettanewtries">#REF!</definedName>
    <definedName name="Clarenorpts">#REF!</definedName>
    <definedName name="Clarenortries">#REF!</definedName>
    <definedName name="Clareysarptscorrect">SAR!#REF!</definedName>
    <definedName name="Clareysartriescorrect">SAR!#REF!</definedName>
    <definedName name="Clarkbatpts">#REF!</definedName>
    <definedName name="Clarkbattries">#REF!</definedName>
    <definedName name="Clarkcalumpts">#REF!</definedName>
    <definedName name="Clarkcalumtries">#REF!</definedName>
    <definedName name="Clarke_Rbripts">BRI!$F$15</definedName>
    <definedName name="Clarke_Rbritries">BRI!$B$15</definedName>
    <definedName name="Clarkebripts">BRI!$F$14</definedName>
    <definedName name="Clarkebritries">BRI!$B$14</definedName>
    <definedName name="Clarkeexepts">EXE!#REF!</definedName>
    <definedName name="Clarkeexetries">EXE!#REF!</definedName>
    <definedName name="clarkeloupts">LOU!$G$10</definedName>
    <definedName name="Clarkelouptscorrect">LOU!$F$10</definedName>
    <definedName name="clarkeloutries">LOU!$C$10</definedName>
    <definedName name="Clarkeloutriescorrect">LOU!$B$10</definedName>
    <definedName name="Clarkglopts">GLO!$F$11</definedName>
    <definedName name="Clarkglotries">GLO!$B$11</definedName>
    <definedName name="Cleallharpts">HAR!#REF!</definedName>
    <definedName name="Cleallhartries">HAR!#REF!</definedName>
    <definedName name="Cleavesharpts">#REF!</definedName>
    <definedName name="Cleaveshartries">#REF!</definedName>
    <definedName name="cleggatt">#REF!</definedName>
    <definedName name="clegggoals">#REF!</definedName>
    <definedName name="Cleggnewpts">#REF!</definedName>
    <definedName name="Cleggpts">#REF!</definedName>
    <definedName name="cleggrorytries">#REF!</definedName>
    <definedName name="Cleggworpts">#REF!</definedName>
    <definedName name="Cleggwortries">#REF!</definedName>
    <definedName name="Clevernewpts">#REF!</definedName>
    <definedName name="Clevernewtries">#REF!</definedName>
    <definedName name="Cliffordharpts">#REF!</definedName>
    <definedName name="Cliffordhartries">#REF!</definedName>
    <definedName name="Cliffordjackpts">#REF!</definedName>
    <definedName name="Cliffordjacktries">#REF!</definedName>
    <definedName name="cliffsalatt">#REF!</definedName>
    <definedName name="Cliffsalgls">#REF!</definedName>
    <definedName name="Cliffsalpts">#REF!</definedName>
    <definedName name="Cliffsaltries">#REF!</definedName>
    <definedName name="Cliffwillsalpts">#REF!</definedName>
    <definedName name="Cliffwillsaltries">#REF!</definedName>
    <definedName name="Cobilassalpts">#REF!</definedName>
    <definedName name="Cobilassaltries">#REF!</definedName>
    <definedName name="Cochraneneilpts">#REF!</definedName>
    <definedName name="Cochraneneiltries">#REF!</definedName>
    <definedName name="Cockaynekeitries">LEI!$B$9</definedName>
    <definedName name="Cockayneleipts">LEI!$F$9</definedName>
    <definedName name="Cockburnleipts">LEI!#REF!</definedName>
    <definedName name="Cockburnleitries">LEI!#REF!</definedName>
    <definedName name="Coetzeebthpts">#REF!</definedName>
    <definedName name="Coetzeebthtries">#REF!</definedName>
    <definedName name="Coetzerglopts">GLO!$F$12</definedName>
    <definedName name="Coetzerglotries">GLO!$B$12</definedName>
    <definedName name="Cokanasigabthpts">#REF!</definedName>
    <definedName name="Cokanasigabthtries">#REF!</definedName>
    <definedName name="Cokanasigalirpts">BRI!#REF!</definedName>
    <definedName name="Cokanasigalirtries">BRI!#REF!</definedName>
    <definedName name="Cokanasigaplirpts">#REF!</definedName>
    <definedName name="Cokanasigaplirtries">#REF!</definedName>
    <definedName name="Cokaynesalpts">SAL!$F$13</definedName>
    <definedName name="Cokaynesaltries">SAL!$B$13</definedName>
    <definedName name="Coleleipts">#REF!</definedName>
    <definedName name="Coleleitries">#REF!</definedName>
    <definedName name="Colesnorpts">#REF!</definedName>
    <definedName name="Colesnortries">#REF!</definedName>
    <definedName name="Collettnewpts">#REF!</definedName>
    <definedName name="Collettnewtries">#REF!</definedName>
    <definedName name="Collieleipts">LEI!#REF!</definedName>
    <definedName name="Collieleitries">LEI!#REF!</definedName>
    <definedName name="Collierharpts">#REF!</definedName>
    <definedName name="Collierhartries">#REF!</definedName>
    <definedName name="Collinstompts">#REF!</definedName>
    <definedName name="Collinstomtries">#REF!</definedName>
    <definedName name="Comanlirpts">BRI!#REF!</definedName>
    <definedName name="Comanlirtries">BRI!#REF!</definedName>
    <definedName name="Conlonexepts">EXE!#REF!</definedName>
    <definedName name="Conlonexetries">EXE!#REF!</definedName>
    <definedName name="Conlonjoelpts">EXE!#REF!</definedName>
    <definedName name="Conlonjoeltries">EXE!#REF!</definedName>
    <definedName name="Conlonsarprts">#REF!</definedName>
    <definedName name="Conlonsartries">#REF!</definedName>
    <definedName name="ConnachtPts">[1]CON!$F$51</definedName>
    <definedName name="ConnachtTries">[1]CON!$B$51</definedName>
    <definedName name="connonnewatt">#REF!</definedName>
    <definedName name="connonnewgoals">#REF!</definedName>
    <definedName name="Connonnewpts">#REF!</definedName>
    <definedName name="Connonnewptscorrect">#REF!</definedName>
    <definedName name="Connonnewptscorrectthisone">#REF!</definedName>
    <definedName name="Connonnewtries">#REF!</definedName>
    <definedName name="Connonnewtriescorrect">#REF!</definedName>
    <definedName name="Connonnewtriescorrectthsione">#REF!</definedName>
    <definedName name="cookatt">GLO!#REF!</definedName>
    <definedName name="Cookbthpts">#REF!</definedName>
    <definedName name="Cookbthtries">#REF!</definedName>
    <definedName name="Cookchrispts">#REF!</definedName>
    <definedName name="Cookchristries">#REF!</definedName>
    <definedName name="Cookelirpts">#REF!</definedName>
    <definedName name="Cookelirtries">#REF!</definedName>
    <definedName name="Cookgoals">GLO!#REF!</definedName>
    <definedName name="Cookpts">GLO!#REF!</definedName>
    <definedName name="Cookseytfwpts">TFW!$F$14</definedName>
    <definedName name="Cookseytfwtries">TFW!$B$14</definedName>
    <definedName name="Cooktries">GLO!#REF!</definedName>
    <definedName name="Cooper_Woolleypts">#REF!</definedName>
    <definedName name="Cooper_Woolleysalpts">#REF!</definedName>
    <definedName name="Cooper_Woolleysaltries">#REF!</definedName>
    <definedName name="Cooper_Woolleytries">#REF!</definedName>
    <definedName name="Cooper_Woolleywaspts">#REF!</definedName>
    <definedName name="Cooper_Woolleywastries">#REF!</definedName>
    <definedName name="Cooperharpts">HAR!$F$13</definedName>
    <definedName name="Cooperhartries">HAR!$B$13</definedName>
    <definedName name="Coopernewpts">#REF!</definedName>
    <definedName name="Coopernewtries">#REF!</definedName>
    <definedName name="Cooperwelpts">#REF!</definedName>
    <definedName name="Cooperweltries">#REF!</definedName>
    <definedName name="Corbisieronorpts">#REF!</definedName>
    <definedName name="Corbisieronortries">#REF!</definedName>
    <definedName name="Corbisieropts">#REF!</definedName>
    <definedName name="Corbisierotries">#REF!</definedName>
    <definedName name="Corkermattpts">#REF!</definedName>
    <definedName name="Corkermatttries">#REF!</definedName>
    <definedName name="Cornishlirpts">#REF!</definedName>
    <definedName name="Cornishlirtries">#REF!</definedName>
    <definedName name="Corrigansarpts">SAR!$F$14</definedName>
    <definedName name="Corrigansartries">SAR!$B$14</definedName>
    <definedName name="Cosgrovebripts">BRI!#REF!</definedName>
    <definedName name="Cosgrovebritries">BRI!#REF!</definedName>
    <definedName name="Courtlipts">BRI!$F$26</definedName>
    <definedName name="Courtlitries">BRI!$B$26</definedName>
    <definedName name="Cousineautfwptss">TFW!$F$16</definedName>
    <definedName name="Cousineautfwtries">TFW!$B$16</definedName>
    <definedName name="Cowan_Dickie_Lukepts">EXE!#REF!</definedName>
    <definedName name="Cowan_Dickie_Luketries">EXE!#REF!</definedName>
    <definedName name="Cowan_Dickieleicpts">#REF!</definedName>
    <definedName name="Cowan_Dickieleictries">#REF!</definedName>
    <definedName name="Cowanblairtries">BRI!#REF!</definedName>
    <definedName name="Cowanjimmypts">GLO!#REF!</definedName>
    <definedName name="Cowanjimmytries">GLO!#REF!</definedName>
    <definedName name="Cowanlipts">BRI!#REF!</definedName>
    <definedName name="Cowanpts">BRI!#REF!</definedName>
    <definedName name="Cowansalpts">SAL!$F$14</definedName>
    <definedName name="Cowansaltries">SAL!$B$14</definedName>
    <definedName name="Cowansarpts">#REF!</definedName>
    <definedName name="Cowansartries">#REF!</definedName>
    <definedName name="Cowantries">BRI!#REF!</definedName>
    <definedName name="Cowellharpts">HAR!$F$14</definedName>
    <definedName name="Cowellhartries">HAR!$B$14</definedName>
    <definedName name="Coxlipts">BRI!#REF!</definedName>
    <definedName name="Coxlitries">BRI!#REF!</definedName>
    <definedName name="Coxmattpts">GLO!#REF!</definedName>
    <definedName name="Coxmatttries">GLO!#REF!</definedName>
    <definedName name="Coxtfwpts">TFW!$F$17</definedName>
    <definedName name="Coxtfwtries">TFW!$B$17</definedName>
    <definedName name="Coxworpts">#REF!</definedName>
    <definedName name="Coxwortries">#REF!</definedName>
    <definedName name="Cracknellleipts">#REF!</definedName>
    <definedName name="Cracknellleitries">#REF!</definedName>
    <definedName name="Craignorpts">#REF!</definedName>
    <definedName name="Craignortries">#REF!</definedName>
    <definedName name="Crakesarpts">SAR!$F$15</definedName>
    <definedName name="Crakesartries">SAR!$B$15</definedName>
    <definedName name="Craketfrpts">TFW!#REF!</definedName>
    <definedName name="Craketfrtries">TFW!#REF!</definedName>
    <definedName name="cranebripts">BRI!$F$26</definedName>
    <definedName name="Cranebritries">BRI!$B$26</definedName>
    <definedName name="craneleiatt">#REF!</definedName>
    <definedName name="craneleigoals">#REF!</definedName>
    <definedName name="Cranepts">#REF!</definedName>
    <definedName name="Craneptscorrect">#REF!</definedName>
    <definedName name="Cranerhyspts">#REF!</definedName>
    <definedName name="Cranerhystries">#REF!</definedName>
    <definedName name="cranetries">#REF!</definedName>
    <definedName name="Cranetriescorrect">#REF!</definedName>
    <definedName name="Creevyagustinpts">#REF!</definedName>
    <definedName name="Creevyagustintries">#REF!</definedName>
    <definedName name="Croallsalpts">#REF!</definedName>
    <definedName name="Croallsaltries">#REF!</definedName>
    <definedName name="Croftleipts">#REF!</definedName>
    <definedName name="Croftleitries">#REF!</definedName>
    <definedName name="Cromackharatt">HAR!$K$4</definedName>
    <definedName name="Cromackhargls">HAR!$J$4</definedName>
    <definedName name="CromackHARPTS">HAR!$F$15</definedName>
    <definedName name="CromackHARTRIES">HAR!$B$15</definedName>
    <definedName name="Cromptonharpts">HAR!$F$16</definedName>
    <definedName name="Cromptonhartries">HAR!$B$16</definedName>
    <definedName name="Croninleipts">#REF!</definedName>
    <definedName name="Croninleitrie">#REF!</definedName>
    <definedName name="Crossdalesarpts">#REF!</definedName>
    <definedName name="Crossdalesarptscorrect">#REF!</definedName>
    <definedName name="Crossdalesartries">#REF!</definedName>
    <definedName name="Crossdalesartriescorrect">#REF!</definedName>
    <definedName name="Crossdalewaspts">#REF!</definedName>
    <definedName name="Crossdalewastrioes">#REF!</definedName>
    <definedName name="Crosslipts">BRI!#REF!</definedName>
    <definedName name="Crosslitries">BRI!#REF!</definedName>
    <definedName name="Crumptonharpts">#REF!</definedName>
    <definedName name="Crumptonhartries">#REF!</definedName>
    <definedName name="Crusewaspts">#REF!</definedName>
    <definedName name="Crusewastries">#REF!</definedName>
    <definedName name="Cuetopts">#REF!</definedName>
    <definedName name="Cuetosalpts">#REF!</definedName>
    <definedName name="Cuetosaltries">#REF!</definedName>
    <definedName name="cuetotries">#REF!</definedName>
    <definedName name="Cunningham_S_thlirpts">#REF!</definedName>
    <definedName name="Cunningham_S_thlirtries">#REF!</definedName>
    <definedName name="Curry_Bsalpts">#REF!</definedName>
    <definedName name="Curry_Bsaltries">#REF!</definedName>
    <definedName name="Curry_Tsalpts">#REF!</definedName>
    <definedName name="Curry_Tsaltries">#REF!</definedName>
    <definedName name="Curtis_Harrislirpts">#REF!</definedName>
    <definedName name="Curtis_Harrislirtries">#REF!</definedName>
    <definedName name="Curtissalpts">#REF!</definedName>
    <definedName name="Curtissaltries">#REF!</definedName>
    <definedName name="Curtiswaspts">#REF!</definedName>
    <definedName name="Curtiswastries">#REF!</definedName>
    <definedName name="Cusitersalpts">#REF!</definedName>
    <definedName name="Cusitersaltries">#REF!</definedName>
    <definedName name="Daleyleipts">LEI!$F$10</definedName>
    <definedName name="Daleyleitries">LEI!$B$10</definedName>
    <definedName name="Dallavalleglopts">GLO!$F$15</definedName>
    <definedName name="Dallavalleglotries">GLO!$B$15</definedName>
    <definedName name="Daltonnewpts">#REF!</definedName>
    <definedName name="Daltonnewtries">#REF!</definedName>
    <definedName name="Dalyelliotpts">#REF!</definedName>
    <definedName name="Dalyelliottries">#REF!</definedName>
    <definedName name="dalysarattcorrect">SAR!$K$11</definedName>
    <definedName name="dalysarglscorrect">SAR!$J$11</definedName>
    <definedName name="Dalysarptscorrect">SAR!$F$7</definedName>
    <definedName name="Dalysartriescorrect">SAR!$B$7</definedName>
    <definedName name="dalywasatt">#REF!</definedName>
    <definedName name="dalywasgoals">#REF!</definedName>
    <definedName name="Dalywaspts">#REF!</definedName>
    <definedName name="Danaherdeclanpts">BRI!#REF!</definedName>
    <definedName name="Danaherdeclantries">BRI!#REF!</definedName>
    <definedName name="danielsbriatt">BRI!#REF!</definedName>
    <definedName name="Danielsbrigls">BRI!#REF!</definedName>
    <definedName name="Danielsbripts">BRI!#REF!</definedName>
    <definedName name="Danielsbritries">BRI!#REF!</definedName>
    <definedName name="Dansarpts">SAR!$F$10</definedName>
    <definedName name="Dansartries">SAR!$B$10</definedName>
    <definedName name="Dareexepts">EXE!$F$9</definedName>
    <definedName name="Dareexetries">EXE!$B$9</definedName>
    <definedName name="dasdsa">#REF!</definedName>
    <definedName name="daveylouatt">LOU!$K$4</definedName>
    <definedName name="Daveylougls">LOU!$J$4</definedName>
    <definedName name="Daveyloupts">LOU!$F$12</definedName>
    <definedName name="Daveyloutries">LOU!$B$12</definedName>
    <definedName name="Davidbripts">BRI!$F$18</definedName>
    <definedName name="Davidbritries">BRI!$B$18</definedName>
    <definedName name="Davidharpts">#REF!</definedName>
    <definedName name="Davidhartries">#REF!</definedName>
    <definedName name="Davidsonglopts">GLO!$F$14</definedName>
    <definedName name="Davidsonglotries">GLO!$B$14</definedName>
    <definedName name="Davidsonnewpts">#REF!</definedName>
    <definedName name="Davidsonnewtries">#REF!</definedName>
    <definedName name="Davidworpts">#REF!</definedName>
    <definedName name="Davidwortries">#REF!</definedName>
    <definedName name="Davies_Bwaspts">#REF!</definedName>
    <definedName name="Davies_Bwsstries">#REF!</definedName>
    <definedName name="Davies_Cwaspts">#REF!</definedName>
    <definedName name="Davies_Cwastries">#REF!</definedName>
    <definedName name="Daviesalexpts">#REF!</definedName>
    <definedName name="Daviesalextries">#REF!</definedName>
    <definedName name="Daviesbripts">BRI!$F$21</definedName>
    <definedName name="Daviesbriptscorrect">BRI!$F$19</definedName>
    <definedName name="Daviesbritries">BRI!$B$21</definedName>
    <definedName name="Daviesbritriescorrect">BRI!$B$19</definedName>
    <definedName name="daviesbthatt">#REF!</definedName>
    <definedName name="daviesbthgls">#REF!</definedName>
    <definedName name="Daviesbthpts">#REF!</definedName>
    <definedName name="Daviesbthtries">#REF!</definedName>
    <definedName name="Daviescharliepts">#REF!</definedName>
    <definedName name="Daviescharlietries">#REF!</definedName>
    <definedName name="Davieselliottpts">#REF!</definedName>
    <definedName name="Davieselliotttries">#REF!</definedName>
    <definedName name="Daviesexepts">EXE!#REF!</definedName>
    <definedName name="Daviesexetries">EXE!#REF!</definedName>
    <definedName name="Daviesglopts">GLO!$F$16</definedName>
    <definedName name="Daviesglotries">GLO!$B$16</definedName>
    <definedName name="Daviesnewpts">#REF!</definedName>
    <definedName name="Daviesnewtries">#REF!</definedName>
    <definedName name="Daviesnorpts">#REF!</definedName>
    <definedName name="Daviesnortries">#REF!</definedName>
    <definedName name="Daviessarptscorrect">SAR!#REF!</definedName>
    <definedName name="Daviessartriescorrect">SAR!#REF!</definedName>
    <definedName name="davieswelatt">#REF!</definedName>
    <definedName name="davieswelgoals">#REF!</definedName>
    <definedName name="Davisbthpts">#REF!</definedName>
    <definedName name="Davisbthtries">#REF!</definedName>
    <definedName name="Davisexepoints">EXE!#REF!</definedName>
    <definedName name="Davisexepts">EXE!#REF!</definedName>
    <definedName name="Davisexetrie">EXE!#REF!</definedName>
    <definedName name="Davisexetries">EXE!#REF!</definedName>
    <definedName name="Davisnorpts">#REF!</definedName>
    <definedName name="Davisnortries">#REF!</definedName>
    <definedName name="Dawebripts">BRI!#REF!</definedName>
    <definedName name="Dawebritries">BRI!#REF!</definedName>
    <definedName name="Dawebstpts">BRI!#REF!</definedName>
    <definedName name="Dawebsttries">BRI!#REF!</definedName>
    <definedName name="Dawidiukglopts">GLO!#REF!</definedName>
    <definedName name="Dawidiukglotries">GLO!#REF!</definedName>
    <definedName name="Dawidiuklirpts">BRI!#REF!</definedName>
    <definedName name="Dawidiuklirtries">BRI!#REF!</definedName>
    <definedName name="Dawkinswaspts">#REF!</definedName>
    <definedName name="Dawkinswastries">#REF!</definedName>
    <definedName name="Day_Cnorpts">#REF!</definedName>
    <definedName name="Day_Cnortries">#REF!</definedName>
    <definedName name="Dayalexpts">#REF!</definedName>
    <definedName name="Dayalextries">#REF!</definedName>
    <definedName name="Daychristianpts">#REF!</definedName>
    <definedName name="Daychristiantries">#REF!</definedName>
    <definedName name="Daydompts">#REF!</definedName>
    <definedName name="Daydomtries">#REF!</definedName>
    <definedName name="De_Chavesleipts">#REF!</definedName>
    <definedName name="De_Chavesleitries">#REF!</definedName>
    <definedName name="de_Glanvillebthgls">#REF!</definedName>
    <definedName name="de_Haassarptscorrect">SAR!$F$11</definedName>
    <definedName name="de_Haassartriescorrect">SAR!$B$11</definedName>
    <definedName name="de_Jagersalpts">#REF!</definedName>
    <definedName name="de_Jagersaltries">#REF!</definedName>
    <definedName name="de_Jagersarpts">#REF!</definedName>
    <definedName name="de_Jagersartries">#REF!</definedName>
    <definedName name="de_Jonghwaspts">#REF!</definedName>
    <definedName name="de_Jonghwastries">#REF!</definedName>
    <definedName name="de_Klerksalgls">#REF!</definedName>
    <definedName name="de_Kockneilpts">#REF!</definedName>
    <definedName name="de_Kockneiltries">#REF!</definedName>
    <definedName name="De_Lucawaspts">#REF!</definedName>
    <definedName name="De_Lucawastries">#REF!</definedName>
    <definedName name="de_VilliersLEIPTS">#REF!</definedName>
    <definedName name="de_VilliersLEITRIES">#REF!</definedName>
    <definedName name="Deaconleipts">#REF!</definedName>
    <definedName name="Deaconleitries">#REF!</definedName>
    <definedName name="deglanvillebthatt">#REF!</definedName>
    <definedName name="dehaassaratt">SAR!$K$5</definedName>
    <definedName name="dehaassargls">SAR!$J$5</definedName>
    <definedName name="deklerksalatt">#REF!</definedName>
    <definedName name="Delanysalpts">SAL!$F$15</definedName>
    <definedName name="Delanysaltries">SAL!$B$15</definedName>
    <definedName name="Delgadoharpts">HAR!$F$17</definedName>
    <definedName name="Delgadohartries">HAR!$B$17</definedName>
    <definedName name="Delmasbthpts">#REF!</definedName>
    <definedName name="Delmasbthtries">#REF!</definedName>
    <definedName name="demantbriatt">BRI!$K$6</definedName>
    <definedName name="Demantbrigls">BRI!$J$6</definedName>
    <definedName name="Denmangarethpts">#REF!</definedName>
    <definedName name="Denmangarethtries">#REF!</definedName>
    <definedName name="Denmanglopts">GLO!#REF!</definedName>
    <definedName name="Denmanglotries">GLO!#REF!</definedName>
    <definedName name="Dennisexepts">EXE!#REF!</definedName>
    <definedName name="Dennisexetries">EXE!#REF!</definedName>
    <definedName name="Dentonglopts">GLO!$F$13</definedName>
    <definedName name="Dentonglotries">GLO!$B$13</definedName>
    <definedName name="Dentonleicpts">#REF!</definedName>
    <definedName name="Dentonleictries">#REF!</definedName>
    <definedName name="Dentonworpts">#REF!</definedName>
    <definedName name="Dentonwortries">#REF!</definedName>
    <definedName name="devotobatatt">#REF!</definedName>
    <definedName name="devotobatgoals">#REF!</definedName>
    <definedName name="Devotoexepts">EXE!$F$11</definedName>
    <definedName name="Devotoexetries">EXE!$B$11</definedName>
    <definedName name="Devotoolliepts">#REF!</definedName>
    <definedName name="Devotoollietries">#REF!</definedName>
    <definedName name="di_Marchisalpts">#REF!</definedName>
    <definedName name="di_Marchisaltries">#REF!</definedName>
    <definedName name="Diaz_Bonilla_Jleicpts">#REF!</definedName>
    <definedName name="Diaz_Bonilla_Jleictries">#REF!</definedName>
    <definedName name="Diaz_Bonillaleicgls">#REF!</definedName>
    <definedName name="diazbonillaleicatt">#REF!</definedName>
    <definedName name="Dickinsonsampts">#REF!</definedName>
    <definedName name="Dickinsonsamtries">#REF!</definedName>
    <definedName name="Dicksonglennpts">#REF!</definedName>
    <definedName name="dicksonglentries">#REF!</definedName>
    <definedName name="dicksongnoratt">#REF!</definedName>
    <definedName name="dicksongnorgoals">#REF!</definedName>
    <definedName name="Dicksonkarlpts">#REF!</definedName>
    <definedName name="Dicksonleepts">#REF!</definedName>
    <definedName name="Dicksonleeptscorrect">#REF!</definedName>
    <definedName name="Dicksonleetries">#REF!</definedName>
    <definedName name="dicksonleetriescorrect">#REF!</definedName>
    <definedName name="dicksontries">#REF!</definedName>
    <definedName name="Dingwallnorpts">#REF!</definedName>
    <definedName name="Dingwallnortries">#REF!</definedName>
    <definedName name="Dobsonmatthewpts">#REF!</definedName>
    <definedName name="Dobsonmatthewtries">#REF!</definedName>
    <definedName name="Doelworpts">#REF!</definedName>
    <definedName name="Doelwortries">#REF!</definedName>
    <definedName name="Dohertysalpts">#REF!</definedName>
    <definedName name="Dohertysaltries">#REF!</definedName>
    <definedName name="Dolannorpts">#REF!</definedName>
    <definedName name="Dolannortries">#REF!</definedName>
    <definedName name="dollmanatt">EXE!#REF!</definedName>
    <definedName name="Dollmanexepts">EXE!#REF!</definedName>
    <definedName name="Dollmanexetries">EXE!#REF!</definedName>
    <definedName name="Dollmangoals">EXE!#REF!</definedName>
    <definedName name="Dollmanpts">EXE!#REF!</definedName>
    <definedName name="dollmantries">EXE!#REF!</definedName>
    <definedName name="Dombrandtharpts">#REF!</definedName>
    <definedName name="Dombrandthartries">#REF!</definedName>
    <definedName name="Donaldsonleipts">LEI!$F$12</definedName>
    <definedName name="Donaldsonleitries">LEI!$B$12</definedName>
    <definedName name="Donnelllirpts">#REF!</definedName>
    <definedName name="Donnelllirtries">#REF!</definedName>
    <definedName name="Doran_Jonesglopts">GLO!#REF!</definedName>
    <definedName name="Doran_Jonesglotries">GLO!#REF!</definedName>
    <definedName name="Doran_Jonesharpts">#REF!</definedName>
    <definedName name="Doran_Joneshartries">#REF!</definedName>
    <definedName name="Dorrianlipts">BRI!#REF!</definedName>
    <definedName name="Dorrianlitries">BRI!#REF!</definedName>
    <definedName name="dorrianmylesatt">BRI!#REF!</definedName>
    <definedName name="Dorrianmylesgoals">BRI!#REF!</definedName>
    <definedName name="Dorrianpts">BRI!#REF!</definedName>
    <definedName name="Dorriantries">BRI!#REF!</definedName>
    <definedName name="Douglasbthpts">#REF!</definedName>
    <definedName name="Douglasbthtries">#REF!</definedName>
    <definedName name="Douglaswaspts">#REF!</definedName>
    <definedName name="Douglaswastries">#REF!</definedName>
    <definedName name="Downwelpts">#REF!</definedName>
    <definedName name="Downweltries">#REF!</definedName>
    <definedName name="Dowsettworatt">#REF!</definedName>
    <definedName name="Dowsettworgls">#REF!</definedName>
    <definedName name="Dowsettworpts">#REF!</definedName>
    <definedName name="Dowsettwortries">#REF!</definedName>
    <definedName name="Dowsonphilnorpts">#REF!</definedName>
    <definedName name="Dowsonphilptscorrect">#REF!</definedName>
    <definedName name="Dowsonphiltriescorrect">#REF!</definedName>
    <definedName name="Dowsonpts">#REF!</definedName>
    <definedName name="Dowsontries">#REF!</definedName>
    <definedName name="Dowtfrpts">TFW!$F$19</definedName>
    <definedName name="Dowtfrtries">TFW!$B$19</definedName>
    <definedName name="DragonsPts">[1]DRA!$F$55</definedName>
    <definedName name="DragonsTries">[1]DRA!$B$55</definedName>
    <definedName name="Drauniniupts">#REF!</definedName>
    <definedName name="Drauniniutries">#REF!</definedName>
    <definedName name="du_Plessissarpts">#REF!</definedName>
    <definedName name="du_Plessissartries">#REF!</definedName>
    <definedName name="du_Preez__JPsalpts">#REF!</definedName>
    <definedName name="du_Preez__JPsaltries">#REF!</definedName>
    <definedName name="du_Preez_Dsalpts">#REF!</definedName>
    <definedName name="du_Preez_Dsaltries">#REF!</definedName>
    <definedName name="du_Preez_J_Lsalpts">#REF!</definedName>
    <definedName name="du_Preez_J_Lsaltries">#REF!</definedName>
    <definedName name="du_Preez_Rsalpts">#REF!</definedName>
    <definedName name="du_Preez_Rsaltries">#REF!</definedName>
    <definedName name="du_Preezworpts">#REF!</definedName>
    <definedName name="du_Preezwortries">#REF!</definedName>
    <definedName name="du_Toitbthpts">#REF!</definedName>
    <definedName name="du_Toitbthtries">#REF!</definedName>
    <definedName name="Duffyharpts">HAR!$F$18</definedName>
    <definedName name="Duffyhartries">HAR!$B$18</definedName>
    <definedName name="duffysalatt">SAL!$K$5</definedName>
    <definedName name="Duffysalgls">SAL!$J$5</definedName>
    <definedName name="Duffysalpts">SAL!$F$16</definedName>
    <definedName name="Duffysaltries">SAL!$B$16</definedName>
    <definedName name="Dugdalesalpts">#REF!</definedName>
    <definedName name="Dugdalesaltries">#REF!</definedName>
    <definedName name="Duguidexepts">EXE!$F$10</definedName>
    <definedName name="Duguidexetries">EXE!$B$10</definedName>
    <definedName name="Dunnbattries">#REF!</definedName>
    <definedName name="Dunnbtheurtries">#REF!</definedName>
    <definedName name="Dunntompts">#REF!</definedName>
    <definedName name="dupreezsalatt">#REF!</definedName>
    <definedName name="dupreezsalgls">#REF!</definedName>
    <definedName name="dupreezsalpts">#REF!</definedName>
    <definedName name="Dykeslirpts">#REF!</definedName>
    <definedName name="Dykeslirtries">#REF!</definedName>
    <definedName name="Earleharpts">#REF!</definedName>
    <definedName name="Earlehartries">#REF!</definedName>
    <definedName name="Earlenathanpts">#REF!</definedName>
    <definedName name="Earlenathantries">#REF!</definedName>
    <definedName name="Earlsarpts">#REF!</definedName>
    <definedName name="Earlsarptscorrect">SAR!#REF!</definedName>
    <definedName name="Earlsartries">#REF!</definedName>
    <definedName name="Earlsartriescorrect">SAR!#REF!</definedName>
    <definedName name="Eastermarkpts">#REF!</definedName>
    <definedName name="Eastermarktries">#REF!</definedName>
    <definedName name="Easternickpts">#REF!</definedName>
    <definedName name="Easternicktries">#REF!</definedName>
    <definedName name="Eastersalpts">#REF!</definedName>
    <definedName name="Eastersaltries">#REF!</definedName>
    <definedName name="Eastertries">#REF!</definedName>
    <definedName name="eastgatewasatt">#REF!</definedName>
    <definedName name="eastgatewasgoals">#REF!</definedName>
    <definedName name="Eastgatewaspts">#REF!</definedName>
    <definedName name="Eastgatewastries">#REF!</definedName>
    <definedName name="Eastmondkylepts">#REF!</definedName>
    <definedName name="Eastmondkyletries">#REF!</definedName>
    <definedName name="Eastmondleictries">#REF!</definedName>
    <definedName name="Eastmondlicpts">#REF!</definedName>
    <definedName name="Eastmondwaspts">#REF!</definedName>
    <definedName name="Eastmondwastries">#REF!</definedName>
    <definedName name="edenbriatt">BRI!#REF!</definedName>
    <definedName name="edenbriattcorrect">BRI!#REF!</definedName>
    <definedName name="Edenbrigls">BRI!#REF!</definedName>
    <definedName name="Edenbriglscorrect">BRI!#REF!</definedName>
    <definedName name="Edenbripts">BRI!$F$29</definedName>
    <definedName name="Edenbritries">BRI!$B$29</definedName>
    <definedName name="edenworatt">#REF!</definedName>
    <definedName name="edenworgoals">#REF!</definedName>
    <definedName name="EdinburghPts">[1]EDI!$F$51</definedName>
    <definedName name="EdinburghTries">[1]EDI!$B$51</definedName>
    <definedName name="Edmondshuiapts">GLO!#REF!</definedName>
    <definedName name="Edmondshuiatries">GLO!#REF!</definedName>
    <definedName name="edwardsharatt">#REF!</definedName>
    <definedName name="edwardshargls">#REF!</definedName>
    <definedName name="Edwardsharpts">#REF!</definedName>
    <definedName name="Edwardshartries">#REF!</definedName>
    <definedName name="Edwardsleicpts">#REF!</definedName>
    <definedName name="Edwardsleictries">#REF!</definedName>
    <definedName name="Egertonharpts">#REF!</definedName>
    <definedName name="Egertonhartries">#REF!</definedName>
    <definedName name="Egertonnewpts">#REF!</definedName>
    <definedName name="Egertonnewtries">#REF!</definedName>
    <definedName name="Ehreckeloupts">LOU!$F$13</definedName>
    <definedName name="Ehreckeloutries">LOU!$B$13</definedName>
    <definedName name="Elderchrispts">#REF!</definedName>
    <definedName name="Elderchristries">#REF!</definedName>
    <definedName name="Eliaharpts">#REF!</definedName>
    <definedName name="Eliahartries">#REF!</definedName>
    <definedName name="Ellerysarpts">#REF!</definedName>
    <definedName name="Ellerysartries">#REF!</definedName>
    <definedName name="Elliottjamiepts">#REF!</definedName>
    <definedName name="Elliottjamieptscorrect">#REF!</definedName>
    <definedName name="elliottjamietries">#REF!</definedName>
    <definedName name="Elliottjamietriescorrect">#REF!</definedName>
    <definedName name="elliottsaratt">SAR!#REF!</definedName>
    <definedName name="elliottsargls">SAR!#REF!</definedName>
    <definedName name="Elliottsarpts">SAR!#REF!</definedName>
    <definedName name="Elliottsartries">SAR!#REF!</definedName>
    <definedName name="Ellisgerardpts">BRI!#REF!</definedName>
    <definedName name="Ellisgerardtries">BRI!#REF!</definedName>
    <definedName name="Elringtonglopts">GLO!#REF!</definedName>
    <definedName name="Elringtonglotries">GLO!#REF!</definedName>
    <definedName name="englefieldliratt">#REF!</definedName>
    <definedName name="Englefieldlirpts">#REF!</definedName>
    <definedName name="Englefieldlirtries">#REF!</definedName>
    <definedName name="Englefieldlrgls">#REF!</definedName>
    <definedName name="Estellesnorpts">#REF!</definedName>
    <definedName name="Estellesnortrioes">#REF!</definedName>
    <definedName name="esterhuizenharatt">#REF!</definedName>
    <definedName name="Esterhuizenhargls">#REF!</definedName>
    <definedName name="Esterhuizenharpts">#REF!</definedName>
    <definedName name="Esterhuizenhartries">#REF!</definedName>
    <definedName name="Evans_Lglopts">GLO!$F$17</definedName>
    <definedName name="Evans_Lglotries">GLO!$B$17</definedName>
    <definedName name="Evans_Oharpts">#REF!</definedName>
    <definedName name="Evans_Ohartries">#REF!</definedName>
    <definedName name="evansbriatt">BRI!$K$7</definedName>
    <definedName name="evansbrigls">BRI!$J$7</definedName>
    <definedName name="Evansbrynpts">BRI!#REF!</definedName>
    <definedName name="Evansbryntries">BRI!#REF!</definedName>
    <definedName name="Evansbthpts">#REF!</definedName>
    <definedName name="Evansbthtries">#REF!</definedName>
    <definedName name="Evansexepts">EXE!#REF!</definedName>
    <definedName name="Evansexetries">EXE!#REF!</definedName>
    <definedName name="Evansgarethpts">GLO!#REF!</definedName>
    <definedName name="Evansgarethtries">GLO!#REF!</definedName>
    <definedName name="Evansharpts">#REF!</definedName>
    <definedName name="Evanshartries">#REF!</definedName>
    <definedName name="Evansleipts">#REF!</definedName>
    <definedName name="Evansleitries">#REF!</definedName>
    <definedName name="evanslgloatt">GLO!$K$5</definedName>
    <definedName name="evanslglogoals">GLO!$J$5</definedName>
    <definedName name="Evansnbripts">BRI!$F$20</definedName>
    <definedName name="Evansnbritries">BRI!$B$20</definedName>
    <definedName name="evansnickatt">#REF!</definedName>
    <definedName name="evansnickgoals">#REF!</definedName>
    <definedName name="Evansnickpts">#REF!</definedName>
    <definedName name="Evansnicktries">#REF!</definedName>
    <definedName name="Evanssalpts">#REF!</definedName>
    <definedName name="Evanssaltries">#REF!</definedName>
    <definedName name="Evanstfwpts">TFW!$F$20</definedName>
    <definedName name="Evanstfwtries">TFW!$B$20</definedName>
    <definedName name="Evanswharpts">#REF!</definedName>
    <definedName name="Evanswillharpts">#REF!</definedName>
    <definedName name="Everardmattpts">#REF!</definedName>
    <definedName name="Everardmatttries">#REF!</definedName>
    <definedName name="Everardwaspts">#REF!</definedName>
    <definedName name="Everardwastries">#REF!</definedName>
    <definedName name="Evesnorpts">#REF!</definedName>
    <definedName name="Evesnortries">#REF!</definedName>
    <definedName name="Ewelsbthpts">#REF!</definedName>
    <definedName name="ewelsbthtries">#REF!</definedName>
    <definedName name="Ewersexepts">EXE!$F$12</definedName>
    <definedName name="Ewersexetries">EXE!$B$12</definedName>
    <definedName name="Ewerspts">EXE!#REF!</definedName>
    <definedName name="Ewerstries">EXE!#REF!</definedName>
    <definedName name="ExeterPts">EXE!$F$50</definedName>
    <definedName name="ExeterTries">EXE!$B$50</definedName>
    <definedName name="Fa_asavalumauriepts">#REF!</definedName>
    <definedName name="Fa_asavalumaurietries">#REF!</definedName>
    <definedName name="Fa_aso_olirpts">#REF!</definedName>
    <definedName name="Fa_aso_olirtries">#REF!</definedName>
    <definedName name="Fa_osilivaalafotipts">#REF!</definedName>
    <definedName name="Fa_osilivaalafotitries">#REF!</definedName>
    <definedName name="Fainga_anukuofapts">#REF!</definedName>
    <definedName name="Fainga_anukuofatries">#REF!</definedName>
    <definedName name="Faingaalirpts">#REF!</definedName>
    <definedName name="Faingaalirtries">#REF!</definedName>
    <definedName name="Faletaubripts">BRI!#REF!</definedName>
    <definedName name="Faletaubritries">BRI!#REF!</definedName>
    <definedName name="Faletaubthpts">#REF!</definedName>
    <definedName name="Faletaubthtries">#REF!</definedName>
    <definedName name="Faosilivaworpts">#REF!</definedName>
    <definedName name="Faosilivawortries">#REF!</definedName>
    <definedName name="farrellatt">#REF!</definedName>
    <definedName name="farrellgoals">#REF!</definedName>
    <definedName name="Farrellowentries">#REF!</definedName>
    <definedName name="Farrellpts">#REF!</definedName>
    <definedName name="farrellsarattcorrect">SAR!$K$6</definedName>
    <definedName name="farrellsarglscorrect">SAR!$J$6</definedName>
    <definedName name="Farrellsarpts">#REF!</definedName>
    <definedName name="Farrellsarptscorrect">SAR!$F$12</definedName>
    <definedName name="farrellsartriescorrect">SAR!$B$12</definedName>
    <definedName name="Fatialofaworpts">#REF!</definedName>
    <definedName name="Fatialofawortries">#REF!</definedName>
    <definedName name="Feaoleicpts">#REF!</definedName>
    <definedName name="Feaoleictries">#REF!</definedName>
    <definedName name="Fearnsalpts">#REF!</definedName>
    <definedName name="Fearnsaltries">#REF!</definedName>
    <definedName name="Fearnscarlpts">#REF!</definedName>
    <definedName name="Fearnscarltries">#REF!</definedName>
    <definedName name="Fearnsnewpts">#REF!</definedName>
    <definedName name="Fearnsnewtries">#REF!</definedName>
    <definedName name="Fenbylipts">BRI!$F$31</definedName>
    <definedName name="Fenbylitries">BRI!$B$31</definedName>
    <definedName name="Fenbypts">BRI!#REF!</definedName>
    <definedName name="Fenbysarpts">#REF!</definedName>
    <definedName name="Fenbysartries">#REF!</definedName>
    <definedName name="Fenbytries">BRI!#REF!</definedName>
    <definedName name="Fenton_Wellsbripts">BRI!#REF!</definedName>
    <definedName name="Fenton_Wellsbritries">BRI!#REF!</definedName>
    <definedName name="Fercusarpts">#REF!</definedName>
    <definedName name="Fercusarptscorrect">#REF!</definedName>
    <definedName name="Fercusartries">#REF!</definedName>
    <definedName name="Fercusartriescorrect">#REF!</definedName>
    <definedName name="Festucciacarlopts">#REF!</definedName>
    <definedName name="Festucciacarlotries">#REF!</definedName>
    <definedName name="Feuryglopts">LEI!$F$15</definedName>
    <definedName name="Feuryglotries">LEI!$B$15</definedName>
    <definedName name="feuryleiatt">LEI!$K$5</definedName>
    <definedName name="Feuryleigls">LEI!$J$5</definedName>
    <definedName name="Feyi_Wabosoexepts">EXE!#REF!</definedName>
    <definedName name="Feyi_Wabosoexetries">EXE!#REF!</definedName>
    <definedName name="Fieldingsalpts">SAL!$F$17</definedName>
    <definedName name="Fieldingsaltries">SAL!$B$17</definedName>
    <definedName name="Fieldsarpts">SAR!$F$21</definedName>
    <definedName name="Fieldsartries">SAR!$B$21</definedName>
    <definedName name="Fifitawaspts">#REF!</definedName>
    <definedName name="Fifitawastries">#REF!</definedName>
    <definedName name="Figallosarpts">#REF!</definedName>
    <definedName name="Figallosartries">#REF!</definedName>
    <definedName name="Fihakiviliamipts">#REF!</definedName>
    <definedName name="Fihakiviliamitris">#REF!</definedName>
    <definedName name="Fischettilirpts">#REF!</definedName>
    <definedName name="Fischettilirtries">#REF!</definedName>
    <definedName name="Fisherbrispts">BRI!#REF!</definedName>
    <definedName name="Fisherbristries">BRI!#REF!</definedName>
    <definedName name="Fisherharpts">HAR!$F$19</definedName>
    <definedName name="Fisherhartries">HAR!$B$19</definedName>
    <definedName name="Fisherlipts">BRI!#REF!</definedName>
    <definedName name="Fisherlitries">BRI!#REF!</definedName>
    <definedName name="Fishernorpts">#REF!</definedName>
    <definedName name="Fishernortries">#REF!</definedName>
    <definedName name="Fishnorpts">#REF!</definedName>
    <definedName name="Fishnortries">#REF!</definedName>
    <definedName name="Fitzgerald__Leitries">#REF!</definedName>
    <definedName name="Fitzgeraldleipts">#REF!</definedName>
    <definedName name="Fitzgeraldsarpts">SAR!$F$22</definedName>
    <definedName name="Fitzgeraldsartries">SAR!$B$22</definedName>
    <definedName name="Flamentwaspts">#REF!</definedName>
    <definedName name="Flamentwastries">#REF!</definedName>
    <definedName name="Flanagansarpts">#REF!</definedName>
    <definedName name="Flanagansartries">#REF!</definedName>
    <definedName name="fleetwoodsarpts">SAR!#REF!</definedName>
    <definedName name="Fleetwoodsartries">SAR!#REF!</definedName>
    <definedName name="Flemingharpts">HAR!$F$20</definedName>
    <definedName name="Fleminghartries">HAR!$B$20</definedName>
    <definedName name="floodatt">#REF!</definedName>
    <definedName name="floodgoals">#REF!</definedName>
    <definedName name="Floodnewpts">#REF!</definedName>
    <definedName name="Floodnewptscorrect">#REF!</definedName>
    <definedName name="Floodnewtries">#REF!</definedName>
    <definedName name="Floodnewtriescorrect">#REF!</definedName>
    <definedName name="Floodpts">#REF!</definedName>
    <definedName name="Floodtobypts">#REF!</definedName>
    <definedName name="Floodtobytries">#REF!</definedName>
    <definedName name="Flynnsalpts">#REF!</definedName>
    <definedName name="Flynnsaltries">#REF!</definedName>
    <definedName name="Fodenpts">#REF!</definedName>
    <definedName name="fodentries">#REF!</definedName>
    <definedName name="Fonualeipts">#REF!</definedName>
    <definedName name="Fonualeitries">#REF!</definedName>
    <definedName name="Fonualwepts">#REF!</definedName>
    <definedName name="Fonualwetries">#REF!</definedName>
    <definedName name="Fonuanewpts">#REF!</definedName>
    <definedName name="Fonuanewtries">#REF!</definedName>
    <definedName name="Ford_Jleicpts">#REF!</definedName>
    <definedName name="Ford_Jleictries">#REF!</definedName>
    <definedName name="Ford_Robinsonglopts">GLO!$F$18</definedName>
    <definedName name="Ford_Robinsonglotries">GLO!$B$18</definedName>
    <definedName name="Ford_Robinsonnorpts">#REF!</definedName>
    <definedName name="Ford_Robinsonnortries">#REF!</definedName>
    <definedName name="Fordgeorgeatt">#REF!</definedName>
    <definedName name="Fordgeorgebatpts">#REF!</definedName>
    <definedName name="Fordgeorgegoals">#REF!</definedName>
    <definedName name="fordgeorgepts">#REF!</definedName>
    <definedName name="Fordgeorgesalpts">#REF!</definedName>
    <definedName name="Fordgeorgesaltries">#REF!</definedName>
    <definedName name="Fordgroegetries">#REF!</definedName>
    <definedName name="fordjoeatt">#REF!</definedName>
    <definedName name="fordjoegoals">#REF!</definedName>
    <definedName name="Fordjoepts">#REF!</definedName>
    <definedName name="Fordjoeptscorrect">#REF!</definedName>
    <definedName name="fordleicpts">#REF!</definedName>
    <definedName name="fordleictries">#REF!</definedName>
    <definedName name="fordsalatt">#REF!</definedName>
    <definedName name="fordsalgls">#REF!</definedName>
    <definedName name="Fordsaltries">#REF!</definedName>
    <definedName name="Forsythandytries">#REF!</definedName>
    <definedName name="Forsythleipts">#REF!</definedName>
    <definedName name="Forsythleitries">#REF!</definedName>
    <definedName name="Forsythpts">#REF!</definedName>
    <definedName name="Forsythsalpts">#REF!</definedName>
    <definedName name="Forsythsaltries">#REF!</definedName>
    <definedName name="forsythtries">#REF!</definedName>
    <definedName name="Forsythtriescorrect">#REF!</definedName>
    <definedName name="Fosterwaspts">#REF!</definedName>
    <definedName name="Fosterwastries">#REF!</definedName>
    <definedName name="Fotuali_ibthatt">#REF!</definedName>
    <definedName name="Fotuali_ibthgls">#REF!</definedName>
    <definedName name="Fotuali_ibthpts">#REF!</definedName>
    <definedName name="Fotuali_ibthtries">#REF!</definedName>
    <definedName name="Fotuali_Ikahnpts">#REF!</definedName>
    <definedName name="Fotuali_Ikahntries">#REF!</definedName>
    <definedName name="Fowlessalpts">#REF!</definedName>
    <definedName name="Fowlessaltries">#REF!</definedName>
    <definedName name="Fowlielipts">BRI!#REF!</definedName>
    <definedName name="Fowlietompts">BRI!#REF!</definedName>
    <definedName name="Fowlietomtries">BRI!#REF!</definedName>
    <definedName name="francisbthatt">#REF!</definedName>
    <definedName name="Francisbthgls">#REF!</definedName>
    <definedName name="Francisexepts">EXE!#REF!</definedName>
    <definedName name="Francisexetries">EXE!#REF!</definedName>
    <definedName name="Francisnorpts">#REF!</definedName>
    <definedName name="Francisnortries">#REF!</definedName>
    <definedName name="Frankslirpts">BRI!#REF!</definedName>
    <definedName name="Frankslirtries">BRI!#REF!</definedName>
    <definedName name="Franksnorpts">#REF!</definedName>
    <definedName name="Franksnortries">#REF!</definedName>
    <definedName name="Frasersarpts">#REF!</definedName>
    <definedName name="Frasersartries">#REF!</definedName>
    <definedName name="Fraserwillpts">#REF!</definedName>
    <definedName name="Fraserwilltries">#REF!</definedName>
    <definedName name="FrayLEIPTS">LEI!$F$16</definedName>
    <definedName name="FrayLEITRIES">LEI!$B$16</definedName>
    <definedName name="Freemanexepts">EXE!#REF!</definedName>
    <definedName name="Freemanexetries">EXE!#REF!</definedName>
    <definedName name="Freemannorpts">#REF!</definedName>
    <definedName name="Freemannortries">#REF!</definedName>
    <definedName name="Frischbripts">BRI!$F$30</definedName>
    <definedName name="Frischbritries">BRI!$B$30</definedName>
    <definedName name="Frostexepts">EXE!#REF!</definedName>
    <definedName name="Frostexetries">EXE!#REF!</definedName>
    <definedName name="Frostnorpts">#REF!</definedName>
    <definedName name="Frostnortries">#REF!</definedName>
    <definedName name="Frostwaspts">#REF!</definedName>
    <definedName name="Frostwastries">#REF!</definedName>
    <definedName name="Frueanbatpts">#REF!</definedName>
    <definedName name="Frueanbattries">#REF!</definedName>
    <definedName name="Frynewpts">#REF!</definedName>
    <definedName name="Frynewtries">#REF!</definedName>
    <definedName name="furbanknoratt">#REF!</definedName>
    <definedName name="furbanknorgls">#REF!</definedName>
    <definedName name="Furbanknorpts">#REF!</definedName>
    <definedName name="Furbanknorptscorrect">#REF!</definedName>
    <definedName name="Furbanknortries">#REF!</definedName>
    <definedName name="Furbanknortriescorrect">#REF!</definedName>
    <definedName name="Furnonewpts">#REF!</definedName>
    <definedName name="Furnonewtries">#REF!</definedName>
    <definedName name="Furynewpts">#REF!</definedName>
    <definedName name="Furywarrenpts">#REF!</definedName>
    <definedName name="Furywarrentries">#REF!</definedName>
    <definedName name="Fusernewpts">#REF!</definedName>
    <definedName name="Fusernewtries">#REF!</definedName>
    <definedName name="Galarzaglopts">GLO!$F$18</definedName>
    <definedName name="Galarzaglotries">GLO!$B$18</definedName>
    <definedName name="Galarzamarianopts">#REF!</definedName>
    <definedName name="Galarzamarianotries">#REF!</definedName>
    <definedName name="gallagherleicatt">LEI!#REF!</definedName>
    <definedName name="Gallagherleicgls">LEI!#REF!</definedName>
    <definedName name="Gallagherleicpts">LEI!$F$17</definedName>
    <definedName name="Gallagherleictries">LEI!$B$17</definedName>
    <definedName name="Gallaghersarpts">#REF!</definedName>
    <definedName name="Gallaghersartries">#REF!</definedName>
    <definedName name="gallaghertfwatt">TFW!$K$5</definedName>
    <definedName name="Gallaghertfwgls">TFW!$J$5</definedName>
    <definedName name="Garrattbthpts">#REF!</definedName>
    <definedName name="Garrattbthtries">#REF!</definedName>
    <definedName name="Garside_Jnorpts">#REF!</definedName>
    <definedName name="Garside_Jnortries">#REF!</definedName>
    <definedName name="Garveyglopts">GLO!#REF!</definedName>
    <definedName name="Garveyglotries">GLO!#REF!</definedName>
    <definedName name="Garveymattpts">#REF!</definedName>
    <definedName name="Garveymatttries">#REF!</definedName>
    <definedName name="Gaskelljamespts">#REF!</definedName>
    <definedName name="Gaskelljamestries">#REF!</definedName>
    <definedName name="Gaskellwaspts">#REF!</definedName>
    <definedName name="Gaskellwastries">#REF!</definedName>
    <definedName name="Georgejamieptscorrect">#REF!</definedName>
    <definedName name="Georgejamietriescorrect">#REF!</definedName>
    <definedName name="Georgepts">#REF!</definedName>
    <definedName name="Georgesarpts">#REF!</definedName>
    <definedName name="Georgesarptscorrect">SAR!$F$13</definedName>
    <definedName name="Georgesartries">#REF!</definedName>
    <definedName name="Georgesartriescorrect">SAR!$B$13</definedName>
    <definedName name="georgetries">#REF!</definedName>
    <definedName name="geraghtyatt">BRI!#REF!</definedName>
    <definedName name="geraghtybriatt">BRI!#REF!</definedName>
    <definedName name="geraghtybrigoals">BRI!#REF!</definedName>
    <definedName name="Geraghtybripts">BRI!#REF!</definedName>
    <definedName name="Geraghtybritries">BRI!#REF!</definedName>
    <definedName name="geraghtygoals">BRI!#REF!</definedName>
    <definedName name="Geraghtylipts">BRI!#REF!</definedName>
    <definedName name="Geraghtylitries">BRI!#REF!</definedName>
    <definedName name="Geraghtypts">BRI!$F$43</definedName>
    <definedName name="Geraghtyptscorrect">BRI!#REF!</definedName>
    <definedName name="Geraghtytries">BRI!#REF!</definedName>
    <definedName name="Geraghtytriescorrect">BRI!#REF!</definedName>
    <definedName name="gfordpts">#REF!</definedName>
    <definedName name="Ghiraldinileipts">#REF!</definedName>
    <definedName name="Ghiraldinileitries">#REF!</definedName>
    <definedName name="Gibsonjamiepts">#REF!</definedName>
    <definedName name="Gibsonjamietries">#REF!</definedName>
    <definedName name="Gibsonnorpts">#REF!</definedName>
    <definedName name="Gibsonnortries">#REF!</definedName>
    <definedName name="Gigenaleicpts">#REF!</definedName>
    <definedName name="Gigenaleictries">#REF!</definedName>
    <definedName name="Gigenalirpts">#REF!</definedName>
    <definedName name="Gigenalirtries">#REF!</definedName>
    <definedName name="Gilbertbatpts">#REF!</definedName>
    <definedName name="Gilbertbattries">#REF!</definedName>
    <definedName name="Gilbertmatpts">#REF!</definedName>
    <definedName name="Gilbertmattries">#REF!</definedName>
    <definedName name="Gildingjackpts">#REF!</definedName>
    <definedName name="Gildingjacktries">#REF!</definedName>
    <definedName name="Gillespienorpts">#REF!</definedName>
    <definedName name="Gillespienortries">#REF!</definedName>
    <definedName name="Gillsarpts">#REF!</definedName>
    <definedName name="Gillsartries">#REF!</definedName>
    <definedName name="Gilsenanlipts">BRI!#REF!</definedName>
    <definedName name="Gilsenanlirpts">#REF!</definedName>
    <definedName name="Gilsenanlirtries">#REF!</definedName>
    <definedName name="Gilsenanlitries">BRI!#REF!</definedName>
    <definedName name="Gjaltemaharpts">#REF!</definedName>
    <definedName name="Gjaltemahartries">#REF!</definedName>
    <definedName name="GlasgowPts">[1]GLA!$F$58</definedName>
    <definedName name="GlasgowTries">[1]GLA!$B$58</definedName>
    <definedName name="Gleavelirpts">BRI!#REF!</definedName>
    <definedName name="Gleavelirtries">BRI!#REF!</definedName>
    <definedName name="gloucesterpentriespts">GLO!#REF!</definedName>
    <definedName name="GloucesterPenTriestries">GLO!#REF!</definedName>
    <definedName name="GloucesterPts">GLO!$F$54</definedName>
    <definedName name="GloucesterTries">GLO!$B$54</definedName>
    <definedName name="godmanatt">#REF!</definedName>
    <definedName name="godmangoals">#REF!</definedName>
    <definedName name="Godmannewpts">#REF!</definedName>
    <definedName name="Godmanphiltries">#REF!</definedName>
    <definedName name="Godmanpts">#REF!</definedName>
    <definedName name="Goldthorploupts">LOU!$F$14</definedName>
    <definedName name="Goldthorploutries">LOU!$B$14</definedName>
    <definedName name="Gondwesarpts">SAR!$F$25</definedName>
    <definedName name="Gondwesartries">SAR!$B$25</definedName>
    <definedName name="goneatries">#REF!</definedName>
    <definedName name="Gonevaleipts">#REF!</definedName>
    <definedName name="Gonevaleiptscorrect">#REF!</definedName>
    <definedName name="Gonevaleitries">#REF!</definedName>
    <definedName name="Gonevapts">#REF!</definedName>
    <definedName name="Gonevaptscorrect">#REF!</definedName>
    <definedName name="Gonevatriescorrect">#REF!</definedName>
    <definedName name="Gonzalezlirpts">#REF!</definedName>
    <definedName name="Gonzalezlirtries">#REF!</definedName>
    <definedName name="goodealexatt">#REF!</definedName>
    <definedName name="goodealexgoals">#REF!</definedName>
    <definedName name="Goodealexpts">#REF!</definedName>
    <definedName name="goodealextries">#REF!</definedName>
    <definedName name="goodeandyatt">#REF!</definedName>
    <definedName name="goodeandygoals">#REF!</definedName>
    <definedName name="Goodeandypts">#REF!</definedName>
    <definedName name="Goodemewpts">#REF!</definedName>
    <definedName name="goodenewatt">#REF!</definedName>
    <definedName name="Goodenewgoals">#REF!</definedName>
    <definedName name="Goodenewtries">#REF!</definedName>
    <definedName name="Goodepts">#REF!</definedName>
    <definedName name="GOODESARATTCORRECT">SAR!$K$8</definedName>
    <definedName name="goodesarglscorrect">SAR!$J$8</definedName>
    <definedName name="Goodesarptscorrect">SAR!$F$16</definedName>
    <definedName name="Goodesartriescorrect">SAR!$B$16</definedName>
    <definedName name="Goodewaspts">#REF!</definedName>
    <definedName name="Goodewastries">#REF!</definedName>
    <definedName name="Goodhuecampts">#REF!</definedName>
    <definedName name="Goodhuecamtries">#REF!</definedName>
    <definedName name="Graham__Guynewpts">#REF!</definedName>
    <definedName name="Graham__Guynewtries">#REF!</definedName>
    <definedName name="Grahambripts">BRI!#REF!</definedName>
    <definedName name="Grahambritries">BRI!#REF!</definedName>
    <definedName name="Grahambthpts">#REF!</definedName>
    <definedName name="Grahambthtres">#REF!</definedName>
    <definedName name="Grahamnewpts">#REF!</definedName>
    <definedName name="Grahamnewtries">#REF!</definedName>
    <definedName name="Grantbatpts">#REF!</definedName>
    <definedName name="Grantbattries">#REF!</definedName>
    <definedName name="Graybthpts">#REF!</definedName>
    <definedName name="Graybthtries">#REF!</definedName>
    <definedName name="graydannyatt">#REF!</definedName>
    <definedName name="graydannygoals">#REF!</definedName>
    <definedName name="Grayexeeurtries">EXE!#REF!</definedName>
    <definedName name="Grayexepts">EXE!#REF!</definedName>
    <definedName name="Grayexetries">EXE!#REF!</definedName>
    <definedName name="Grayharpts">#REF!</definedName>
    <definedName name="Grayhartries">#REF!</definedName>
    <definedName name="Grayjoeharpts">#REF!</definedName>
    <definedName name="Grayjoehartries">#REF!</definedName>
    <definedName name="Grayjoshglopts">GLO!#REF!</definedName>
    <definedName name="Grayjoshglotries">GLO!#REF!</definedName>
    <definedName name="Graypts">#REF!</definedName>
    <definedName name="graysonnoratt">#REF!</definedName>
    <definedName name="graysonnorgls">#REF!</definedName>
    <definedName name="Graysonnorpts">#REF!</definedName>
    <definedName name="Graysonnortries">#REF!</definedName>
    <definedName name="Greenbthpts">#REF!</definedName>
    <definedName name="Greenbthtries">#REF!</definedName>
    <definedName name="greengloatt">GLO!$K$6</definedName>
    <definedName name="Greenglogls">GLO!$J$6</definedName>
    <definedName name="Greenharpts">#REF!</definedName>
    <definedName name="Greenhartries">#REF!</definedName>
    <definedName name="Greenloupts">LOU!$F$15</definedName>
    <definedName name="Greenloutries">LOU!$B$15</definedName>
    <definedName name="greentfratt">TFW!#REF!</definedName>
    <definedName name="Greentfrgls">TFW!#REF!</definedName>
    <definedName name="Greentfrpts">TFW!#REF!</definedName>
    <definedName name="Greentfrtries">TFW!#REF!</definedName>
    <definedName name="Gregsonsarpts">SAR!$F$28</definedName>
    <definedName name="Gregsonsartries">SAR!$B$28</definedName>
    <definedName name="GrieveSALPTS">SAL!$F$18</definedName>
    <definedName name="GrieveSALTRIES">SAL!$B$18</definedName>
    <definedName name="Griffinlipts">BRI!#REF!</definedName>
    <definedName name="Griffinlitries">BRI!#REF!</definedName>
    <definedName name="Griffithssarpts">#REF!</definedName>
    <definedName name="Griffithssartries">#REF!</definedName>
    <definedName name="Grimoldbyharpts">#REF!</definedName>
    <definedName name="Grimoldbyhartries">#REF!</definedName>
    <definedName name="Groblerglopts">GLO!#REF!</definedName>
    <definedName name="Groblerglotrie">GLO!#REF!</definedName>
    <definedName name="Grogutharpts">HAR!$F$21</definedName>
    <definedName name="Groguthartries">HAR!$B$21</definedName>
    <definedName name="Grondonaexepts">EXE!#REF!</definedName>
    <definedName name="Grondonaexetries">EXE!#REF!</definedName>
    <definedName name="Groomnorpts">#REF!</definedName>
    <definedName name="Groomnortries">#REF!</definedName>
    <definedName name="Grovepts">#REF!</definedName>
    <definedName name="Grovetries">#REF!</definedName>
    <definedName name="Guestlipts">BRI!#REF!</definedName>
    <definedName name="Guestlitries">BRI!#REF!</definedName>
    <definedName name="Guesttompts">#REF!</definedName>
    <definedName name="Guesttomtris">#REF!</definedName>
    <definedName name="Gunterleipts">LEI!$F$19</definedName>
    <definedName name="Gunterleitries">LEI!$B$19</definedName>
    <definedName name="Haffarlirpts">#REF!</definedName>
    <definedName name="Haffarlirtries">#REF!</definedName>
    <definedName name="Haganjamiepts">BRI!#REF!</definedName>
    <definedName name="Haganjamietries">BRI!#REF!</definedName>
    <definedName name="Hainingbripts">BRI!$F$31</definedName>
    <definedName name="Hainingbritries">BRI!$B$31</definedName>
    <definedName name="Hala_ufiachrispts">BRI!#REF!</definedName>
    <definedName name="Hala_ufiachristries">BRI!#REF!</definedName>
    <definedName name="Halaifonuaglopts">GLO!#REF!</definedName>
    <definedName name="Halaifonuaglotries">GLO!#REF!</definedName>
    <definedName name="Halaiwaspts">#REF!</definedName>
    <definedName name="Halaiwastries">#REF!</definedName>
    <definedName name="Halavataulipts">BRI!#REF!</definedName>
    <definedName name="Halavataulitries">BRI!#REF!</definedName>
    <definedName name="Halavataupts">BRI!#REF!</definedName>
    <definedName name="Halavatautries">BRI!#REF!</definedName>
    <definedName name="Haleymikepts">#REF!</definedName>
    <definedName name="Haleymiketries">#REF!</definedName>
    <definedName name="Hamiltonleipts">#REF!</definedName>
    <definedName name="Hamiltonleitries">#REF!</definedName>
    <definedName name="Hamiltonsarpts">#REF!</definedName>
    <definedName name="Hamiltonsartries">#REF!</definedName>
    <definedName name="Hammersleynewpts">#REF!</definedName>
    <definedName name="Hammersleynewtries">#REF!</definedName>
    <definedName name="Hammersleysalpts">#REF!</definedName>
    <definedName name="Hammersleysaltries">#REF!</definedName>
    <definedName name="Hammonddeanpts">#REF!</definedName>
    <definedName name="Hammonddeantries">#REF!</definedName>
    <definedName name="Hampsonwaspts">#REF!</definedName>
    <definedName name="Hampsonwasptscorrect">#REF!</definedName>
    <definedName name="Hampsonwastries">#REF!</definedName>
    <definedName name="Hampsonwastriescorrect">#REF!</definedName>
    <definedName name="Hankinmattpts">#REF!</definedName>
    <definedName name="Hankinmatttries">#REF!</definedName>
    <definedName name="Hanlonharpts">HAR!$F$22</definedName>
    <definedName name="Hanlonhartries">HAR!$B$22</definedName>
    <definedName name="Hannayharpts">HAR!$F$23</definedName>
    <definedName name="Hannayhartries">HAR!$B$23</definedName>
    <definedName name="hanrahannoratt">#REF!</definedName>
    <definedName name="Hanrahannorgoals">#REF!</definedName>
    <definedName name="Hanrahannorpts">#REF!</definedName>
    <definedName name="Hanrahannortries">#REF!</definedName>
    <definedName name="Hansonglopts">GLO!#REF!</definedName>
    <definedName name="Hansonglotries">GLO!#REF!</definedName>
    <definedName name="Hardingbripts">BRI!#REF!</definedName>
    <definedName name="Hardingbritries">BRI!#REF!</definedName>
    <definedName name="Hardingwaspts">#REF!</definedName>
    <definedName name="Hardingwastries">#REF!</definedName>
    <definedName name="hardwickleicatt">#REF!</definedName>
    <definedName name="hardwickleicgls">#REF!</definedName>
    <definedName name="Hardwickleipts">#REF!</definedName>
    <definedName name="Hardwickleitries">#REF!</definedName>
    <definedName name="Hardysarpts">SAR!$F$29</definedName>
    <definedName name="Hardysartries">SAR!$B$29</definedName>
    <definedName name="Hargreavessarpts">#REF!</definedName>
    <definedName name="Hargreavessartries">#REF!</definedName>
    <definedName name="HarlequinsPts">#REF!</definedName>
    <definedName name="HarlequinsTries">#REF!</definedName>
    <definedName name="Harperharpts">HAR!$F$24</definedName>
    <definedName name="Harperhartries">HAR!$B$24</definedName>
    <definedName name="Harpersalepts">SAL!$F$19</definedName>
    <definedName name="Harpersaletries">SAL!$B$19</definedName>
    <definedName name="Harpersalpts">#REF!</definedName>
    <definedName name="Harpersaltries">#REF!</definedName>
    <definedName name="Harris_Bwaspts">#REF!</definedName>
    <definedName name="Harris_Bwastries">#REF!</definedName>
    <definedName name="Harrisbthpts">#REF!</definedName>
    <definedName name="Harrisbthtries">#REF!</definedName>
    <definedName name="Harrisglopts">GLO!#REF!</definedName>
    <definedName name="Harrisglotries">GLO!#REF!</definedName>
    <definedName name="Harrislipts">BRI!#REF!</definedName>
    <definedName name="Harrislitries">BRI!#REF!</definedName>
    <definedName name="Harrisnewpts">#REF!</definedName>
    <definedName name="Harrisnewtries">#REF!</definedName>
    <definedName name="Harrisonlirpts">#REF!</definedName>
    <definedName name="Harrisonlirtries">#REF!</definedName>
    <definedName name="Harrisonnorpts">#REF!</definedName>
    <definedName name="Harrisonnortries">#REF!</definedName>
    <definedName name="Harrisonsalpts">#REF!</definedName>
    <definedName name="Harrisonsaltris">#REF!</definedName>
    <definedName name="Harrisonsampts">#REF!</definedName>
    <definedName name="Harrisonsamtries">#REF!</definedName>
    <definedName name="harrisonsarpts">SAR!$F$30</definedName>
    <definedName name="Harrisonsartriesd">SAR!$B$30</definedName>
    <definedName name="Harrissarpts">SAR!#REF!</definedName>
    <definedName name="Harrissarptscorrect">SAR!#REF!</definedName>
    <definedName name="Harrissartries">SAR!#REF!</definedName>
    <definedName name="Harrissartriescorrect">SAR!#REF!</definedName>
    <definedName name="Hartleypts">#REF!</definedName>
    <definedName name="Hartleyptscorrect">#REF!</definedName>
    <definedName name="Hartleysarpts">SAR!$F$17</definedName>
    <definedName name="Hartleysartries">SAR!$B$17</definedName>
    <definedName name="hartleytries">#REF!</definedName>
    <definedName name="Hartleytriescorrect">#REF!</definedName>
    <definedName name="Hartleytriesthisiscorrect">#REF!</definedName>
    <definedName name="Hartleywaspts">#REF!</definedName>
    <definedName name="Hartleywasptscorrect">#REF!</definedName>
    <definedName name="Hartleywastries">#REF!</definedName>
    <definedName name="Hartleywastriescorrect">#REF!</definedName>
    <definedName name="Hartryscorers">#REF!</definedName>
    <definedName name="Haskelljamespts">#REF!</definedName>
    <definedName name="Haskelljamestries">#REF!</definedName>
    <definedName name="Haskellnorpts">#REF!</definedName>
    <definedName name="Haskellnortries">#REF!</definedName>
    <definedName name="Hassell_Collinslirpts">#REF!</definedName>
    <definedName name="Hassell_Collinslirtries">#REF!</definedName>
    <definedName name="hastingsbatatt">#REF!</definedName>
    <definedName name="hastingsbatgoals">#REF!</definedName>
    <definedName name="Hastingsbatpts">#REF!</definedName>
    <definedName name="Hastingsbattries">#REF!</definedName>
    <definedName name="hastingsgloatt">GLO!#REF!</definedName>
    <definedName name="Hastingsglogls">GLO!#REF!</definedName>
    <definedName name="Haungatausalpts">SAL!#REF!</definedName>
    <definedName name="Haungatausaltries">SAL!#REF!</definedName>
    <definedName name="Hauptworpts">#REF!</definedName>
    <definedName name="Hauptwortries">#REF!</definedName>
    <definedName name="Hawkinsnewpts">#REF!</definedName>
    <definedName name="Hawkinsnewtries">#REF!</definedName>
    <definedName name="Haydon_Woodnewgls">#REF!</definedName>
    <definedName name="Haydon_Woodnewpts">#REF!</definedName>
    <definedName name="Haydon_Woodnewtries">#REF!</definedName>
    <definedName name="haydonwoodnewatt">#REF!</definedName>
    <definedName name="Hayterpts">#REF!</definedName>
    <definedName name="Haytertries">#REF!</definedName>
    <definedName name="Hayterwaspts">#REF!</definedName>
    <definedName name="Hayterwastries">#REF!</definedName>
    <definedName name="Haywoodmikepts">#REF!</definedName>
    <definedName name="Haywoodmiketries">#REF!</definedName>
    <definedName name="Heaneyworpts">#REF!</definedName>
    <definedName name="Heaneywortries">#REF!</definedName>
    <definedName name="Hearleworpts">#REF!</definedName>
    <definedName name="Hearlewortries">#REF!</definedName>
    <definedName name="Hearnlirpts">BRI!#REF!</definedName>
    <definedName name="Hearnlirtries">BRI!#REF!</definedName>
    <definedName name="heathcoteatt">#REF!</definedName>
    <definedName name="Heathcotegoals">#REF!</definedName>
    <definedName name="Heathcotepts">#REF!</definedName>
    <definedName name="Heathcoteptscorrect">#REF!</definedName>
    <definedName name="Heeleyglopts">GLO!$F$20</definedName>
    <definedName name="Heeleyglotries">GLO!$B$20</definedName>
    <definedName name="Heffernannorpts">#REF!</definedName>
    <definedName name="Heffernannortries">#REF!</definedName>
    <definedName name="Hegartyleicpts">#REF!</definedName>
    <definedName name="Hegartyleictries">#REF!</definedName>
    <definedName name="Heinzglopts">GLO!#REF!</definedName>
    <definedName name="Heinzglotries">GLO!#REF!</definedName>
    <definedName name="heinzworpts">#REF!</definedName>
    <definedName name="Heinzwortries">#REF!</definedName>
    <definedName name="Heleharpts">HAR!#REF!</definedName>
    <definedName name="Helehartries">HAR!#REF!</definedName>
    <definedName name="Helleurnewpts">#REF!</definedName>
    <definedName name="Helleurnewtris">#REF!</definedName>
    <definedName name="Helupts">#REF!</definedName>
    <definedName name="Helutries">#REF!</definedName>
    <definedName name="Hendricksonexepts">EXE!$F$13</definedName>
    <definedName name="Hendricksonexetries">EXE!$B$13</definedName>
    <definedName name="Hendriksonexetries">EXE!$B$13</definedName>
    <definedName name="Hendynorpts">#REF!</definedName>
    <definedName name="Hendynortries">#REF!</definedName>
    <definedName name="Hennwelshpts">#REF!</definedName>
    <definedName name="Hennwelshtries">#REF!</definedName>
    <definedName name="Henrichleipts">LEI!$F$21</definedName>
    <definedName name="Henrichleitries">LEI!$B$21</definedName>
    <definedName name="henryleicatt">#REF!</definedName>
    <definedName name="Henryleicgls">#REF!</definedName>
    <definedName name="Henryleicpts">#REF!</definedName>
    <definedName name="Henryleictries">#REF!</definedName>
    <definedName name="hensongavinatt">#REF!</definedName>
    <definedName name="Hensongavingoals">#REF!</definedName>
    <definedName name="Hensongavinpts">#REF!</definedName>
    <definedName name="Hensongavintries">#REF!</definedName>
    <definedName name="Henwoodharpyts">HAR!$F$26</definedName>
    <definedName name="Henwoodhartries">HAR!$B$26</definedName>
    <definedName name="Hepburnexepts">EXE!$F$14</definedName>
    <definedName name="Hepburnexetries">EXE!$B$14</definedName>
    <definedName name="Hepburnwaspts">#REF!</definedName>
    <definedName name="Hepburnwastries">#REF!</definedName>
    <definedName name="Hepetamaleipts">#REF!</definedName>
    <definedName name="Hepetamaleitries">#REF!</definedName>
    <definedName name="Herringbripts">BRI!$F$23</definedName>
    <definedName name="Herringbritries">BRI!$B$23</definedName>
    <definedName name="herronharatt">#REF!</definedName>
    <definedName name="Herronhargls">#REF!</definedName>
    <definedName name="Herronharpts">#REF!</definedName>
    <definedName name="Herronhartries">#REF!</definedName>
    <definedName name="Heryetharpts">HAR!$F$27</definedName>
    <definedName name="Heryethartries">HAR!$B$27</definedName>
    <definedName name="heskethbriatt">BRI!$K$8</definedName>
    <definedName name="heskethbrigls">BRI!$J$8</definedName>
    <definedName name="Heskethbripts">BRI!$F$22</definedName>
    <definedName name="Heskethbritries">BRI!$B$22</definedName>
    <definedName name="Hewardbripts">BRI!$F$32</definedName>
    <definedName name="Hewardbritries">BRI!$B$32</definedName>
    <definedName name="Hibbardglopts">GLO!#REF!</definedName>
    <definedName name="Hibbardglotries">GLO!#REF!</definedName>
    <definedName name="Hibbert_Jonesloupts">LOU!$F$16</definedName>
    <definedName name="Hibbert_Jonesloutries">LOU!$B$16</definedName>
    <definedName name="Hicksglopts">GLO!#REF!</definedName>
    <definedName name="Hicksgloptscorrect">GLO!#REF!</definedName>
    <definedName name="Hicksglotries">GLO!#REF!</definedName>
    <definedName name="Hill_Jexepts">EXE!#REF!</definedName>
    <definedName name="Hill_Jexetries">EXE!#REF!</definedName>
    <definedName name="Hill_Jsalpts">#REF!</definedName>
    <definedName name="Hill_Jsaltries">#REF!</definedName>
    <definedName name="Hill_Samexetries">EXE!#REF!</definedName>
    <definedName name="Hill_Sexepts">EXE!#REF!</definedName>
    <definedName name="Hill_Ssamexepts">EXE!#REF!</definedName>
    <definedName name="Hillbthpts">#REF!</definedName>
    <definedName name="Hillbthtries">#REF!</definedName>
    <definedName name="Hillierharpts">HAR!$F$28</definedName>
    <definedName name="Hillierhartries">HAR!$B$28</definedName>
    <definedName name="Hillman_Cooperglopts">GLO!#REF!</definedName>
    <definedName name="Hillman_Cooperglotries">GLO!#REF!</definedName>
    <definedName name="Hillsampts">EXE!#REF!</definedName>
    <definedName name="Hillsamtries">EXE!#REF!</definedName>
    <definedName name="Hillworpts">#REF!</definedName>
    <definedName name="Hillwortries">#REF!</definedName>
    <definedName name="Hinessalpts">#REF!</definedName>
    <definedName name="Hinessaltries">#REF!</definedName>
    <definedName name="Hinkleyglopts">GLO!#REF!</definedName>
    <definedName name="Hinkleyglotries">GLO!#REF!</definedName>
    <definedName name="Hinkleynorpts">#REF!</definedName>
    <definedName name="Hinkleynortries">#REF!</definedName>
    <definedName name="Hodgeexeatt">EXE!#REF!</definedName>
    <definedName name="Hodgeexegls">EXE!#REF!</definedName>
    <definedName name="Hodgeexepts">EXE!$F$15</definedName>
    <definedName name="Hodgeexetries">EXE!$B$15</definedName>
    <definedName name="hodgsoncharlieatt">#REF!</definedName>
    <definedName name="Hodgsoncharliegoals">#REF!</definedName>
    <definedName name="Hodgsoncharliepts">#REF!</definedName>
    <definedName name="Hodgsoncharlietries">#REF!</definedName>
    <definedName name="hodgsonjoelatt">#REF!</definedName>
    <definedName name="Hodgsonjoelgoals">#REF!</definedName>
    <definedName name="Hodgsonjoelpts">#REF!</definedName>
    <definedName name="Hodgsonjoeltries">#REF!</definedName>
    <definedName name="Hodgsonnewatt">#REF!</definedName>
    <definedName name="hodgsonnewattcorrect">#REF!</definedName>
    <definedName name="Hodgsonnewgoals">#REF!</definedName>
    <definedName name="Hodgsonnewptscorrect">#REF!</definedName>
    <definedName name="Hodgsonnewtriescorrect">#REF!</definedName>
    <definedName name="hodgsonnoratt">#REF!</definedName>
    <definedName name="hodgsonnorgoals">#REF!</definedName>
    <definedName name="Hodgsonnorpts">#REF!</definedName>
    <definedName name="Hodgsonnortries">#REF!</definedName>
    <definedName name="hodgsonsargoals">#REF!</definedName>
    <definedName name="Hogansalpts">SAL!$F$20</definedName>
    <definedName name="Hogansaltries">SAL!$B$20</definedName>
    <definedName name="hoggexeatt">EXE!#REF!</definedName>
    <definedName name="hoggexegls">EXE!#REF!</definedName>
    <definedName name="Hoggexepts">EXE!#REF!</definedName>
    <definedName name="Hoggexetries">EXE!#REF!</definedName>
    <definedName name="Hoggnewpts">#REF!</definedName>
    <definedName name="Hoggnewtries">#REF!</definedName>
    <definedName name="Holensteinharpts">#REF!</definedName>
    <definedName name="Holensteinhartries">#REF!</definedName>
    <definedName name="Holmesexepts">EXE!$F$17</definedName>
    <definedName name="holmesexetries">EXE!$B$17</definedName>
    <definedName name="Holmesjonahpts">#REF!</definedName>
    <definedName name="Holmesjonahtries">#REF!</definedName>
    <definedName name="Holmesleicpts">#REF!</definedName>
    <definedName name="Holmesleictries">#REF!</definedName>
    <definedName name="Holmesnewpts">#REF!</definedName>
    <definedName name="Holmesnewtries">#REF!</definedName>
    <definedName name="Holmeswaspts">#REF!</definedName>
    <definedName name="Holmeswastries">#REF!</definedName>
    <definedName name="Holsey_Lwortries">#REF!</definedName>
    <definedName name="Holseyworpts">#REF!</definedName>
    <definedName name="Homer_Tombthgoals">#REF!</definedName>
    <definedName name="Homer_Tombthpts">#REF!</definedName>
    <definedName name="Homer_Tombthtries">#REF!</definedName>
    <definedName name="Homerbthpts">#REF!</definedName>
    <definedName name="Homerbthtries">#REF!</definedName>
    <definedName name="homerliatt">BRI!#REF!</definedName>
    <definedName name="homerligoals">BRI!#REF!</definedName>
    <definedName name="homertombthatt">#REF!</definedName>
    <definedName name="Homertompts">BRI!#REF!</definedName>
    <definedName name="Homertomtried">BRI!#REF!</definedName>
    <definedName name="hookgloatt">GLO!#REF!</definedName>
    <definedName name="hookglogoals">GLO!#REF!</definedName>
    <definedName name="Hookglopts">GLO!#REF!</definedName>
    <definedName name="Hookglotries">GLO!#REF!</definedName>
    <definedName name="hooleyatt">#REF!</definedName>
    <definedName name="hooleyexeatt">EXE!#REF!</definedName>
    <definedName name="Hooleyexegoals">EXE!#REF!</definedName>
    <definedName name="Hooleyexepts">EXE!#REF!</definedName>
    <definedName name="Hooleyexetries">EXE!#REF!</definedName>
    <definedName name="Hooleygoals">#REF!</definedName>
    <definedName name="Hooleywillpts">#REF!</definedName>
    <definedName name="Hooleywilltries">#REF!</definedName>
    <definedName name="Hooperstuartpts">#REF!</definedName>
    <definedName name="Hooperstuarttries">#REF!</definedName>
    <definedName name="Hopkinsbripts">BRI!$F$24</definedName>
    <definedName name="Hopkinsbritries">BRI!$B$24</definedName>
    <definedName name="Hopkinsglopts">GLO!$F$23</definedName>
    <definedName name="Hopkinsglotries">GLO!$B$23</definedName>
    <definedName name="Hopkinssalpts">SAL!$F$21</definedName>
    <definedName name="Hopkinssaltries">SAL!$B$21</definedName>
    <definedName name="Hopperpts">#REF!</definedName>
    <definedName name="Hoppertries">#REF!</definedName>
    <definedName name="Hornenorpts">#REF!</definedName>
    <definedName name="Hornenortries">#REF!</definedName>
    <definedName name="Horstmannexepts">EXE!#REF!</definedName>
    <definedName name="Horstmannexetries">EXE!#REF!</definedName>
    <definedName name="Hortonleipts">#REF!</definedName>
    <definedName name="Hortonleitries">#REF!</definedName>
    <definedName name="Horwillharpts">#REF!</definedName>
    <definedName name="Horwillhartries">#REF!</definedName>
    <definedName name="Hoskinslirpts">BRI!#REF!</definedName>
    <definedName name="Hoskinslirtries">BRI!#REF!</definedName>
    <definedName name="Hougaardsarpts">SAR!#REF!</definedName>
    <definedName name="Hougaardsartries">SAR!#REF!</definedName>
    <definedName name="Hougaardwaspts">#REF!</definedName>
    <definedName name="Hougaardwastries">#REF!</definedName>
    <definedName name="Hougaardworpts">#REF!</definedName>
    <definedName name="Hougaardwortries">#REF!</definedName>
    <definedName name="Houstonbatpts">#REF!</definedName>
    <definedName name="Houstonbattries">#REF!</definedName>
    <definedName name="Houstonleroypts">#REF!</definedName>
    <definedName name="Houstonleroytries">#REF!</definedName>
    <definedName name="Howardnorpts">#REF!</definedName>
    <definedName name="Howardnortries">#REF!</definedName>
    <definedName name="Howardsalpts">SAL!$F$22</definedName>
    <definedName name="Howardsaltries">SAL!$B$22</definedName>
    <definedName name="Howetompts">#REF!</definedName>
    <definedName name="Howetomtries">#REF!</definedName>
    <definedName name="Howewaspts">#REF!</definedName>
    <definedName name="Howewastries">#REF!</definedName>
    <definedName name="Howeworpts">#REF!</definedName>
    <definedName name="Howewortries">#REF!</definedName>
    <definedName name="Hudsonglopts">GLO!$F$19</definedName>
    <definedName name="Hudsonglotries">GLO!$B$19</definedName>
    <definedName name="Hudsonjamespts">GLO!#REF!</definedName>
    <definedName name="hudsonjamestries">GLO!#REF!</definedName>
    <definedName name="Hughesbripts">BRI!#REF!</definedName>
    <definedName name="Hughesbritries">BRI!#REF!</definedName>
    <definedName name="Hughesexepts">EXE!#REF!</definedName>
    <definedName name="Hughesexetries">EXE!#REF!</definedName>
    <definedName name="Hughesnathanpts">#REF!</definedName>
    <definedName name="Hughesnathantries">#REF!</definedName>
    <definedName name="Hugheswaspts">#REF!</definedName>
    <definedName name="Hugheswastries">#REF!</definedName>
    <definedName name="humphreysatt">BRI!#REF!</definedName>
    <definedName name="humphreysgoals">BRI!#REF!</definedName>
    <definedName name="Humphreysiantries">BRI!#REF!</definedName>
    <definedName name="Humphreyspts">BRI!#REF!</definedName>
    <definedName name="Humphreysworpts">#REF!</definedName>
    <definedName name="Humphreyswortries">#REF!</definedName>
    <definedName name="Hunter_Hillsarptscorrect">SAR!$F$18</definedName>
    <definedName name="Hunter_Hillsartriescorrect">SAR!$B$18</definedName>
    <definedName name="Huntsarpts">SAR!$F$31</definedName>
    <definedName name="Huntsartries">SAR!$B$31</definedName>
    <definedName name="Hurdleicpts">#REF!</definedName>
    <definedName name="Hurdleictries">#REF!</definedName>
    <definedName name="Hurrellbstpts">BRI!#REF!</definedName>
    <definedName name="Hurrellbsttries">BRI!#REF!</definedName>
    <definedName name="hutchinsonnoratt">#REF!</definedName>
    <definedName name="hutchinsonnorgls">#REF!</definedName>
    <definedName name="Hutchinsonnorpts">#REF!</definedName>
    <definedName name="Hutchinsonnortries">#REF!</definedName>
    <definedName name="Hyndmansalpts">SAL!$F$23</definedName>
    <definedName name="Hyndmansaltries">SAL!$B$23</definedName>
    <definedName name="ibitoyebriatt">BRI!#REF!</definedName>
    <definedName name="Ibitoyebrigls">BRI!#REF!</definedName>
    <definedName name="Ibitoyeharpts">#REF!</definedName>
    <definedName name="Ibitoyehartries">#REF!</definedName>
    <definedName name="Ibuanokpeharpts">#REF!</definedName>
    <definedName name="Ibuanokpehartries">#REF!</definedName>
    <definedName name="Ilioneleipts">#REF!</definedName>
    <definedName name="Ilioneleitries">#REF!</definedName>
    <definedName name="Ingallcharliepts">#REF!</definedName>
    <definedName name="Ingallcharlietries">#REF!</definedName>
    <definedName name="Inmantfrpts">TFW!$F$22</definedName>
    <definedName name="Inmantfrtries">TFW!$B$22</definedName>
    <definedName name="InmanTFWATT">TFW!$K$6</definedName>
    <definedName name="InmanTFWGLS">TFW!$J$6</definedName>
    <definedName name="Ioanetjsalpts">#REF!</definedName>
    <definedName name="Ioanetjsaltries">#REF!</definedName>
    <definedName name="Iosefa_Scottexepts">EXE!#REF!</definedName>
    <definedName name="Iosefa_Scottexetries">EXE!#REF!</definedName>
    <definedName name="Irvinenorpts">#REF!</definedName>
    <definedName name="Irvinenortries">#REF!</definedName>
    <definedName name="Irwin_V_Asalgls">SAL!$J$6</definedName>
    <definedName name="Irwin_V_Asalpts">SAL!$F$24</definedName>
    <definedName name="Irwin_V_Asaltries">SAL!$B$24</definedName>
    <definedName name="Irwin_V_Esalpts">SAL!#REF!</definedName>
    <definedName name="Irwin_V_Esaltries">SAL!#REF!</definedName>
    <definedName name="irwinvasalatt">SAL!$K$6</definedName>
    <definedName name="Isaacsglopts">GLO!#REF!</definedName>
    <definedName name="Isaacsglotries">GLO!#REF!</definedName>
    <definedName name="isiekwenorpts">#REF!</definedName>
    <definedName name="Isiekwenortries">#REF!</definedName>
    <definedName name="Isiekwesarpts">#REF!</definedName>
    <definedName name="Isiekwesarptscorrect">SAR!$F$20</definedName>
    <definedName name="Isiekwesartries">#REF!</definedName>
    <definedName name="Isiekwesartriescorrect">SAR!$B$20</definedName>
    <definedName name="Itojesarpts">#REF!</definedName>
    <definedName name="Itojesarptscorrect">SAR!$F$23</definedName>
    <definedName name="Itojesartries">#REF!</definedName>
    <definedName name="Itojesartriescorrect">SAR!$B$23</definedName>
    <definedName name="Ives_Campionloupts">LOU!$F$17</definedName>
    <definedName name="Ives_Campionloutries">LOU!$B$17</definedName>
    <definedName name="Jackson_Ewaspts">#REF!</definedName>
    <definedName name="Jackson_Ewastries">#REF!</definedName>
    <definedName name="Jackson_Rwaspts">#REF!</definedName>
    <definedName name="Jackson_Rwastries">#REF!</definedName>
    <definedName name="Jacksonbripts">BRI!#REF!</definedName>
    <definedName name="Jacksonbritries">BRI!#REF!</definedName>
    <definedName name="Jacksonedpts">#REF!</definedName>
    <definedName name="jacksonedtries">#REF!</definedName>
    <definedName name="Jacksonharpts">#REF!</definedName>
    <definedName name="Jacksonhartries">#REF!</definedName>
    <definedName name="Jacksonlirpts">#REF!</definedName>
    <definedName name="Jacksonlirtries">#REF!</definedName>
    <definedName name="jacksonrwasatt">#REF!</definedName>
    <definedName name="jacksonrwasgoals">#REF!</definedName>
    <definedName name="Jacksonsarpts">SAR!$F$24</definedName>
    <definedName name="Jacksonsartries">SAR!$B$24</definedName>
    <definedName name="Jacobsbenpts">#REF!</definedName>
    <definedName name="Jacobsbentries">#REF!</definedName>
    <definedName name="Jacobsleipts">LEI!$F$22</definedName>
    <definedName name="Jacobsleitries">LEI!$B$22</definedName>
    <definedName name="Jacobswaspts">#REF!</definedName>
    <definedName name="Jacobswastries">#REF!</definedName>
    <definedName name="Jahbripts">BRI!$F$25</definedName>
    <definedName name="Jahbritries">BRI!$B$25</definedName>
    <definedName name="James_Lsalpts">#REF!</definedName>
    <definedName name="James_Lsaltries">#REF!</definedName>
    <definedName name="Jamesnicksalpts">SAL!$F$27</definedName>
    <definedName name="Jamesnicksaltries">SAL!$B$27</definedName>
    <definedName name="Jamesnorpts">#REF!</definedName>
    <definedName name="Jamesnortries">#REF!</definedName>
    <definedName name="Jamespaulpts">#REF!</definedName>
    <definedName name="Jamespaultries">#REF!</definedName>
    <definedName name="Jamespts">EXE!#REF!</definedName>
    <definedName name="Jamessalatt">#REF!</definedName>
    <definedName name="Jamessalgls">#REF!</definedName>
    <definedName name="Jamessalpts">#REF!</definedName>
    <definedName name="Jamessaltries">#REF!</definedName>
    <definedName name="jamestries">EXE!#REF!</definedName>
    <definedName name="jameswasatt">#REF!</definedName>
    <definedName name="jameswasgoals">#REF!</definedName>
    <definedName name="Jameswaspts">#REF!</definedName>
    <definedName name="Jameswastries">#REF!</definedName>
    <definedName name="Janse_v_Rensburglirpts">#REF!</definedName>
    <definedName name="Janse_v_Rensburglirtries">#REF!</definedName>
    <definedName name="Jansenleipts">#REF!</definedName>
    <definedName name="Jansenleitries">#REF!</definedName>
    <definedName name="Jansevanrensburgsalpts">#REF!</definedName>
    <definedName name="Jansevanrensburgsaltries">#REF!</definedName>
    <definedName name="jansevrensburgliratt">#REF!</definedName>
    <definedName name="jansevrensburglirgls">#REF!</definedName>
    <definedName name="jardinewasatt">#REF!</definedName>
    <definedName name="jardinewasgls">#REF!</definedName>
    <definedName name="Jardinewaspts">#REF!</definedName>
    <definedName name="Jardinewastries">#REF!</definedName>
    <definedName name="jarvisbriatt">BRI!#REF!</definedName>
    <definedName name="Jarvisbrigoals">BRI!#REF!</definedName>
    <definedName name="Jefferssalepts">#REF!</definedName>
    <definedName name="Jefferssaltries">#REF!</definedName>
    <definedName name="Jeffriesbripts">BRI!#REF!</definedName>
    <definedName name="Jeffriesbriptscorrect">BRI!$F$33</definedName>
    <definedName name="Jeffriesbritries">BRI!#REF!</definedName>
    <definedName name="Jeffriesbritriescorrect">BRI!$B$33</definedName>
    <definedName name="Jeffriesbstpts">BRI!#REF!</definedName>
    <definedName name="Jeffriesbsttries">BRI!#REF!</definedName>
    <definedName name="Jenkins_Dexepts">EXE!#REF!</definedName>
    <definedName name="Jenkins_Dexetries">EXE!#REF!</definedName>
    <definedName name="Jenkins_Iexepts">EXE!#REF!</definedName>
    <definedName name="Jenkins_Iexetries">EXE!#REF!</definedName>
    <definedName name="Jenkinsbripts">BRI!#REF!</definedName>
    <definedName name="Jenkinsbritries">BRI!#REF!</definedName>
    <definedName name="jenkinsiexeatt">EXE!$K$6</definedName>
    <definedName name="jenkinsiexegls">EXE!$J$6</definedName>
    <definedName name="Jenningsbthpts">#REF!</definedName>
    <definedName name="Jenningsbthtries">#REF!</definedName>
    <definedName name="jenningsliratt">#REF!</definedName>
    <definedName name="Jenningslirgls">#REF!</definedName>
    <definedName name="Jenningslirpts">#REF!</definedName>
    <definedName name="Jenningslirtries">#REF!</definedName>
    <definedName name="Jenningssalpts">#REF!</definedName>
    <definedName name="Jenningssaltries">#REF!</definedName>
    <definedName name="Jessexepts">EXE!#REF!</definedName>
    <definedName name="Jessexetries">EXE!#REF!</definedName>
    <definedName name="Jesspts">EXE!#REF!</definedName>
    <definedName name="Jesstries">EXE!#REF!</definedName>
    <definedName name="Jewellsebpts">#REF!</definedName>
    <definedName name="Jewellsebtries">#REF!</definedName>
    <definedName name="Jibuluharpts">#REF!</definedName>
    <definedName name="Jibuluhartries">#REF!</definedName>
    <definedName name="Johnbripts">BRI!$F$27</definedName>
    <definedName name="Johnbritries">BRI!$B$27</definedName>
    <definedName name="Johnsalpts">#REF!</definedName>
    <definedName name="Johnsaltries">#REF!</definedName>
    <definedName name="Johnsonashleypts">#REF!</definedName>
    <definedName name="johnsonashleytries">#REF!</definedName>
    <definedName name="Johnsonexepts">EXE!#REF!</definedName>
    <definedName name="Johnsonexetries">EXE!#REF!</definedName>
    <definedName name="Johnsontompts">EXE!#REF!</definedName>
    <definedName name="Johnsontomtries">EXE!#REF!</definedName>
    <definedName name="Johnsonwaspts">#REF!</definedName>
    <definedName name="Johnsonwastries">#REF!</definedName>
    <definedName name="Johnsonworpts">#REF!</definedName>
    <definedName name="Johnsonwortries">#REF!</definedName>
    <definedName name="Johnstonjamespts">#REF!</definedName>
    <definedName name="Johnstonjamestries">#REF!</definedName>
    <definedName name="Johnstonwaspts">#REF!</definedName>
    <definedName name="Johnstonwasptscorrect">#REF!</definedName>
    <definedName name="Johnstonwastries">#REF!</definedName>
    <definedName name="jonathanjosephtries">#REF!</definedName>
    <definedName name="Jones_Jsalpts">#REF!</definedName>
    <definedName name="Jones_Jsaltries">#REF!</definedName>
    <definedName name="Jones_Mtfwatt">TFW!$K$7</definedName>
    <definedName name="Jones_Mtfwgls">TFW!$J$7</definedName>
    <definedName name="Jones_Mtfwpts">TFW!$F$25</definedName>
    <definedName name="Jones_Mtfwtries">TFW!$B$25</definedName>
    <definedName name="Jones_Nleipts">LEI!$F$25</definedName>
    <definedName name="Jones_Nleitries">LEI!$B$25</definedName>
    <definedName name="Jonesadamharpts">#REF!</definedName>
    <definedName name="Jonesadamhartries">#REF!</definedName>
    <definedName name="Joneschrispts">#REF!</definedName>
    <definedName name="joneschristries">#REF!</definedName>
    <definedName name="Jonesexepts">EXE!#REF!</definedName>
    <definedName name="Jonesexetries">EXE!#REF!</definedName>
    <definedName name="Jonesharpts">#REF!</definedName>
    <definedName name="Joneshartries">#REF!</definedName>
    <definedName name="JonesHharpts">#REF!</definedName>
    <definedName name="JonesHhartries">#REF!</definedName>
    <definedName name="jonesleiatt">LEI!#REF!</definedName>
    <definedName name="Jonesleigls">LEI!#REF!</definedName>
    <definedName name="Jonesleipts">LEI!$F$23</definedName>
    <definedName name="Jonesleitries">LEI!$B$23</definedName>
    <definedName name="Jonesmarcpts">#REF!</definedName>
    <definedName name="Jonesmarctries">#REF!</definedName>
    <definedName name="Jonessalpts">#REF!</definedName>
    <definedName name="Jonessaltries">#REF!</definedName>
    <definedName name="Jonessampts">#REF!</definedName>
    <definedName name="Jonessamtries">#REF!</definedName>
    <definedName name="Jonesssalpts">SAL!#REF!</definedName>
    <definedName name="Jonesssaltries">SAL!#REF!</definedName>
    <definedName name="jonesworatt">#REF!</definedName>
    <definedName name="Jonesworgls">#REF!</definedName>
    <definedName name="Jonesworpts">#REF!</definedName>
    <definedName name="Joneswortries">#REF!</definedName>
    <definedName name="Jonkerbthpts">#REF!</definedName>
    <definedName name="Jonkerbthtries">#REF!</definedName>
    <definedName name="Josephbatpts">#REF!</definedName>
    <definedName name="Josephbattries">#REF!</definedName>
    <definedName name="josephbthatt">#REF!</definedName>
    <definedName name="Josephbthgls">#REF!</definedName>
    <definedName name="Josephjonathanptscorrect">#REF!</definedName>
    <definedName name="Josephjonathantriescorrect">#REF!</definedName>
    <definedName name="Josephlirpts">#REF!</definedName>
    <definedName name="Josephlirtries">#REF!</definedName>
    <definedName name="josephpts">#REF!</definedName>
    <definedName name="Josephpts2">#REF!</definedName>
    <definedName name="Jouberternstpts">#REF!</definedName>
    <definedName name="Jouberternsttries">#REF!</definedName>
    <definedName name="Joyce_Butchers_Abripts">BRI!$F$28</definedName>
    <definedName name="Joyce_Butchers_Abritries">BRI!$B$28</definedName>
    <definedName name="Jubbtompts">#REF!</definedName>
    <definedName name="Jubbtomtries">#REF!</definedName>
    <definedName name="Judgebthpts">#REF!</definedName>
    <definedName name="Judgebthtries">#REF!</definedName>
    <definedName name="Judgesarpts">#REF!</definedName>
    <definedName name="Judgesartries">#REF!</definedName>
    <definedName name="Jureviciusharpts">#REF!</definedName>
    <definedName name="Jureviciushartries">#REF!</definedName>
    <definedName name="Kabeyaloupts">LOU!$F$19</definedName>
    <definedName name="Kabeyalouptscorrect">LOU!$F$18</definedName>
    <definedName name="Kabeyaloutries">LOU!$B$19</definedName>
    <definedName name="Kabeyaloutriescorrect">LOU!$B$18</definedName>
    <definedName name="Kalamafonileipts">#REF!</definedName>
    <definedName name="Kalamafonileitries">#REF!</definedName>
    <definedName name="Kalamafonipts">GLO!#REF!</definedName>
    <definedName name="Kalamafonitries">GLO!#REF!</definedName>
    <definedName name="Kalounivaletfwpts">TFW!$F$26</definedName>
    <definedName name="Kalounivaletfwtries">TFW!$B$26</definedName>
    <definedName name="Kareaexepts">EXE!#REF!</definedName>
    <definedName name="Kareaexetries">EXE!#REF!</definedName>
    <definedName name="Kasololoupts">SAL!$F$29</definedName>
    <definedName name="kasololoutries">SAL!$B$29</definedName>
    <definedName name="Kearlwepts">#REF!</definedName>
    <definedName name="Kearlwetries">#REF!</definedName>
    <definedName name="Keastexepts">EXE!$F$18</definedName>
    <definedName name="Keastexetries">EXE!$B$18</definedName>
    <definedName name="Keatesloupts">LOU!$F$21</definedName>
    <definedName name="Keatesloutries">LOU!$B$21</definedName>
    <definedName name="Kellawaynorpts">#REF!</definedName>
    <definedName name="Kellawaynortries">#REF!</definedName>
    <definedName name="kellyleicatt">#REF!</definedName>
    <definedName name="Kellyleicgls">#REF!</definedName>
    <definedName name="Kellysalpts">SAL!$F$28</definedName>
    <definedName name="Kellysaltries">SAL!$B$28</definedName>
    <definedName name="Kelterloupts">LOU!$F$20</definedName>
    <definedName name="Kelterloutries">LOU!$B$20</definedName>
    <definedName name="Kelterlouyratt">LOU!$K$6</definedName>
    <definedName name="Kelterlouyrgls">LOU!$J$6</definedName>
    <definedName name="Kenninghamharpts">#REF!</definedName>
    <definedName name="Kenninghamhartries">#REF!</definedName>
    <definedName name="Kennyexepts">EXE!$F$19</definedName>
    <definedName name="Kennyexetries">EXE!$B$19</definedName>
    <definedName name="Kerrbripts">BRI!$F$34</definedName>
    <definedName name="Kerrbritries">BRI!$B$34</definedName>
    <definedName name="Kerrleicpts">#REF!</definedName>
    <definedName name="Kerrleictries">#REF!</definedName>
    <definedName name="Kerrodworpts">#REF!</definedName>
    <definedName name="Kerrodwortries">#REF!</definedName>
    <definedName name="Kessellnorpts">#REF!</definedName>
    <definedName name="Kessellnortries">#REF!</definedName>
    <definedName name="Kibirigezachpts">#REF!</definedName>
    <definedName name="Kibirigezachtries">#REF!</definedName>
    <definedName name="Kilbridgewaspts">#REF!</definedName>
    <definedName name="Kilbridgewastries">#REF!</definedName>
    <definedName name="Kildunneharpts">HAR!$F$29</definedName>
    <definedName name="Kildunnehartries">HAR!$B$29</definedName>
    <definedName name="KingsPts">[1]SKG!$E$47</definedName>
    <definedName name="KingsTries">[1]SKG!$B$47</definedName>
    <definedName name="Kirstenexepts">EXE!$F$20</definedName>
    <definedName name="Kirstenexetries">EXE!$B$20</definedName>
    <definedName name="Kirwancarlpts">#REF!</definedName>
    <definedName name="Kirwancarltries">#REF!</definedName>
    <definedName name="Kitchenergrahamptscorrect">#REF!</definedName>
    <definedName name="Kitchenergrahamtriescorrect">#REF!</definedName>
    <definedName name="Kitchenerpts">#REF!</definedName>
    <definedName name="kitchenertries">#REF!</definedName>
    <definedName name="Kittoleipts">#REF!</definedName>
    <definedName name="Kittoleitries">#REF!</definedName>
    <definedName name="Knightglopts">#REF!</definedName>
    <definedName name="Knightgloptscorrect">GLO!$F$22</definedName>
    <definedName name="Knightglotries">#REF!</definedName>
    <definedName name="Knightglotriescorrect">GLO!$B$22</definedName>
    <definedName name="Knightpts">GLO!#REF!</definedName>
    <definedName name="Knighttries">GLO!#REF!</definedName>
    <definedName name="Kobayashisarpts">EXE!$F$16</definedName>
    <definedName name="Kobayashisartries">EXE!$B$16</definedName>
    <definedName name="Kochsarptscorrect">SAR!#REF!</definedName>
    <definedName name="Kochsartriescorrect">SAR!#REF!</definedName>
    <definedName name="Kolo_ofainewpts">#REF!</definedName>
    <definedName name="Kolo_ofainewtries">#REF!</definedName>
    <definedName name="Konkel_Robertsharpts">HAR!$F$30</definedName>
    <definedName name="Konkel_Robertshartries">HAR!$B$30</definedName>
    <definedName name="Kpoku__Jonathansarpts">#REF!</definedName>
    <definedName name="Kpoku__Jonathansartries">#REF!</definedName>
    <definedName name="Kpokusarpts">#REF!</definedName>
    <definedName name="Kpokusartries">#REF!</definedName>
    <definedName name="Krielglopts">GLO!$F$21</definedName>
    <definedName name="Krielglotries">GLO!$B$21</definedName>
    <definedName name="Kruisgeorgepts">#REF!</definedName>
    <definedName name="Kruisgeorgetries">#REF!</definedName>
    <definedName name="Kuleminsalpts">#REF!</definedName>
    <definedName name="Kuleminsaltries">#REF!</definedName>
    <definedName name="Kunataniharpts">#REF!</definedName>
    <definedName name="Kunatanihartries">#REF!</definedName>
    <definedName name="Kvesicmattpts">GLO!#REF!</definedName>
    <definedName name="Kvesicmatttries">GLO!#REF!</definedName>
    <definedName name="Labeyrieleipts">LEI!$F$24</definedName>
    <definedName name="Labeyrieleitries">LEI!$B$24</definedName>
    <definedName name="Laflintfrpts">TFW!#REF!</definedName>
    <definedName name="Laflintfrtries">TFW!#REF!</definedName>
    <definedName name="Laflintfwpts">TFW!$F$27</definedName>
    <definedName name="Laflintfwtries">TFW!$B$27</definedName>
    <definedName name="Lahiffmaxbthpts">#REF!</definedName>
    <definedName name="lahiffmaxbthtries">#REF!</definedName>
    <definedName name="laidlawgloatt">GLO!#REF!</definedName>
    <definedName name="laidlawglogoals">GLO!#REF!</definedName>
    <definedName name="Laidlawglopts">GLO!#REF!</definedName>
    <definedName name="Laidlawglotries">GLO!#REF!</definedName>
    <definedName name="lambatt">#REF!</definedName>
    <definedName name="Lambertharpts">#REF!</definedName>
    <definedName name="Lamberthartries">#REF!</definedName>
    <definedName name="lambgoals">#REF!</definedName>
    <definedName name="Lambpts">#REF!</definedName>
    <definedName name="Lambptscorrect">#REF!</definedName>
    <definedName name="Lambripts">BRI!#REF!</definedName>
    <definedName name="Lambritries">BRI!#REF!</definedName>
    <definedName name="Lambryantries">#REF!</definedName>
    <definedName name="lambryanworatt">#REF!</definedName>
    <definedName name="Lambryanworgoals">#REF!</definedName>
    <definedName name="Lambryanworpts">#REF!</definedName>
    <definedName name="Lambworgoals">#REF!</definedName>
    <definedName name="Lamositelesarpts">#REF!</definedName>
    <definedName name="Lamositelesartries">#REF!</definedName>
    <definedName name="lanceworatt">#REF!</definedName>
    <definedName name="lanceworgls">#REF!</definedName>
    <definedName name="Lanceworpts">#REF!</definedName>
    <definedName name="Lancewortries">#REF!</definedName>
    <definedName name="Landajoharpts">#REF!</definedName>
    <definedName name="Landajohartries">#REF!</definedName>
    <definedName name="Lanebatpts">#REF!</definedName>
    <definedName name="Lanebattris">#REF!</definedName>
    <definedName name="Lanebripts">BRI!$F$35</definedName>
    <definedName name="Lanebritries">BRI!$B$35</definedName>
    <definedName name="Lanerichardpts">#REF!</definedName>
    <definedName name="Lanerichardtries">#REF!</definedName>
    <definedName name="Lanerichardtriescorrect">#REF!</definedName>
    <definedName name="Langdonsalpts">#REF!</definedName>
    <definedName name="Langdonsaltries">#REF!</definedName>
    <definedName name="Langdonworpts">#REF!</definedName>
    <definedName name="Langdonwortries">#REF!</definedName>
    <definedName name="langharatt">#REF!</definedName>
    <definedName name="Langhargls">#REF!</definedName>
    <definedName name="Langharpts">#REF!</definedName>
    <definedName name="Langhartries">#REF!</definedName>
    <definedName name="Langleywaspts">#REF!</definedName>
    <definedName name="Langleywastries">#REF!</definedName>
    <definedName name="lanharatt">#REF!</definedName>
    <definedName name="lanhargoals">#REF!</definedName>
    <definedName name="lanharpts">#REF!</definedName>
    <definedName name="Lasikeharpts">#REF!</definedName>
    <definedName name="Lasikehartries">#REF!</definedName>
    <definedName name="Latsha_Bharpts">HAR!$F$31</definedName>
    <definedName name="Latsha_Bhartries">HAR!$B$31</definedName>
    <definedName name="Latunewpts">#REF!</definedName>
    <definedName name="Latunewtries">#REF!</definedName>
    <definedName name="Launchburypts">#REF!</definedName>
    <definedName name="launchburytries">#REF!</definedName>
    <definedName name="Launchburywaspts">#REF!</definedName>
    <definedName name="Launchburywastries">#REF!</definedName>
    <definedName name="Lavaninileicpts">#REF!</definedName>
    <definedName name="Lavaninileictries">#REF!</definedName>
    <definedName name="Lawdayexepts">EXE!#REF!</definedName>
    <definedName name="Lawdayexeptscorrect">EXE!#REF!</definedName>
    <definedName name="Lawdayexetries">EXE!#REF!</definedName>
    <definedName name="Lawdayexetriescorrect">EXE!#REF!</definedName>
    <definedName name="Lawesnorpts">#REF!</definedName>
    <definedName name="Lawesnortries">#REF!</definedName>
    <definedName name="Lawrencebthpts">#REF!</definedName>
    <definedName name="Lawrencebthtries">#REF!</definedName>
    <definedName name="Lawrencewaspts">#REF!</definedName>
    <definedName name="Lawrencewastries">#REF!</definedName>
    <definedName name="Lawrenceworpts">#REF!</definedName>
    <definedName name="Lawrencewortries">#REF!</definedName>
    <definedName name="lawsalatt">SAL!#REF!</definedName>
    <definedName name="Lawsalgls">SAL!#REF!</definedName>
    <definedName name="Lawsalpts">SAL!#REF!</definedName>
    <definedName name="Lawsaltries">SAL!#REF!</definedName>
    <definedName name="Lawsonnewpts">#REF!</definedName>
    <definedName name="Lawsonnewtries">#REF!</definedName>
    <definedName name="Lawsonscottpts">#REF!</definedName>
    <definedName name="Lawsonscotttries">#REF!</definedName>
    <definedName name="Laybripts">BRI!#REF!</definedName>
    <definedName name="Laybritries">BRI!#REF!</definedName>
    <definedName name="Layzellharpts">HAR!$F$32</definedName>
    <definedName name="Layzellhartries">HAR!$B$32</definedName>
    <definedName name="Le_Bourgeoiswaspts">#REF!</definedName>
    <definedName name="Le_Bourgeoiswastries">#REF!</definedName>
    <definedName name="Le_Rouxwaspts">#REF!</definedName>
    <definedName name="Le_Rouxwastries">#REF!</definedName>
    <definedName name="Leaneyharpts">HAR!$F$33</definedName>
    <definedName name="Leaneyhartries">HAR!$B$33</definedName>
    <definedName name="LeathermanTFWPTS">TFW!$F$29</definedName>
    <definedName name="LeathermanTFWTRIES">TFW!$B$29</definedName>
    <definedName name="Lee_Warnerbthpts">#REF!</definedName>
    <definedName name="Lee_Warnerbthtries">#REF!</definedName>
    <definedName name="Leesexepts">EXE!#REF!</definedName>
    <definedName name="Leesexetries">EXE!#REF!</definedName>
    <definedName name="LeicesterPts">#REF!</definedName>
    <definedName name="LeicesterTries">#REF!</definedName>
    <definedName name="leicspentriespts">#REF!</definedName>
    <definedName name="leicspentriestries">#REF!</definedName>
    <definedName name="LeinsterPts">[1]LEIN!$F$58</definedName>
    <definedName name="LeinsterTries">[1]LEIN!$B$58</definedName>
    <definedName name="Leiuaalapatiwaspts">#REF!</definedName>
    <definedName name="Leiuawaspts">#REF!</definedName>
    <definedName name="Leiuawasptscorrect">#REF!</definedName>
    <definedName name="Leiuawastries">#REF!</definedName>
    <definedName name="Lemipts">#REF!</definedName>
    <definedName name="lemitries">#REF!</definedName>
    <definedName name="Leolipts">BRI!#REF!</definedName>
    <definedName name="Leolitries">BRI!#REF!</definedName>
    <definedName name="Leotajohnnypts">#REF!</definedName>
    <definedName name="Leotajohnnytries">#REF!</definedName>
    <definedName name="Lewingtonalextries">BRI!#REF!</definedName>
    <definedName name="Lewingtonpts">BRI!#REF!</definedName>
    <definedName name="Lewingtonsarpts">#REF!</definedName>
    <definedName name="Lewingtonsarptscorrect">SAR!#REF!</definedName>
    <definedName name="Lewingtonsartries">#REF!</definedName>
    <definedName name="Lewingtonsartriescorrect">SAR!#REF!</definedName>
    <definedName name="Lewingtontries">BRI!#REF!</definedName>
    <definedName name="Lewis_">#REF!</definedName>
    <definedName name="Lewis_Robertssalpts">#REF!</definedName>
    <definedName name="Lewis_Robertssaltries">#REF!</definedName>
    <definedName name="lewisbthatt">#REF!</definedName>
    <definedName name="Lewisbthgls">#REF!</definedName>
    <definedName name="Lewisbthpts">#REF!</definedName>
    <definedName name="Lewisbthtries">#REF!</definedName>
    <definedName name="Lewisdaveharpts">#REF!</definedName>
    <definedName name="Lewisdavehartries">#REF!</definedName>
    <definedName name="Lewisdavepts">EXE!#REF!</definedName>
    <definedName name="Lewisdavetries">EXE!#REF!</definedName>
    <definedName name="Lewisjamespts">#REF!</definedName>
    <definedName name="Lewisjamestries">#REF!</definedName>
    <definedName name="Lewisleicpts">#REF!</definedName>
    <definedName name="Lewisleictries">#REF!</definedName>
    <definedName name="Lewisrobpts">#REF!</definedName>
    <definedName name="Lewisrobtries">#REF!</definedName>
    <definedName name="Lewissarptscorrect">SAR!$F$27</definedName>
    <definedName name="Lewissartriescorrect">SAR!$B$27</definedName>
    <definedName name="Liebenbergleicpts">#REF!</definedName>
    <definedName name="Liebenbergleictries">#REF!</definedName>
    <definedName name="Lindsay_Haguenewpts">#REF!</definedName>
    <definedName name="Lindsay_Haguenewtries">#REF!</definedName>
    <definedName name="Lindsay_Hagueolliepts">#REF!</definedName>
    <definedName name="Lindsay_Hagueollietries">#REF!</definedName>
    <definedName name="Lindsaysarpts">#REF!</definedName>
    <definedName name="Lindsaysartries">#REF!</definedName>
    <definedName name="Lindsaywaspts">#REF!</definedName>
    <definedName name="Lindsaywastries">#REF!</definedName>
    <definedName name="Linkinssaratt">SAR!$K$7</definedName>
    <definedName name="Linkinssargls">SAR!$J$7</definedName>
    <definedName name="Listonjessepts">#REF!</definedName>
    <definedName name="Listonjessetries">#REF!</definedName>
    <definedName name="Litchfieldjimmiepts">#REF!</definedName>
    <definedName name="Litchfieldjimmietries">#REF!</definedName>
    <definedName name="Litchfieldnorpts">#REF!</definedName>
    <definedName name="Litchfieldnortries">#REF!</definedName>
    <definedName name="Lloyd_Jbripts">BRI!#REF!</definedName>
    <definedName name="Lloyd_Jbritries">BRI!#REF!</definedName>
    <definedName name="LloydBriAtt">BRI!#REF!</definedName>
    <definedName name="LloydBriGls">BRI!#REF!</definedName>
    <definedName name="LloydBriPts">BRI!$F$38</definedName>
    <definedName name="LloydBriTries">BRI!$B$38</definedName>
    <definedName name="lloydjbriatt">BRI!#REF!</definedName>
    <definedName name="lloydjbrigls">BRI!#REF!</definedName>
    <definedName name="Lloydlirpts">BRI!#REF!</definedName>
    <definedName name="Lloydlirtries">BRI!#REF!</definedName>
    <definedName name="Lloydsalpts">SAL!$F$30</definedName>
    <definedName name="Lloydsaltries">SAL!$B$30</definedName>
    <definedName name="Loaderlirpts">BRI!$F$37</definedName>
    <definedName name="Loaderlirtries">BRI!$B$37</definedName>
    <definedName name="Loamanuleipts">#REF!</definedName>
    <definedName name="Loamanuleitries">#REF!</definedName>
    <definedName name="Lochnerharpts">HAR!$F$34</definedName>
    <definedName name="Lochnerhartries">HAR!$B$34</definedName>
    <definedName name="Lockettnorpts">#REF!</definedName>
    <definedName name="Lockettnortries">#REF!</definedName>
    <definedName name="Lokotuiglopts">GLO!#REF!</definedName>
    <definedName name="Lokotuiglotries">GLO!#REF!</definedName>
    <definedName name="Lomidzelirpts">BRI!#REF!</definedName>
    <definedName name="Lomidzelirtries">BRI!#REF!</definedName>
    <definedName name="londonirishpentriespts">BRI!#REF!</definedName>
    <definedName name="londonirishpentriestries">BRI!#REF!</definedName>
    <definedName name="LondonIrishPts">#REF!</definedName>
    <definedName name="LondonIrishTres">#REF!</definedName>
    <definedName name="LondonIrishTries">#REF!</definedName>
    <definedName name="Longbottomsalpts">#REF!</definedName>
    <definedName name="Longbottomsaltries">#REF!</definedName>
    <definedName name="Longbottomsarpts">#REF!</definedName>
    <definedName name="LongbottomsarptsCORRECT">#REF!</definedName>
    <definedName name="Longbottomsartries">#REF!</definedName>
    <definedName name="LongbottomsartriesCORRECT">#REF!</definedName>
    <definedName name="Lonsdaleexepts">EXE!#REF!</definedName>
    <definedName name="Lonsdaleexetries">EXE!#REF!</definedName>
    <definedName name="Louwfrancoispts">#REF!</definedName>
    <definedName name="Louwfrancoistris">#REF!</definedName>
    <definedName name="lovibondbriatt">BRI!$K$9</definedName>
    <definedName name="lovibondbrigls">BRI!$J$9</definedName>
    <definedName name="Loweharpts">#REF!</definedName>
    <definedName name="Lowehartries">#REF!</definedName>
    <definedName name="Lowkierantries">BRI!#REF!</definedName>
    <definedName name="Lowlipts">BRI!#REF!</definedName>
    <definedName name="Lowmoraypts">EXE!#REF!</definedName>
    <definedName name="Lowmoraytries">EXE!#REF!</definedName>
    <definedName name="Lowpts">BRI!#REF!</definedName>
    <definedName name="Lowptscorrect">BRI!#REF!</definedName>
    <definedName name="lowtries">BRI!#REF!</definedName>
    <definedName name="Lowtriescorrect">BRI!#REF!</definedName>
    <definedName name="Lozadawaspts">#REF!</definedName>
    <definedName name="Lozadawastries">#REF!</definedName>
    <definedName name="lozowksisarattcorrect">SAR!#REF!</definedName>
    <definedName name="lozowskisarattcorrect">SAR!$K$8</definedName>
    <definedName name="lozowskisarglscorrect">SAR!#REF!</definedName>
    <definedName name="Lozowskisarptscorrect">SAR!#REF!</definedName>
    <definedName name="Lozowskisartriescorrect">SAR!#REF!</definedName>
    <definedName name="lozowskiwasatt">#REF!</definedName>
    <definedName name="lozowskiwasgoals">#REF!</definedName>
    <definedName name="Lozowskiwaspts">#REF!</definedName>
    <definedName name="Lozowskiwastries">#REF!</definedName>
    <definedName name="Lucocknewpts">#REF!</definedName>
    <definedName name="Lucocknewtries">#REF!</definedName>
    <definedName name="Ludlamnorpts">#REF!</definedName>
    <definedName name="Ludlamnortries">#REF!</definedName>
    <definedName name="Ludlowglopts">GLO!#REF!</definedName>
    <definedName name="Ludlowglotries">GLO!#REF!</definedName>
    <definedName name="Lundsalpts">#REF!</definedName>
    <definedName name="Lundsaltries">#REF!</definedName>
    <definedName name="Lutuiglopts">GLO!#REF!</definedName>
    <definedName name="Lutuiglotries">GLO!#REF!</definedName>
    <definedName name="Lynaghharpts">#REF!</definedName>
    <definedName name="Lynaghhartries">#REF!</definedName>
    <definedName name="Ma_afuglopts">GLO!#REF!</definedName>
    <definedName name="Ma_afuglotries">GLO!#REF!</definedName>
    <definedName name="Ma_afunorpts">#REF!</definedName>
    <definedName name="Ma_afunortries">#REF!</definedName>
    <definedName name="Ma_afusalesipts">#REF!</definedName>
    <definedName name="Ma_afusalesitries">#REF!</definedName>
    <definedName name="Maafunorpts">#REF!</definedName>
    <definedName name="Maafunortries">#REF!</definedName>
    <definedName name="MacDougallsaratt">SAR!$K$8</definedName>
    <definedName name="MacDougallsargls">SAR!$J$8</definedName>
    <definedName name="macgintybriatt">BRI!#REF!</definedName>
    <definedName name="MacGintybrigls">BRI!#REF!</definedName>
    <definedName name="MacGintybripts">BRI!#REF!</definedName>
    <definedName name="MacGintybritries">BRI!#REF!</definedName>
    <definedName name="Mackenwaspts">#REF!</definedName>
    <definedName name="Mackenwastries">#REF!</definedName>
    <definedName name="MacKenziephilpts">#REF!</definedName>
    <definedName name="MacKenziephiltries">#REF!</definedName>
    <definedName name="MacLeodnewpts">#REF!</definedName>
    <definedName name="MacLeodnewtries">#REF!</definedName>
    <definedName name="macleodnickatt">#REF!</definedName>
    <definedName name="macleodnickgoals">#REF!</definedName>
    <definedName name="MacLeodnickpts">#REF!</definedName>
    <definedName name="MacLeodnickptscorrect">#REF!</definedName>
    <definedName name="MacLeodsalpts">#REF!</definedName>
    <definedName name="MacLeodsaltries">#REF!</definedName>
    <definedName name="Mafibathtries">#REF!</definedName>
    <definedName name="Mafibthpts">#REF!</definedName>
    <definedName name="Mafilirpts">#REF!</definedName>
    <definedName name="Mafilirtries">#REF!</definedName>
    <definedName name="Mafipts">#REF!</definedName>
    <definedName name="Mafistevepts">#REF!</definedName>
    <definedName name="Mafistevetriescorrect">#REF!</definedName>
    <definedName name="mafitries">#REF!</definedName>
    <definedName name="Maherbripts">BRI!#REF!</definedName>
    <definedName name="Maherbritries">BRI!#REF!</definedName>
    <definedName name="Maitlandsarpts">#REF!</definedName>
    <definedName name="Maitlandsarptscorrect">SAR!$F$32</definedName>
    <definedName name="Maitlandsartries">#REF!</definedName>
    <definedName name="Maitlandsartriescorrect">SAR!$B$32</definedName>
    <definedName name="Malcolmloupts">LOU!#REF!</definedName>
    <definedName name="Malcolmloutries">LOU!#REF!</definedName>
    <definedName name="malcolmtfwpts">TFW!$F$30</definedName>
    <definedName name="malcolmtfwtries">TFW!$B$30</definedName>
    <definedName name="malinsbriatt">BRI!#REF!</definedName>
    <definedName name="Malinsbrigls">BRI!#REF!</definedName>
    <definedName name="malinssaratt">#REF!</definedName>
    <definedName name="malinssarattcorrect">SAR!#REF!</definedName>
    <definedName name="malinssargls">#REF!</definedName>
    <definedName name="malinssarglscorrect">SAR!#REF!</definedName>
    <definedName name="Malinssarpts">#REF!</definedName>
    <definedName name="Malinssarptscorrect">SAR!$F$33</definedName>
    <definedName name="Malinssartries">#REF!</definedName>
    <definedName name="Malinssartriescorrect">SAR!$B$33</definedName>
    <definedName name="mallindernoratt">#REF!</definedName>
    <definedName name="Mallindernorgoals">#REF!</definedName>
    <definedName name="Mallindernorpts">#REF!</definedName>
    <definedName name="Mallindernortries">#REF!</definedName>
    <definedName name="Maltonexepts">EXE!#REF!</definedName>
    <definedName name="Maltonexetries">EXE!#REF!</definedName>
    <definedName name="Mamukashvilisalpts">#REF!</definedName>
    <definedName name="Mamukashvilisaltries">#REF!</definedName>
    <definedName name="mannsgloatt">GLO!#REF!</definedName>
    <definedName name="Mannsglogls">GLO!#REF!</definedName>
    <definedName name="Manoanorpts">#REF!</definedName>
    <definedName name="Manoanortries">#REF!</definedName>
    <definedName name="Manoapts">#REF!</definedName>
    <definedName name="manoatries">#REF!</definedName>
    <definedName name="Manzleicpts">#REF!</definedName>
    <definedName name="Manzleictries">#REF!</definedName>
    <definedName name="Maraisglopts">GLO!#REF!</definedName>
    <definedName name="Maraisglotries">GLO!#REF!</definedName>
    <definedName name="marchantharatt">#REF!</definedName>
    <definedName name="Marchanthargls">#REF!</definedName>
    <definedName name="Marchantharpts">#REF!</definedName>
    <definedName name="Marchanthartries">#REF!</definedName>
    <definedName name="Marfoharpts">#REF!</definedName>
    <definedName name="Marfohartries">#REF!</definedName>
    <definedName name="Marlerharpts">#REF!</definedName>
    <definedName name="Marlerpts">#REF!</definedName>
    <definedName name="marlertries">#REF!</definedName>
    <definedName name="Marshallglopts">GLO!#REF!</definedName>
    <definedName name="marshallliratt">BRI!#REF!</definedName>
    <definedName name="marshalllirgls">BRI!#REF!</definedName>
    <definedName name="Marshalllirpts">BRI!#REF!</definedName>
    <definedName name="Marshalllirtries">BRI!#REF!</definedName>
    <definedName name="Marshallnorpts">#REF!</definedName>
    <definedName name="Marshallnortries">#REF!</definedName>
    <definedName name="Marshalltomglo">GLO!#REF!</definedName>
    <definedName name="Marston_Mulhern_Ebripts">BRI!#REF!</definedName>
    <definedName name="Marston_Mulhern_Ebritries">BRI!#REF!</definedName>
    <definedName name="Martinleicpts">#REF!</definedName>
    <definedName name="Martinleictries">#REF!</definedName>
    <definedName name="Martinleipts">LEI!#REF!</definedName>
    <definedName name="Martinleitries">LEI!#REF!</definedName>
    <definedName name="Masiwaspts">#REF!</definedName>
    <definedName name="Masiwastries">#REF!</definedName>
    <definedName name="Mataitogaloupts">LOU!$F$23</definedName>
    <definedName name="Mataitogalouptscorrect">LOU!$F$24</definedName>
    <definedName name="Mataitogaloutries">LOU!$B$23</definedName>
    <definedName name="Mataitogaloutriescorrect">LOU!$B$24</definedName>
    <definedName name="Matavesi__Joshnewpts">#REF!</definedName>
    <definedName name="Matavesi__JoshnewptsCORRECT">#REF!</definedName>
    <definedName name="Matavesi__Joshnewtries">#REF!</definedName>
    <definedName name="matavesibthatt">#REF!</definedName>
    <definedName name="Matavesibthgoals">#REF!</definedName>
    <definedName name="Matavesinewptscorrect">#REF!</definedName>
    <definedName name="Matavesinewtriescorrect">#REF!</definedName>
    <definedName name="matavesinoratt">#REF!</definedName>
    <definedName name="matavesinorgls">#REF!</definedName>
    <definedName name="Matavesipts">#REF!</definedName>
    <definedName name="matavesitries">#REF!</definedName>
    <definedName name="Matawalubthpts">#REF!</definedName>
    <definedName name="Matawalubthtries">#REF!</definedName>
    <definedName name="Matawaluexepts">EXE!#REF!</definedName>
    <definedName name="Matawaluexetries">EXE!#REF!</definedName>
    <definedName name="Materapablopts">#REF!</definedName>
    <definedName name="Materapablotries">#REF!</definedName>
    <definedName name="mathewswasatt">#REF!</definedName>
    <definedName name="mathewswasgls">#REF!</definedName>
    <definedName name="Matthewsharpts">#REF!</definedName>
    <definedName name="Matthewshartries">#REF!</definedName>
    <definedName name="Matthewsnorpts">#REF!</definedName>
    <definedName name="Matthewsnortries">#REF!</definedName>
    <definedName name="Matthewswaspts">#REF!</definedName>
    <definedName name="Matthewswastries">#REF!</definedName>
    <definedName name="Mattinsontfwpts">TFW!$F$31</definedName>
    <definedName name="Mattinsontfwtries">TFW!$B$31</definedName>
    <definedName name="Matu_uglopts">GLO!#REF!</definedName>
    <definedName name="Matu_uglotries">GLO!#REF!</definedName>
    <definedName name="Maudeloupts">LOU!$F$25</definedName>
    <definedName name="Maudeloutries">LOU!$B$25</definedName>
    <definedName name="Maunder_Sexepts">EXE!$F$22</definedName>
    <definedName name="Maunder_Sexetries">EXE!$B$22</definedName>
    <definedName name="Maunderexepts">EXE!$F$21</definedName>
    <definedName name="Maunderexetries">EXE!$B$21</definedName>
    <definedName name="Mawisarptscorrect">SAR!$F$34</definedName>
    <definedName name="Mawisartriescorrect">SAR!$B$34</definedName>
    <definedName name="Mayglopts">GLO!#REF!</definedName>
    <definedName name="Mayhewharpts">HAR!$F$35</definedName>
    <definedName name="Mayhewhartries">HAR!$B$35</definedName>
    <definedName name="Mayhewlipts">BRI!$F$42</definedName>
    <definedName name="Mayhewlitries">BRI!$B$42</definedName>
    <definedName name="Mayhewrichardpts">#REF!</definedName>
    <definedName name="Mayhewrichardtries">#REF!</definedName>
    <definedName name="Mayleicpts">#REF!</definedName>
    <definedName name="Mayleictries">#REF!</definedName>
    <definedName name="Maypts">GLO!#REF!</definedName>
    <definedName name="Maytompts">#REF!</definedName>
    <definedName name="Maytomtries">#REF!</definedName>
    <definedName name="Maytris">GLO!#REF!</definedName>
    <definedName name="McAllisterglopts">GLO!#REF!</definedName>
    <definedName name="McAllisterglotries">GLO!#REF!</definedName>
    <definedName name="McBrienleicpts">LEI!$F$27</definedName>
    <definedName name="McBrienleictris">LEI!$B$27</definedName>
    <definedName name="McCabebripts">BRI!#REF!</definedName>
    <definedName name="McCabebritrie">BRI!#REF!</definedName>
    <definedName name="McCaffreywelshpts">#REF!</definedName>
    <definedName name="McCaffreywelshtries">#REF!</definedName>
    <definedName name="McCarthyglopts">GLO!#REF!</definedName>
    <definedName name="McCarthyglotries">GLO!#REF!</definedName>
    <definedName name="McCauleyexepts">EXE!#REF!</definedName>
    <definedName name="McCauleyexetries">EXE!#REF!</definedName>
    <definedName name="McCollgloptsd">GLO!#REF!</definedName>
    <definedName name="McCollglotries">GLO!#REF!</definedName>
    <definedName name="McConnochiebthpts">#REF!</definedName>
    <definedName name="McConnochiebthtries">#REF!</definedName>
    <definedName name="McCuskerlirpts">BRI!#REF!</definedName>
    <definedName name="McCuskerlirtries">BRI!#REF!</definedName>
    <definedName name="McFarlandsarptscorrect">SAR!#REF!</definedName>
    <definedName name="McFarlandsartriescorrect">SAR!#REF!</definedName>
    <definedName name="McGhieleipts">LEI!#REF!</definedName>
    <definedName name="McGhieleitries">LEI!#REF!</definedName>
    <definedName name="McGhietfwpts">TFW!$F$32</definedName>
    <definedName name="McGhietfwtries">TFW!$B$32</definedName>
    <definedName name="McGuiganexepts">EXE!#REF!</definedName>
    <definedName name="McGuiganexetries">EXE!#REF!</definedName>
    <definedName name="McGuiganglopts">GLO!$F$24</definedName>
    <definedName name="McGuiganglotries">GLO!$B$24</definedName>
    <definedName name="McGuigannewpts">#REF!</definedName>
    <definedName name="McGuigannewtries">#REF!</definedName>
    <definedName name="McGuiganpts">#REF!</definedName>
    <definedName name="mcguigansalatt">#REF!</definedName>
    <definedName name="McGuigansalgoals">#REF!</definedName>
    <definedName name="McGuigansalpts">#REF!</definedName>
    <definedName name="McGuigansaltries">#REF!</definedName>
    <definedName name="McGuigantries">#REF!</definedName>
    <definedName name="mcintoshharpts">HAR!$G$36</definedName>
    <definedName name="McIntoshharptscorrect">HAR!$F$36</definedName>
    <definedName name="mcIntoshhartries">HAR!$B$36</definedName>
    <definedName name="McIntyresalpts">#REF!</definedName>
    <definedName name="McIntyresaltries">#REF!</definedName>
    <definedName name="McIntyresimonpts">#REF!</definedName>
    <definedName name="McIntyresimontries">#REF!</definedName>
    <definedName name="McIntyrewastries">#REF!</definedName>
    <definedName name="mckennasaryratt">SAR!$K$9</definedName>
    <definedName name="McKennasaryrgls">SAR!$J$9</definedName>
    <definedName name="mckennasaryrpts">SAR!$K$9</definedName>
    <definedName name="McKenziefraserpts">#REF!</definedName>
    <definedName name="McKenziefrasertries">#REF!</definedName>
    <definedName name="mckibbinliratt">BRI!#REF!</definedName>
    <definedName name="mckibbinlirattcorrect">BRI!#REF!</definedName>
    <definedName name="mckibbinlirgls">BRI!#REF!</definedName>
    <definedName name="mckibbinlirgoals">BRI!#REF!</definedName>
    <definedName name="McKibbinlirgoalscorrect">BRI!#REF!</definedName>
    <definedName name="mckibbinlirishatt">BRI!#REF!</definedName>
    <definedName name="McKibbinlirpts">BRI!#REF!</definedName>
    <definedName name="McKibbinlirtries">BRI!#REF!</definedName>
    <definedName name="McLeanlirpts">BRI!#REF!</definedName>
    <definedName name="McLeanlirtries">BRI!#REF!</definedName>
    <definedName name="mcleansalatt">#REF!</definedName>
    <definedName name="mcleansalgoals">#REF!</definedName>
    <definedName name="McLeansalpts">#REF!</definedName>
    <definedName name="McLeansaltries">#REF!</definedName>
    <definedName name="Mcmillanlirpts">#REF!</definedName>
    <definedName name="Mcmillanlirtries">#REF!</definedName>
    <definedName name="McMillannorpts">#REF!</definedName>
    <definedName name="McMillannortries">#REF!</definedName>
    <definedName name="McNallybthpts">#REF!</definedName>
    <definedName name="McNallybthtries">#REF!</definedName>
    <definedName name="McNallyjoshpts">#REF!</definedName>
    <definedName name="McNallyjoshtries">#REF!</definedName>
    <definedName name="McNallylirpts">BRI!$F$41</definedName>
    <definedName name="McNallylirtries">BRI!$B$41</definedName>
    <definedName name="McNultyharpts">#REF!</definedName>
    <definedName name="McNultyhartries">#REF!</definedName>
    <definedName name="Mcphilipsleipts">#REF!</definedName>
    <definedName name="Mcphilipsleitries">#REF!</definedName>
    <definedName name="McQuadetfwpts">TFW!$F$33</definedName>
    <definedName name="McQuadeTFWTRIES">TFW!$B$33</definedName>
    <definedName name="Meakesglopts">GLO!#REF!</definedName>
    <definedName name="Meakesglotries">GLO!#REF!</definedName>
    <definedName name="Meehanglopts">GLO!$F$25</definedName>
    <definedName name="Meehanglotries">GLO!$B$25</definedName>
    <definedName name="Mehsonwaspts">#REF!</definedName>
    <definedName name="Mehsonwastries">#REF!</definedName>
    <definedName name="Melcksarpts">#REF!</definedName>
    <definedName name="Melcksartries">#REF!</definedName>
    <definedName name="meleatt">#REF!</definedName>
    <definedName name="Meledavidpts">#REF!</definedName>
    <definedName name="Meledavidptscorrect">#REF!</definedName>
    <definedName name="Meledavidtries">#REF!</definedName>
    <definedName name="Meledaviestries">#REF!</definedName>
    <definedName name="melegoals">#REF!</definedName>
    <definedName name="Meleleipts">#REF!</definedName>
    <definedName name="Melepts">#REF!</definedName>
    <definedName name="meletries">#REF!</definedName>
    <definedName name="Meletriescorrect">#REF!</definedName>
    <definedName name="Meletriesthisiscorrect">#REF!</definedName>
    <definedName name="Mercer_Gbthpts">#REF!</definedName>
    <definedName name="Mercer_Gbthtries">#REF!</definedName>
    <definedName name="Mercerbatpts">#REF!</definedName>
    <definedName name="Mercerbattries">#REF!</definedName>
    <definedName name="Mercerguypts">#REF!</definedName>
    <definedName name="Mercerguyptscorrect">#REF!</definedName>
    <definedName name="Mercerpts">#REF!</definedName>
    <definedName name="Mercertries">#REF!</definedName>
    <definedName name="Mercertriescorrect">#REF!</definedName>
    <definedName name="Merceynorpts">#REF!</definedName>
    <definedName name="Merceynortries">#REF!</definedName>
    <definedName name="meredithleiatt">#REF!</definedName>
    <definedName name="meredithleigls">#REF!</definedName>
    <definedName name="Meredithleipts">#REF!</definedName>
    <definedName name="Meredithleitries">#REF!</definedName>
    <definedName name="Mermozleicpts">#REF!</definedName>
    <definedName name="Mermozleictries">#REF!</definedName>
    <definedName name="Mermoznewpts">#REF!</definedName>
    <definedName name="Mermoznewtries">#REF!</definedName>
    <definedName name="Merrickharpts">#REF!</definedName>
    <definedName name="Merrickhartries">#REF!</definedName>
    <definedName name="Merricknewpts">#REF!</definedName>
    <definedName name="Merricknewtries">#REF!</definedName>
    <definedName name="Metatfwpts">TFW!$F$34</definedName>
    <definedName name="Metatfwtries">TFW!$B$34</definedName>
    <definedName name="Meullerharpts">HAR!$F$37</definedName>
    <definedName name="Meullerhartries">HAR!$B$37</definedName>
    <definedName name="Meullerloupts">LOU!#REF!</definedName>
    <definedName name="Meullerloutries">LOU!#REF!</definedName>
    <definedName name="mieresatt">#REF!</definedName>
    <definedName name="mieresgoals">#REF!</definedName>
    <definedName name="Mierespts">#REF!</definedName>
    <definedName name="mierestries">#REF!</definedName>
    <definedName name="mikepts">#REF!</definedName>
    <definedName name="Milasinovichworpts">#REF!</definedName>
    <definedName name="Milasinovichwortries">#REF!</definedName>
    <definedName name="Millar_Millsexepts">EXE!#REF!</definedName>
    <definedName name="Millar_Millsexetries">EXE!#REF!</definedName>
    <definedName name="Millar_Millsharpts">HAR!$F$38</definedName>
    <definedName name="Millar_Millshartries">HAR!$B$38</definedName>
    <definedName name="Millerrobpts">#REF!</definedName>
    <definedName name="Millerrobtries">#REF!</definedName>
    <definedName name="millersalatt">#REF!</definedName>
    <definedName name="millersalgoals">#REF!</definedName>
    <definedName name="millerwasatt">#REF!</definedName>
    <definedName name="millerwasgoals">#REF!</definedName>
    <definedName name="Millerwaspts">#REF!</definedName>
    <definedName name="Millerwastries">#REF!</definedName>
    <definedName name="Millerworpts">#REF!</definedName>
    <definedName name="Millerwortries">#REF!</definedName>
    <definedName name="Millsjonathanpts">#REF!</definedName>
    <definedName name="Millsjonathantries">#REF!</definedName>
    <definedName name="millsworatt">#REF!</definedName>
    <definedName name="millsworgoals">#REF!</definedName>
    <definedName name="Mitchellnorpts">#REF!</definedName>
    <definedName name="Mitchellnortries">#REF!</definedName>
    <definedName name="mitchellsalatt">#REF!</definedName>
    <definedName name="Mitchellsalgoals">#REF!</definedName>
    <definedName name="Mitchellsalpts">#REF!</definedName>
    <definedName name="Mitchellsaltries">#REF!</definedName>
    <definedName name="Moatesjacktries">#REF!</definedName>
    <definedName name="Moatespts">#REF!</definedName>
    <definedName name="Moatestries">#REF!</definedName>
    <definedName name="Moateswaspts">#REF!</definedName>
    <definedName name="Moateswastries">#REF!</definedName>
    <definedName name="Molenaartimpts">#REF!</definedName>
    <definedName name="Molenaartimtries">#REF!</definedName>
    <definedName name="Molenaarwelpts">#REF!</definedName>
    <definedName name="Molenaarweltries">#REF!</definedName>
    <definedName name="Moloney_MacDonald_Claudiaexepts">EXE!$F$23</definedName>
    <definedName name="Moloney_MacDonald_Claudiaexetries">EXE!$B$23</definedName>
    <definedName name="Monahanshanepts">GLO!#REF!</definedName>
    <definedName name="Monahanshanetries">GLO!#REF!</definedName>
    <definedName name="Montgomerynewpts">#REF!</definedName>
    <definedName name="Montgomerynewtries">#REF!</definedName>
    <definedName name="Montgomeryworpts">#REF!</definedName>
    <definedName name="Montgomerywortries">#REF!</definedName>
    <definedName name="Montoyaleicpts">#REF!</definedName>
    <definedName name="Montoyaleictries">#REF!</definedName>
    <definedName name="Monyeugopts">#REF!</definedName>
    <definedName name="Monyeugotries">#REF!</definedName>
    <definedName name="Moon_Anortries">#REF!</definedName>
    <definedName name="Moonnorpts">#REF!</definedName>
    <definedName name="Mooresalpts">#REF!</definedName>
    <definedName name="Mooresaltries">#REF!</definedName>
    <definedName name="Mooresarpts">SAR!$F$37</definedName>
    <definedName name="Mooresartries">SAR!$B$37</definedName>
    <definedName name="Mooretfwpts">TFW!$F$35</definedName>
    <definedName name="Mooretfwtries">TFW!$B$35</definedName>
    <definedName name="Moorewaspts">#REF!</definedName>
    <definedName name="Moorewastries">#REF!</definedName>
    <definedName name="Mordtnilspts">#REF!</definedName>
    <definedName name="mordtsaratt">#REF!</definedName>
    <definedName name="mordtsargoals">#REF!</definedName>
    <definedName name="Mordtsartries">#REF!</definedName>
    <definedName name="Morgan_Aglopts">GLO!#REF!</definedName>
    <definedName name="Morgan_Aglotries">GLO!#REF!</definedName>
    <definedName name="Morganbenpts">GLO!#REF!</definedName>
    <definedName name="Morganbentries">GLO!#REF!</definedName>
    <definedName name="Moriartyglopts">GLO!$F$27</definedName>
    <definedName name="Moriartyglotries">GLO!$B$27</definedName>
    <definedName name="morleyexeatt">EXE!#REF!</definedName>
    <definedName name="Morleyexegls">EXE!#REF!</definedName>
    <definedName name="Moronileicpts">#REF!</definedName>
    <definedName name="Moronileictries">#REF!</definedName>
    <definedName name="Morrallloupts">LOU!#REF!</definedName>
    <definedName name="Morralllouptscorrect">LOU!$F$26</definedName>
    <definedName name="Morrallloutries">LOU!#REF!</definedName>
    <definedName name="Morrallloutriescorrect">LOU!$B$26</definedName>
    <definedName name="Morrisbenwasgtries">#REF!</definedName>
    <definedName name="Morrisbenwaspts">#REF!</definedName>
    <definedName name="Morrisglopts">GLO!$F$26</definedName>
    <definedName name="Morrisglotries">GLO!$B$26</definedName>
    <definedName name="Morrisharpts">#REF!</definedName>
    <definedName name="Morrishartries">#REF!</definedName>
    <definedName name="morrisjgloatt">GLO!$K$7</definedName>
    <definedName name="Morrisjglogls">GLO!$J$7</definedName>
    <definedName name="Morrisjglopts">GLO!#REF!</definedName>
    <definedName name="Morrisjglotries">GLO!#REF!</definedName>
    <definedName name="Morrislwepts">#REF!</definedName>
    <definedName name="Morrislwetries">#REF!</definedName>
    <definedName name="Morrisniallpts">#REF!</definedName>
    <definedName name="Morrisnialltries">#REF!</definedName>
    <definedName name="Morrissarptscorrect">SAR!$F$39</definedName>
    <definedName name="Morrissartriescorrect">SAR!$B$39</definedName>
    <definedName name="Morriswaspts">#REF!</definedName>
    <definedName name="Morriswastries">#REF!</definedName>
    <definedName name="Morrisworpts">#REF!</definedName>
    <definedName name="Morriswortries">#REF!</definedName>
    <definedName name="Mortonsalpts">#REF!</definedName>
    <definedName name="Mortonsaltries">#REF!</definedName>
    <definedName name="Mossharpts">HAR!$F$39</definedName>
    <definedName name="Mosshartries">HAR!$B$39</definedName>
    <definedName name="Mudarikiworpts">#REF!</definedName>
    <definedName name="Mudarikiwortries">#REF!</definedName>
    <definedName name="Mugfordsalpts">#REF!</definedName>
    <definedName name="Mugfordsaltries">#REF!</definedName>
    <definedName name="Muirbthpts">#REF!</definedName>
    <definedName name="Muirbthtries">#REF!</definedName>
    <definedName name="Mujatisalpts">#REF!</definedName>
    <definedName name="Mujatisalptscorrect">#REF!</definedName>
    <definedName name="Mujatisaltries">#REF!</definedName>
    <definedName name="Mulchroneharpts">#REF!</definedName>
    <definedName name="Mulchronehartries">#REF!</definedName>
    <definedName name="Mulchronelipts">BRI!$F$43</definedName>
    <definedName name="MulchronelirtriesCORRECT">BRI!$B$43</definedName>
    <definedName name="Mulchronelitries">BRI!$B$43</definedName>
    <definedName name="Mulchronepts">BRI!#REF!</definedName>
    <definedName name="Mulchronetries">BRI!#REF!</definedName>
    <definedName name="Muldowneybripts">BRI!$F$42</definedName>
    <definedName name="Muldowneybritries">BRI!$B$42</definedName>
    <definedName name="mulipolaleicatt">#REF!</definedName>
    <definedName name="Mulipolaleicgls">#REF!</definedName>
    <definedName name="Mulipolaleipts">#REF!</definedName>
    <definedName name="Mulipolaleitries">#REF!</definedName>
    <definedName name="Mulipolanewpts">#REF!</definedName>
    <definedName name="Mulipolanewtries">#REF!</definedName>
    <definedName name="Mulipolapts">#REF!</definedName>
    <definedName name="Mulipolatries">#REF!</definedName>
    <definedName name="Mullanpts">#REF!</definedName>
    <definedName name="Mullantries">#REF!</definedName>
    <definedName name="Mullanwaspts">#REF!</definedName>
    <definedName name="Mullanwastries">#REF!</definedName>
    <definedName name="Mullenharptss">HAR!$F$40</definedName>
    <definedName name="Mullenhartries">HAR!$B$40</definedName>
    <definedName name="Mullennewpts">#REF!</definedName>
    <definedName name="Mullennewtries">#REF!</definedName>
    <definedName name="MullisGLOPTS">GLO!#REF!</definedName>
    <definedName name="MullisGLOTRIES">GLO!#REF!</definedName>
    <definedName name="Mummpts">EXE!$F$24</definedName>
    <definedName name="mummtries">EXE!$B$24</definedName>
    <definedName name="mundyleiatt">LEI!#REF!</definedName>
    <definedName name="Mundyleigls">LEI!#REF!</definedName>
    <definedName name="Mundyleipts">LEI!$F$28</definedName>
    <definedName name="Mundyleitries">LEI!$B$28</definedName>
    <definedName name="MunsterPts">[1]MUN!$F$55</definedName>
    <definedName name="MunsterTries">[1]MUN!$B$55</definedName>
    <definedName name="Murleyharpts">#REF!</definedName>
    <definedName name="Murleyhartries">#REF!</definedName>
    <definedName name="Murphydanpts">GLO!#REF!</definedName>
    <definedName name="Murphydantries">GLO!#REF!</definedName>
    <definedName name="Murphyharpts">#REF!</definedName>
    <definedName name="Murphyhartries">#REF!</definedName>
    <definedName name="Murrayharpts">#REF!</definedName>
    <definedName name="Murrayhartries">#REF!</definedName>
    <definedName name="Musgrovetfrpts">TFW!$F$36</definedName>
    <definedName name="Musgrovetfrtries">TFW!$B$36</definedName>
    <definedName name="Muskharpts">#REF!</definedName>
    <definedName name="Muskhartries">#REF!</definedName>
    <definedName name="Myallpts">#REF!</definedName>
    <definedName name="Myalltries">#REF!</definedName>
    <definedName name="myleratt">#REF!</definedName>
    <definedName name="mylergoals">#REF!</definedName>
    <definedName name="Mylerlirpts">#REF!</definedName>
    <definedName name="Mylerlirtries">#REF!</definedName>
    <definedName name="Mylernorpts">#REF!</definedName>
    <definedName name="Mylerpts">#REF!</definedName>
    <definedName name="Mylerstephentries">#REF!</definedName>
    <definedName name="Nagusanewpts">#REF!</definedName>
    <definedName name="Nagusanewtries">#REF!</definedName>
    <definedName name="Nahololirpts">#REF!</definedName>
    <definedName name="Nahololirtries">#REF!</definedName>
    <definedName name="Naiyaravoronorpts">#REF!</definedName>
    <definedName name="Naiyaravoronortries">#REF!</definedName>
    <definedName name="Nanaiworpts">#REF!</definedName>
    <definedName name="Nanaiwortries">#REF!</definedName>
    <definedName name="Naoupuharpts">#REF!</definedName>
    <definedName name="Naoupuhartries">#REF!</definedName>
    <definedName name="Naqelevukisirelipts">EXE!#REF!</definedName>
    <definedName name="Naqelevukisirelitries">EXE!#REF!</definedName>
    <definedName name="Narrawaylipts">BRI!#REF!</definedName>
    <definedName name="Naysarpts">#REF!</definedName>
    <definedName name="Naysartries">#REF!</definedName>
    <definedName name="Nealwaspts">#REF!</definedName>
    <definedName name="Nealwastries">#REF!</definedName>
    <definedName name="Neildsalpts">#REF!</definedName>
    <definedName name="Neildsaltries">#REF!</definedName>
    <definedName name="Nellerharpts">HAR!$F$41</definedName>
    <definedName name="Nellerhartries">HAR!$B$41</definedName>
    <definedName name="nelsonlouatt">LOU!$K$7</definedName>
    <definedName name="Nelsonlougls">LOU!$J$7</definedName>
    <definedName name="Nelsonloupts">LOU!$F$27</definedName>
    <definedName name="Nelsonloutries">LOU!$B$27</definedName>
    <definedName name="Nelsonnewpts">#REF!</definedName>
    <definedName name="Nelsonnewtries">#REF!</definedName>
    <definedName name="Nemsadzebstpts">BRI!#REF!</definedName>
    <definedName name="Nemsadzebsttries">BRI!#REF!</definedName>
    <definedName name="Neumannharpts">HAR!$F$42</definedName>
    <definedName name="Neumannhartries">HAR!$B$42</definedName>
    <definedName name="newcastlepenaltytriespts">#REF!</definedName>
    <definedName name="newcastlepenaltytriestries">#REF!</definedName>
    <definedName name="Nicholasleiatt">LEI!$K$6</definedName>
    <definedName name="Nicholasleigls">LEI!$J$6</definedName>
    <definedName name="Nicholasleipts">LEI!$F$29</definedName>
    <definedName name="Nicholasleitries">LEI!$B$29</definedName>
    <definedName name="nigrellibriatt">BRI!#REF!</definedName>
    <definedName name="Nigrellibrigls">BRI!#REF!</definedName>
    <definedName name="Nigrelliexeatt">EXE!$K$7</definedName>
    <definedName name="Nigrelliexegls">EXE!$J$7</definedName>
    <definedName name="Nixonexepts">EXE!#REF!</definedName>
    <definedName name="Nixonexetries">EXE!#REF!</definedName>
    <definedName name="noakesliatt">BRI!#REF!</definedName>
    <definedName name="noakesligoals">BRI!#REF!</definedName>
    <definedName name="Noakeslipts">BRI!#REF!</definedName>
    <definedName name="Noakeslitries">BRI!#REF!</definedName>
    <definedName name="Noguerabthpts">#REF!</definedName>
    <definedName name="Noguerabthtries">#REF!</definedName>
    <definedName name="Noonemichaelpts">#REF!</definedName>
    <definedName name="Noonemichaeltries">#REF!</definedName>
    <definedName name="Noreyexepts">EXE!$F$25</definedName>
    <definedName name="Noreyexetries">EXE!$B$25</definedName>
    <definedName name="NorthamptonPts">#REF!</definedName>
    <definedName name="NorthamptonTries">#REF!</definedName>
    <definedName name="Northcote_Greenbthpts">#REF!</definedName>
    <definedName name="Northcote_Greenbthtries">#REF!</definedName>
    <definedName name="Northmoreharpts">#REF!</definedName>
    <definedName name="Northmorehartries">#REF!</definedName>
    <definedName name="Northnorpts">#REF!</definedName>
    <definedName name="Northnortries">#REF!</definedName>
    <definedName name="Northpts">#REF!</definedName>
    <definedName name="Northtries">#REF!</definedName>
    <definedName name="Nortonlirpts">#REF!</definedName>
    <definedName name="Nortonlirtries">#REF!</definedName>
    <definedName name="Nottlirpts">#REF!</definedName>
    <definedName name="Nottlirtries">#REF!</definedName>
    <definedName name="Nottsalpts">#REF!</definedName>
    <definedName name="Nottsaltries">#REF!</definedName>
    <definedName name="Nowellexepts">EXE!#REF!</definedName>
    <definedName name="Nowellexetries">EXE!#REF!</definedName>
    <definedName name="Nutleybenpts">#REF!</definedName>
    <definedName name="Nutleybentries">#REF!</definedName>
    <definedName name="Nyeexepts">EXE!$F$26</definedName>
    <definedName name="Nyeexetries">EXE!$B$26</definedName>
    <definedName name="O_Brienexepts">EXE!$F$27</definedName>
    <definedName name="O_Brienexetries">EXE!$B$27</definedName>
    <definedName name="O_Connorjamespts">BRI!#REF!</definedName>
    <definedName name="O_Connorptssal">#REF!</definedName>
    <definedName name="O_Connortriessal">#REF!</definedName>
    <definedName name="O_Connorwaspts">#REF!</definedName>
    <definedName name="O_Connorwastries">#REF!</definedName>
    <definedName name="O_Donnellloupts">LOU!#REF!</definedName>
    <definedName name="O_Donnellloutries">LOU!#REF!</definedName>
    <definedName name="O_Donnellrobpts">#REF!</definedName>
    <definedName name="O_Donnellrobptscorrect">#REF!</definedName>
    <definedName name="O_Donnellrobtries">#REF!</definedName>
    <definedName name="O_Learylipts">BRI!#REF!</definedName>
    <definedName name="O_Learylitries">BRI!#REF!</definedName>
    <definedName name="O_Sullivanlirpts">#REF!</definedName>
    <definedName name="O_Sullivanlirtries">#REF!</definedName>
    <definedName name="O_Sullivanwaspts">#REF!</definedName>
    <definedName name="O_Sullivanwastries">#REF!</definedName>
    <definedName name="Obanobthpts">#REF!</definedName>
    <definedName name="Obanobthtries">#REF!</definedName>
    <definedName name="Obatoyinbonewpts">#REF!</definedName>
    <definedName name="Obatoyinbonewtries">#REF!</definedName>
    <definedName name="Obatoyinbosarptscorrect">SAR!#REF!</definedName>
    <definedName name="Obatoyinbosartriescorrect">SAR!#REF!</definedName>
    <definedName name="Obatoysarpts">#REF!</definedName>
    <definedName name="Obatoysartries">#REF!</definedName>
    <definedName name="Obonnanewpts">#REF!</definedName>
    <definedName name="Obonnanewtries">#REF!</definedName>
    <definedName name="oconnoratt">BRI!#REF!</definedName>
    <definedName name="oconnorgoals">BRI!#REF!</definedName>
    <definedName name="OConnorjamestries">BRI!#REF!</definedName>
    <definedName name="Odendaalwaspts">#REF!</definedName>
    <definedName name="Odendaalwastries">#REF!</definedName>
    <definedName name="Odogwusalpts">#REF!</definedName>
    <definedName name="Odogwusaltries">#REF!</definedName>
    <definedName name="Odogwuwaspts">#REF!</definedName>
    <definedName name="Odogwuwastries">#REF!</definedName>
    <definedName name="OjomohBTHPTS">#REF!</definedName>
    <definedName name="OjomohBTHTRIES">#REF!</definedName>
    <definedName name="Ojotopsypts">BRI!#REF!</definedName>
    <definedName name="Ojotopsytries">BRI!#REF!</definedName>
    <definedName name="Olowofela_Jleicpts">#REF!</definedName>
    <definedName name="Olowofela_Jleictries">#REF!</definedName>
    <definedName name="olvernoratt">#REF!</definedName>
    <definedName name="olvernorgoals">#REF!</definedName>
    <definedName name="Olvernorpts">#REF!</definedName>
    <definedName name="Olvernortries">#REF!</definedName>
    <definedName name="Olvernortriescorrect">#REF!</definedName>
    <definedName name="olverworatt">#REF!</definedName>
    <definedName name="Olverworgls">#REF!</definedName>
    <definedName name="Olverworpts">#REF!</definedName>
    <definedName name="Olverwortries">#REF!</definedName>
    <definedName name="Omokhualeleipts">LEI!#REF!</definedName>
    <definedName name="Omokhualeleitries">LEI!#REF!</definedName>
    <definedName name="Oresanyaharpts">#REF!</definedName>
    <definedName name="Oresanyahartries">#REF!</definedName>
    <definedName name="Orlandibatpts">#REF!</definedName>
    <definedName name="Orlandibattries">#REF!</definedName>
    <definedName name="Orrglopts">GLO!#REF!</definedName>
    <definedName name="Orrglotries">GLO!#REF!</definedName>
    <definedName name="Ortizsalpts">SAL!$F$34</definedName>
    <definedName name="Ortizsaltries">SAL!$B$34</definedName>
    <definedName name="Osborneharpts">#REF!</definedName>
    <definedName name="Osbornehartries">#REF!</definedName>
    <definedName name="OspreysPts">[1]OSP!$F$50</definedName>
    <definedName name="OspreysTries">[1]OSP!$B$50</definedName>
    <definedName name="Ostrikovandreipts">#REF!</definedName>
    <definedName name="Ostrikovandreitries">#REF!</definedName>
    <definedName name="OStrikovsalpts">#REF!</definedName>
    <definedName name="Ovensjoshpts">#REF!</definedName>
    <definedName name="Ovensjoshtries">#REF!</definedName>
    <definedName name="Owenleicpts">#REF!</definedName>
    <definedName name="Owenleictries">#REF!</definedName>
    <definedName name="Owennewptscorrect">#REF!</definedName>
    <definedName name="Owennewtriescorrect">#REF!</definedName>
    <definedName name="Packerharpts">HAR!$F$43</definedName>
    <definedName name="Packerhartries">HAR!$B$43</definedName>
    <definedName name="Packmanhowardpts">#REF!</definedName>
    <definedName name="Packmanhowardtries">#REF!</definedName>
    <definedName name="PaiceDavidpts">BRI!#REF!</definedName>
    <definedName name="PaiceDavidptts">BRI!#REF!</definedName>
    <definedName name="Painternorpts">#REF!</definedName>
    <definedName name="Painternortries">#REF!</definedName>
    <definedName name="Palamobrispts">BRI!$F$47</definedName>
    <definedName name="Palamobristries">BRI!$B$47</definedName>
    <definedName name="Palframanworpts">#REF!</definedName>
    <definedName name="Palframanwortries">#REF!</definedName>
    <definedName name="Palma_Newportpts">#REF!</definedName>
    <definedName name="palmanewporttries">#REF!</definedName>
    <definedName name="Palmerglopts">GLO!#REF!</definedName>
    <definedName name="Palmerglotries">GLO!#REF!</definedName>
    <definedName name="Palmerpts">#REF!</definedName>
    <definedName name="palmertomtries">#REF!</definedName>
    <definedName name="Parlingexepts">EXE!#REF!</definedName>
    <definedName name="Parlingexetries">EXE!#REF!</definedName>
    <definedName name="Parlinggeoffexepts">EXE!#REF!</definedName>
    <definedName name="Parlingleipts">#REF!</definedName>
    <definedName name="Parlingleitries">#REF!</definedName>
    <definedName name="Parrmattpts">BRI!#REF!</definedName>
    <definedName name="Parrmatttries">BRI!#REF!</definedName>
    <definedName name="Parryharpts">HAR!$F$44</definedName>
    <definedName name="Parryhartries">HAR!$B$44</definedName>
    <definedName name="Pasqualileipts">#REF!</definedName>
    <definedName name="Pasqualileitries">#REF!</definedName>
    <definedName name="Patersonmichaelpts">#REF!</definedName>
    <definedName name="Patersonmichaeltries">#REF!</definedName>
    <definedName name="Patersonnorpts">#REF!</definedName>
    <definedName name="Patersonnortries">#REF!</definedName>
    <definedName name="Paulolirpts">BRI!#REF!</definedName>
    <definedName name="paulolirtries">BRI!#REF!</definedName>
    <definedName name="Pearceleipts">#REF!</definedName>
    <definedName name="Pearceleitries">#REF!</definedName>
    <definedName name="Pearcesalpts">#REF!</definedName>
    <definedName name="Pearcesaltries">#REF!</definedName>
    <definedName name="Pearsonexepts">EXE!#REF!</definedName>
    <definedName name="Pearsonexetries">EXE!#REF!</definedName>
    <definedName name="Pearsonlirpts">#REF!</definedName>
    <definedName name="Pearsonlirtries">#REF!</definedName>
    <definedName name="Peeldwaynepts">#REF!</definedName>
    <definedName name="Peeldwaynetries">#REF!</definedName>
    <definedName name="Peeldwaynetriescorrect">#REF!</definedName>
    <definedName name="penaharatt">HAR!$K$6</definedName>
    <definedName name="Penahargls">HAR!$J$6</definedName>
    <definedName name="Penaharpts">HAR!$F$45</definedName>
    <definedName name="Penahartries">HAR!$B$45</definedName>
    <definedName name="Penalty_Triesbath">#REF!</definedName>
    <definedName name="Penalty_Triesbripts">BRI!$F$44</definedName>
    <definedName name="Penalty_Triesbritries">BRI!$B$44</definedName>
    <definedName name="Penalty_Triesexepts">EXE!$F$28</definedName>
    <definedName name="Penalty_Triesexetries">EXE!$B$28</definedName>
    <definedName name="Penalty_Triesglopts">GLO!#REF!</definedName>
    <definedName name="Penalty_Triesglotries">GLO!#REF!</definedName>
    <definedName name="Penalty_Triesharpts">#REF!</definedName>
    <definedName name="Penalty_Triesharptscorrect">HAR!$F$46</definedName>
    <definedName name="Penalty_Trieshartries">#REF!</definedName>
    <definedName name="Penalty_Trieshartriescorerct">HAR!$B$46</definedName>
    <definedName name="Penalty_Triesleipts">LEI!$F$30</definedName>
    <definedName name="Penalty_Triesleitries">LEI!$B$30</definedName>
    <definedName name="Penalty_Triesloupts">LOU!$F$28</definedName>
    <definedName name="Penalty_Triesloutries">LOU!$B$28</definedName>
    <definedName name="Penalty_Triesnewpts">#REF!</definedName>
    <definedName name="Penalty_Triesnewptscorrect">#REF!</definedName>
    <definedName name="Penalty_Triesnewtries">#REF!</definedName>
    <definedName name="Penalty_Triesnewtriescorrect">#REF!</definedName>
    <definedName name="Penalty_Triessaintspts">#REF!</definedName>
    <definedName name="Penalty_Triessaintstries">#REF!</definedName>
    <definedName name="Penalty_Triessalpts">#REF!</definedName>
    <definedName name="Penalty_Triessalptscorrect">SAL!$F$35</definedName>
    <definedName name="Penalty_Triessaltries">#REF!</definedName>
    <definedName name="Penalty_Triessaltriescorrect">SAL!$B$35</definedName>
    <definedName name="Penalty_Triessarpts">#REF!</definedName>
    <definedName name="Penalty_Triessarptscorrect">SAR!#REF!</definedName>
    <definedName name="Penalty_Triessartries">#REF!</definedName>
    <definedName name="Penalty_Triessartriescorrect">SAR!#REF!</definedName>
    <definedName name="Penalty_Triessarwomentries">SAR!$B$45</definedName>
    <definedName name="Penalty_Triestfrpts">TFW!$F$37</definedName>
    <definedName name="Penalty_Triestfrtries">TFW!$B$37</definedName>
    <definedName name="Penalty_Trieswaspts">#REF!</definedName>
    <definedName name="Penalty_Trieswastries">#REF!</definedName>
    <definedName name="Penalty_Triesworpts">#REF!</definedName>
    <definedName name="Penalty_Trieswortries">#REF!</definedName>
    <definedName name="penaltytriessarwomenpts">SAR!$F$45</definedName>
    <definedName name="pennellchrisatt">#REF!</definedName>
    <definedName name="Pennellchrisgoals">#REF!</definedName>
    <definedName name="Pennellchrispts">#REF!</definedName>
    <definedName name="Pennellchristries">#REF!</definedName>
    <definedName name="pennellworatt">#REF!</definedName>
    <definedName name="Pennellworgls">#REF!</definedName>
    <definedName name="Pennynewtries">#REF!</definedName>
    <definedName name="Pennytnewpts">#REF!</definedName>
    <definedName name="Pennytnewtries">#REF!</definedName>
    <definedName name="Peppernewpts">#REF!</definedName>
    <definedName name="Peppernewtries">#REF!</definedName>
    <definedName name="Pereniseanthonypts">#REF!</definedName>
    <definedName name="Perenisebthpts">#REF!</definedName>
    <definedName name="Perenisebthtries">#REF!</definedName>
    <definedName name="perenisepts">#REF!</definedName>
    <definedName name="Pereniseptscorrect">#REF!</definedName>
    <definedName name="perenisetries">#REF!</definedName>
    <definedName name="Perenisetriescorrect">#REF!</definedName>
    <definedName name="Perkinssarpts">#REF!</definedName>
    <definedName name="Perkinssartries">#REF!</definedName>
    <definedName name="Perrinsalpts">SAL!$F$36</definedName>
    <definedName name="Perrinsaltries">SAL!$B$36</definedName>
    <definedName name="Perris_Redding_Gsalpts">SAL!$F$37</definedName>
    <definedName name="Perris_Redding_Gsaltries">SAL!$B$37</definedName>
    <definedName name="Perryglopts">GLO!$F$38</definedName>
    <definedName name="Perrygloptscorrect">GLO!$F$36</definedName>
    <definedName name="Perryglotries">GLO!$B$38</definedName>
    <definedName name="Perryglotriescorrect">GLO!$B$36</definedName>
    <definedName name="Petersnewpts">#REF!</definedName>
    <definedName name="Petersnewtries">#REF!</definedName>
    <definedName name="Phibbslipts">BRI!#REF!</definedName>
    <definedName name="Phibbslitries">BRI!#REF!</definedName>
    <definedName name="Phillipsbthpts">#REF!</definedName>
    <definedName name="Phillipsbthtries">#REF!</definedName>
    <definedName name="Phillipsharpts">HAR!$F$47</definedName>
    <definedName name="Phillipshartries">HAR!$B$47</definedName>
    <definedName name="Phillipsjamespts">EXE!#REF!</definedName>
    <definedName name="Phillipsjamessalpts">#REF!</definedName>
    <definedName name="Phillipsjamessaltries">#REF!</definedName>
    <definedName name="Phillipsjamestries">EXE!#REF!</definedName>
    <definedName name="Phillipssalpts">#REF!</definedName>
    <definedName name="Phillipssalptscorrect">SAL!$F$38</definedName>
    <definedName name="Phillipssaltries">#REF!</definedName>
    <definedName name="Phillipssaltriescorrect">SAL!$B$38</definedName>
    <definedName name="Phillipsworpts">#REF!</definedName>
    <definedName name="Phillipswortries">#REF!</definedName>
    <definedName name="Picamolesnorpts">#REF!</definedName>
    <definedName name="Picamolesnortries">#REF!</definedName>
    <definedName name="Picton_Powellbripts">BRI!$F$39</definedName>
    <definedName name="Picton_Powellbritries">BRI!$B$39</definedName>
    <definedName name="Pienaarbenpts">#REF!</definedName>
    <definedName name="Pienaarbentries">#REF!</definedName>
    <definedName name="Pietersenleipts">#REF!</definedName>
    <definedName name="Pietersenleitries">#REF!</definedName>
    <definedName name="Pifeletisarptscorrect">SAR!$F$40</definedName>
    <definedName name="Pifeletisartriescorrect">SAR!$B$40</definedName>
    <definedName name="Pincusbripts">BRI!#REF!</definedName>
    <definedName name="Pincusbritries">BRI!#REF!</definedName>
    <definedName name="Pisi_Gnorpts">#REF!</definedName>
    <definedName name="Pisi_Gnortries">#REF!</definedName>
    <definedName name="Pisibripts">BRI!#REF!</definedName>
    <definedName name="Pisibritries">BRI!#REF!</definedName>
    <definedName name="Pisigeorgepts">#REF!</definedName>
    <definedName name="Pisigeorgeptscorrect">#REF!</definedName>
    <definedName name="pisigeorgetries">#REF!</definedName>
    <definedName name="Pisigeorgetriescorrect">#REF!</definedName>
    <definedName name="Pisikenpts">#REF!</definedName>
    <definedName name="Pisikenptscorrect">#REF!</definedName>
    <definedName name="pisikentries">#REF!</definedName>
    <definedName name="Pisikentriescorrect">#REF!</definedName>
    <definedName name="Piutau_Cbritriescorrect">BRI!#REF!</definedName>
    <definedName name="Piutau_Swaspts">#REF!</definedName>
    <definedName name="Piutau_Swastries">#REF!</definedName>
    <definedName name="Piutaubripts">BRI!#REF!</definedName>
    <definedName name="Piutaubritries">BRI!#REF!</definedName>
    <definedName name="Piutauwaspts">#REF!</definedName>
    <definedName name="Piutauwastries">#REF!</definedName>
    <definedName name="pollardleicatt">#REF!</definedName>
    <definedName name="Pollardleicgls">#REF!</definedName>
    <definedName name="Polledriglopts">GLO!#REF!</definedName>
    <definedName name="Polledriglotries">GLO!#REF!</definedName>
    <definedName name="Pollocknorpts">#REF!</definedName>
    <definedName name="Pollocknortries">#REF!</definedName>
    <definedName name="Poreckilirpts">BRI!#REF!</definedName>
    <definedName name="Poreckilirptscorrect">#REF!</definedName>
    <definedName name="Poreckilirtries">BRI!#REF!</definedName>
    <definedName name="Poreckilirtriescorrect">#REF!</definedName>
    <definedName name="Porterleicpts">#REF!</definedName>
    <definedName name="Porterleictries">#REF!</definedName>
    <definedName name="Postlethwaitesalpts">#REF!</definedName>
    <definedName name="Postlethwaitesaltries">#REF!</definedName>
    <definedName name="Potgieterworpts">#REF!</definedName>
    <definedName name="Potgieterwortries">#REF!</definedName>
    <definedName name="Poulinexepts">EXE!$F$30</definedName>
    <definedName name="Poulinexetries">EXE!$B$30</definedName>
    <definedName name="Powell_Kharatt">HAR!$K$5</definedName>
    <definedName name="Powell_Khargls">HAR!$J$5</definedName>
    <definedName name="Powell_Kharpts">HAR!$F$49</definedName>
    <definedName name="Powell_Khartries">HAR!$B$49</definedName>
    <definedName name="Powelladampts">#REF!</definedName>
    <definedName name="Powelladamtries">#REF!</definedName>
    <definedName name="Powellbripts">BRI!#REF!</definedName>
    <definedName name="Powellbritries">BRI!#REF!</definedName>
    <definedName name="Powellharpts">HAR!$F$48</definedName>
    <definedName name="Powellhartries">HAR!$B$48</definedName>
    <definedName name="Powelllirpts">#REF!</definedName>
    <definedName name="Powelllirtries">#REF!</definedName>
    <definedName name="priestlandbthatt">#REF!</definedName>
    <definedName name="Priestlandbthgoals">#REF!</definedName>
    <definedName name="Priestlandbthpts">#REF!</definedName>
    <definedName name="Priestlandbthtries">#REF!</definedName>
    <definedName name="priorharatt">#REF!</definedName>
    <definedName name="priorhargls">#REF!</definedName>
    <definedName name="Pritchardglopts">GLO!$F$37</definedName>
    <definedName name="Pritchardglotries">GLO!$B$37</definedName>
    <definedName name="Protheroebripts">BRI!#REF!</definedName>
    <definedName name="Protheroebritries">BRI!#REF!</definedName>
    <definedName name="Protherosalpts">SAL!$F$39</definedName>
    <definedName name="Protherosaltries">SAL!$B$39</definedName>
    <definedName name="Prydiebthpts">#REF!</definedName>
    <definedName name="Prydiebthtries">#REF!</definedName>
    <definedName name="pts">#REF!</definedName>
    <definedName name="Puafisiglopts">GLO!#REF!</definedName>
    <definedName name="Puafisiglotries">GLO!#REF!</definedName>
    <definedName name="Purdybripts">BRI!#REF!</definedName>
    <definedName name="Purdybritries">BRI!#REF!</definedName>
    <definedName name="Purdyglospts">GLO!#REF!</definedName>
    <definedName name="Purdyglotries">GLO!#REF!</definedName>
    <definedName name="Pyrssalpts">SAL!$F$40</definedName>
    <definedName name="Pyrssaltries">SAL!$B$40</definedName>
    <definedName name="Qorowalenewpts">#REF!</definedName>
    <definedName name="Qorowalenewtries">#REF!</definedName>
    <definedName name="quinspentriespts">#REF!</definedName>
    <definedName name="quinspentriestries">#REF!</definedName>
    <definedName name="Quirkesalpts">#REF!</definedName>
    <definedName name="Quirkesaltries">#REF!</definedName>
    <definedName name="Radradrabripts">BRI!$F$46</definedName>
    <definedName name="Radradrabritries">BRI!$B$46</definedName>
    <definedName name="Radwannewpts">#REF!</definedName>
    <definedName name="Radwannewptscorrect">#REF!</definedName>
    <definedName name="Radwannewtries">#REF!</definedName>
    <definedName name="Radwannewtriescorrect">#REF!</definedName>
    <definedName name="Ramageleicpts">#REF!</definedName>
    <definedName name="Ramageleictries">#REF!</definedName>
    <definedName name="Randallbripts">BRI!$F$47</definedName>
    <definedName name="Randallbritries">BRI!$B$47</definedName>
    <definedName name="Ransombenpts">#REF!</definedName>
    <definedName name="Ransombentries">#REF!</definedName>
    <definedName name="Ransomlirpts">BRI!#REF!</definedName>
    <definedName name="Ransomlirtries">BRI!#REF!</definedName>
    <definedName name="Rapava_Ruskinglopts">GLO!#REF!</definedName>
    <definedName name="Rapava_Ruskinglotries">GLO!#REF!</definedName>
    <definedName name="Rapava_Ruskinworpts">#REF!</definedName>
    <definedName name="Rapava_Ruskinwortries">#REF!</definedName>
    <definedName name="Ratuniyarawanorpts">#REF!</definedName>
    <definedName name="Ratuniyarawanortries">#REF!</definedName>
    <definedName name="Rawacasarpts">#REF!</definedName>
    <definedName name="Rawacasartries">#REF!</definedName>
    <definedName name="Readsalpts">#REF!</definedName>
    <definedName name="Readsaltries">#REF!</definedName>
    <definedName name="Reddishharpts">#REF!</definedName>
    <definedName name="Reddishhartries">#REF!</definedName>
    <definedName name="Redmondlirpts">#REF!</definedName>
    <definedName name="Redmondlirtries">#REF!</definedName>
    <definedName name="redpathbthatt">#REF!</definedName>
    <definedName name="Redpathbthpts">#REF!</definedName>
    <definedName name="Redpathbthtries">#REF!</definedName>
    <definedName name="redpathsalatt">#REF!</definedName>
    <definedName name="redpathsalegls">#REF!</definedName>
    <definedName name="Redpathsalpts">#REF!</definedName>
    <definedName name="Redpathsaltries">#REF!</definedName>
    <definedName name="reedbriatt">BRI!#REF!</definedName>
    <definedName name="Reedbrigls">BRI!#REF!</definedName>
    <definedName name="Rees_Zammitglopts">GLO!$F$28</definedName>
    <definedName name="Rees_Zammitglotries">GLO!$B$28</definedName>
    <definedName name="Reevesglopts">GLO!#REF!</definedName>
    <definedName name="Reevesglotries">GLO!#REF!</definedName>
    <definedName name="Reevesrickypts">#REF!</definedName>
    <definedName name="Reevesrickytries">#REF!</definedName>
    <definedName name="Reffellsarpts">#REF!</definedName>
    <definedName name="Reffellsarptscorrect">SAR!$F$41</definedName>
    <definedName name="Reffellsartries">#REF!</definedName>
    <definedName name="Reffellsartriescorrect">SAR!$B$41</definedName>
    <definedName name="Reidleicatt">#REF!</definedName>
    <definedName name="Reidleicgls">#REF!</definedName>
    <definedName name="Reidleipts">#REF!</definedName>
    <definedName name="Reidleitries">#REF!</definedName>
    <definedName name="Reidlirpts">#REF!</definedName>
    <definedName name="Reidlirtries">#REF!</definedName>
    <definedName name="reinachnoratt">#REF!</definedName>
    <definedName name="reinachnorgls">#REF!</definedName>
    <definedName name="Reinachnorpts">#REF!</definedName>
    <definedName name="Reinachnortries">#REF!</definedName>
    <definedName name="Relfaltries">SAL!$B$41</definedName>
    <definedName name="relfleiatt">LEI!$K$7</definedName>
    <definedName name="Relfleigls">LEI!$J$7</definedName>
    <definedName name="Relfleipts">LEI!$F$33</definedName>
    <definedName name="Relfleitries">LEI!$B$33</definedName>
    <definedName name="Relfsalpts">SAL!$F$41</definedName>
    <definedName name="Reltonexepts">EXE!$F$29</definedName>
    <definedName name="Reltonexetries">EXE!$B$29</definedName>
    <definedName name="repathbthgls">#REF!</definedName>
    <definedName name="Reynoldsnicpts">#REF!</definedName>
    <definedName name="Reynoldsnictries">#REF!</definedName>
    <definedName name="Reynoldsstefpts">GLO!#REF!</definedName>
    <definedName name="Reynoldssteftries">GLO!#REF!</definedName>
    <definedName name="Rhodessarpts">#REF!</definedName>
    <definedName name="Rhodessartries">#REF!</definedName>
    <definedName name="Ribbansnorpts">#REF!</definedName>
    <definedName name="Ribbansnortries">#REF!</definedName>
    <definedName name="Riccionisarptscorrect">SAR!$F$42</definedName>
    <definedName name="Riccionisartriescorrect">SAR!$B$42</definedName>
    <definedName name="Richardsbthpts">#REF!</definedName>
    <definedName name="Richardsbthtries">#REF!</definedName>
    <definedName name="Richardsonleicpts">#REF!</definedName>
    <definedName name="Richardsonleictries">#REF!</definedName>
    <definedName name="Richardsonleipts">LEI!$F$34</definedName>
    <definedName name="RichardsonLEITRIES">LEI!$B$34</definedName>
    <definedName name="Riederwaspts">#REF!</definedName>
    <definedName name="Riederwastries">#REF!</definedName>
    <definedName name="RiffoneauTFWPTS">TFW!#REF!</definedName>
    <definedName name="RiffoneauTFWTRIES">TFW!#REF!</definedName>
    <definedName name="rigonisalatt">SAL!$K$7</definedName>
    <definedName name="Rigonisalgls">SAL!$J$7</definedName>
    <definedName name="Rigonisalpts">SAL!$F$43</definedName>
    <definedName name="Rigonisaltries">SAL!$B$43</definedName>
    <definedName name="Rimmercarlpts">EXE!#REF!</definedName>
    <definedName name="Rimmercarltries">EXE!#REF!</definedName>
    <definedName name="Ripper_Smithworpts">#REF!</definedName>
    <definedName name="Ripper_Smithwortries">#REF!</definedName>
    <definedName name="Rizzoleipts">#REF!</definedName>
    <definedName name="Rizzoleitries">#REF!</definedName>
    <definedName name="Robertsbthpts">#REF!</definedName>
    <definedName name="Robertsbthtries">#REF!</definedName>
    <definedName name="Robertsharpts">#REF!</definedName>
    <definedName name="Robertshartries">#REF!</definedName>
    <definedName name="Robertsloupts">LOU!$F$29</definedName>
    <definedName name="Robertsloutries">LOU!$B$29</definedName>
    <definedName name="Robertsmartinpts">#REF!</definedName>
    <definedName name="Robertsmartintruies">#REF!</definedName>
    <definedName name="Robertstristanpts">#REF!</definedName>
    <definedName name="Robertstristantries">#REF!</definedName>
    <definedName name="robertswelatt">#REF!</definedName>
    <definedName name="robertswelgoals">#REF!</definedName>
    <definedName name="Robinson_Fexeatt">EXE!$J$8</definedName>
    <definedName name="Robinson_Fexegls">EXE!$J$8</definedName>
    <definedName name="Robinson_Fexepts">EXE!$F$34</definedName>
    <definedName name="Robinson_Fexetries">EXE!$B$34</definedName>
    <definedName name="robinsonfexexattcorrect">EXE!$K$8</definedName>
    <definedName name="Robinsonglopts">GLO!$F$40</definedName>
    <definedName name="Robinsonglotries">GLO!$B$40</definedName>
    <definedName name="Robinsonharpts">HAR!#REF!</definedName>
    <definedName name="Robinsonhartries">HAR!#REF!</definedName>
    <definedName name="Robinsonnewpts">#REF!</definedName>
    <definedName name="Robinsonnewtries">#REF!</definedName>
    <definedName name="robinsonwelatt">#REF!</definedName>
    <definedName name="robinsonwelgoals">#REF!</definedName>
    <definedName name="Robinsonwillpts">#REF!</definedName>
    <definedName name="Robinsonwilltries">#REF!</definedName>
    <definedName name="Robshawharpts">#REF!</definedName>
    <definedName name="Robshawhartries">#REF!</definedName>
    <definedName name="robsobwasgoals">#REF!</definedName>
    <definedName name="Robsonglopts">GLO!#REF!</definedName>
    <definedName name="Robsonglotries">GLO!#REF!</definedName>
    <definedName name="Robsonharpts">#REF!</definedName>
    <definedName name="Robsonhartries">#REF!</definedName>
    <definedName name="robsonwasatt">#REF!</definedName>
    <definedName name="Robsonwaspts">#REF!</definedName>
    <definedName name="Robsonwastries">#REF!</definedName>
    <definedName name="Roddsalpts">#REF!</definedName>
    <definedName name="Roddsaltries">#REF!</definedName>
    <definedName name="Roebucksalpts">#REF!</definedName>
    <definedName name="Roebucksaltries">#REF!</definedName>
    <definedName name="Rogersnewpts">#REF!</definedName>
    <definedName name="Rogersnewtries">#REF!</definedName>
    <definedName name="Rokodugunibatpts">#REF!</definedName>
    <definedName name="Rokodugunibattries">#REF!</definedName>
    <definedName name="Rokodugunipts">#REF!</definedName>
    <definedName name="Rokoduguniptscorrect">#REF!</definedName>
    <definedName name="Rokodugunisemesapts">#REF!</definedName>
    <definedName name="Rokodugunisemesaptscorrect">#REF!</definedName>
    <definedName name="Rokodugunitries">#REF!</definedName>
    <definedName name="Rokodugunitriescorrect">#REF!</definedName>
    <definedName name="Rollieloupts">LOU!#REF!</definedName>
    <definedName name="Rollieloutries">LOU!#REF!</definedName>
    <definedName name="Rollietfwpts">TFW!$F$39</definedName>
    <definedName name="Rollietfwtries">TFW!$B$39</definedName>
    <definedName name="Roostfwpts">TFW!$F$40</definedName>
    <definedName name="Roostfwtries">TFW!$B$40</definedName>
    <definedName name="Rossgordonpts">#REF!</definedName>
    <definedName name="Rossgordontries">#REF!</definedName>
    <definedName name="Rosssalpts">#REF!</definedName>
    <definedName name="Rosssaltries">#REF!</definedName>
    <definedName name="rosswelatt">#REF!</definedName>
    <definedName name="rosswelgoals">#REF!</definedName>
    <definedName name="Rouselipts">BRI!#REF!</definedName>
    <definedName name="Rouselitries">BRI!#REF!</definedName>
    <definedName name="Rousepts">BRI!#REF!</definedName>
    <definedName name="rousetries">BRI!#REF!</definedName>
    <definedName name="Rowanglopts">GLO!#REF!</definedName>
    <definedName name="Rowanglotries">GLO!#REF!</definedName>
    <definedName name="Rowelirpts">#REF!</definedName>
    <definedName name="Rowelirtries">#REF!</definedName>
    <definedName name="rowlandlouatt">LOU!#REF!</definedName>
    <definedName name="Rowlandlouattcorrect">LOU!$K$8</definedName>
    <definedName name="Rowlandlougls">LOU!#REF!</definedName>
    <definedName name="Rowlandlouglscorrect">LOU!$J$8</definedName>
    <definedName name="Rowlandloupts">LOU!#REF!</definedName>
    <definedName name="Rowlandlouptscorrect">LOU!$F$30</definedName>
    <definedName name="Rowlandloutries">LOU!#REF!</definedName>
    <definedName name="Rowlandloutriescorrect">LOU!$B$30</definedName>
    <definedName name="Rowlandswaspts">#REF!</definedName>
    <definedName name="Rowlandswastries">#REF!</definedName>
    <definedName name="Rowleypaulpts">#REF!</definedName>
    <definedName name="Rowleypaultries">#REF!</definedName>
    <definedName name="Royersarpts">SAR!$F$47</definedName>
    <definedName name="Royersartries">SAR!$B$47</definedName>
    <definedName name="Rubiolonewpts">#REF!</definedName>
    <definedName name="Rubiolonewtries">#REF!</definedName>
    <definedName name="Rugmanglopts">GLO!$F$41</definedName>
    <definedName name="Rugmanglotries">GLO!$B$41</definedName>
    <definedName name="Ruizlirpts">#REF!</definedName>
    <definedName name="Ruizlirtries">#REF!</definedName>
    <definedName name="Ruleexepts">EXE!$F$36</definedName>
    <definedName name="Ruleexetries">EXE!$B$36</definedName>
    <definedName name="Russellglopts">GLO!#REF!</definedName>
    <definedName name="Russellglotries">GLO!#REF!</definedName>
    <definedName name="Russellleipts">LEI!$F$35</definedName>
    <definedName name="Russellleitries">LEI!$B$35</definedName>
    <definedName name="Sackeypaulpts">#REF!</definedName>
    <definedName name="Sackeypaultries">#REF!</definedName>
    <definedName name="Safeglopts">GLO!#REF!</definedName>
    <definedName name="Safeglotries">GLO!#REF!</definedName>
    <definedName name="Sagapoluleipts">LEI!$F$36</definedName>
    <definedName name="Sagapoluleitries">LEI!$B$36</definedName>
    <definedName name="Sagapoluloupts">LOU!$F$31</definedName>
    <definedName name="Sagapoluloutries">LOU!$B$31</definedName>
    <definedName name="Salakaia_Lotonorpts">#REF!</definedName>
    <definedName name="Salakaia_Lotonortries">#REF!</definedName>
    <definedName name="SalePts">#REF!</definedName>
    <definedName name="Saletries">#REF!</definedName>
    <definedName name="Salmonexepts">EXE!#REF!</definedName>
    <definedName name="Salmonexetries">EXE!#REF!</definedName>
    <definedName name="Salomonbripts">BRI!#REF!</definedName>
    <definedName name="Salomonbritries">BRI!#REF!</definedName>
    <definedName name="Salvijulianpts">#REF!</definedName>
    <definedName name="Salvijuliantries">#REF!</definedName>
    <definedName name="Samudaglopts">GLO!$F$42</definedName>
    <definedName name="Samudaglotries">GLO!$B$42</definedName>
    <definedName name="Sandfordjamespts">#REF!</definedName>
    <definedName name="Sandfordjamestries">#REF!</definedName>
    <definedName name="saracenspenaltytriespts">#REF!</definedName>
    <definedName name="saracenspenaltytriestries">#REF!</definedName>
    <definedName name="SaracensPts">#REF!</definedName>
    <definedName name="SaracensTries">#REF!</definedName>
    <definedName name="Saullandypts">#REF!</definedName>
    <definedName name="Saullandytries">#REF!</definedName>
    <definedName name="Saulolirpts">BRI!#REF!</definedName>
    <definedName name="Saulolirtries">BRI!#REF!</definedName>
    <definedName name="Saumakileicpts">#REF!</definedName>
    <definedName name="Saumakileictries">#REF!</definedName>
    <definedName name="Saunderssarpts">#REF!</definedName>
    <definedName name="Saunderssartries">#REF!</definedName>
    <definedName name="Savageglopts">GLO!#REF!</definedName>
    <definedName name="Savageglotries">GLO!#REF!</definedName>
    <definedName name="ScarletsPts">[1]SCA!$F$56</definedName>
    <definedName name="ScarletsTries">[1]SCA!$B$56</definedName>
    <definedName name="Scarrattlouatt">LOU!#REF!</definedName>
    <definedName name="Scarrattlougls">LOU!#REF!</definedName>
    <definedName name="Scarrattloupts">LOU!#REF!</definedName>
    <definedName name="Scarrattloutries">LOU!#REF!</definedName>
    <definedName name="Scaysbrookpts">EXE!#REF!</definedName>
    <definedName name="scaysbrooktries">EXE!#REF!</definedName>
    <definedName name="Schatzlirpts">BRI!#REF!</definedName>
    <definedName name="Schatzlirtries">BRI!#REF!</definedName>
    <definedName name="Schelltfrpts">TFW!$F$41</definedName>
    <definedName name="Schelltfrtries">TFW!$B$41</definedName>
    <definedName name="SCHELLTFWATT">TFW!$K$8</definedName>
    <definedName name="SchellTFWGLS">TFW!$J$8</definedName>
    <definedName name="Schickerlingexepts">EXE!$F$31</definedName>
    <definedName name="Schickerlingexetries">EXE!$B$31</definedName>
    <definedName name="Schoeman_Tbthpts">#REF!</definedName>
    <definedName name="Schoeman_Tbthptscorrect">#REF!</definedName>
    <definedName name="Schoeman_Tbthtries">#REF!</definedName>
    <definedName name="schoemanbthatt">#REF!</definedName>
    <definedName name="Schoemanbthgls">#REF!</definedName>
    <definedName name="Schoemanbthpts">#REF!</definedName>
    <definedName name="Schoemanbthtries">#REF!</definedName>
    <definedName name="Schofieldwelpts">#REF!</definedName>
    <definedName name="Schofieldweltries">#REF!</definedName>
    <definedName name="schutzlersarpts">SAR!$F$48</definedName>
    <definedName name="Schutzlersartries">SAR!$B$48</definedName>
    <definedName name="Scotland_W_sonharpts">#REF!</definedName>
    <definedName name="Scotland_W_sonhartries">#REF!</definedName>
    <definedName name="ScotlandWilliamsonchristianpts">#REF!</definedName>
    <definedName name="ScotlandWilliamsonchristiantries">#REF!</definedName>
    <definedName name="Scott_Youngnorpts">#REF!</definedName>
    <definedName name="Scott_Youngnortries">#REF!</definedName>
    <definedName name="scottglohpts">GLO!$F$43</definedName>
    <definedName name="Scottglohtries">GLO!$B$43</definedName>
    <definedName name="Scottglopts">GLO!#REF!</definedName>
    <definedName name="Scottglotries">GLO!#REF!</definedName>
    <definedName name="Scottharpts">HAR!#REF!</definedName>
    <definedName name="Scotthartries">HAR!#REF!</definedName>
    <definedName name="Scottleicpts">#REF!</definedName>
    <definedName name="Scottleictries">#REF!</definedName>
    <definedName name="Scottnickpts">#REF!</definedName>
    <definedName name="Scottnicktries">#REF!</definedName>
    <definedName name="Scragglirpts">#REF!</definedName>
    <definedName name="Scragglirtries">#REF!</definedName>
    <definedName name="Scullyblainepts">#REF!</definedName>
    <definedName name="Scullyblainetries">#REF!</definedName>
    <definedName name="Scullypts">#REF!</definedName>
    <definedName name="scullytries">#REF!</definedName>
    <definedName name="Scurfieldloupts">LOU!$F$33</definedName>
    <definedName name="Scurfieldloutries">LOU!$B$33</definedName>
    <definedName name="Seabrookglopts">GLO!$F$29</definedName>
    <definedName name="Seabrookglotries">GLO!$B$29</definedName>
    <definedName name="searlebriatt">BRI!#REF!</definedName>
    <definedName name="searlebrigoals">BRI!#REF!</definedName>
    <definedName name="Searlebstpts">BRI!#REF!</definedName>
    <definedName name="Searlebsttries">BRI!#REF!</definedName>
    <definedName name="searlebthatt">#REF!</definedName>
    <definedName name="Searlebthgls">#REF!</definedName>
    <definedName name="Searlebthpts">#REF!</definedName>
    <definedName name="Searlebthtries">#REF!</definedName>
    <definedName name="searlewasatt">#REF!</definedName>
    <definedName name="Searlewasgls">#REF!</definedName>
    <definedName name="Searlewaspts">#REF!</definedName>
    <definedName name="Searlewastries">#REF!</definedName>
    <definedName name="searleworatt">#REF!</definedName>
    <definedName name="Searleworgls">#REF!</definedName>
    <definedName name="Searleworpts">#REF!</definedName>
    <definedName name="Searlewortris">#REF!</definedName>
    <definedName name="Searlswaspts">#REF!</definedName>
    <definedName name="Searlswastries">#REF!</definedName>
    <definedName name="Segunsarpts">#REF!</definedName>
    <definedName name="Segunsarptscorrect">SAR!#REF!</definedName>
    <definedName name="Segunsartries">#REF!</definedName>
    <definedName name="Segunsartriescorrect">SAR!#REF!</definedName>
    <definedName name="Senftsarpts">SAR!$F$49</definedName>
    <definedName name="Senftsartries">SAR!$B$49</definedName>
    <definedName name="Sextonexepoints">EXE!#REF!</definedName>
    <definedName name="Sextonexetries">EXE!#REF!</definedName>
    <definedName name="Seyetfwpts">TFW!$F$42</definedName>
    <definedName name="SeyeTFWTRIES">TFW!$B$42</definedName>
    <definedName name="Seymourdavidpts">#REF!</definedName>
    <definedName name="seymourdavidtries">#REF!</definedName>
    <definedName name="Seymourdavidtriescorrect">#REF!</definedName>
    <definedName name="Sharplesglopts">GLO!#REF!</definedName>
    <definedName name="Sharplesglotries">GLO!#REF!</definedName>
    <definedName name="Sharplespts">GLO!#REF!</definedName>
    <definedName name="Sharplestries">GLO!#REF!</definedName>
    <definedName name="Sharpsarpts">SAR!$F$50</definedName>
    <definedName name="Sharpsartries">SAR!$B$50</definedName>
    <definedName name="Sheridaneamonnpts">BRI!#REF!</definedName>
    <definedName name="Sheridaneamonntries">BRI!#REF!</definedName>
    <definedName name="Sheriffsarpts">#REF!</definedName>
    <definedName name="Sheriffsartries">#REF!</definedName>
    <definedName name="Shervingtonwaspts">#REF!</definedName>
    <definedName name="Shervingtonwastries">#REF!</definedName>
    <definedName name="Shieldswaspts">#REF!</definedName>
    <definedName name="Shieldswastries">#REF!</definedName>
    <definedName name="Shiellsgrahambatpts">#REF!</definedName>
    <definedName name="Shiellsgrahambattries">#REF!</definedName>
    <definedName name="ShillakerHARPTS">HAR!$F$50</definedName>
    <definedName name="ShillakerHARTRIES">HAR!$B$50</definedName>
    <definedName name="Shillcockworpts">#REF!</definedName>
    <definedName name="Shillcockwortries">#REF!</definedName>
    <definedName name="shilllcockworatt">#REF!</definedName>
    <definedName name="shilllcockworgoals">#REF!</definedName>
    <definedName name="Shirleyharpts">HAR!$F$51</definedName>
    <definedName name="Shirleyhartries">HAR!$B$51</definedName>
    <definedName name="Short_Alirpts">BRI!#REF!</definedName>
    <definedName name="Short_Alirtries">BRI!#REF!</definedName>
    <definedName name="Shortbripts">BRI!$F$40</definedName>
    <definedName name="Shortbritries">BRI!$B$40</definedName>
    <definedName name="Shortexepts">EXE!#REF!</definedName>
    <definedName name="Shortexetries">EXE!#REF!</definedName>
    <definedName name="Shortjamespts">#REF!</definedName>
    <definedName name="Shortjamestries">#REF!</definedName>
    <definedName name="Shortlandpts">#REF!</definedName>
    <definedName name="Shortlandryanpts">#REF!</definedName>
    <definedName name="Shortlandtries">#REF!</definedName>
    <definedName name="Shortlipts">BRI!#REF!</definedName>
    <definedName name="Shortlitries">BRI!#REF!</definedName>
    <definedName name="Simmonds_Sexepts">EXE!$F$33</definedName>
    <definedName name="Simmonds_Sexetries">EXE!$B$33</definedName>
    <definedName name="simmondsexeatt">EXE!#REF!</definedName>
    <definedName name="simmondsexegoals">EXE!#REF!</definedName>
    <definedName name="Simmondsexepts">EXE!$F$32</definedName>
    <definedName name="Simmondsexetries">EXE!$B$32</definedName>
    <definedName name="Simmonsleicpts">#REF!</definedName>
    <definedName name="Simmonsleictries">#REF!</definedName>
    <definedName name="Simmonslirpts">#REF!</definedName>
    <definedName name="Simmonslirtries">#REF!</definedName>
    <definedName name="Simpson_Danieljamespts">GLO!#REF!</definedName>
    <definedName name="Simpson_Danieljamestries">GLO!#REF!</definedName>
    <definedName name="Simpson_Gsarpts">SAR!$F$43</definedName>
    <definedName name="Simpson_Gsartries">SAR!$B$43</definedName>
    <definedName name="Simpsonbthpts">#REF!</definedName>
    <definedName name="Simpsonbthtries">#REF!</definedName>
    <definedName name="Simpsonglopts">GLO!$F$30</definedName>
    <definedName name="Simpsonglotries">GLO!$B$30</definedName>
    <definedName name="Simpsonjoepts">#REF!</definedName>
    <definedName name="Simpsonjoetries">#REF!</definedName>
    <definedName name="Simpsonlucyglopts">GLO!$F$44</definedName>
    <definedName name="Simpsonlucyglotries">GLO!$B$44</definedName>
    <definedName name="Simpsonwaspts">#REF!</definedName>
    <definedName name="Simpsonwastries">#REF!</definedName>
    <definedName name="Simsbripts">BRI!#REF!</definedName>
    <definedName name="Simsbritries">BRI!#REF!</definedName>
    <definedName name="SimsHARPTS">HAR!$F$52</definedName>
    <definedName name="SimsHARTRIES">HAR!$B$52</definedName>
    <definedName name="Sincklerharpts">#REF!</definedName>
    <definedName name="Sincklerhartries">#REF!</definedName>
    <definedName name="Sinclairexeatt">EXE!$K$9</definedName>
    <definedName name="Sinclairexegls">EXE!$J$9</definedName>
    <definedName name="Sinclairjebbpts">BRI!#REF!</definedName>
    <definedName name="Sinclairjebbtries">BRI!#REF!</definedName>
    <definedName name="Singglopts">GLO!$F$45</definedName>
    <definedName name="Singglotries">GLO!$B$45</definedName>
    <definedName name="Singletonsarpts">#REF!</definedName>
    <definedName name="Singletonsartries">#REF!</definedName>
    <definedName name="Singletonworpts">#REF!</definedName>
    <definedName name="Singletonwortries">#REF!</definedName>
    <definedName name="Sinotisinotipts">#REF!</definedName>
    <definedName name="Sinotisinotitries">#REF!</definedName>
    <definedName name="Sioexepts">EXE!$F$35</definedName>
    <definedName name="Sioexetries">EXE!$B$35</definedName>
    <definedName name="Sioleipts">#REF!</definedName>
    <definedName name="Sioleitries">#REF!</definedName>
    <definedName name="Sirkerwaspts">#REF!</definedName>
    <definedName name="Sirkerwastries">#REF!</definedName>
    <definedName name="Sisidavidpts">#REF!</definedName>
    <definedName name="Sisidavidtries">#REF!</definedName>
    <definedName name="Sisilirpts">BRI!#REF!</definedName>
    <definedName name="Sisilirtries">BRI!#REF!</definedName>
    <definedName name="Skeatesexepts">EXE!$F$40</definedName>
    <definedName name="Skeatesexetries">EXE!$B$40</definedName>
    <definedName name="Skeldonbriopts">BRI!$F$41</definedName>
    <definedName name="Skeldonbritries">BRI!$B$41</definedName>
    <definedName name="Skeltonsarpts">#REF!</definedName>
    <definedName name="Skeltonsartries">#REF!</definedName>
    <definedName name="Skinner_Hexepts">EXE!#REF!</definedName>
    <definedName name="Skinner_Hexetries">EXE!#REF!</definedName>
    <definedName name="Skinnerexeatt">EXE!#REF!</definedName>
    <definedName name="Skinnerexegls">EXE!#REF!</definedName>
    <definedName name="Skinnerexepts">EXE!#REF!</definedName>
    <definedName name="Skinnerexetries">EXE!#REF!</definedName>
    <definedName name="Skivingtongeorgeli">BRI!#REF!</definedName>
    <definedName name="Skivingtongeorgepts">BRI!#REF!</definedName>
    <definedName name="Skivingtongeorgetries">BRI!#REF!</definedName>
    <definedName name="Skusebatpts">#REF!</definedName>
    <definedName name="Skusebattries">#REF!</definedName>
    <definedName name="Skusebriatt">BRI!$K$10</definedName>
    <definedName name="Skusebrigls">BRI!$J$10</definedName>
    <definedName name="sladeatt">EXE!#REF!</definedName>
    <definedName name="Sladeexepts">EXE!$F$38</definedName>
    <definedName name="Sladeexetries">EXE!$B$38</definedName>
    <definedName name="sladegoals">EXE!#REF!</definedName>
    <definedName name="Sladehenrypts">EXE!#REF!</definedName>
    <definedName name="Slaterglopts">GLO!$F$31</definedName>
    <definedName name="Slaterglotries">GLO!$B$31</definedName>
    <definedName name="Slaterpts">#REF!</definedName>
    <definedName name="Slaterptscorrect">#REF!</definedName>
    <definedName name="slatertries">#REF!</definedName>
    <definedName name="Slatertriescorrect">#REF!</definedName>
    <definedName name="Sleightholme_Fnorpts">#REF!</definedName>
    <definedName name="Sleightholme_Fnortries">#REF!</definedName>
    <definedName name="Sleightholmenorpts">#REF!</definedName>
    <definedName name="Sleightholmenortries">#REF!</definedName>
    <definedName name="Slevinharpts">#REF!</definedName>
    <definedName name="Slevinhartries">#REF!</definedName>
    <definedName name="Sloanharrypts">#REF!</definedName>
    <definedName name="Sloanharrytries">#REF!</definedName>
    <definedName name="Slowikworpts">#REF!</definedName>
    <definedName name="Slowikwortries">#REF!</definedName>
    <definedName name="Smith_Rnorpts">#REF!</definedName>
    <definedName name="Smith_Rnortries">#REF!</definedName>
    <definedName name="smithbriatt">BRI!$K$11</definedName>
    <definedName name="Smithbrigls">BRI!$J$11</definedName>
    <definedName name="Smithbripts">BRI!#REF!</definedName>
    <definedName name="Smithbritries">BRI!#REF!</definedName>
    <definedName name="smithexepts">EXE!$F$41</definedName>
    <definedName name="Smithexetries">EXE!$B$41</definedName>
    <definedName name="smithglopts">GLO!#REF!</definedName>
    <definedName name="Smithglotries">GLO!#REF!</definedName>
    <definedName name="Smithharpts">#REF!</definedName>
    <definedName name="Smithhartries">#REF!</definedName>
    <definedName name="smithleeatt">#REF!</definedName>
    <definedName name="Smithleegoals">#REF!</definedName>
    <definedName name="Smithleepts">#REF!</definedName>
    <definedName name="Smithleicpts">#REF!</definedName>
    <definedName name="Smithleictries">#REF!</definedName>
    <definedName name="Smithleipts">#REF!</definedName>
    <definedName name="Smithleitries">#REF!</definedName>
    <definedName name="Smithnewtries">#REF!</definedName>
    <definedName name="smithnoratt">#REF!</definedName>
    <definedName name="Smithnorgls">#REF!</definedName>
    <definedName name="Smithrnewpts">#REF!</definedName>
    <definedName name="Smithrnewtries">#REF!</definedName>
    <definedName name="Smithrobbienewpts">#REF!</definedName>
    <definedName name="Smithrobbienewtries">#REF!</definedName>
    <definedName name="Smithsampts">#REF!</definedName>
    <definedName name="Smithsamtries">#REF!</definedName>
    <definedName name="Smithsarpts">#REF!</definedName>
    <definedName name="Smithsartries">#REF!</definedName>
    <definedName name="Smithwaspts">#REF!</definedName>
    <definedName name="Smithwastries">#REF!</definedName>
    <definedName name="smithworatt">#REF!</definedName>
    <definedName name="Smithworgls">#REF!</definedName>
    <definedName name="Smithworpts">#REF!</definedName>
    <definedName name="Smithwortries">#REF!</definedName>
    <definedName name="Snymanleicpts">#REF!</definedName>
    <definedName name="Snymanleictries">#REF!</definedName>
    <definedName name="Socino_Snewpts">#REF!</definedName>
    <definedName name="Socino_Snewtries">#REF!</definedName>
    <definedName name="Socinoglopts">GLO!$F$33</definedName>
    <definedName name="Socinoglotries">GLO!$B$33</definedName>
    <definedName name="Socinoleicpts">#REF!</definedName>
    <definedName name="Socinoleictries">#REF!</definedName>
    <definedName name="socinonewatt">#REF!</definedName>
    <definedName name="socinonewgoals">#REF!</definedName>
    <definedName name="Socinonewpts">#REF!</definedName>
    <definedName name="Socinonewtries">#REF!</definedName>
    <definedName name="Solomonasalpts">#REF!</definedName>
    <definedName name="Solomonasaltries">#REF!</definedName>
    <definedName name="SopoagaGLSWAS">#REF!</definedName>
    <definedName name="SOPOAGAWASATT">#REF!</definedName>
    <definedName name="Sopoagawaspts">#REF!</definedName>
    <definedName name="Sopoagawastries">#REF!</definedName>
    <definedName name="Southworthexepts">EXE!#REF!</definedName>
    <definedName name="Southworthexetries">EXE!#REF!</definedName>
    <definedName name="Sowreynewpts">#REF!</definedName>
    <definedName name="Sowreynewtries">#REF!</definedName>
    <definedName name="spcncerbthgls">#REF!</definedName>
    <definedName name="Spencer_Bbthpts">#REF!</definedName>
    <definedName name="Spencer_Bbthtries">#REF!</definedName>
    <definedName name="Spencer_Wbthpts">#REF!</definedName>
    <definedName name="Spencer_Wbthtries">#REF!</definedName>
    <definedName name="spencerbenatt">#REF!</definedName>
    <definedName name="spencerbengoals">#REF!</definedName>
    <definedName name="Spencerbenpts">#REF!</definedName>
    <definedName name="Spencerbentries">#REF!</definedName>
    <definedName name="spencerbthatt">#REF!</definedName>
    <definedName name="Spencerleicpts">#REF!</definedName>
    <definedName name="Spencerleictries">#REF!</definedName>
    <definedName name="Spencersarpts">#REF!</definedName>
    <definedName name="Spencerwillpts">#REF!</definedName>
    <definedName name="Spencerwilltries">#REF!</definedName>
    <definedName name="Spurlingsarpts">#REF!</definedName>
    <definedName name="Spurlingsartries">#REF!</definedName>
    <definedName name="SpurrierHARPTS">HAR!$F$53</definedName>
    <definedName name="SpurrierHARTRIES">HAR!$B$53</definedName>
    <definedName name="Stanleyglopts">GLO!$F$34</definedName>
    <definedName name="Stanleyglotries">GLO!$B$34</definedName>
    <definedName name="Stedmanolliepts">#REF!</definedName>
    <definedName name="Stedmanollietrie">#REF!</definedName>
    <definedName name="Steelelipts">BRI!#REF!</definedName>
    <definedName name="Steelelirpts">#REF!</definedName>
    <definedName name="Steelelirtries">#REF!</definedName>
    <definedName name="Steelelitries">BRI!#REF!</definedName>
    <definedName name="Steenson">EXE!#REF!</definedName>
    <definedName name="steensonatt">EXE!#REF!</definedName>
    <definedName name="Steensonexepts">EXE!#REF!</definedName>
    <definedName name="Steensonexetries">EXE!#REF!</definedName>
    <definedName name="steensongarethtries">EXE!#REF!</definedName>
    <definedName name="Steensongoals">EXE!#REF!</definedName>
    <definedName name="Steensonpts">EXE!#REF!</definedName>
    <definedName name="Stefansalpts">SAL!$F$48</definedName>
    <definedName name="Stefansaltries">SAL!$B$48</definedName>
    <definedName name="Stegmannsebpts">#REF!</definedName>
    <definedName name="Stegmannsebtries">#REF!</definedName>
    <definedName name="Stellingmaxpts">#REF!</definedName>
    <definedName name="Stellingmaxtries">#REF!</definedName>
    <definedName name="stellingworatt">#REF!</definedName>
    <definedName name="stellingworgoals">#REF!</definedName>
    <definedName name="Stephensonjamespts">#REF!</definedName>
    <definedName name="Stephensonjamestries">#REF!</definedName>
    <definedName name="Stephensontompts">#REF!</definedName>
    <definedName name="Stephensontomtries">#REF!</definedName>
    <definedName name="Stevensjimmypts">BRI!#REF!</definedName>
    <definedName name="Stevensjimmytries">BRI!#REF!</definedName>
    <definedName name="Stevensleicpts">#REF!</definedName>
    <definedName name="Stevensleictries">#REF!</definedName>
    <definedName name="Stevenslipts">BRI!#REF!</definedName>
    <definedName name="Stevenslitries">BRI!#REF!</definedName>
    <definedName name="Stevensmattpts">#REF!</definedName>
    <definedName name="Stevensonnewpts">#REF!</definedName>
    <definedName name="Stevensonnewtries">#REF!</definedName>
    <definedName name="Stevensonwaspts">#REF!</definedName>
    <definedName name="Stevensonwastries">#REF!</definedName>
    <definedName name="stevenstries">#REF!</definedName>
    <definedName name="stewardleicatt">#REF!</definedName>
    <definedName name="Stewardleicgls">#REF!</definedName>
    <definedName name="Stewartbthpts">#REF!</definedName>
    <definedName name="Stewartbthtries">#REF!</definedName>
    <definedName name="Stirzakerbripts">BRI!#REF!</definedName>
    <definedName name="Stirzakerbritries">BRI!#REF!</definedName>
    <definedName name="Stokeslirpts">#REF!</definedName>
    <definedName name="Stokeslirtries">#REF!</definedName>
    <definedName name="Stookeglotres">GLO!#REF!</definedName>
    <definedName name="Stookeglptd">GLO!#REF!</definedName>
    <definedName name="Stookepts">GLO!#REF!</definedName>
    <definedName name="Stooketries">GLO!#REF!</definedName>
    <definedName name="Stookewaspts">#REF!</definedName>
    <definedName name="Stookewastries">#REF!</definedName>
    <definedName name="Strainnewpts">#REF!</definedName>
    <definedName name="Strainnewtries">#REF!</definedName>
    <definedName name="Strangbripts">BRI!#REF!</definedName>
    <definedName name="Strangbritries">BRI!#REF!</definedName>
    <definedName name="Streathertimpts">#REF!</definedName>
    <definedName name="Streathertimtries">#REF!</definedName>
    <definedName name="Streetexepts">EXE!$F$39</definedName>
    <definedName name="Streetexetries">EXE!$B$39</definedName>
    <definedName name="Strettlepts">#REF!</definedName>
    <definedName name="Strettlesarpts">#REF!</definedName>
    <definedName name="Strettlesarptscorrect">#REF!</definedName>
    <definedName name="Strettlesartries">#REF!</definedName>
    <definedName name="strettletries">#REF!</definedName>
    <definedName name="Strettllesartries">#REF!</definedName>
    <definedName name="Stringerpeterpts">#REF!</definedName>
    <definedName name="Stringerpetertries">#REF!</definedName>
    <definedName name="Stringersalpts">#REF!</definedName>
    <definedName name="Stringersaltries">#REF!</definedName>
    <definedName name="Stringerworpts">#REF!</definedName>
    <definedName name="Stringerwortries">#REF!</definedName>
    <definedName name="Strongexepts">EXE!#REF!</definedName>
    <definedName name="Strongexetries">EXE!#REF!</definedName>
    <definedName name="Stuartbthpts">#REF!</definedName>
    <definedName name="Stuartbthtries">#REF!</definedName>
    <definedName name="Stuartharpts">#REF!</definedName>
    <definedName name="Stuarthartries">#REF!</definedName>
    <definedName name="stuartnewatt">#REF!</definedName>
    <definedName name="Stuartnewgls">#REF!</definedName>
    <definedName name="Stuartnewpts">#REF!</definedName>
    <definedName name="Stuartnewtries">#REF!</definedName>
    <definedName name="Stuartwaspts">#REF!</definedName>
    <definedName name="Stuartwastries">#REF!</definedName>
    <definedName name="Sturgessexepts">EXE!#REF!</definedName>
    <definedName name="Sturgessexetries">EXE!#REF!</definedName>
    <definedName name="suajeremypts">#REF!</definedName>
    <definedName name="suajeremytries">#REF!</definedName>
    <definedName name="Suniulawaspts">#REF!</definedName>
    <definedName name="Suniulawastries">#REF!</definedName>
    <definedName name="Sutherlandworpts">#REF!</definedName>
    <definedName name="Sutherlandwortries">#REF!</definedName>
    <definedName name="svobodaharprts">HAR!$G$54</definedName>
    <definedName name="Svobodaharptscorrect">HAR!$F$54</definedName>
    <definedName name="Svobodahartries">HAR!$B$54</definedName>
    <definedName name="Swailessalpts">SAL!$F$49</definedName>
    <definedName name="Swailessaltries">SAL!$B$49</definedName>
    <definedName name="Swainstonharpts">#REF!</definedName>
    <definedName name="Swainstonhartries">#REF!</definedName>
    <definedName name="Swainstonwapts">#REF!</definedName>
    <definedName name="Swainstonwastries">#REF!</definedName>
    <definedName name="Swannexepts">EXE!$F$42</definedName>
    <definedName name="Swannexetries">EXE!$B$42</definedName>
    <definedName name="Sweeneyceripts">EXE!#REF!</definedName>
    <definedName name="Sweeneyceritries">EXE!#REF!</definedName>
    <definedName name="sweeneyexeatt">EXE!#REF!</definedName>
    <definedName name="sweeneyexegoals">EXE!#REF!</definedName>
    <definedName name="swielharatt">#REF!</definedName>
    <definedName name="Swielhargoals">#REF!</definedName>
    <definedName name="Swielharpts">#REF!</definedName>
    <definedName name="Swielhartries">#REF!</definedName>
    <definedName name="Swielnewatt">#REF!</definedName>
    <definedName name="Swielnewgls">#REF!</definedName>
    <definedName name="Swielnewpts">#REF!</definedName>
    <definedName name="Swielnewtries">#REF!</definedName>
    <definedName name="Swinsonsarptscorrect">SAR!#REF!</definedName>
    <definedName name="Swinsonsartriescorrect">SAR!#REF!</definedName>
    <definedName name="Swordsharpts">HAR!$F$55</definedName>
    <definedName name="Swordshartries">HAR!$B$55</definedName>
    <definedName name="Swordstfwpts">TFW!#REF!</definedName>
    <definedName name="Swordstfwtries">TFW!#REF!</definedName>
    <definedName name="Symonsandypts">#REF!</definedName>
    <definedName name="Symonsandytries">#REF!</definedName>
    <definedName name="Symonsharpts">#REF!</definedName>
    <definedName name="Symonshartries">#REF!</definedName>
    <definedName name="Symonslirpts">BRI!#REF!</definedName>
    <definedName name="Symonslirtries">BRI!#REF!</definedName>
    <definedName name="Symonsnorpts">#REF!</definedName>
    <definedName name="Symonsnortries">#REF!</definedName>
    <definedName name="Symonswaspts">#REF!</definedName>
    <definedName name="Symonswastries">#REF!</definedName>
    <definedName name="symonsworatt">#REF!</definedName>
    <definedName name="Symonsworgoals">#REF!</definedName>
    <definedName name="Tagicakibausailosipts">BRI!#REF!</definedName>
    <definedName name="Tagicakibausailositries">BRI!#REF!</definedName>
    <definedName name="Tagicakibausarpts">#REF!</definedName>
    <definedName name="Tagicakibausartries">#REF!</definedName>
    <definedName name="Tagicakibauwaspts">#REF!</definedName>
    <definedName name="Tagucakibauwastries">#REF!</definedName>
    <definedName name="Taioneexepts">EXE!#REF!</definedName>
    <definedName name="Taioneexetries">EXE!#REF!</definedName>
    <definedName name="Taitalexpts">#REF!</definedName>
    <definedName name="Taitalextries">#REF!</definedName>
    <definedName name="Taitmathewpts">#REF!</definedName>
    <definedName name="Taitmathewtries">#REF!</definedName>
    <definedName name="Taitnewpts">#REF!</definedName>
    <definedName name="Taitnewtris">#REF!</definedName>
    <definedName name="Takaluanewpts">#REF!</definedName>
    <definedName name="takaluanewtries">#REF!</definedName>
    <definedName name="takuluanewatt">#REF!</definedName>
    <definedName name="takuluanewgoals">#REF!</definedName>
    <definedName name="Tallingsalpts">SAL!$F$50</definedName>
    <definedName name="Tallingsaltries">SAL!$B$50</definedName>
    <definedName name="Tandyglopts">GLO!$F$46</definedName>
    <definedName name="Tandyglotries">GLO!$B$46</definedName>
    <definedName name="Tapuaibatpts">#REF!</definedName>
    <definedName name="Tapuaibattries">#REF!</definedName>
    <definedName name="tapuaibthatt">#REF!</definedName>
    <definedName name="tapuaibthgoals">#REF!</definedName>
    <definedName name="tapuaihargls">#REF!</definedName>
    <definedName name="tapuaiharglsatt">#REF!</definedName>
    <definedName name="tapuaiharglscorrect">#REF!</definedName>
    <definedName name="Tapuaiharpts">#REF!</definedName>
    <definedName name="Tapuaihartries">#REF!</definedName>
    <definedName name="Taskerexepts">EXE!$F$43</definedName>
    <definedName name="Taskerexetries">EXE!$B$43</definedName>
    <definedName name="Taskerloupts">LOU!$F$35</definedName>
    <definedName name="Taskerloutries">LOU!$B$35</definedName>
    <definedName name="Taufete_eworpts">#REF!</definedName>
    <definedName name="Taufete_ewortries">#REF!</definedName>
    <definedName name="Taufo_ouloupts">LOU!#REF!</definedName>
    <definedName name="Taufo_ouloutries">LOU!#REF!</definedName>
    <definedName name="Taufoouloupts">LOU!$F$34</definedName>
    <definedName name="Taufoouloutries">LOU!$B$34</definedName>
    <definedName name="Taulaniharpts">#REF!</definedName>
    <definedName name="Taulaniharptscorrect">#REF!</definedName>
    <definedName name="Taulanihartries">#REF!</definedName>
    <definedName name="Taulanihartriescorrect">#REF!</definedName>
    <definedName name="Taulavasemisipts">#REF!</definedName>
    <definedName name="Taulavasemisitries">#REF!</definedName>
    <definedName name="Taylorduncanpts">#REF!</definedName>
    <definedName name="Taylorduncantries">#REF!</definedName>
    <definedName name="Taylorglopts">GLO!#REF!</definedName>
    <definedName name="Taylorglotries">GLO!#REF!</definedName>
    <definedName name="Taylornathanpts">#REF!</definedName>
    <definedName name="Taylornathantries">#REF!</definedName>
    <definedName name="Taylornorpts">#REF!</definedName>
    <definedName name="Taylornortries">#REF!</definedName>
    <definedName name="Taylorpwrglopts">GLO!$F$47</definedName>
    <definedName name="Taylorpwrglotries">GLO!$B$47</definedName>
    <definedName name="Taylorsalpts">#REF!</definedName>
    <definedName name="Taylorsaltries">#REF!</definedName>
    <definedName name="Taylorsarpts">#REF!</definedName>
    <definedName name="Taylorsarptscorrect">SAR!$F$44</definedName>
    <definedName name="Taylorsartries">#REF!</definedName>
    <definedName name="Taylorsartriescorrect">SAR!$B$44</definedName>
    <definedName name="Taylortfwatt">TFW!$K$9</definedName>
    <definedName name="Taylortfwgls">TFW!$J$9</definedName>
    <definedName name="Taylortfwpts">TFW!$F$45</definedName>
    <definedName name="Taylortfwtries">TFW!$B$45</definedName>
    <definedName name="Taylortommywaspts">#REF!</definedName>
    <definedName name="Taylortommywastries">#REF!</definedName>
    <definedName name="Taylortsalpts">#REF!</definedName>
    <definedName name="Taylortsaltries">#REF!</definedName>
    <definedName name="Taylorwaspts">#REF!</definedName>
    <definedName name="Taylorwastries">#REF!</definedName>
    <definedName name="Taylorworpts">#REF!</definedName>
    <definedName name="Taylorwortries">#REF!</definedName>
    <definedName name="Temmnewpts">#REF!</definedName>
    <definedName name="Temmnewtries">#REF!</definedName>
    <definedName name="Terryglopts">GLO!$F$32</definedName>
    <definedName name="Terryglotries">GLO!$B$32</definedName>
    <definedName name="tessierexeatt">EXE!$K$10</definedName>
    <definedName name="Tessierexegls">EXE!$J$10</definedName>
    <definedName name="Tessierexepts">EXE!$F$44</definedName>
    <definedName name="Tessierexetries">EXE!$B$44</definedName>
    <definedName name="test">#REF!</definedName>
    <definedName name="Thacker_Cleicpts">#REF!</definedName>
    <definedName name="Thacker_Cleictries">#REF!</definedName>
    <definedName name="Thacker_Hleipts">#REF!</definedName>
    <definedName name="Thacker_Hleitries">#REF!</definedName>
    <definedName name="Thielsarpts">#REF!</definedName>
    <definedName name="Thielsartries">#REF!</definedName>
    <definedName name="Thomas_Dbripts">BRI!#REF!</definedName>
    <definedName name="Thomas_Dbritries">BRI!#REF!</definedName>
    <definedName name="Thomas_DBRITRIESCORRECT">BRI!#REF!</definedName>
    <definedName name="Thomas_Dglopts">GLO!#REF!</definedName>
    <definedName name="Thomas_Dglotriews">GLO!#REF!</definedName>
    <definedName name="Thomas_Yglopts">GLO!#REF!</definedName>
    <definedName name="Thomas_Yglotries">GLO!#REF!</definedName>
    <definedName name="thomasagloatt">GLO!#REF!</definedName>
    <definedName name="thomasaglogoals">GLO!#REF!</definedName>
    <definedName name="Thomasaledglopts">GLO!#REF!</definedName>
    <definedName name="Thomasaledglotries">GLO!#REF!</definedName>
    <definedName name="Thomasexepts">EXE!#REF!</definedName>
    <definedName name="Thomasexetries">EXE!#REF!</definedName>
    <definedName name="Thomasglopts">GLO!#REF!</definedName>
    <definedName name="Thomasglotries">GLO!#REF!</definedName>
    <definedName name="Thomashaydnpts">EXE!#REF!</definedName>
    <definedName name="Thomashaydntries">EXE!#REF!</definedName>
    <definedName name="Thomashenrybatpts">#REF!</definedName>
    <definedName name="Thomashenrybattries">#REF!</definedName>
    <definedName name="Thomashenrypts">#REF!</definedName>
    <definedName name="Thomashenrytries">#REF!</definedName>
    <definedName name="Thomasmartynpts">GLO!#REF!</definedName>
    <definedName name="Thomasmartyntries">GLO!#REF!</definedName>
    <definedName name="thomasnewatt">#REF!</definedName>
    <definedName name="thomasnewgls">#REF!</definedName>
    <definedName name="Thomasnewpts">#REF!</definedName>
    <definedName name="Thomasnewtries">#REF!</definedName>
    <definedName name="Thompson_Stringersarpts">#REF!</definedName>
    <definedName name="Thompson_Stringersartries">#REF!</definedName>
    <definedName name="Thompsonleicpts">#REF!</definedName>
    <definedName name="Thompsonleictries">#REF!</definedName>
    <definedName name="Thompsonnewpts">#REF!</definedName>
    <definedName name="Thompsonnewtries">#REF!</definedName>
    <definedName name="Thompsonpts">#REF!</definedName>
    <definedName name="Thompsontries">#REF!</definedName>
    <definedName name="Thompsonwaspts">#REF!</definedName>
    <definedName name="Thompsonwastries">#REF!</definedName>
    <definedName name="Thompstoneleipts">#REF!</definedName>
    <definedName name="Thompstoneleitries">#REF!</definedName>
    <definedName name="Thompstonepts">#REF!</definedName>
    <definedName name="Thompstoneptscorrect">#REF!</definedName>
    <definedName name="thompstonetries">#REF!</definedName>
    <definedName name="thomsonliztfwatt">TFW!$K$10</definedName>
    <definedName name="Thomsonliztfwgls">TFW!$J$10</definedName>
    <definedName name="Thomsontfwatt">TFW!#REF!</definedName>
    <definedName name="Thomsontfwgls">TFW!#REF!</definedName>
    <definedName name="Thomsontfwpts">TFW!$F$46</definedName>
    <definedName name="Thomsontfwtries">TFW!$B$46</definedName>
    <definedName name="Thorleyglopts">GLO!#REF!</definedName>
    <definedName name="Thorleygloptscorrect">GLO!$F$35</definedName>
    <definedName name="Thorleyglotries">GLO!#REF!</definedName>
    <definedName name="Thorleyglotriescorrect">GLO!$B$35</definedName>
    <definedName name="Thornleipts">#REF!</definedName>
    <definedName name="Thornleitries">#REF!</definedName>
    <definedName name="Thorperichardpts">#REF!</definedName>
    <definedName name="Thorperichardtries">#REF!</definedName>
    <definedName name="Thorpesalpts">SAL!$F$52</definedName>
    <definedName name="Thorpesaltries">SAL!$B$52</definedName>
    <definedName name="Tiesinewpts">#REF!</definedName>
    <definedName name="Tiesinewtries">#REF!</definedName>
    <definedName name="Tiffennewpts">#REF!</definedName>
    <definedName name="Tiffennewtries">#REF!</definedName>
    <definedName name="Tikoirotumaharpts">#REF!</definedName>
    <definedName name="Tikoirotumahartries">#REF!</definedName>
    <definedName name="Tikoirotumalirpts">BRI!#REF!</definedName>
    <definedName name="Tikoirotumalirtries">BRI!#REF!</definedName>
    <definedName name="Tincknelljamespts">#REF!</definedName>
    <definedName name="Tincknelljamestries">#REF!</definedName>
    <definedName name="tindallgloatt">GLO!#REF!</definedName>
    <definedName name="tindallglogoals">GLO!#REF!</definedName>
    <definedName name="Tindallmikepts">GLO!#REF!</definedName>
    <definedName name="Tindallmiketries">GLO!#REF!</definedName>
    <definedName name="Tipunanewpts">#REF!</definedName>
    <definedName name="Tipunanewtries">#REF!</definedName>
    <definedName name="Tolofuasarpts">#REF!</definedName>
    <definedName name="Tolofuasartries">#REF!</definedName>
    <definedName name="Tomaszczyknewpts">#REF!</definedName>
    <definedName name="Tomaszczyknewtries">#REF!</definedName>
    <definedName name="Tomesnewpts">#REF!</definedName>
    <definedName name="Tomesnewtries">#REF!</definedName>
    <definedName name="Tomkinsjoelpts">#REF!</definedName>
    <definedName name="tomkinstries">#REF!</definedName>
    <definedName name="Tompkinsnickpts">#REF!</definedName>
    <definedName name="Tompkinsnicktries">#REF!</definedName>
    <definedName name="Tompkinssarpts">#REF!</definedName>
    <definedName name="Tompkinssarptscorrect">#REF!</definedName>
    <definedName name="Tompkinssarptscorrect2">SAR!#REF!</definedName>
    <definedName name="Tompkinssartries">#REF!</definedName>
    <definedName name="Tompkinssartriescorrect">SAR!#REF!</definedName>
    <definedName name="Tonga_uihabstpts">BRI!#REF!</definedName>
    <definedName name="Tonga_uihabsttries">BRI!#REF!</definedName>
    <definedName name="Tonksliratt">BRI!#REF!</definedName>
    <definedName name="Tonkslirgoals">BRI!#REF!</definedName>
    <definedName name="Tonkslirpts">BRI!#REF!</definedName>
    <definedName name="Tonkslirtries">BRI!#REF!</definedName>
    <definedName name="Tonksnorpts">#REF!</definedName>
    <definedName name="Tonksnortries">#REF!</definedName>
    <definedName name="Toomaga_Allenwaspts">#REF!</definedName>
    <definedName name="Toomaga_Allenwastries">#REF!</definedName>
    <definedName name="toomualeicatt">#REF!</definedName>
    <definedName name="Toomualeicgls">#REF!</definedName>
    <definedName name="Toomualeipts">#REF!</definedName>
    <definedName name="Toomualeitries">#REF!</definedName>
    <definedName name="Torleyharpts">HAR!$F$56</definedName>
    <definedName name="Torleyhartries">HAR!$B$56</definedName>
    <definedName name="Townsendexepts">EXE!#REF!</definedName>
    <definedName name="Townsendexetries">EXE!#REF!</definedName>
    <definedName name="Trayfootharpts">#REF!</definedName>
    <definedName name="Trayfoothartries">#REF!</definedName>
    <definedName name="Trayfootlirpts">BRI!#REF!</definedName>
    <definedName name="Trayfootlirtries">BRI!#REF!</definedName>
    <definedName name="Trederloupts">LOU!#REF!</definedName>
    <definedName name="Trederloutries">LOU!#REF!</definedName>
    <definedName name="Trevettnathanpts">#REF!</definedName>
    <definedName name="Trevettnathantries">#REF!</definedName>
    <definedName name="Treviranuspts">BRI!#REF!</definedName>
    <definedName name="Treviranustries">BRI!#REF!</definedName>
    <definedName name="Trinderglopts">GLO!#REF!</definedName>
    <definedName name="Trinderhenrypts">GLO!#REF!</definedName>
    <definedName name="Trinderpts">GLO!#REF!</definedName>
    <definedName name="trindertries">GLO!#REF!</definedName>
    <definedName name="Trindertriestries">GLO!#REF!</definedName>
    <definedName name="Tshiunzaexepts">EXE!$F$45</definedName>
    <definedName name="Tshiunzaexetries">EXE!$B$45</definedName>
    <definedName name="Tualanorpts">#REF!</definedName>
    <definedName name="TualaNORTRIES">#REF!</definedName>
    <definedName name="Tuffnailtfwpts">TFW!$F$47</definedName>
    <definedName name="Tuffnailtfwtries">TFW!$B$47</definedName>
    <definedName name="Tuilagi__Alesananewgoals">#REF!</definedName>
    <definedName name="Tuilagi_Alesananewpts">#REF!</definedName>
    <definedName name="Tuilagi_Alesananewtries">#REF!</definedName>
    <definedName name="Tuilagi_Aniteleanewpts">#REF!</definedName>
    <definedName name="Tuilagi_Aniteleanewtries">#REF!</definedName>
    <definedName name="Tuilagi_Fleicpts">#REF!</definedName>
    <definedName name="Tuilagi_Fleictries">#REF!</definedName>
    <definedName name="tuilagialesananewatt">#REF!</definedName>
    <definedName name="Tuilagimanupts">#REF!</definedName>
    <definedName name="Tuilagimanutries">#REF!</definedName>
    <definedName name="Tuimaexepts">EXE!$F$46</definedName>
    <definedName name="Tuimaexetries">EXE!$B$46</definedName>
    <definedName name="tuimaharatt">HAR!$K$7</definedName>
    <definedName name="Tuimahargls">HAR!$J$7</definedName>
    <definedName name="Tuimaharpts">HAR!$F$57</definedName>
    <definedName name="Tuimahartries">HAR!$B$57</definedName>
    <definedName name="tuipulotuglopts">GLO!$F$48</definedName>
    <definedName name="Tuipulotuglotries">GLO!$B$48</definedName>
    <definedName name="Tuitavakenorpts">#REF!</definedName>
    <definedName name="Tuitavakenortries">#REF!</definedName>
    <definedName name="Tuitupousampts">#REF!</definedName>
    <definedName name="Tuitupousamtries">#REF!</definedName>
    <definedName name="Tunneywaspts">#REF!</definedName>
    <definedName name="Tunneywastries">#REF!</definedName>
    <definedName name="Tuohybripts">BRI!#REF!</definedName>
    <definedName name="Tuohybritries">BRI!#REF!</definedName>
    <definedName name="Turaniharpts">HAR!$F$58</definedName>
    <definedName name="Turanihartries">HAR!$B$58</definedName>
    <definedName name="Turner_Hallharpts">#REF!</definedName>
    <definedName name="Turner_Hallhartries">#REF!</definedName>
    <definedName name="Turnerexepts">EXE!#REF!</definedName>
    <definedName name="Turnerexetries">EXE!#REF!</definedName>
    <definedName name="Tuttleipts">LEI!$F$40</definedName>
    <definedName name="Tuttleitries">LEI!$B$40</definedName>
    <definedName name="twelvetreesatt">GLO!$K$8</definedName>
    <definedName name="Twelvetreesglopts">GLO!#REF!</definedName>
    <definedName name="Twelvetreesglotries">GLO!#REF!</definedName>
    <definedName name="twelvetreesgoals">GLO!$J$8</definedName>
    <definedName name="Twelvetreespts">GLO!#REF!</definedName>
    <definedName name="Twelvetreestries">GLO!#REF!</definedName>
    <definedName name="Twomeyharpts">#REF!</definedName>
    <definedName name="Twomeyhartries">#REF!</definedName>
    <definedName name="UlsterPts">[1]ULS!$F$59</definedName>
    <definedName name="UlsterTries">[1]ULS!$B$59</definedName>
    <definedName name="umagawasatt">#REF!</definedName>
    <definedName name="umagawasgoals">#REF!</definedName>
    <definedName name="Umagawaspts">#REF!</definedName>
    <definedName name="Umagawastries">#REF!</definedName>
    <definedName name="Underhillbthpts">#REF!</definedName>
    <definedName name="Underhillbthtries">#REF!</definedName>
    <definedName name="UrenBRITRIES">BRI!#REF!</definedName>
    <definedName name="Urentfwpts">TFW!$F$48</definedName>
    <definedName name="Urentfwtries">TFW!$B$48</definedName>
    <definedName name="Uzokwenewpts">#REF!</definedName>
    <definedName name="Uzokwenewtries">#REF!</definedName>
    <definedName name="Vailanusarpts">#REF!</definedName>
    <definedName name="Vailanusartries">#REF!</definedName>
    <definedName name="Vailanuwaspts">#REF!</definedName>
    <definedName name="Vailanuwastries">#REF!</definedName>
    <definedName name="Vainikoloexepts">EXE!#REF!</definedName>
    <definedName name="Vainikoloexetries">EXE!#REF!</definedName>
    <definedName name="Vainikolopts">EXE!#REF!</definedName>
    <definedName name="Vainikolotries">EXE!#REF!</definedName>
    <definedName name="Van_Bredaworpts">#REF!</definedName>
    <definedName name="Van_Bredawortries">#REF!</definedName>
    <definedName name="Van_der_Merwe_Asalpts">#REF!</definedName>
    <definedName name="Van_der_Merwe_Asaltries">#REF!</definedName>
    <definedName name="van_der_Merwelirpts">#REF!</definedName>
    <definedName name="van_der_Merwelirtries">#REF!</definedName>
    <definedName name="van_der_Merweworpts">#REF!</definedName>
    <definedName name="van_der_Merwewortries">#REF!</definedName>
    <definedName name="van_der_Sluysexepts">EXE!$F$48</definedName>
    <definedName name="van_der_Sluysexetries">EXE!$B$48</definedName>
    <definedName name="van_Heerdenexepts">EXE!$F$47</definedName>
    <definedName name="van_Heerdenexetries">EXE!$B$47</definedName>
    <definedName name="van_Poortvlietleicpts">#REF!</definedName>
    <definedName name="van_Poortvlietleictries">#REF!</definedName>
    <definedName name="van_Rensburgsalpts">#REF!</definedName>
    <definedName name="van_Rensburgsaltries">#REF!</definedName>
    <definedName name="van_Rooyenbthpts">#REF!</definedName>
    <definedName name="van_Rooyenbthtries">#REF!</definedName>
    <definedName name="van_Stadenleicpts">#REF!</definedName>
    <definedName name="van_Stadenleictries">#REF!</definedName>
    <definedName name="van_Velzebthpts">#REF!</definedName>
    <definedName name="van_Velzebthtries">#REF!</definedName>
    <definedName name="van_Velzegjpts">#REF!</definedName>
    <definedName name="van_Velzegjtries">#REF!</definedName>
    <definedName name="van_Vuurenbthpts">#REF!</definedName>
    <definedName name="van_Vuurenbthtries">#REF!</definedName>
    <definedName name="van_Wyk_Fleicpts">#REF!</definedName>
    <definedName name="van_Wyk_Fleictries">#REF!</definedName>
    <definedName name="van_Wykkobusleicpts">#REF!</definedName>
    <definedName name="van_Wykkobusleictries">#REF!</definedName>
    <definedName name="van_Wyknorpts">#REF!</definedName>
    <definedName name="van_Wyknortries">#REF!</definedName>
    <definedName name="van_Zyllirpts">BRI!#REF!</definedName>
    <definedName name="van_Zyllirtries">BRI!#REF!</definedName>
    <definedName name="van_Zylsarptscorrect">SAR!$F$46</definedName>
    <definedName name="van_Zylsartriescorrect">SAR!$B$46</definedName>
    <definedName name="vanbredaworatt">#REF!</definedName>
    <definedName name="vanbredaworgls">#REF!</definedName>
    <definedName name="Vanesleicpts">#REF!</definedName>
    <definedName name="Vanesleictries">#REF!</definedName>
    <definedName name="Varleybripts">BRI!$F$45</definedName>
    <definedName name="Varleybritries">BRI!$B$45</definedName>
    <definedName name="Varndelltompts">#REF!</definedName>
    <definedName name="Varndelltomtries">#REF!</definedName>
    <definedName name="Veainuleipts">#REF!</definedName>
    <definedName name="Veainuleitries">#REF!</definedName>
    <definedName name="Veanewpts">#REF!</definedName>
    <definedName name="Veanewtries">#REF!</definedName>
    <definedName name="Veataionelwelshpts">#REF!</definedName>
    <definedName name="Veataionelwelshtries">#REF!</definedName>
    <definedName name="Veataionepts">#REF!</definedName>
    <definedName name="Veataionetroes">#REF!</definedName>
    <definedName name="Vellacottglopts">GLO!#REF!</definedName>
    <definedName name="Vellacottglotries">GLO!#REF!</definedName>
    <definedName name="Vellacottwaspts">#REF!</definedName>
    <definedName name="Vellacottwastries">#REF!</definedName>
    <definedName name="Vellanathanpts">#REF!</definedName>
    <definedName name="Vellanathantries">#REF!</definedName>
    <definedName name="Vendittinewpts">#REF!</definedName>
    <definedName name="Vendittinewtries">#REF!</definedName>
    <definedName name="vennerglohpts">GLO!$F$49</definedName>
    <definedName name="Vennerglohtries">GLO!$B$49</definedName>
    <definedName name="VennerGLOPTS">GLO!#REF!</definedName>
    <definedName name="VennerGLOTRIES">GLO!#REF!</definedName>
    <definedName name="Ventersarptscorrect">SAR!#REF!</definedName>
    <definedName name="Ventersartriescorrect">SAR!#REF!</definedName>
    <definedName name="Venterworpts">#REF!</definedName>
    <definedName name="Venterwortries">#REF!</definedName>
    <definedName name="Verbakelnorpts">#REF!</definedName>
    <definedName name="Verbakelnortries">#REF!</definedName>
    <definedName name="Vermeulenexepts">EXE!#REF!</definedName>
    <definedName name="Vermeulenexetries">EXE!#REF!</definedName>
    <definedName name="Vickersnewpts">#REF!</definedName>
    <definedName name="Vickersnewtries">#REF!</definedName>
    <definedName name="Viljoen_EWleicatt">#REF!</definedName>
    <definedName name="Viljoen_EWleicgls">#REF!</definedName>
    <definedName name="Vinuezasarpts">SAR!#REF!</definedName>
    <definedName name="Vinuezasartries">SAR!#REF!</definedName>
    <definedName name="Visagieglopts">GLO!$F$39</definedName>
    <definedName name="Visagieglotries">GLO!$B$39</definedName>
    <definedName name="Vossleicpts">#REF!</definedName>
    <definedName name="Vossleictries">#REF!</definedName>
    <definedName name="Vuibripts">BRI!#REF!</definedName>
    <definedName name="Vuibritries">BRI!#REF!</definedName>
    <definedName name="Vukasinovicwaspts">#REF!</definedName>
    <definedName name="Vukasinovicwastries">#REF!</definedName>
    <definedName name="Vunabthpts">#REF!</definedName>
    <definedName name="Vunabthtries">#REF!</definedName>
    <definedName name="Vunipola__Makosarpts">#REF!</definedName>
    <definedName name="Vunipola__Makosarptscorrect">SAR!$F$52</definedName>
    <definedName name="Vunipola__Makosartries">#REF!</definedName>
    <definedName name="Vunipola__Makosartriescorrect">SAR!$B$52</definedName>
    <definedName name="Vunipola__Manusarptscorrect">SAR!#REF!</definedName>
    <definedName name="Vunipola__Manusartriescorrect">SAR!#REF!</definedName>
    <definedName name="Vunipola_Bsarpts">#REF!</definedName>
    <definedName name="Vunipola_Bsarptscorrect">SAR!$F$51</definedName>
    <definedName name="Vunipola_Bsartries">#REF!</definedName>
    <definedName name="Vunipola_Bsartriescorrect">SAR!$B$51</definedName>
    <definedName name="Vunipola_Msaratt">#REF!</definedName>
    <definedName name="Vunipola_Msargls">#REF!</definedName>
    <definedName name="Vunipola_Msarpts">#REF!</definedName>
    <definedName name="Vunipola_Msartries">#REF!</definedName>
    <definedName name="Vunipolabillypts">#REF!</definedName>
    <definedName name="vunipolabillytries">#REF!</definedName>
    <definedName name="Vunipolamakopts">#REF!</definedName>
    <definedName name="vunipolamakotries">#REF!</definedName>
    <definedName name="vunipolasarattcorrect">SAR!$K$10</definedName>
    <definedName name="vunipolasarglscorrect">SAR!$J$10</definedName>
    <definedName name="Vunisasarpts">#REF!</definedName>
    <definedName name="Vunisasartries">#REF!</definedName>
    <definedName name="Wacokecokenewpts">#REF!</definedName>
    <definedName name="Wacokecokenewtries">#REF!</definedName>
    <definedName name="Wadepts">#REF!</definedName>
    <definedName name="wadetries">#REF!</definedName>
    <definedName name="wadewasatt">#REF!</definedName>
    <definedName name="Wadewasgls">#REF!</definedName>
    <definedName name="Wadewaspts">#REF!</definedName>
    <definedName name="Wadewastries">#REF!</definedName>
    <definedName name="Waldoucklirpts">BRI!#REF!</definedName>
    <definedName name="Waldoucklirtries">BRI!#REF!</definedName>
    <definedName name="Waldoucknewpts">#REF!</definedName>
    <definedName name="Waldoucknewtries">#REF!</definedName>
    <definedName name="Waldoucknorpts">#REF!</definedName>
    <definedName name="Waldoucknortries">#REF!</definedName>
    <definedName name="Waldromexepts">EXE!#REF!</definedName>
    <definedName name="Waldromexetries">EXE!#REF!</definedName>
    <definedName name="Waldrompts">#REF!</definedName>
    <definedName name="Waldromptscorrect">#REF!</definedName>
    <definedName name="waldromtries">#REF!</definedName>
    <definedName name="Waldromtriescorrect">#REF!</definedName>
    <definedName name="Walkerbthpts">#REF!</definedName>
    <definedName name="Walkerbthtries">#REF!</definedName>
    <definedName name="Walkercharliehqtries">#REF!</definedName>
    <definedName name="Walkercharliepts">#REF!</definedName>
    <definedName name="walkerglohpts">GLO!$F$50</definedName>
    <definedName name="Walkerglohtries">GLO!$B$50</definedName>
    <definedName name="Walkerharpts">#REF!</definedName>
    <definedName name="Walkerhartries">#REF!</definedName>
    <definedName name="Walkernewpts">#REF!</definedName>
    <definedName name="Walkernewtries">#REF!</definedName>
    <definedName name="Wallacebriatt">BRI!#REF!</definedName>
    <definedName name="Wallacebrigls">BRI!#REF!</definedName>
    <definedName name="Wallacebripts">BRI!#REF!</definedName>
    <definedName name="Wallacebritries">BRI!#REF!</definedName>
    <definedName name="Wallacelukepts">#REF!</definedName>
    <definedName name="Wallaceluketries">#REF!</definedName>
    <definedName name="wallerethanpts">#REF!</definedName>
    <definedName name="wallerethantries">#REF!</definedName>
    <definedName name="Wallerworpts">#REF!</definedName>
    <definedName name="Wallerwortries">#REF!</definedName>
    <definedName name="Walshexegls">EXE!#REF!</definedName>
    <definedName name="walshleiatt">#REF!</definedName>
    <definedName name="walshleigls">#REF!</definedName>
    <definedName name="Walshleipts">#REF!</definedName>
    <definedName name="Walshleitries">#REF!</definedName>
    <definedName name="Warddavepts">#REF!</definedName>
    <definedName name="warddavetries">#REF!</definedName>
    <definedName name="Warrsalpts">#REF!</definedName>
    <definedName name="Warrsaltries">#REF!</definedName>
    <definedName name="warwickatt">#REF!</definedName>
    <definedName name="warwickgoals">#REF!</definedName>
    <definedName name="Warwickpaulpts">#REF!</definedName>
    <definedName name="Warwickpaultries">#REF!</definedName>
    <definedName name="waslhexeatt">EXE!#REF!</definedName>
    <definedName name="waspspenaltytriespts">#REF!</definedName>
    <definedName name="waspspenaltytriestries">#REF!</definedName>
    <definedName name="waspspentries">#REF!</definedName>
    <definedName name="Waspspentriespts">#REF!</definedName>
    <definedName name="WaspsPts">#REF!</definedName>
    <definedName name="WaspsTries">#REF!</definedName>
    <definedName name="Wassellloupts">LOU!#REF!</definedName>
    <definedName name="Wassellloutries">LOU!#REF!</definedName>
    <definedName name="Wasselltfwpts">TFW!$F$49</definedName>
    <definedName name="Wasselltfwtries">TFW!$B$49</definedName>
    <definedName name="Watersharpts">#REF!</definedName>
    <definedName name="Watershartries">#REF!</definedName>
    <definedName name="Waterswelpts">#REF!</definedName>
    <definedName name="Watersweltries">#REF!</definedName>
    <definedName name="Watsonanthonypts">#REF!</definedName>
    <definedName name="Watsonanthonytries">#REF!</definedName>
    <definedName name="Watsonleicpts">#REF!</definedName>
    <definedName name="Watsonleictries">#REF!</definedName>
    <definedName name="Watsonnewpts">#REF!</definedName>
    <definedName name="Watsonnewtriwes">#REF!</definedName>
    <definedName name="Watsonsarpts">#REF!</definedName>
    <definedName name="Watsonsartries">#REF!</definedName>
    <definedName name="Watsonwaspts">#REF!</definedName>
    <definedName name="Watsonwastries">#REF!</definedName>
    <definedName name="Waudbyloupts">LOU!$F$36</definedName>
    <definedName name="Waudbyloutries">LOU!$B$36</definedName>
    <definedName name="Webberpts">#REF!</definedName>
    <definedName name="Webberrobtries">#REF!</definedName>
    <definedName name="Webbersalpts">#REF!</definedName>
    <definedName name="Webbersaltries">#REF!</definedName>
    <definedName name="Webbertries">#REF!</definedName>
    <definedName name="Wedervangharpts">HAR!$F$59</definedName>
    <definedName name="Wedervanghartries">HAR!$B$59</definedName>
    <definedName name="Weepuwelshpts">#REF!</definedName>
    <definedName name="Weepuwelshtries">#REF!</definedName>
    <definedName name="Weirworpts">#REF!</definedName>
    <definedName name="Weirwortries">#REF!</definedName>
    <definedName name="Welchdamianpts">EXE!#REF!</definedName>
    <definedName name="Welchdamiantries">EXE!#REF!</definedName>
    <definedName name="Welchexepts">EXE!#REF!</definedName>
    <definedName name="Welchexetries">EXE!#REF!</definedName>
    <definedName name="Welchwillpts">#REF!</definedName>
    <definedName name="Welchwilltries">#REF!</definedName>
    <definedName name="Wellsharrypts">#REF!</definedName>
    <definedName name="Wellsharrytries">#REF!</definedName>
    <definedName name="Wellsleicpts">#REF!</definedName>
    <definedName name="Wellsleictries">#REF!</definedName>
    <definedName name="Welshnewpts">#REF!</definedName>
    <definedName name="Welshnewtries">#REF!</definedName>
    <definedName name="Westbenpts">#REF!</definedName>
    <definedName name="Westbentries">#REF!</definedName>
    <definedName name="Westcombe_Evansloupts">LOU!$F$40</definedName>
    <definedName name="Westcombe_Evanslouptscorrect">LOU!$F$38</definedName>
    <definedName name="Westcombe_Evansloutriescorrect">LOU!$B$38</definedName>
    <definedName name="Westcombe_Evansloutris">LOU!$B$40</definedName>
    <definedName name="Westwaspts">#REF!</definedName>
    <definedName name="Westwastries">#REF!</definedName>
    <definedName name="White_NexeptsCORRECT">EXE!#REF!</definedName>
    <definedName name="White_Nicexepts">EXE!#REF!</definedName>
    <definedName name="White_Nicexetries">EXE!#REF!</definedName>
    <definedName name="Whiteexepts">EXE!#REF!</definedName>
    <definedName name="Whiteharpts">#REF!</definedName>
    <definedName name="Whitehartries">#REF!</definedName>
    <definedName name="Whiteheadchrispts">EXE!#REF!</definedName>
    <definedName name="Whiteheadchristries">EXE!#REF!</definedName>
    <definedName name="Whiteleicpts">#REF!</definedName>
    <definedName name="Whiteleictries">#REF!</definedName>
    <definedName name="whiteleybriatt">BRI!#REF!</definedName>
    <definedName name="Whiteleybrigls">BRI!#REF!</definedName>
    <definedName name="Whiteleybripts">BRI!#REF!</definedName>
    <definedName name="Whiteleybritries">BRI!#REF!</definedName>
    <definedName name="whiteleysaratt">#REF!</definedName>
    <definedName name="Whiteleysargls">#REF!</definedName>
    <definedName name="Whiteleysarpts">#REF!</definedName>
    <definedName name="Whiteleysartries">#REF!</definedName>
    <definedName name="Whitelirpts">#REF!</definedName>
    <definedName name="Whitelirtries">#REF!</definedName>
    <definedName name="Whitepts">EXE!#REF!</definedName>
    <definedName name="Whitetfwpts">TFW!$F$50</definedName>
    <definedName name="Whitetfwtries">TFW!$B$50</definedName>
    <definedName name="whitetrie">EXE!#REF!</definedName>
    <definedName name="Whittenpts">EXE!$F$49</definedName>
    <definedName name="Whittentries">EXE!$B$49</definedName>
    <definedName name="Wieseleicpts">#REF!</definedName>
    <definedName name="Wieseleictries">#REF!</definedName>
    <definedName name="Wigglesworthleictries">#REF!</definedName>
    <definedName name="Wigglesworthlicpts">#REF!</definedName>
    <definedName name="Wigglesworthrichardpts">#REF!</definedName>
    <definedName name="Wigglesworthrichardtries">#REF!</definedName>
    <definedName name="wigglesworthsaratt">#REF!</definedName>
    <definedName name="Wigglesworthsargoals">#REF!</definedName>
    <definedName name="Wilcockharpts">HAR!$F$60</definedName>
    <definedName name="Wilcockhartries">HAR!$B$60</definedName>
    <definedName name="Wiliamsnewtries">#REF!</definedName>
    <definedName name="Wilkinsnorpts">#REF!</definedName>
    <definedName name="Wilkinsnortries">#REF!</definedName>
    <definedName name="Wilkinsonbripts">BRI!$F$48</definedName>
    <definedName name="Wilkinsonbritries">BRI!$B$48</definedName>
    <definedName name="wilkinsonsalatt">#REF!</definedName>
    <definedName name="wilkinsonsalgls">#REF!</definedName>
    <definedName name="Wilkinsonsalpts">#REF!</definedName>
    <definedName name="Wilkinsonsaltries">#REF!</definedName>
    <definedName name="Wilkinssalatt">SAL!#REF!</definedName>
    <definedName name="Wilkinssalgls">SAL!#REF!</definedName>
    <definedName name="Wilkinssalpts">SAL!$F$53</definedName>
    <definedName name="Wilkinssaltries">SAL!$B$53</definedName>
    <definedName name="Willemsesarpts">#REF!</definedName>
    <definedName name="Willemsesartries">#REF!</definedName>
    <definedName name="Williams_Cloupts">LOU!$F$41</definedName>
    <definedName name="Williams_Cloutries">LOU!$B$41</definedName>
    <definedName name="Williams_Jbstpts">BRI!#REF!</definedName>
    <definedName name="Williams_Jbsttries">BRI!#REF!</definedName>
    <definedName name="Williams_Morrisglopts">GLO!$F$52</definedName>
    <definedName name="Williams_Morrisglotries">GLO!$B$52</definedName>
    <definedName name="Williams_Rbstpts">BRI!#REF!</definedName>
    <definedName name="Williams_Rbsttries">BRI!#REF!</definedName>
    <definedName name="Williamsbenpts">#REF!</definedName>
    <definedName name="Williamsbentries">#REF!</definedName>
    <definedName name="williamsbriatt">BRI!#REF!</definedName>
    <definedName name="williamsbrigls">BRI!#REF!</definedName>
    <definedName name="Williamsbripts">BRI!#REF!</definedName>
    <definedName name="Williamsbritries">BRI!#REF!</definedName>
    <definedName name="Williamsexepts">EXE!#REF!</definedName>
    <definedName name="Williamsexetries">EXE!#REF!</definedName>
    <definedName name="williamsglopts">GLO!#REF!</definedName>
    <definedName name="williamsglotries">GLO!#REF!</definedName>
    <definedName name="Williamsjohnnylirpts">BRI!#REF!</definedName>
    <definedName name="Williamsjohnnylirtries">BRI!#REF!</definedName>
    <definedName name="Williamsleipts">#REF!</definedName>
    <definedName name="Williamsleitries">#REF!</definedName>
    <definedName name="Williamsloupts">LOU!$F$39</definedName>
    <definedName name="Williamsloutries">LOU!$B$39</definedName>
    <definedName name="Williamsmikepts">#REF!</definedName>
    <definedName name="Williamsmiketries">#REF!</definedName>
    <definedName name="Williamsmiketriescorrect">#REF!</definedName>
    <definedName name="williamsnewatt">#REF!</definedName>
    <definedName name="Williamsnewgls">#REF!</definedName>
    <definedName name="Williamsnewpts">#REF!</definedName>
    <definedName name="Williamsnorpts">#REF!</definedName>
    <definedName name="Williamsnortries">#REF!</definedName>
    <definedName name="williamsowenatt">#REF!</definedName>
    <definedName name="williamsowengoals">#REF!</definedName>
    <definedName name="Williamsowenpts">#REF!</definedName>
    <definedName name="Williamsowenptscorrect">#REF!</definedName>
    <definedName name="williamssalatt">#REF!</definedName>
    <definedName name="williamssalgls">#REF!</definedName>
    <definedName name="Williamssalpts">#REF!</definedName>
    <definedName name="Williamssaltries">#REF!</definedName>
    <definedName name="Williamssarpts">#REF!</definedName>
    <definedName name="Williamssartries">#REF!</definedName>
    <definedName name="Williamstompts">#REF!</definedName>
    <definedName name="Williamstomtries">#REF!</definedName>
    <definedName name="Williamstomtriescorrect">#REF!</definedName>
    <definedName name="williamsworatt">#REF!</definedName>
    <definedName name="Williamsworgls">#REF!</definedName>
    <definedName name="Williamsworpts">#REF!</definedName>
    <definedName name="Williamswortries">#REF!</definedName>
    <definedName name="Willis_Twaspts">#REF!</definedName>
    <definedName name="Willis_Twastries">#REF!</definedName>
    <definedName name="Willismewtries">#REF!</definedName>
    <definedName name="willisnewatt">#REF!</definedName>
    <definedName name="Willisnewgoals">#REF!</definedName>
    <definedName name="Willisnewpts">#REF!</definedName>
    <definedName name="Willisonbthpts">#REF!</definedName>
    <definedName name="Willisonbthtries">#REF!</definedName>
    <definedName name="Willisonworpts">#REF!</definedName>
    <definedName name="Willisonwortries">#REF!</definedName>
    <definedName name="Williswaspts">#REF!</definedName>
    <definedName name="Williswastries">#REF!</definedName>
    <definedName name="Willsleipts">LEI!$F$41</definedName>
    <definedName name="Willsleitries">LEI!$B$41</definedName>
    <definedName name="Wilson__Jamesbthgls">#REF!</definedName>
    <definedName name="Wilson__Jamesbthpts">#REF!</definedName>
    <definedName name="Wilson__Jamesbthptscorrect">#REF!</definedName>
    <definedName name="Wilson__Jamesbthtries">#REF!</definedName>
    <definedName name="Wilson__Jamesbthtriescorrect">#REF!</definedName>
    <definedName name="Wilson_Dnewpts">#REF!</definedName>
    <definedName name="Wilson_Dnewtries">#REF!</definedName>
    <definedName name="Wilson_Markpts">#REF!</definedName>
    <definedName name="Wilson_Marktries">#REF!</definedName>
    <definedName name="Wilson_Snewpts">#REF!</definedName>
    <definedName name="Wilson_Snewtries">#REF!</definedName>
    <definedName name="Wilsonbatpts">#REF!</definedName>
    <definedName name="Wilsonbattries">#REF!</definedName>
    <definedName name="Wilsondavidpts">#REF!</definedName>
    <definedName name="Wilsondavidtries">#REF!</definedName>
    <definedName name="Wilsonjackpts">#REF!</definedName>
    <definedName name="Wilsonjacktries">#REF!</definedName>
    <definedName name="Wilsonjacktriescorr">#REF!</definedName>
    <definedName name="Wilsonjacktriescorrect">#REF!</definedName>
    <definedName name="wilsonjamesatt">#REF!</definedName>
    <definedName name="wilsonjamesbthatt">#REF!</definedName>
    <definedName name="wilsonjamesbthgls">#REF!</definedName>
    <definedName name="Wilsonjamesgoals">#REF!</definedName>
    <definedName name="Wilsonjamesnorpts">#REF!</definedName>
    <definedName name="Wilsonjamespts">#REF!</definedName>
    <definedName name="Wilsonjamesptscorrect">#REF!</definedName>
    <definedName name="wilsonjamestries">#REF!</definedName>
    <definedName name="Wilsonjamestriescorrect">#REF!</definedName>
    <definedName name="wilsonjbthatt">#REF!</definedName>
    <definedName name="Wilsonnewpts">#REF!</definedName>
    <definedName name="Wilsonnewtries">#REF!</definedName>
    <definedName name="Wilsonsarpts">SAR!$F$53</definedName>
    <definedName name="Wilsonsartries">SAR!$B$53</definedName>
    <definedName name="wilsteadbriatt">BRI!#REF!</definedName>
    <definedName name="wilsteadbrigls">BRI!#REF!</definedName>
    <definedName name="Wilsteadbripts">BRI!#REF!</definedName>
    <definedName name="Wilsteadbritries">BRI!#REF!</definedName>
    <definedName name="Wittyexepts">EXE!#REF!</definedName>
    <definedName name="Wittyexetries">EXE!#REF!</definedName>
    <definedName name="Wittynewpts">#REF!</definedName>
    <definedName name="Wittynewtries">#REF!</definedName>
    <definedName name="Wolstenholmewaspts">#REF!</definedName>
    <definedName name="Wolstenholmewastries">#REF!</definedName>
    <definedName name="Wolstenhomewaspts">#REF!</definedName>
    <definedName name="Woodburnexepts">EXE!#REF!</definedName>
    <definedName name="Woodburnexetries">EXE!#REF!</definedName>
    <definedName name="Woodburnollypts">#REF!</definedName>
    <definedName name="woodburnollytries">#REF!</definedName>
    <definedName name="Woodburnworpts">#REF!</definedName>
    <definedName name="Woodburnwortries">#REF!</definedName>
    <definedName name="Woodglopts">GLO!#REF!</definedName>
    <definedName name="Woodglotries">GLO!#REF!</definedName>
    <definedName name="Woodmanglopts">GLO!$F$53</definedName>
    <definedName name="Woodmanglotries">GLO!$B$53</definedName>
    <definedName name="Woodsalpts">SAL!$F$54</definedName>
    <definedName name="Woodsaltries">SAL!$B$54</definedName>
    <definedName name="WoodTFWPTS">TFW!$F$53</definedName>
    <definedName name="WoodTFWTRIES">TFW!$B$53</definedName>
    <definedName name="Woodtompts">#REF!</definedName>
    <definedName name="Woodtomptscorrect">#REF!</definedName>
    <definedName name="woodtomtries">#REF!</definedName>
    <definedName name="Woodtomtriescorrect">#REF!</definedName>
    <definedName name="woodwardbriatt">BRI!#REF!</definedName>
    <definedName name="Woodwardbrigoals">BRI!#REF!</definedName>
    <definedName name="Woodwardbripts">BRI!#REF!</definedName>
    <definedName name="Woodwardbritries">BRI!#REF!</definedName>
    <definedName name="Woodwardglopts">GLO!$F$51</definedName>
    <definedName name="Woodwardglotries">GLO!$B$51</definedName>
    <definedName name="Woolfordnorpts">#REF!</definedName>
    <definedName name="Woolfordnortries">#REF!</definedName>
    <definedName name="Woolmoreexepts">EXE!#REF!</definedName>
    <definedName name="Woolmoreexetries">EXE!#REF!</definedName>
    <definedName name="WoolstencroftEurTries">SAR!#REF!</definedName>
    <definedName name="Woolstencroftsarpts">#REF!</definedName>
    <definedName name="Woolstencroftsarptscorrect">SAR!$F$55</definedName>
    <definedName name="Woolstencroftsartries">#REF!</definedName>
    <definedName name="Woolstencroftsartriescorrect">SAR!$B$55</definedName>
    <definedName name="Woolstencroftwaspts">#REF!</definedName>
    <definedName name="Woolstencroftwastries">#REF!</definedName>
    <definedName name="woratt">#REF!</definedName>
    <definedName name="worboysbthatt">#REF!</definedName>
    <definedName name="worboysbthgls">#REF!</definedName>
    <definedName name="Worboysbthpts">#REF!</definedName>
    <definedName name="WorboysBTHTRIES">#REF!</definedName>
    <definedName name="worcesterpentries">#REF!</definedName>
    <definedName name="worcesterpentriespts">#REF!</definedName>
    <definedName name="WorcesterPts">#REF!</definedName>
    <definedName name="WorcesterTries">#REF!</definedName>
    <definedName name="Worleynorpts">#REF!</definedName>
    <definedName name="Worleynortries">#REF!</definedName>
    <definedName name="worsleybriatt">BRI!$K$12</definedName>
    <definedName name="worsleybrigls">BRI!$J$12</definedName>
    <definedName name="worthleiatt">#REF!</definedName>
    <definedName name="worthleigoals">#REF!</definedName>
    <definedName name="Worthleipts">#REF!</definedName>
    <definedName name="Worthleitries">#REF!</definedName>
    <definedName name="Wrayjacksonpts">#REF!</definedName>
    <definedName name="Wrayjacksontries">#REF!</definedName>
    <definedName name="Wraysarptscorrect">SAR!$F$56</definedName>
    <definedName name="Wraysartriescorrect">SAR!$B$56</definedName>
    <definedName name="Wrightnewpts">#REF!</definedName>
    <definedName name="Wrightnewtries">#REF!</definedName>
    <definedName name="Wrightsalpts">SAL!$F$56</definedName>
    <definedName name="Wrightsaltries">SAL!$B$56</definedName>
    <definedName name="Wyattexepts">EXE!#REF!</definedName>
    <definedName name="Wyattexetries">EXE!#REF!</definedName>
    <definedName name="Wylespts">#REF!</definedName>
    <definedName name="wylestries">#REF!</definedName>
    <definedName name="Wytheharpts">HAR!$F$61</definedName>
    <definedName name="Wythehartries">HAR!$B$61</definedName>
    <definedName name="Yamamotosalgls">SAL!#REF!</definedName>
    <definedName name="Yamamotosalpts">SAL!#REF!</definedName>
    <definedName name="Yamamotosaltries">SAL!#REF!</definedName>
    <definedName name="yammotosalatt">SAL!#REF!</definedName>
    <definedName name="Yappwaspts">#REF!</definedName>
    <definedName name="Yappwastries">#REF!</definedName>
    <definedName name="Yardeharpts">#REF!</definedName>
    <definedName name="Yardehartries">#REF!</definedName>
    <definedName name="Yardepts">BRI!#REF!</definedName>
    <definedName name="Yardesalpts">#REF!</definedName>
    <definedName name="Yardesaltries">#REF!</definedName>
    <definedName name="yardetries">BRI!#REF!</definedName>
    <definedName name="Yeandlejackpts">EXE!#REF!</definedName>
    <definedName name="Yeandlejacktries">EXE!#REF!</definedName>
    <definedName name="Yorkchrispts">#REF!</definedName>
    <definedName name="Yorkchristries">#REF!</definedName>
    <definedName name="Young_Gnewpts">#REF!</definedName>
    <definedName name="Young_Gnewtries">#REF!</definedName>
    <definedName name="Youngmickypts">#REF!</definedName>
    <definedName name="Youngmickytries">#REF!</definedName>
    <definedName name="youngsbatt">#REF!</definedName>
    <definedName name="Youngsbenpts">#REF!</definedName>
    <definedName name="Youngsbenptscorrect">#REF!</definedName>
    <definedName name="youngsbentries">#REF!</definedName>
    <definedName name="youngsbgoals">#REF!</definedName>
    <definedName name="youngstompts">#REF!</definedName>
    <definedName name="youngstomtries">#REF!</definedName>
    <definedName name="Youngwaspts">#REF!</definedName>
    <definedName name="Youngwastries">#REF!</definedName>
    <definedName name="Zackarytfrpts">TFW!$F$54</definedName>
    <definedName name="Zackarytfrtries">TFW!$B$54</definedName>
    <definedName name="ZebrePts">[1]ZEB!$F$49</definedName>
    <definedName name="ZebreTries">[1]ZEB!$B$49</definedName>
    <definedName name="Zhvaniawaspts">#REF!</definedName>
    <definedName name="Zhvaniawastries">#REF!</definedName>
  </definedNames>
  <calcPr calcId="191029"/>
  <fileRecoveryPr autoRecover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5" i="17" l="1"/>
  <c r="G85" i="17"/>
  <c r="F85" i="17"/>
  <c r="H85" i="17" s="1"/>
  <c r="C85" i="17"/>
  <c r="B85" i="17"/>
  <c r="D85" i="17" s="1"/>
  <c r="H59" i="17"/>
  <c r="D59" i="17"/>
  <c r="H84" i="17"/>
  <c r="D84" i="17"/>
  <c r="H83" i="17"/>
  <c r="D83" i="17"/>
  <c r="H82" i="17"/>
  <c r="D82" i="17"/>
  <c r="H81" i="17"/>
  <c r="D81" i="17"/>
  <c r="H80" i="17"/>
  <c r="D80" i="17"/>
  <c r="H58" i="17"/>
  <c r="D58" i="17"/>
  <c r="H79" i="17"/>
  <c r="D79" i="17"/>
  <c r="H78" i="17"/>
  <c r="D78" i="17"/>
  <c r="H77" i="17"/>
  <c r="D77" i="17"/>
  <c r="H60" i="17"/>
  <c r="D76" i="17"/>
  <c r="H48" i="17"/>
  <c r="D52" i="17"/>
  <c r="H76" i="17"/>
  <c r="D75" i="17"/>
  <c r="H53" i="17"/>
  <c r="D51" i="17"/>
  <c r="H75" i="17"/>
  <c r="D74" i="17"/>
  <c r="H74" i="17"/>
  <c r="D73" i="17"/>
  <c r="H47" i="17"/>
  <c r="D46" i="17"/>
  <c r="H52" i="17"/>
  <c r="D50" i="17"/>
  <c r="H51" i="17"/>
  <c r="D49" i="17"/>
  <c r="H73" i="17"/>
  <c r="D72" i="17"/>
  <c r="H57" i="17"/>
  <c r="D57" i="17"/>
  <c r="H72" i="17"/>
  <c r="D71" i="17"/>
  <c r="H50" i="17"/>
  <c r="D48" i="17"/>
  <c r="H71" i="17"/>
  <c r="D70" i="17"/>
  <c r="H70" i="17"/>
  <c r="D69" i="17"/>
  <c r="H69" i="17"/>
  <c r="D68" i="17"/>
  <c r="H46" i="17"/>
  <c r="D47" i="17"/>
  <c r="H56" i="17"/>
  <c r="D56" i="17"/>
  <c r="H68" i="17"/>
  <c r="D67" i="17"/>
  <c r="H67" i="17"/>
  <c r="D66" i="17"/>
  <c r="H55" i="17"/>
  <c r="D55" i="17"/>
  <c r="H54" i="17"/>
  <c r="D54" i="17"/>
  <c r="H66" i="17"/>
  <c r="D65" i="17"/>
  <c r="H65" i="17"/>
  <c r="D64" i="17"/>
  <c r="H64" i="17"/>
  <c r="D63" i="17"/>
  <c r="H49" i="17"/>
  <c r="D53" i="17"/>
  <c r="H63" i="17"/>
  <c r="D62" i="17"/>
  <c r="H62" i="17"/>
  <c r="D61" i="17"/>
  <c r="H61" i="17"/>
  <c r="D60" i="17"/>
  <c r="O5" i="3"/>
  <c r="O8" i="3"/>
  <c r="F185" i="13"/>
  <c r="C176" i="13"/>
  <c r="G109" i="3"/>
  <c r="F109" i="3"/>
  <c r="C109" i="3"/>
  <c r="B109" i="3"/>
  <c r="H108" i="3"/>
  <c r="D108" i="3"/>
  <c r="H91" i="3"/>
  <c r="D89" i="3"/>
  <c r="H70" i="3"/>
  <c r="D69" i="3"/>
  <c r="H107" i="3"/>
  <c r="D107" i="3"/>
  <c r="H59" i="3"/>
  <c r="D58" i="3"/>
  <c r="H69" i="3"/>
  <c r="D68" i="3"/>
  <c r="H106" i="3"/>
  <c r="D106" i="3"/>
  <c r="H90" i="3"/>
  <c r="D88" i="3"/>
  <c r="H58" i="3"/>
  <c r="D64" i="3"/>
  <c r="H89" i="3"/>
  <c r="D87" i="3"/>
  <c r="H74" i="3"/>
  <c r="D72" i="3"/>
  <c r="H105" i="3"/>
  <c r="D105" i="3"/>
  <c r="H104" i="3"/>
  <c r="D104" i="3"/>
  <c r="H103" i="3"/>
  <c r="D103" i="3"/>
  <c r="H102" i="3"/>
  <c r="D102" i="3"/>
  <c r="H88" i="3"/>
  <c r="D86" i="3"/>
  <c r="H87" i="3"/>
  <c r="D85" i="3"/>
  <c r="H80" i="3"/>
  <c r="D78" i="3"/>
  <c r="H81" i="3"/>
  <c r="D84" i="3"/>
  <c r="H68" i="3"/>
  <c r="D67" i="3"/>
  <c r="H73" i="3"/>
  <c r="D71" i="3"/>
  <c r="H64" i="3"/>
  <c r="D62" i="3"/>
  <c r="H65" i="3"/>
  <c r="D63" i="3"/>
  <c r="H101" i="3"/>
  <c r="D101" i="3"/>
  <c r="H62" i="3"/>
  <c r="D60" i="3"/>
  <c r="H79" i="3"/>
  <c r="D77" i="3"/>
  <c r="H78" i="3"/>
  <c r="D76" i="3"/>
  <c r="H63" i="3"/>
  <c r="D61" i="3"/>
  <c r="H100" i="3"/>
  <c r="D100" i="3"/>
  <c r="H86" i="3"/>
  <c r="D83" i="3"/>
  <c r="H99" i="3"/>
  <c r="D99" i="3"/>
  <c r="H85" i="3"/>
  <c r="D82" i="3"/>
  <c r="H61" i="3"/>
  <c r="D59" i="3"/>
  <c r="H77" i="3"/>
  <c r="D98" i="3"/>
  <c r="H71" i="3"/>
  <c r="D75" i="3"/>
  <c r="H60" i="3"/>
  <c r="D97" i="3"/>
  <c r="H76" i="3"/>
  <c r="D74" i="3"/>
  <c r="H98" i="3"/>
  <c r="D96" i="3"/>
  <c r="H67" i="3"/>
  <c r="D66" i="3"/>
  <c r="H84" i="3"/>
  <c r="D81" i="3"/>
  <c r="H97" i="3"/>
  <c r="D95" i="3"/>
  <c r="H66" i="3"/>
  <c r="D65" i="3"/>
  <c r="H96" i="3"/>
  <c r="D94" i="3"/>
  <c r="H95" i="3"/>
  <c r="D93" i="3"/>
  <c r="H94" i="3"/>
  <c r="D92" i="3"/>
  <c r="H83" i="3"/>
  <c r="D80" i="3"/>
  <c r="H75" i="3"/>
  <c r="D73" i="3"/>
  <c r="H93" i="3"/>
  <c r="D91" i="3"/>
  <c r="H82" i="3"/>
  <c r="D79" i="3"/>
  <c r="H72" i="3"/>
  <c r="D70" i="3"/>
  <c r="H92" i="3"/>
  <c r="D90" i="3"/>
  <c r="H37" i="3"/>
  <c r="D37" i="3"/>
  <c r="G85" i="18"/>
  <c r="F85" i="18"/>
  <c r="H85" i="18" s="1"/>
  <c r="C85" i="18"/>
  <c r="B85" i="18"/>
  <c r="D85" i="18" s="1"/>
  <c r="H84" i="18"/>
  <c r="D84" i="18"/>
  <c r="H83" i="18"/>
  <c r="D83" i="18"/>
  <c r="H67" i="18"/>
  <c r="D65" i="18"/>
  <c r="H47" i="18"/>
  <c r="D46" i="18"/>
  <c r="H82" i="18"/>
  <c r="D82" i="18"/>
  <c r="H66" i="18"/>
  <c r="D64" i="18"/>
  <c r="H53" i="18"/>
  <c r="D51" i="18"/>
  <c r="H81" i="18"/>
  <c r="D81" i="18"/>
  <c r="H65" i="18"/>
  <c r="D63" i="18"/>
  <c r="H55" i="18"/>
  <c r="D52" i="18"/>
  <c r="H60" i="18"/>
  <c r="D57" i="18"/>
  <c r="H54" i="18"/>
  <c r="D80" i="18"/>
  <c r="H74" i="18"/>
  <c r="D72" i="18"/>
  <c r="H80" i="18"/>
  <c r="D79" i="18"/>
  <c r="H46" i="18"/>
  <c r="D78" i="18"/>
  <c r="H59" i="18"/>
  <c r="D56" i="18"/>
  <c r="H58" i="18"/>
  <c r="D55" i="18"/>
  <c r="H73" i="18"/>
  <c r="D71" i="18"/>
  <c r="H79" i="18"/>
  <c r="D77" i="18"/>
  <c r="H78" i="18"/>
  <c r="D76" i="18"/>
  <c r="H57" i="18"/>
  <c r="D54" i="18"/>
  <c r="H50" i="18"/>
  <c r="D49" i="18"/>
  <c r="H77" i="18"/>
  <c r="D75" i="18"/>
  <c r="H49" i="18"/>
  <c r="D47" i="18"/>
  <c r="H64" i="18"/>
  <c r="D62" i="18"/>
  <c r="H52" i="18"/>
  <c r="D50" i="18"/>
  <c r="H48" i="18"/>
  <c r="D61" i="18"/>
  <c r="H72" i="18"/>
  <c r="D70" i="18"/>
  <c r="H63" i="18"/>
  <c r="D60" i="18"/>
  <c r="H71" i="18"/>
  <c r="D69" i="18"/>
  <c r="H70" i="18"/>
  <c r="D68" i="18"/>
  <c r="H69" i="18"/>
  <c r="D67" i="18"/>
  <c r="H51" i="18"/>
  <c r="D48" i="18"/>
  <c r="H68" i="18"/>
  <c r="D66" i="18"/>
  <c r="H76" i="18"/>
  <c r="D74" i="18"/>
  <c r="H62" i="18"/>
  <c r="D59" i="18"/>
  <c r="H56" i="18"/>
  <c r="D53" i="18"/>
  <c r="H61" i="18"/>
  <c r="D58" i="18"/>
  <c r="H75" i="18"/>
  <c r="D73" i="18"/>
  <c r="L9" i="19"/>
  <c r="O9" i="19"/>
  <c r="G111" i="19"/>
  <c r="F111" i="19"/>
  <c r="H111" i="19" s="1"/>
  <c r="C111" i="19"/>
  <c r="B111" i="19"/>
  <c r="D111" i="19" s="1"/>
  <c r="H71" i="19"/>
  <c r="D69" i="19"/>
  <c r="H110" i="19"/>
  <c r="D110" i="19"/>
  <c r="H109" i="19"/>
  <c r="D109" i="19"/>
  <c r="H108" i="19"/>
  <c r="D108" i="19"/>
  <c r="H63" i="19"/>
  <c r="D60" i="19"/>
  <c r="H89" i="19"/>
  <c r="D89" i="19"/>
  <c r="H88" i="19"/>
  <c r="D88" i="19"/>
  <c r="H68" i="19"/>
  <c r="D67" i="19"/>
  <c r="H107" i="19"/>
  <c r="D107" i="19"/>
  <c r="H69" i="19"/>
  <c r="D87" i="19"/>
  <c r="H87" i="19"/>
  <c r="D86" i="19"/>
  <c r="H106" i="19"/>
  <c r="D106" i="19"/>
  <c r="H105" i="19"/>
  <c r="D105" i="19"/>
  <c r="H78" i="19"/>
  <c r="D77" i="19"/>
  <c r="H86" i="19"/>
  <c r="D85" i="19"/>
  <c r="H62" i="19"/>
  <c r="D59" i="19"/>
  <c r="H104" i="19"/>
  <c r="D104" i="19"/>
  <c r="H79" i="19"/>
  <c r="D84" i="19"/>
  <c r="H85" i="19"/>
  <c r="D83" i="19"/>
  <c r="H103" i="19"/>
  <c r="D103" i="19"/>
  <c r="H77" i="19"/>
  <c r="D76" i="19"/>
  <c r="H102" i="19"/>
  <c r="D102" i="19"/>
  <c r="H76" i="19"/>
  <c r="D75" i="19"/>
  <c r="H101" i="19"/>
  <c r="D101" i="19"/>
  <c r="H75" i="19"/>
  <c r="D74" i="19"/>
  <c r="H84" i="19"/>
  <c r="D82" i="19"/>
  <c r="H100" i="19"/>
  <c r="D100" i="19"/>
  <c r="H65" i="19"/>
  <c r="D62" i="19"/>
  <c r="H83" i="19"/>
  <c r="D81" i="19"/>
  <c r="H61" i="19"/>
  <c r="D73" i="19"/>
  <c r="H82" i="19"/>
  <c r="D80" i="19"/>
  <c r="H81" i="19"/>
  <c r="D79" i="19"/>
  <c r="H60" i="19"/>
  <c r="D66" i="19"/>
  <c r="H99" i="19"/>
  <c r="D99" i="19"/>
  <c r="H74" i="19"/>
  <c r="D72" i="19"/>
  <c r="H59" i="19"/>
  <c r="D65" i="19"/>
  <c r="H98" i="19"/>
  <c r="D98" i="19"/>
  <c r="H73" i="19"/>
  <c r="D71" i="19"/>
  <c r="H97" i="19"/>
  <c r="D97" i="19"/>
  <c r="H96" i="19"/>
  <c r="D96" i="19"/>
  <c r="H95" i="19"/>
  <c r="D95" i="19"/>
  <c r="H64" i="19"/>
  <c r="D61" i="19"/>
  <c r="H94" i="19"/>
  <c r="D94" i="19"/>
  <c r="H93" i="19"/>
  <c r="D93" i="19"/>
  <c r="H80" i="19"/>
  <c r="D78" i="19"/>
  <c r="H67" i="19"/>
  <c r="D64" i="19"/>
  <c r="H66" i="19"/>
  <c r="D63" i="19"/>
  <c r="H92" i="19"/>
  <c r="D92" i="19"/>
  <c r="H70" i="19"/>
  <c r="D68" i="19"/>
  <c r="H91" i="19"/>
  <c r="D91" i="19"/>
  <c r="H90" i="19"/>
  <c r="D90" i="19"/>
  <c r="H72" i="19"/>
  <c r="D70" i="19"/>
  <c r="G115" i="14"/>
  <c r="F115" i="14"/>
  <c r="H115" i="14" s="1"/>
  <c r="C115" i="14"/>
  <c r="B115" i="14"/>
  <c r="D115" i="14" s="1"/>
  <c r="H93" i="14"/>
  <c r="D92" i="14"/>
  <c r="H73" i="14"/>
  <c r="D71" i="14"/>
  <c r="H78" i="14"/>
  <c r="D77" i="14"/>
  <c r="H92" i="14"/>
  <c r="D91" i="14"/>
  <c r="H91" i="14"/>
  <c r="D90" i="14"/>
  <c r="H114" i="14"/>
  <c r="D114" i="14"/>
  <c r="H77" i="14"/>
  <c r="D76" i="14"/>
  <c r="H90" i="14"/>
  <c r="D89" i="14"/>
  <c r="H72" i="14"/>
  <c r="D70" i="14"/>
  <c r="H89" i="14"/>
  <c r="D88" i="14"/>
  <c r="H82" i="14"/>
  <c r="D81" i="14"/>
  <c r="H113" i="14"/>
  <c r="D113" i="14"/>
  <c r="H76" i="14"/>
  <c r="D75" i="14"/>
  <c r="H81" i="14"/>
  <c r="D80" i="14"/>
  <c r="H112" i="14"/>
  <c r="D112" i="14"/>
  <c r="H75" i="14"/>
  <c r="D74" i="14"/>
  <c r="H83" i="14"/>
  <c r="D82" i="14"/>
  <c r="H62" i="14"/>
  <c r="D73" i="14"/>
  <c r="H111" i="14"/>
  <c r="D111" i="14"/>
  <c r="H70" i="14"/>
  <c r="D69" i="14"/>
  <c r="H110" i="14"/>
  <c r="D110" i="14"/>
  <c r="H109" i="14"/>
  <c r="D109" i="14"/>
  <c r="H108" i="14"/>
  <c r="D108" i="14"/>
  <c r="H107" i="14"/>
  <c r="D107" i="14"/>
  <c r="H106" i="14"/>
  <c r="D106" i="14"/>
  <c r="H105" i="14"/>
  <c r="D105" i="14"/>
  <c r="H61" i="14"/>
  <c r="D104" i="14"/>
  <c r="H80" i="14"/>
  <c r="D79" i="14"/>
  <c r="H79" i="14"/>
  <c r="D78" i="14"/>
  <c r="H104" i="14"/>
  <c r="D103" i="14"/>
  <c r="H103" i="14"/>
  <c r="D102" i="14"/>
  <c r="H102" i="14"/>
  <c r="D101" i="14"/>
  <c r="H88" i="14"/>
  <c r="D87" i="14"/>
  <c r="H101" i="14"/>
  <c r="D100" i="14"/>
  <c r="H100" i="14"/>
  <c r="D99" i="14"/>
  <c r="H66" i="14"/>
  <c r="D64" i="14"/>
  <c r="H87" i="14"/>
  <c r="D86" i="14"/>
  <c r="H99" i="14"/>
  <c r="D98" i="14"/>
  <c r="H98" i="14"/>
  <c r="D97" i="14"/>
  <c r="H86" i="14"/>
  <c r="D85" i="14"/>
  <c r="H97" i="14"/>
  <c r="D96" i="14"/>
  <c r="H69" i="14"/>
  <c r="D67" i="14"/>
  <c r="H68" i="14"/>
  <c r="D66" i="14"/>
  <c r="H71" i="14"/>
  <c r="D68" i="14"/>
  <c r="H64" i="14"/>
  <c r="D62" i="14"/>
  <c r="H96" i="14"/>
  <c r="D95" i="14"/>
  <c r="H63" i="14"/>
  <c r="D61" i="14"/>
  <c r="H95" i="14"/>
  <c r="D94" i="14"/>
  <c r="H74" i="14"/>
  <c r="D72" i="14"/>
  <c r="H67" i="14"/>
  <c r="D65" i="14"/>
  <c r="H85" i="14"/>
  <c r="D84" i="14"/>
  <c r="H94" i="14"/>
  <c r="D93" i="14"/>
  <c r="H84" i="14"/>
  <c r="D83" i="14"/>
  <c r="H65" i="14"/>
  <c r="D63" i="14"/>
  <c r="H109" i="3" l="1"/>
  <c r="D109" i="3"/>
  <c r="G125" i="16" l="1"/>
  <c r="F125" i="16"/>
  <c r="H125" i="16" s="1"/>
  <c r="C125" i="16"/>
  <c r="B125" i="16"/>
  <c r="H76" i="16"/>
  <c r="D75" i="16"/>
  <c r="H75" i="16"/>
  <c r="D74" i="16"/>
  <c r="H72" i="16"/>
  <c r="D70" i="16"/>
  <c r="H90" i="16"/>
  <c r="D90" i="16"/>
  <c r="H83" i="16"/>
  <c r="D83" i="16"/>
  <c r="H71" i="16"/>
  <c r="D69" i="16"/>
  <c r="H124" i="16"/>
  <c r="D124" i="16"/>
  <c r="H81" i="16"/>
  <c r="D80" i="16"/>
  <c r="H123" i="16"/>
  <c r="D123" i="16"/>
  <c r="H82" i="16"/>
  <c r="D82" i="16"/>
  <c r="H122" i="16"/>
  <c r="D122" i="16"/>
  <c r="H80" i="16"/>
  <c r="D79" i="16"/>
  <c r="H121" i="16"/>
  <c r="D121" i="16"/>
  <c r="H69" i="16"/>
  <c r="D67" i="16"/>
  <c r="H79" i="16"/>
  <c r="D78" i="16"/>
  <c r="H84" i="16"/>
  <c r="D89" i="16"/>
  <c r="H67" i="16"/>
  <c r="D81" i="16"/>
  <c r="H68" i="16"/>
  <c r="D66" i="16"/>
  <c r="H120" i="16"/>
  <c r="D120" i="16"/>
  <c r="H119" i="16"/>
  <c r="D119" i="16"/>
  <c r="H118" i="16"/>
  <c r="D118" i="16"/>
  <c r="H117" i="16"/>
  <c r="D117" i="16"/>
  <c r="H116" i="16"/>
  <c r="D116" i="16"/>
  <c r="H78" i="16"/>
  <c r="D77" i="16"/>
  <c r="H77" i="16"/>
  <c r="D76" i="16"/>
  <c r="H89" i="16"/>
  <c r="D88" i="16"/>
  <c r="H115" i="16"/>
  <c r="D115" i="16"/>
  <c r="H114" i="16"/>
  <c r="D114" i="16"/>
  <c r="H113" i="16"/>
  <c r="D113" i="16"/>
  <c r="H112" i="16"/>
  <c r="D112" i="16"/>
  <c r="H111" i="16"/>
  <c r="D111" i="16"/>
  <c r="H74" i="16"/>
  <c r="D73" i="16"/>
  <c r="H70" i="16"/>
  <c r="D68" i="16"/>
  <c r="H110" i="16"/>
  <c r="D110" i="16"/>
  <c r="H109" i="16"/>
  <c r="D109" i="16"/>
  <c r="H108" i="16"/>
  <c r="D108" i="16"/>
  <c r="H107" i="16"/>
  <c r="D107" i="16"/>
  <c r="H106" i="16"/>
  <c r="D106" i="16"/>
  <c r="H105" i="16"/>
  <c r="D105" i="16"/>
  <c r="H88" i="16"/>
  <c r="D87" i="16"/>
  <c r="H104" i="16"/>
  <c r="D104" i="16"/>
  <c r="H87" i="16"/>
  <c r="D86" i="16"/>
  <c r="H103" i="16"/>
  <c r="D103" i="16"/>
  <c r="H102" i="16"/>
  <c r="D102" i="16"/>
  <c r="H101" i="16"/>
  <c r="D101" i="16"/>
  <c r="H100" i="16"/>
  <c r="D100" i="16"/>
  <c r="H66" i="16"/>
  <c r="D71" i="16"/>
  <c r="H86" i="16"/>
  <c r="D85" i="16"/>
  <c r="H99" i="16"/>
  <c r="D99" i="16"/>
  <c r="H85" i="16"/>
  <c r="D84" i="16"/>
  <c r="H98" i="16"/>
  <c r="D98" i="16"/>
  <c r="H97" i="16"/>
  <c r="D97" i="16"/>
  <c r="H96" i="16"/>
  <c r="D96" i="16"/>
  <c r="H95" i="16"/>
  <c r="D95" i="16"/>
  <c r="H94" i="16"/>
  <c r="D94" i="16"/>
  <c r="H93" i="16"/>
  <c r="D93" i="16"/>
  <c r="H92" i="16"/>
  <c r="D92" i="16"/>
  <c r="H91" i="16"/>
  <c r="D91" i="16"/>
  <c r="H73" i="16"/>
  <c r="D72" i="16"/>
  <c r="G99" i="6"/>
  <c r="F99" i="6"/>
  <c r="H99" i="6" s="1"/>
  <c r="C99" i="6"/>
  <c r="B99" i="6"/>
  <c r="D99" i="6" s="1"/>
  <c r="H80" i="6"/>
  <c r="D78" i="6"/>
  <c r="H98" i="6"/>
  <c r="D98" i="6"/>
  <c r="H97" i="6"/>
  <c r="D97" i="6"/>
  <c r="H96" i="6"/>
  <c r="D96" i="6"/>
  <c r="H66" i="6"/>
  <c r="D64" i="6"/>
  <c r="H63" i="6"/>
  <c r="D95" i="6"/>
  <c r="H70" i="6"/>
  <c r="D77" i="6"/>
  <c r="H95" i="6"/>
  <c r="D94" i="6"/>
  <c r="H62" i="6"/>
  <c r="D61" i="6"/>
  <c r="H69" i="6"/>
  <c r="D67" i="6"/>
  <c r="H79" i="6"/>
  <c r="D76" i="6"/>
  <c r="H94" i="6"/>
  <c r="D93" i="6"/>
  <c r="H65" i="6"/>
  <c r="D63" i="6"/>
  <c r="H78" i="6"/>
  <c r="D75" i="6"/>
  <c r="H59" i="6"/>
  <c r="D57" i="6"/>
  <c r="H61" i="6"/>
  <c r="D60" i="6"/>
  <c r="H93" i="6"/>
  <c r="D92" i="6"/>
  <c r="H55" i="6"/>
  <c r="D54" i="6"/>
  <c r="H92" i="6"/>
  <c r="D91" i="6"/>
  <c r="H91" i="6"/>
  <c r="D90" i="6"/>
  <c r="H90" i="6"/>
  <c r="D89" i="6"/>
  <c r="H89" i="6"/>
  <c r="D88" i="6"/>
  <c r="H88" i="6"/>
  <c r="D87" i="6"/>
  <c r="H77" i="6"/>
  <c r="D74" i="6"/>
  <c r="H87" i="6"/>
  <c r="D86" i="6"/>
  <c r="H76" i="6"/>
  <c r="D73" i="6"/>
  <c r="H58" i="6"/>
  <c r="D72" i="6"/>
  <c r="H57" i="6"/>
  <c r="D56" i="6"/>
  <c r="H71" i="6"/>
  <c r="D85" i="6"/>
  <c r="H67" i="6"/>
  <c r="D66" i="6"/>
  <c r="H56" i="6"/>
  <c r="D55" i="6"/>
  <c r="H64" i="6"/>
  <c r="D62" i="6"/>
  <c r="H86" i="6"/>
  <c r="D84" i="6"/>
  <c r="H85" i="6"/>
  <c r="D83" i="6"/>
  <c r="H75" i="6"/>
  <c r="D71" i="6"/>
  <c r="H74" i="6"/>
  <c r="D70" i="6"/>
  <c r="H68" i="6"/>
  <c r="D65" i="6"/>
  <c r="H73" i="6"/>
  <c r="D69" i="6"/>
  <c r="H84" i="6"/>
  <c r="D82" i="6"/>
  <c r="H53" i="6"/>
  <c r="D53" i="6"/>
  <c r="H54" i="6"/>
  <c r="D59" i="6"/>
  <c r="H60" i="6"/>
  <c r="D58" i="6"/>
  <c r="H83" i="6"/>
  <c r="D81" i="6"/>
  <c r="H72" i="6"/>
  <c r="D68" i="6"/>
  <c r="H81" i="6"/>
  <c r="D80" i="6"/>
  <c r="H82" i="6"/>
  <c r="D79" i="6"/>
  <c r="F152" i="13"/>
  <c r="C135" i="13"/>
  <c r="O5" i="6"/>
  <c r="H11" i="6"/>
  <c r="D11" i="6"/>
  <c r="G115" i="15"/>
  <c r="F115" i="15"/>
  <c r="H115" i="15" s="1"/>
  <c r="C115" i="15"/>
  <c r="B115" i="15"/>
  <c r="D115" i="15" s="1"/>
  <c r="H85" i="15"/>
  <c r="D84" i="15"/>
  <c r="H114" i="15"/>
  <c r="D114" i="15"/>
  <c r="H113" i="15"/>
  <c r="D113" i="15"/>
  <c r="H112" i="15"/>
  <c r="D112" i="15"/>
  <c r="H66" i="15"/>
  <c r="D65" i="15"/>
  <c r="H111" i="15"/>
  <c r="D111" i="15"/>
  <c r="H84" i="15"/>
  <c r="D83" i="15"/>
  <c r="H110" i="15"/>
  <c r="D110" i="15"/>
  <c r="H109" i="15"/>
  <c r="D109" i="15"/>
  <c r="H108" i="15"/>
  <c r="D108" i="15"/>
  <c r="H107" i="15"/>
  <c r="D107" i="15"/>
  <c r="H106" i="15"/>
  <c r="D106" i="15"/>
  <c r="H105" i="15"/>
  <c r="D105" i="15"/>
  <c r="H83" i="15"/>
  <c r="D82" i="15"/>
  <c r="H104" i="15"/>
  <c r="D104" i="15"/>
  <c r="H82" i="15"/>
  <c r="D81" i="15"/>
  <c r="H73" i="15"/>
  <c r="D71" i="15"/>
  <c r="H77" i="15"/>
  <c r="D75" i="15"/>
  <c r="H103" i="15"/>
  <c r="D103" i="15"/>
  <c r="H102" i="15"/>
  <c r="D102" i="15"/>
  <c r="H81" i="15"/>
  <c r="D80" i="15"/>
  <c r="H78" i="15"/>
  <c r="D79" i="15"/>
  <c r="H101" i="15"/>
  <c r="D101" i="15"/>
  <c r="H100" i="15"/>
  <c r="D100" i="15"/>
  <c r="H99" i="15"/>
  <c r="D99" i="15"/>
  <c r="H98" i="15"/>
  <c r="D98" i="15"/>
  <c r="H62" i="15"/>
  <c r="D61" i="15"/>
  <c r="H65" i="15"/>
  <c r="D64" i="15"/>
  <c r="H70" i="15"/>
  <c r="D68" i="15"/>
  <c r="H97" i="15"/>
  <c r="D97" i="15"/>
  <c r="H96" i="15"/>
  <c r="D96" i="15"/>
  <c r="H95" i="15"/>
  <c r="D95" i="15"/>
  <c r="H86" i="15"/>
  <c r="D94" i="15"/>
  <c r="H72" i="15"/>
  <c r="D70" i="15"/>
  <c r="H94" i="15"/>
  <c r="D93" i="15"/>
  <c r="H76" i="15"/>
  <c r="D74" i="15"/>
  <c r="H80" i="15"/>
  <c r="D78" i="15"/>
  <c r="H93" i="15"/>
  <c r="D92" i="15"/>
  <c r="H75" i="15"/>
  <c r="D73" i="15"/>
  <c r="H68" i="15"/>
  <c r="D66" i="15"/>
  <c r="H61" i="15"/>
  <c r="D77" i="15"/>
  <c r="H92" i="15"/>
  <c r="D91" i="15"/>
  <c r="H71" i="15"/>
  <c r="D69" i="15"/>
  <c r="H64" i="15"/>
  <c r="D63" i="15"/>
  <c r="H69" i="15"/>
  <c r="D67" i="15"/>
  <c r="H74" i="15"/>
  <c r="D72" i="15"/>
  <c r="H63" i="15"/>
  <c r="D62" i="15"/>
  <c r="H91" i="15"/>
  <c r="D90" i="15"/>
  <c r="H79" i="15"/>
  <c r="D76" i="15"/>
  <c r="H90" i="15"/>
  <c r="D89" i="15"/>
  <c r="H89" i="15"/>
  <c r="D88" i="15"/>
  <c r="H88" i="15"/>
  <c r="D87" i="15"/>
  <c r="H87" i="15"/>
  <c r="D86" i="15"/>
  <c r="H67" i="15"/>
  <c r="D85" i="15"/>
  <c r="J33" i="13"/>
  <c r="I33" i="13"/>
  <c r="K33" i="13" s="1"/>
  <c r="J23" i="13"/>
  <c r="I23" i="13"/>
  <c r="G101" i="2"/>
  <c r="F101" i="2"/>
  <c r="H101" i="2" s="1"/>
  <c r="C101" i="2"/>
  <c r="B101" i="2"/>
  <c r="D101" i="2" s="1"/>
  <c r="H100" i="2"/>
  <c r="D100" i="2"/>
  <c r="H99" i="2"/>
  <c r="D99" i="2"/>
  <c r="H74" i="2"/>
  <c r="D73" i="2"/>
  <c r="H81" i="2"/>
  <c r="D80" i="2"/>
  <c r="H73" i="2"/>
  <c r="D72" i="2"/>
  <c r="H59" i="2"/>
  <c r="D58" i="2"/>
  <c r="H98" i="2"/>
  <c r="D98" i="2"/>
  <c r="H80" i="2"/>
  <c r="D79" i="2"/>
  <c r="H97" i="2"/>
  <c r="D97" i="2"/>
  <c r="H72" i="2"/>
  <c r="D71" i="2"/>
  <c r="H71" i="2"/>
  <c r="D70" i="2"/>
  <c r="H96" i="2"/>
  <c r="D96" i="2"/>
  <c r="H95" i="2"/>
  <c r="D95" i="2"/>
  <c r="H67" i="2"/>
  <c r="D66" i="2"/>
  <c r="H58" i="2"/>
  <c r="D57" i="2"/>
  <c r="H57" i="2"/>
  <c r="D56" i="2"/>
  <c r="H70" i="2"/>
  <c r="D69" i="2"/>
  <c r="H79" i="2"/>
  <c r="D78" i="2"/>
  <c r="H78" i="2"/>
  <c r="D77" i="2"/>
  <c r="H66" i="2"/>
  <c r="D65" i="2"/>
  <c r="H94" i="2"/>
  <c r="D94" i="2"/>
  <c r="H93" i="2"/>
  <c r="D93" i="2"/>
  <c r="H92" i="2"/>
  <c r="D92" i="2"/>
  <c r="H91" i="2"/>
  <c r="D91" i="2"/>
  <c r="H68" i="2"/>
  <c r="D68" i="2"/>
  <c r="H60" i="2"/>
  <c r="D59" i="2"/>
  <c r="H63" i="2"/>
  <c r="D62" i="2"/>
  <c r="H90" i="2"/>
  <c r="D90" i="2"/>
  <c r="H56" i="2"/>
  <c r="D55" i="2"/>
  <c r="H89" i="2"/>
  <c r="D89" i="2"/>
  <c r="H54" i="2"/>
  <c r="D61" i="2"/>
  <c r="H77" i="2"/>
  <c r="D76" i="2"/>
  <c r="H88" i="2"/>
  <c r="D88" i="2"/>
  <c r="H87" i="2"/>
  <c r="D87" i="2"/>
  <c r="H86" i="2"/>
  <c r="D86" i="2"/>
  <c r="H85" i="2"/>
  <c r="D85" i="2"/>
  <c r="H84" i="2"/>
  <c r="D84" i="2"/>
  <c r="H65" i="2"/>
  <c r="D64" i="2"/>
  <c r="H69" i="2"/>
  <c r="D67" i="2"/>
  <c r="H76" i="2"/>
  <c r="D75" i="2"/>
  <c r="H75" i="2"/>
  <c r="D74" i="2"/>
  <c r="H61" i="2"/>
  <c r="D83" i="2"/>
  <c r="H62" i="2"/>
  <c r="D60" i="2"/>
  <c r="H64" i="2"/>
  <c r="D63" i="2"/>
  <c r="H83" i="2"/>
  <c r="D82" i="2"/>
  <c r="H82" i="2"/>
  <c r="D81" i="2"/>
  <c r="H55" i="2"/>
  <c r="D54" i="2"/>
  <c r="L9" i="2"/>
  <c r="L7" i="2"/>
  <c r="O9" i="2"/>
  <c r="O7" i="2"/>
  <c r="F175" i="13"/>
  <c r="C161" i="13"/>
  <c r="H26" i="19"/>
  <c r="D26" i="19"/>
  <c r="F108" i="13"/>
  <c r="C96" i="13"/>
  <c r="L6" i="15"/>
  <c r="L8" i="18"/>
  <c r="O8" i="18"/>
  <c r="L11" i="6"/>
  <c r="O5" i="2"/>
  <c r="F205" i="13"/>
  <c r="C198" i="13"/>
  <c r="H49" i="19"/>
  <c r="D49" i="19"/>
  <c r="F99" i="13"/>
  <c r="C90" i="13"/>
  <c r="F171" i="13"/>
  <c r="C157" i="13"/>
  <c r="F173" i="13"/>
  <c r="C159" i="13"/>
  <c r="O5" i="19"/>
  <c r="F110" i="13"/>
  <c r="C99" i="13"/>
  <c r="F190" i="13"/>
  <c r="C181" i="13"/>
  <c r="H40" i="19"/>
  <c r="D40" i="19"/>
  <c r="F105" i="13"/>
  <c r="C93" i="13"/>
  <c r="H6" i="18"/>
  <c r="D6" i="18"/>
  <c r="F96" i="13"/>
  <c r="C87" i="13"/>
  <c r="H31" i="18"/>
  <c r="D31" i="18"/>
  <c r="J29" i="13"/>
  <c r="I29" i="13"/>
  <c r="L6" i="19"/>
  <c r="F82" i="13"/>
  <c r="F150" i="13"/>
  <c r="C67" i="13"/>
  <c r="C133" i="13"/>
  <c r="F157" i="13"/>
  <c r="F114" i="13"/>
  <c r="C140" i="13"/>
  <c r="C103" i="13"/>
  <c r="K23" i="13" l="1"/>
  <c r="D125" i="16"/>
  <c r="K29" i="13"/>
  <c r="L6" i="6" l="1"/>
  <c r="L5" i="2"/>
  <c r="F160" i="13"/>
  <c r="C144" i="13"/>
  <c r="H10" i="2"/>
  <c r="D10" i="2"/>
  <c r="J24" i="13"/>
  <c r="I24" i="13"/>
  <c r="L10" i="6"/>
  <c r="O6" i="14"/>
  <c r="J32" i="13"/>
  <c r="I32" i="13"/>
  <c r="L7" i="17"/>
  <c r="L5" i="17"/>
  <c r="F88" i="13"/>
  <c r="C76" i="13"/>
  <c r="K24" i="13" l="1"/>
  <c r="K32" i="13"/>
  <c r="F93" i="13" l="1"/>
  <c r="C84" i="13"/>
  <c r="O4" i="16"/>
  <c r="F21" i="13"/>
  <c r="C11" i="13"/>
  <c r="L5" i="3"/>
  <c r="F58" i="13"/>
  <c r="C43" i="13"/>
  <c r="F121" i="13"/>
  <c r="C111" i="13"/>
  <c r="H8" i="19"/>
  <c r="D8" i="19"/>
  <c r="H30" i="19"/>
  <c r="D30" i="19"/>
  <c r="F118" i="13" l="1"/>
  <c r="C108" i="13"/>
  <c r="H24" i="17"/>
  <c r="D24" i="17"/>
  <c r="F85" i="13"/>
  <c r="C70" i="13"/>
  <c r="L8" i="14"/>
  <c r="J10" i="13" l="1"/>
  <c r="I10" i="13"/>
  <c r="L5" i="19"/>
  <c r="F123" i="13"/>
  <c r="C113" i="13"/>
  <c r="L4" i="16"/>
  <c r="K10" i="13" l="1"/>
  <c r="F191" i="13"/>
  <c r="C182" i="13"/>
  <c r="H47" i="14"/>
  <c r="D47" i="14"/>
  <c r="F120" i="13" l="1"/>
  <c r="C110" i="13"/>
  <c r="F45" i="13"/>
  <c r="C204" i="13"/>
  <c r="F87" i="13"/>
  <c r="C75" i="13"/>
  <c r="G57" i="15"/>
  <c r="F57" i="15"/>
  <c r="C57" i="15"/>
  <c r="B57" i="15"/>
  <c r="H3" i="15"/>
  <c r="D3" i="15"/>
  <c r="F151" i="13"/>
  <c r="C134" i="13"/>
  <c r="H8" i="18"/>
  <c r="D8" i="18"/>
  <c r="F212" i="13"/>
  <c r="C257" i="13"/>
  <c r="L7" i="6"/>
  <c r="L8" i="6"/>
  <c r="L5" i="6"/>
  <c r="L6" i="14" l="1"/>
  <c r="F61" i="13"/>
  <c r="C47" i="13"/>
  <c r="H15" i="3"/>
  <c r="D15" i="3"/>
  <c r="F197" i="13"/>
  <c r="C189" i="13"/>
  <c r="L8" i="3"/>
  <c r="L4" i="3"/>
  <c r="J21" i="13"/>
  <c r="I21" i="13"/>
  <c r="L4" i="17"/>
  <c r="J14" i="13"/>
  <c r="I14" i="13"/>
  <c r="J19" i="13"/>
  <c r="I19" i="13"/>
  <c r="L4" i="15"/>
  <c r="L5" i="15"/>
  <c r="F60" i="13"/>
  <c r="C45" i="13"/>
  <c r="F188" i="13"/>
  <c r="C179" i="13"/>
  <c r="H12" i="15"/>
  <c r="D12" i="15"/>
  <c r="F11" i="13"/>
  <c r="C5" i="13"/>
  <c r="H30" i="15"/>
  <c r="D30" i="15"/>
  <c r="F140" i="13"/>
  <c r="C170" i="13"/>
  <c r="F39" i="13"/>
  <c r="C26" i="13"/>
  <c r="H13" i="15"/>
  <c r="D13" i="15"/>
  <c r="L6" i="2"/>
  <c r="J11" i="13"/>
  <c r="I11" i="13"/>
  <c r="L7" i="19"/>
  <c r="K19" i="13" l="1"/>
  <c r="K14" i="13"/>
  <c r="K21" i="13"/>
  <c r="K11" i="13"/>
  <c r="F23" i="13" l="1"/>
  <c r="C106" i="13"/>
  <c r="H25" i="19"/>
  <c r="D25" i="19"/>
  <c r="L7" i="18"/>
  <c r="L6" i="18"/>
  <c r="F198" i="13" l="1"/>
  <c r="F141" i="13"/>
  <c r="C171" i="13"/>
  <c r="F312" i="13"/>
  <c r="J18" i="13"/>
  <c r="I18" i="13"/>
  <c r="L6" i="16"/>
  <c r="L15" i="19"/>
  <c r="O16" i="19"/>
  <c r="L18" i="19"/>
  <c r="O18" i="19"/>
  <c r="O17" i="19"/>
  <c r="W8" i="19"/>
  <c r="W6" i="19"/>
  <c r="H24" i="19"/>
  <c r="D24" i="19"/>
  <c r="H19" i="19"/>
  <c r="D19" i="19"/>
  <c r="H23" i="19"/>
  <c r="D23" i="19"/>
  <c r="L17" i="14"/>
  <c r="L16" i="14"/>
  <c r="O18" i="14"/>
  <c r="O17" i="14"/>
  <c r="O16" i="14"/>
  <c r="W8" i="14"/>
  <c r="W6" i="14"/>
  <c r="W5" i="14"/>
  <c r="W4" i="14"/>
  <c r="AB11" i="14"/>
  <c r="AB10" i="14"/>
  <c r="AB6" i="14"/>
  <c r="H15" i="14"/>
  <c r="D15" i="14"/>
  <c r="O13" i="15"/>
  <c r="O12" i="15"/>
  <c r="W7" i="15"/>
  <c r="W6" i="15"/>
  <c r="AB6" i="15"/>
  <c r="AB5" i="15"/>
  <c r="H23" i="15"/>
  <c r="D23" i="15"/>
  <c r="L13" i="18"/>
  <c r="O13" i="18"/>
  <c r="W7" i="18"/>
  <c r="W4" i="18"/>
  <c r="F344" i="13"/>
  <c r="C342" i="13"/>
  <c r="H29" i="18"/>
  <c r="D29" i="18"/>
  <c r="F223" i="13"/>
  <c r="C215" i="13"/>
  <c r="D5" i="18"/>
  <c r="H5" i="18"/>
  <c r="W6" i="17"/>
  <c r="W5" i="17"/>
  <c r="L14" i="17"/>
  <c r="O13" i="17"/>
  <c r="O12" i="17"/>
  <c r="C309" i="13"/>
  <c r="C190" i="13"/>
  <c r="H14" i="17"/>
  <c r="D14" i="17"/>
  <c r="L13" i="16"/>
  <c r="L12" i="16"/>
  <c r="O13" i="16"/>
  <c r="O12" i="16"/>
  <c r="W7" i="16"/>
  <c r="W4" i="16"/>
  <c r="H36" i="16"/>
  <c r="D36" i="16"/>
  <c r="H54" i="16"/>
  <c r="D54" i="16"/>
  <c r="L14" i="3"/>
  <c r="O15" i="3"/>
  <c r="O13" i="3"/>
  <c r="W8" i="3"/>
  <c r="W4" i="3"/>
  <c r="AB8" i="3"/>
  <c r="AB7" i="3"/>
  <c r="AB5" i="3"/>
  <c r="AB4" i="3"/>
  <c r="W10" i="2"/>
  <c r="W5" i="2"/>
  <c r="AB6" i="2"/>
  <c r="AB5" i="2"/>
  <c r="F351" i="13"/>
  <c r="C350" i="13"/>
  <c r="H40" i="2"/>
  <c r="D40" i="2"/>
  <c r="F95" i="13"/>
  <c r="C86" i="13"/>
  <c r="F67" i="13"/>
  <c r="C53" i="13"/>
  <c r="H23" i="2"/>
  <c r="D23" i="2"/>
  <c r="F158" i="13"/>
  <c r="C141" i="13"/>
  <c r="H36" i="2"/>
  <c r="D36" i="2"/>
  <c r="F290" i="13"/>
  <c r="C287" i="13"/>
  <c r="F218" i="13"/>
  <c r="C210" i="13"/>
  <c r="F131" i="13"/>
  <c r="C122" i="13"/>
  <c r="F238" i="13"/>
  <c r="C231" i="13"/>
  <c r="J40" i="13"/>
  <c r="J30" i="13"/>
  <c r="J28" i="13"/>
  <c r="I40" i="13"/>
  <c r="I30" i="13"/>
  <c r="I28" i="13"/>
  <c r="J16" i="13"/>
  <c r="I16" i="13"/>
  <c r="L18" i="6"/>
  <c r="L19" i="6"/>
  <c r="H25" i="6"/>
  <c r="D25" i="6"/>
  <c r="F336" i="13"/>
  <c r="C334" i="13"/>
  <c r="H39" i="6"/>
  <c r="D39" i="6"/>
  <c r="F365" i="13"/>
  <c r="C365" i="13"/>
  <c r="L17" i="6"/>
  <c r="H4" i="6"/>
  <c r="D4" i="6"/>
  <c r="H40" i="6"/>
  <c r="D40" i="6"/>
  <c r="H13" i="6"/>
  <c r="D13" i="6"/>
  <c r="F101" i="13"/>
  <c r="C98" i="13"/>
  <c r="H19" i="6"/>
  <c r="D19" i="6"/>
  <c r="W11" i="6"/>
  <c r="D9" i="6"/>
  <c r="H9" i="6"/>
  <c r="F283" i="13"/>
  <c r="C279" i="13"/>
  <c r="H24" i="6"/>
  <c r="D24" i="6"/>
  <c r="F294" i="13"/>
  <c r="C291" i="13"/>
  <c r="H27" i="6"/>
  <c r="D27" i="6"/>
  <c r="F243" i="13"/>
  <c r="C236" i="13"/>
  <c r="H15" i="6"/>
  <c r="D15" i="6"/>
  <c r="F296" i="13"/>
  <c r="C293" i="13"/>
  <c r="H28" i="6"/>
  <c r="D28" i="6"/>
  <c r="K28" i="13" l="1"/>
  <c r="K30" i="13"/>
  <c r="K16" i="13"/>
  <c r="J34" i="13"/>
  <c r="I34" i="13"/>
  <c r="F285" i="13"/>
  <c r="C281" i="13"/>
  <c r="F102" i="13" l="1"/>
  <c r="C117" i="13"/>
  <c r="J38" i="13" l="1"/>
  <c r="I38" i="13"/>
  <c r="J43" i="13"/>
  <c r="I43" i="13"/>
  <c r="F327" i="13"/>
  <c r="C325" i="13"/>
  <c r="J45" i="13"/>
  <c r="I45" i="13"/>
  <c r="F248" i="13"/>
  <c r="C241" i="13"/>
  <c r="F142" i="13"/>
  <c r="C172" i="13"/>
  <c r="F231" i="13"/>
  <c r="C223" i="13"/>
  <c r="H6" i="3"/>
  <c r="D6" i="3"/>
  <c r="F255" i="13"/>
  <c r="C248" i="13"/>
  <c r="H16" i="3"/>
  <c r="D16" i="3"/>
  <c r="F234" i="13"/>
  <c r="C226" i="13"/>
  <c r="J48" i="13"/>
  <c r="I48" i="13"/>
  <c r="F318" i="13"/>
  <c r="C315" i="13"/>
  <c r="F176" i="13"/>
  <c r="C162" i="13"/>
  <c r="H29" i="19"/>
  <c r="D29" i="19"/>
  <c r="F377" i="13"/>
  <c r="C377" i="13"/>
  <c r="H53" i="19"/>
  <c r="D53" i="19"/>
  <c r="F167" i="13"/>
  <c r="C152" i="13"/>
  <c r="K18" i="13" l="1"/>
  <c r="F195" i="13" l="1"/>
  <c r="C186" i="13"/>
  <c r="H44" i="3"/>
  <c r="D44" i="3"/>
  <c r="F346" i="13" l="1"/>
  <c r="C345" i="13"/>
  <c r="F169" i="13"/>
  <c r="C154" i="13"/>
  <c r="J22" i="13" l="1"/>
  <c r="I22" i="13"/>
  <c r="F104" i="13"/>
  <c r="C92" i="13"/>
  <c r="J41" i="13"/>
  <c r="I41" i="13"/>
  <c r="F335" i="13"/>
  <c r="C333" i="13"/>
  <c r="F24" i="13"/>
  <c r="C12" i="13"/>
  <c r="H18" i="18"/>
  <c r="D18" i="18"/>
  <c r="K22" i="13" l="1"/>
  <c r="J46" i="13"/>
  <c r="I46" i="13"/>
  <c r="G54" i="3"/>
  <c r="F54" i="3"/>
  <c r="C54" i="3"/>
  <c r="F376" i="13"/>
  <c r="C376" i="13"/>
  <c r="F74" i="13"/>
  <c r="C60" i="13"/>
  <c r="F30" i="13" l="1"/>
  <c r="C17" i="13"/>
  <c r="F364" i="13"/>
  <c r="C364" i="13"/>
  <c r="H46" i="19"/>
  <c r="D46" i="19"/>
  <c r="F50" i="13"/>
  <c r="C35" i="13"/>
  <c r="F122" i="13" l="1"/>
  <c r="C112" i="13"/>
  <c r="F371" i="13"/>
  <c r="C371" i="13"/>
  <c r="F356" i="13"/>
  <c r="C356" i="13"/>
  <c r="F163" i="13"/>
  <c r="C147" i="13"/>
  <c r="F13" i="13"/>
  <c r="C143" i="13"/>
  <c r="F156" i="13"/>
  <c r="C139" i="13"/>
  <c r="F159" i="13"/>
  <c r="C142" i="13"/>
  <c r="F59" i="13"/>
  <c r="C44" i="13"/>
  <c r="F206" i="13"/>
  <c r="C199" i="13"/>
  <c r="F208" i="13"/>
  <c r="C201" i="13"/>
  <c r="F192" i="13"/>
  <c r="C183" i="13"/>
  <c r="F289" i="13"/>
  <c r="C286" i="13"/>
  <c r="F242" i="13"/>
  <c r="C235" i="13"/>
  <c r="F315" i="13"/>
  <c r="C312" i="13"/>
  <c r="F373" i="13"/>
  <c r="C373" i="13"/>
  <c r="C79" i="13"/>
  <c r="F6" i="13"/>
  <c r="F202" i="13"/>
  <c r="C195" i="13"/>
  <c r="F25" i="13"/>
  <c r="C13" i="13"/>
  <c r="F262" i="13"/>
  <c r="C255" i="13"/>
  <c r="F53" i="13"/>
  <c r="C39" i="13"/>
  <c r="F250" i="13"/>
  <c r="C243" i="13"/>
  <c r="F309" i="13"/>
  <c r="C306" i="13"/>
  <c r="F125" i="13"/>
  <c r="C115" i="13"/>
  <c r="F145" i="13"/>
  <c r="C192" i="13"/>
  <c r="F227" i="13"/>
  <c r="C219" i="13"/>
  <c r="F232" i="13"/>
  <c r="C224" i="13"/>
  <c r="J25" i="13"/>
  <c r="I25" i="13"/>
  <c r="K25" i="13" s="1"/>
  <c r="H39" i="19"/>
  <c r="D39" i="19"/>
  <c r="F65" i="13"/>
  <c r="C51" i="13"/>
  <c r="H27" i="19"/>
  <c r="D27" i="19"/>
  <c r="J27" i="13"/>
  <c r="I27" i="13"/>
  <c r="J39" i="13"/>
  <c r="I39" i="13"/>
  <c r="F265" i="13"/>
  <c r="C259" i="13"/>
  <c r="F193" i="13"/>
  <c r="C184" i="13"/>
  <c r="F115" i="13"/>
  <c r="C104" i="13"/>
  <c r="F126" i="13"/>
  <c r="C116" i="13"/>
  <c r="F26" i="13"/>
  <c r="C20" i="13"/>
  <c r="H26" i="18"/>
  <c r="D26" i="18"/>
  <c r="F266" i="13"/>
  <c r="C260" i="13"/>
  <c r="H14" i="18"/>
  <c r="D14" i="18"/>
  <c r="F207" i="13"/>
  <c r="C200" i="13"/>
  <c r="H39" i="18"/>
  <c r="D39" i="18"/>
  <c r="F89" i="13"/>
  <c r="C78" i="13"/>
  <c r="H24" i="18"/>
  <c r="H9" i="18"/>
  <c r="D9" i="18"/>
  <c r="F130" i="13"/>
  <c r="C121" i="13"/>
  <c r="H33" i="18"/>
  <c r="D33" i="18"/>
  <c r="F213" i="13"/>
  <c r="C205" i="13"/>
  <c r="G42" i="17"/>
  <c r="F42" i="17"/>
  <c r="C42" i="17"/>
  <c r="B42" i="17"/>
  <c r="H3" i="17"/>
  <c r="D3" i="17"/>
  <c r="J15" i="13"/>
  <c r="I15" i="13"/>
  <c r="F127" i="13"/>
  <c r="C118" i="13"/>
  <c r="H36" i="3"/>
  <c r="D36" i="3"/>
  <c r="F284" i="13"/>
  <c r="C280" i="13"/>
  <c r="H23" i="3"/>
  <c r="D23" i="3"/>
  <c r="D53" i="3"/>
  <c r="H53" i="3"/>
  <c r="B54" i="3"/>
  <c r="K27" i="13" l="1"/>
  <c r="K15" i="13"/>
  <c r="L20" i="2"/>
  <c r="L23" i="14" l="1"/>
  <c r="L21" i="3"/>
  <c r="H52" i="3"/>
  <c r="D52" i="3"/>
  <c r="H36" i="6"/>
  <c r="D36" i="6"/>
  <c r="L26" i="6"/>
  <c r="H20" i="6"/>
  <c r="D20" i="6"/>
  <c r="H56" i="15"/>
  <c r="H55" i="15"/>
  <c r="H54" i="15"/>
  <c r="H53" i="15"/>
  <c r="H52" i="15"/>
  <c r="H51" i="15"/>
  <c r="H50" i="15"/>
  <c r="H49" i="15"/>
  <c r="H48" i="15"/>
  <c r="H47" i="15"/>
  <c r="H46" i="15"/>
  <c r="H45" i="15"/>
  <c r="H44" i="15"/>
  <c r="H43" i="15"/>
  <c r="H42" i="15"/>
  <c r="H41" i="15"/>
  <c r="H40" i="15"/>
  <c r="H39" i="15"/>
  <c r="H38" i="15"/>
  <c r="D48" i="15"/>
  <c r="D47" i="15"/>
  <c r="D46" i="15"/>
  <c r="D45" i="15"/>
  <c r="D44" i="15"/>
  <c r="D43" i="15"/>
  <c r="D42" i="15"/>
  <c r="D41" i="15"/>
  <c r="D40" i="15"/>
  <c r="D39" i="15"/>
  <c r="D38" i="15"/>
  <c r="H28" i="17"/>
  <c r="D28" i="17"/>
  <c r="L25" i="14"/>
  <c r="L24" i="14"/>
  <c r="H44" i="16"/>
  <c r="D44" i="16"/>
  <c r="L18" i="16"/>
  <c r="D25" i="16"/>
  <c r="H25" i="16"/>
  <c r="H37" i="16"/>
  <c r="D37" i="16"/>
  <c r="D29" i="16"/>
  <c r="D34" i="16"/>
  <c r="L23" i="19"/>
  <c r="H50" i="19"/>
  <c r="H41" i="19"/>
  <c r="H38" i="19"/>
  <c r="H37" i="19"/>
  <c r="H36" i="19"/>
  <c r="H35" i="19"/>
  <c r="H34" i="19"/>
  <c r="H33" i="19"/>
  <c r="H32" i="19"/>
  <c r="H31" i="19"/>
  <c r="H28" i="19"/>
  <c r="H22" i="19"/>
  <c r="H21" i="19"/>
  <c r="H20" i="19"/>
  <c r="H18" i="19"/>
  <c r="H17" i="19"/>
  <c r="H16" i="19"/>
  <c r="H15" i="19"/>
  <c r="H14" i="19"/>
  <c r="H13" i="19"/>
  <c r="H12" i="19"/>
  <c r="H11" i="19"/>
  <c r="H10" i="19"/>
  <c r="H9" i="19"/>
  <c r="D54" i="19"/>
  <c r="D52" i="19"/>
  <c r="D51" i="19"/>
  <c r="D50" i="19"/>
  <c r="D48" i="19"/>
  <c r="D47" i="19"/>
  <c r="D45" i="19"/>
  <c r="D44" i="19"/>
  <c r="D43" i="19"/>
  <c r="D42" i="19"/>
  <c r="D41" i="19"/>
  <c r="D38" i="19"/>
  <c r="D37" i="19"/>
  <c r="D36" i="19"/>
  <c r="D35" i="19"/>
  <c r="D34" i="19"/>
  <c r="D33" i="19"/>
  <c r="D32" i="19"/>
  <c r="D31" i="19"/>
  <c r="D28" i="19"/>
  <c r="D22" i="19"/>
  <c r="D21" i="19"/>
  <c r="D20" i="19"/>
  <c r="D18" i="19"/>
  <c r="D17" i="19"/>
  <c r="D16" i="19"/>
  <c r="D15" i="19"/>
  <c r="D14" i="19"/>
  <c r="D13" i="19"/>
  <c r="D12" i="19"/>
  <c r="D11" i="19"/>
  <c r="D10" i="19"/>
  <c r="D9" i="19"/>
  <c r="L21" i="2"/>
  <c r="F273" i="13"/>
  <c r="C268" i="13"/>
  <c r="H20" i="3"/>
  <c r="D20" i="3"/>
  <c r="F215" i="13"/>
  <c r="C207" i="13"/>
  <c r="H3" i="3"/>
  <c r="D3" i="3"/>
  <c r="L18" i="18"/>
  <c r="F178" i="13"/>
  <c r="C164" i="13"/>
  <c r="F362" i="13"/>
  <c r="C362" i="13"/>
  <c r="F244" i="13"/>
  <c r="C237" i="13"/>
  <c r="H10" i="18"/>
  <c r="D10" i="18"/>
  <c r="D24" i="18"/>
  <c r="H34" i="18"/>
  <c r="D34" i="18"/>
  <c r="F274" i="13"/>
  <c r="C269" i="13"/>
  <c r="H15" i="18"/>
  <c r="D15" i="18"/>
  <c r="L18" i="15" l="1"/>
  <c r="H14" i="15"/>
  <c r="D14" i="15"/>
  <c r="J13" i="13"/>
  <c r="I13" i="13"/>
  <c r="F15" i="13"/>
  <c r="C7" i="13"/>
  <c r="F55" i="13"/>
  <c r="C343" i="13"/>
  <c r="K13" i="13" l="1"/>
  <c r="H38" i="18"/>
  <c r="D38" i="18"/>
  <c r="H30" i="18"/>
  <c r="D30" i="18"/>
  <c r="J36" i="13"/>
  <c r="I36" i="13"/>
  <c r="H54" i="14"/>
  <c r="H53" i="14"/>
  <c r="H52" i="14"/>
  <c r="H51" i="14"/>
  <c r="H50" i="14"/>
  <c r="H49" i="14"/>
  <c r="H48" i="14"/>
  <c r="H46" i="14"/>
  <c r="H45" i="14"/>
  <c r="H44" i="14"/>
  <c r="H43" i="14"/>
  <c r="H42" i="14"/>
  <c r="H41" i="14"/>
  <c r="H40" i="14"/>
  <c r="H39" i="14"/>
  <c r="H38" i="14"/>
  <c r="H37" i="14"/>
  <c r="H36" i="14"/>
  <c r="H35" i="14"/>
  <c r="H34" i="14"/>
  <c r="H33" i="14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H19" i="14"/>
  <c r="H18" i="14"/>
  <c r="H17" i="14"/>
  <c r="H16" i="14"/>
  <c r="H14" i="14"/>
  <c r="H13" i="14"/>
  <c r="H12" i="14"/>
  <c r="H11" i="14"/>
  <c r="H10" i="14"/>
  <c r="H9" i="14"/>
  <c r="H8" i="14"/>
  <c r="H7" i="14"/>
  <c r="H6" i="14"/>
  <c r="H5" i="14"/>
  <c r="H4" i="14"/>
  <c r="D54" i="14"/>
  <c r="D53" i="14"/>
  <c r="D52" i="14"/>
  <c r="D51" i="14"/>
  <c r="D50" i="14"/>
  <c r="D49" i="14"/>
  <c r="D48" i="14"/>
  <c r="D46" i="14"/>
  <c r="D45" i="14"/>
  <c r="D44" i="14"/>
  <c r="D43" i="14"/>
  <c r="D42" i="14"/>
  <c r="D41" i="14"/>
  <c r="D40" i="14"/>
  <c r="D39" i="14"/>
  <c r="D38" i="14"/>
  <c r="D37" i="14"/>
  <c r="D36" i="14"/>
  <c r="D35" i="14"/>
  <c r="D34" i="14"/>
  <c r="D33" i="14"/>
  <c r="D32" i="14"/>
  <c r="D31" i="14"/>
  <c r="D30" i="14"/>
  <c r="D29" i="14"/>
  <c r="D28" i="14"/>
  <c r="D27" i="14"/>
  <c r="D26" i="14"/>
  <c r="D25" i="14"/>
  <c r="D24" i="14"/>
  <c r="D23" i="14"/>
  <c r="D22" i="14"/>
  <c r="D21" i="14"/>
  <c r="D20" i="14"/>
  <c r="D19" i="14"/>
  <c r="D18" i="14"/>
  <c r="D17" i="14"/>
  <c r="D16" i="14"/>
  <c r="D14" i="14"/>
  <c r="D13" i="14"/>
  <c r="D12" i="14"/>
  <c r="D11" i="14"/>
  <c r="D10" i="14"/>
  <c r="D9" i="14"/>
  <c r="D8" i="14"/>
  <c r="D7" i="14"/>
  <c r="D6" i="14"/>
  <c r="D5" i="14"/>
  <c r="D4" i="14"/>
  <c r="H13" i="18"/>
  <c r="D13" i="18"/>
  <c r="H37" i="17"/>
  <c r="D37" i="17"/>
  <c r="H22" i="17"/>
  <c r="D22" i="17"/>
  <c r="H21" i="17"/>
  <c r="D21" i="17"/>
  <c r="H7" i="17"/>
  <c r="D7" i="17"/>
  <c r="F103" i="13"/>
  <c r="C130" i="13"/>
  <c r="F35" i="13"/>
  <c r="C23" i="13"/>
  <c r="F201" i="13"/>
  <c r="C194" i="13"/>
  <c r="F75" i="13"/>
  <c r="C61" i="13"/>
  <c r="F359" i="13"/>
  <c r="C359" i="13"/>
  <c r="F350" i="13"/>
  <c r="C349" i="13"/>
  <c r="F337" i="13"/>
  <c r="C335" i="13"/>
  <c r="F16" i="13"/>
  <c r="C82" i="13"/>
  <c r="H45" i="16"/>
  <c r="D45" i="16"/>
  <c r="F328" i="13"/>
  <c r="C326" i="13"/>
  <c r="F322" i="13"/>
  <c r="C319" i="13"/>
  <c r="H41" i="16"/>
  <c r="D41" i="16"/>
  <c r="F319" i="13"/>
  <c r="C316" i="13"/>
  <c r="F66" i="13"/>
  <c r="C52" i="13"/>
  <c r="F281" i="13"/>
  <c r="C277" i="13"/>
  <c r="F280" i="13"/>
  <c r="C276" i="13"/>
  <c r="F279" i="13"/>
  <c r="C275" i="13"/>
  <c r="F277" i="13"/>
  <c r="C272" i="13"/>
  <c r="F276" i="13"/>
  <c r="C271" i="13"/>
  <c r="F275" i="13"/>
  <c r="C270" i="13"/>
  <c r="F272" i="13"/>
  <c r="C267" i="13"/>
  <c r="F264" i="13"/>
  <c r="C258" i="13"/>
  <c r="F260" i="13"/>
  <c r="C253" i="13"/>
  <c r="F258" i="13"/>
  <c r="C251" i="13"/>
  <c r="H17" i="16"/>
  <c r="D17" i="16"/>
  <c r="F253" i="13"/>
  <c r="C246" i="13"/>
  <c r="F249" i="13"/>
  <c r="C242" i="13"/>
  <c r="F154" i="13"/>
  <c r="C137" i="13"/>
  <c r="F229" i="13"/>
  <c r="C221" i="13"/>
  <c r="F228" i="13"/>
  <c r="C220" i="13"/>
  <c r="H8" i="16"/>
  <c r="D8" i="16"/>
  <c r="F225" i="13"/>
  <c r="C217" i="13"/>
  <c r="F224" i="13"/>
  <c r="C216" i="13"/>
  <c r="F217" i="13"/>
  <c r="C209" i="13"/>
  <c r="H4" i="16"/>
  <c r="D4" i="16"/>
  <c r="F98" i="13"/>
  <c r="C89" i="13"/>
  <c r="H43" i="2"/>
  <c r="H42" i="2"/>
  <c r="H41" i="2"/>
  <c r="D43" i="2"/>
  <c r="D42" i="2"/>
  <c r="D41" i="2"/>
  <c r="F361" i="13"/>
  <c r="C361" i="13"/>
  <c r="F358" i="13"/>
  <c r="C358" i="13"/>
  <c r="F353" i="13"/>
  <c r="C352" i="13"/>
  <c r="F73" i="13"/>
  <c r="C59" i="13"/>
  <c r="H34" i="2"/>
  <c r="D34" i="2"/>
  <c r="F92" i="13"/>
  <c r="C83" i="13"/>
  <c r="F325" i="13"/>
  <c r="C323" i="13"/>
  <c r="H26" i="2"/>
  <c r="D26" i="2"/>
  <c r="D25" i="2"/>
  <c r="H25" i="2"/>
  <c r="F235" i="13"/>
  <c r="C227" i="13"/>
  <c r="H5" i="2"/>
  <c r="D5" i="2"/>
  <c r="F170" i="13"/>
  <c r="C155" i="13"/>
  <c r="F138" i="13"/>
  <c r="C156" i="13"/>
  <c r="F155" i="13"/>
  <c r="C138" i="13"/>
  <c r="H23" i="6"/>
  <c r="D23" i="6"/>
  <c r="H14" i="6"/>
  <c r="D14" i="6"/>
  <c r="J47" i="13" l="1"/>
  <c r="I47" i="13"/>
  <c r="F28" i="13" l="1"/>
  <c r="C15" i="13"/>
  <c r="F194" i="13"/>
  <c r="C185" i="13"/>
  <c r="F268" i="13" l="1"/>
  <c r="C262" i="13"/>
  <c r="F320" i="13" l="1"/>
  <c r="C317" i="13"/>
  <c r="F323" i="13"/>
  <c r="C321" i="13"/>
  <c r="F210" i="13"/>
  <c r="C203" i="13"/>
  <c r="F183" i="13"/>
  <c r="C174" i="13"/>
  <c r="F200" i="13"/>
  <c r="C193" i="13"/>
  <c r="F245" i="13" l="1"/>
  <c r="C238" i="13"/>
  <c r="F18" i="13"/>
  <c r="C9" i="13"/>
  <c r="F314" i="13"/>
  <c r="C311" i="13"/>
  <c r="F71" i="13"/>
  <c r="C57" i="13"/>
  <c r="H47" i="16"/>
  <c r="D47" i="16"/>
  <c r="F355" i="13"/>
  <c r="C355" i="13"/>
  <c r="H21" i="18" l="1"/>
  <c r="D21" i="18"/>
  <c r="J42" i="13"/>
  <c r="I42" i="13"/>
  <c r="F324" i="13"/>
  <c r="C322" i="13"/>
  <c r="F305" i="13"/>
  <c r="C302" i="13"/>
  <c r="C68" i="13"/>
  <c r="L12" i="15" l="1"/>
  <c r="L12" i="17"/>
  <c r="J31" i="13" l="1"/>
  <c r="I31" i="13"/>
  <c r="F291" i="13"/>
  <c r="C288" i="13"/>
  <c r="K31" i="13" l="1"/>
  <c r="F116" i="13"/>
  <c r="C105" i="13"/>
  <c r="F81" i="13"/>
  <c r="C66" i="13"/>
  <c r="F251" i="13" l="1"/>
  <c r="C244" i="13"/>
  <c r="J44" i="13" l="1"/>
  <c r="I44" i="13"/>
  <c r="F257" i="13"/>
  <c r="C250" i="13"/>
  <c r="F136" i="13" l="1"/>
  <c r="C127" i="13"/>
  <c r="F301" i="13"/>
  <c r="C298" i="13"/>
  <c r="F56" i="13"/>
  <c r="C40" i="13"/>
  <c r="F112" i="13" l="1"/>
  <c r="C101" i="13"/>
  <c r="F72" i="13"/>
  <c r="C58" i="13"/>
  <c r="F77" i="13"/>
  <c r="C63" i="13"/>
  <c r="F311" i="13" l="1"/>
  <c r="C308" i="13"/>
  <c r="H9" i="15"/>
  <c r="D9" i="15"/>
  <c r="H37" i="15"/>
  <c r="H36" i="15"/>
  <c r="H35" i="15"/>
  <c r="H34" i="15"/>
  <c r="H33" i="15"/>
  <c r="H32" i="15"/>
  <c r="H31" i="15"/>
  <c r="H29" i="15"/>
  <c r="H28" i="15"/>
  <c r="H27" i="15"/>
  <c r="H26" i="15"/>
  <c r="H25" i="15"/>
  <c r="H24" i="15"/>
  <c r="H22" i="15"/>
  <c r="H21" i="15"/>
  <c r="H20" i="15"/>
  <c r="H19" i="15"/>
  <c r="H18" i="15"/>
  <c r="H17" i="15"/>
  <c r="H16" i="15"/>
  <c r="H15" i="15"/>
  <c r="H11" i="15"/>
  <c r="H10" i="15"/>
  <c r="H8" i="15"/>
  <c r="H7" i="15"/>
  <c r="H6" i="15"/>
  <c r="H5" i="15"/>
  <c r="H4" i="15"/>
  <c r="D56" i="15"/>
  <c r="D55" i="15"/>
  <c r="D54" i="15"/>
  <c r="D53" i="15"/>
  <c r="D52" i="15"/>
  <c r="D51" i="15"/>
  <c r="D50" i="15"/>
  <c r="D49" i="15"/>
  <c r="D37" i="15"/>
  <c r="D36" i="15"/>
  <c r="D35" i="15"/>
  <c r="D34" i="15"/>
  <c r="D33" i="15"/>
  <c r="D32" i="15"/>
  <c r="D31" i="15"/>
  <c r="D29" i="15"/>
  <c r="D28" i="15"/>
  <c r="D27" i="15"/>
  <c r="D26" i="15"/>
  <c r="D25" i="15"/>
  <c r="D24" i="15"/>
  <c r="D22" i="15"/>
  <c r="D21" i="15"/>
  <c r="D20" i="15"/>
  <c r="D19" i="15"/>
  <c r="D18" i="15"/>
  <c r="D17" i="15"/>
  <c r="D16" i="15"/>
  <c r="D15" i="15"/>
  <c r="D11" i="15"/>
  <c r="D10" i="15"/>
  <c r="D8" i="15"/>
  <c r="D7" i="15"/>
  <c r="D6" i="15"/>
  <c r="D5" i="15"/>
  <c r="D4" i="15"/>
  <c r="F293" i="13"/>
  <c r="C290" i="13"/>
  <c r="F219" i="13"/>
  <c r="C211" i="13"/>
  <c r="F226" i="13"/>
  <c r="C218" i="13"/>
  <c r="F64" i="13"/>
  <c r="C50" i="13"/>
  <c r="F221" i="13"/>
  <c r="C213" i="13"/>
  <c r="F62" i="13"/>
  <c r="C48" i="13"/>
  <c r="F349" i="13"/>
  <c r="C348" i="13"/>
  <c r="F308" i="13"/>
  <c r="C305" i="13"/>
  <c r="H23" i="18"/>
  <c r="D23" i="18"/>
  <c r="J20" i="13"/>
  <c r="I20" i="13"/>
  <c r="J35" i="13"/>
  <c r="I35" i="13"/>
  <c r="K20" i="13" l="1"/>
  <c r="J7" i="13"/>
  <c r="I7" i="13"/>
  <c r="F298" i="13"/>
  <c r="C295" i="13"/>
  <c r="H16" i="2"/>
  <c r="D16" i="2"/>
  <c r="F52" i="13"/>
  <c r="C38" i="13"/>
  <c r="F237" i="13"/>
  <c r="C229" i="13"/>
  <c r="F269" i="13"/>
  <c r="C263" i="13"/>
  <c r="H17" i="17"/>
  <c r="D17" i="17"/>
  <c r="K7" i="13" l="1"/>
  <c r="F109" i="13"/>
  <c r="C97" i="13"/>
  <c r="F236" i="13"/>
  <c r="C228" i="13"/>
  <c r="H6" i="2"/>
  <c r="D6" i="2"/>
  <c r="F33" i="13"/>
  <c r="C21" i="13"/>
  <c r="F286" i="13"/>
  <c r="C282" i="13"/>
  <c r="F270" i="13"/>
  <c r="C265" i="13"/>
  <c r="J12" i="13"/>
  <c r="I12" i="13"/>
  <c r="F302" i="13"/>
  <c r="C299" i="13"/>
  <c r="K12" i="13" l="1"/>
  <c r="F129" i="13"/>
  <c r="C173" i="13"/>
  <c r="C120" i="13"/>
  <c r="F19" i="13"/>
  <c r="F220" i="13"/>
  <c r="C74" i="13"/>
  <c r="F181" i="13"/>
  <c r="F146" i="13"/>
  <c r="C168" i="13"/>
  <c r="F143" i="13"/>
  <c r="C212" i="13"/>
  <c r="C128" i="13"/>
  <c r="F100" i="13"/>
  <c r="C91" i="13"/>
  <c r="F14" i="13"/>
  <c r="C72" i="13"/>
  <c r="H51" i="19"/>
  <c r="H5" i="19"/>
  <c r="D5" i="19"/>
  <c r="H6" i="19"/>
  <c r="D6" i="19"/>
  <c r="G55" i="19"/>
  <c r="F55" i="19"/>
  <c r="C55" i="19"/>
  <c r="B55" i="19"/>
  <c r="H45" i="19"/>
  <c r="H54" i="19"/>
  <c r="H52" i="19"/>
  <c r="H48" i="19"/>
  <c r="H47" i="19"/>
  <c r="H44" i="19"/>
  <c r="H43" i="19"/>
  <c r="H42" i="19"/>
  <c r="H7" i="19"/>
  <c r="H4" i="19"/>
  <c r="H3" i="19"/>
  <c r="D7" i="19"/>
  <c r="D4" i="19"/>
  <c r="D3" i="19"/>
  <c r="F34" i="13"/>
  <c r="C22" i="13"/>
  <c r="F331" i="13" l="1"/>
  <c r="C329" i="13"/>
  <c r="F333" i="13"/>
  <c r="C331" i="13"/>
  <c r="F214" i="13"/>
  <c r="C206" i="13"/>
  <c r="F278" i="13"/>
  <c r="C273" i="13"/>
  <c r="H56" i="14" l="1"/>
  <c r="H55" i="14"/>
  <c r="H3" i="14"/>
  <c r="D56" i="14"/>
  <c r="D55" i="14"/>
  <c r="D3" i="14"/>
  <c r="G57" i="14"/>
  <c r="C57" i="14"/>
  <c r="J17" i="13"/>
  <c r="I17" i="13"/>
  <c r="F366" i="13"/>
  <c r="C366" i="13"/>
  <c r="F40" i="13"/>
  <c r="C27" i="13"/>
  <c r="F63" i="13"/>
  <c r="C49" i="13"/>
  <c r="F342" i="13"/>
  <c r="C340" i="13"/>
  <c r="F186" i="13"/>
  <c r="C177" i="13"/>
  <c r="K17" i="13" l="1"/>
  <c r="J4" i="13"/>
  <c r="I4" i="13"/>
  <c r="K4" i="13" s="1"/>
  <c r="F233" i="13"/>
  <c r="C225" i="13"/>
  <c r="H10" i="6"/>
  <c r="D10" i="6"/>
  <c r="J6" i="13"/>
  <c r="I6" i="13"/>
  <c r="L13" i="3"/>
  <c r="H51" i="3"/>
  <c r="H50" i="3"/>
  <c r="H49" i="3"/>
  <c r="H48" i="3"/>
  <c r="H47" i="3"/>
  <c r="H46" i="3"/>
  <c r="H45" i="3"/>
  <c r="H43" i="3"/>
  <c r="H42" i="3"/>
  <c r="H41" i="3"/>
  <c r="H40" i="3"/>
  <c r="H39" i="3"/>
  <c r="H38" i="3"/>
  <c r="H35" i="3"/>
  <c r="H34" i="3"/>
  <c r="H33" i="3"/>
  <c r="H32" i="3"/>
  <c r="H31" i="3"/>
  <c r="H30" i="3"/>
  <c r="H29" i="3"/>
  <c r="H28" i="3"/>
  <c r="H27" i="3"/>
  <c r="H26" i="3"/>
  <c r="H25" i="3"/>
  <c r="H24" i="3"/>
  <c r="H22" i="3"/>
  <c r="H21" i="3"/>
  <c r="H19" i="3"/>
  <c r="H18" i="3"/>
  <c r="H17" i="3"/>
  <c r="H14" i="3"/>
  <c r="H13" i="3"/>
  <c r="H12" i="3"/>
  <c r="H11" i="3"/>
  <c r="H10" i="3"/>
  <c r="H9" i="3"/>
  <c r="H8" i="3"/>
  <c r="H7" i="3"/>
  <c r="H5" i="3"/>
  <c r="H4" i="3"/>
  <c r="D51" i="3"/>
  <c r="D50" i="3"/>
  <c r="D49" i="3"/>
  <c r="D48" i="3"/>
  <c r="D47" i="3"/>
  <c r="D46" i="3"/>
  <c r="D45" i="3"/>
  <c r="D43" i="3"/>
  <c r="D42" i="3"/>
  <c r="D41" i="3"/>
  <c r="D40" i="3"/>
  <c r="D39" i="3"/>
  <c r="D38" i="3"/>
  <c r="D35" i="3"/>
  <c r="D34" i="3"/>
  <c r="D33" i="3"/>
  <c r="D32" i="3"/>
  <c r="D31" i="3"/>
  <c r="D30" i="3"/>
  <c r="D29" i="3"/>
  <c r="D28" i="3"/>
  <c r="D27" i="3"/>
  <c r="D26" i="3"/>
  <c r="D25" i="3"/>
  <c r="D24" i="3"/>
  <c r="D22" i="3"/>
  <c r="D21" i="3"/>
  <c r="D19" i="3"/>
  <c r="D18" i="3"/>
  <c r="D17" i="3"/>
  <c r="D14" i="3"/>
  <c r="D13" i="3"/>
  <c r="D12" i="3"/>
  <c r="D11" i="3"/>
  <c r="D10" i="3"/>
  <c r="D9" i="3"/>
  <c r="D8" i="3"/>
  <c r="D7" i="3"/>
  <c r="D5" i="3"/>
  <c r="D4" i="3"/>
  <c r="F44" i="13"/>
  <c r="C31" i="13"/>
  <c r="H44" i="2"/>
  <c r="D44" i="2"/>
  <c r="F7" i="13"/>
  <c r="C46" i="13"/>
  <c r="F196" i="13"/>
  <c r="C187" i="13"/>
  <c r="H45" i="6"/>
  <c r="D45" i="6"/>
  <c r="K6" i="13" l="1"/>
  <c r="H54" i="3"/>
  <c r="D54" i="3"/>
  <c r="F379" i="13" l="1"/>
  <c r="C379" i="13"/>
  <c r="H56" i="16"/>
  <c r="H55" i="16"/>
  <c r="H53" i="16"/>
  <c r="D56" i="16"/>
  <c r="D55" i="16"/>
  <c r="D53" i="16"/>
  <c r="H49" i="16"/>
  <c r="D49" i="16"/>
  <c r="H34" i="16"/>
  <c r="H29" i="16"/>
  <c r="H26" i="16"/>
  <c r="H24" i="16"/>
  <c r="H23" i="16"/>
  <c r="D26" i="16"/>
  <c r="D24" i="16"/>
  <c r="D23" i="16"/>
  <c r="H19" i="16"/>
  <c r="H18" i="16"/>
  <c r="H16" i="16"/>
  <c r="H15" i="16"/>
  <c r="H14" i="16"/>
  <c r="H13" i="16"/>
  <c r="D19" i="16"/>
  <c r="D18" i="16"/>
  <c r="D16" i="16"/>
  <c r="D15" i="16"/>
  <c r="D14" i="16"/>
  <c r="D13" i="16"/>
  <c r="H61" i="16"/>
  <c r="H60" i="16"/>
  <c r="H59" i="16"/>
  <c r="H58" i="16"/>
  <c r="H57" i="16"/>
  <c r="H52" i="16"/>
  <c r="H51" i="16"/>
  <c r="H50" i="16"/>
  <c r="H48" i="16"/>
  <c r="H46" i="16"/>
  <c r="H43" i="16"/>
  <c r="H42" i="16"/>
  <c r="H40" i="16"/>
  <c r="H39" i="16"/>
  <c r="H38" i="16"/>
  <c r="H35" i="16"/>
  <c r="H33" i="16"/>
  <c r="H32" i="16"/>
  <c r="H31" i="16"/>
  <c r="H30" i="16"/>
  <c r="H28" i="16"/>
  <c r="H27" i="16"/>
  <c r="H22" i="16"/>
  <c r="H21" i="16"/>
  <c r="H20" i="16"/>
  <c r="H12" i="16"/>
  <c r="H11" i="16"/>
  <c r="H10" i="16"/>
  <c r="H9" i="16"/>
  <c r="H7" i="16"/>
  <c r="H6" i="16"/>
  <c r="H5" i="16"/>
  <c r="H3" i="16"/>
  <c r="D61" i="16"/>
  <c r="D60" i="16"/>
  <c r="D59" i="16"/>
  <c r="D58" i="16"/>
  <c r="D57" i="16"/>
  <c r="D52" i="16"/>
  <c r="D51" i="16"/>
  <c r="D50" i="16"/>
  <c r="D48" i="16"/>
  <c r="D46" i="16"/>
  <c r="D43" i="16"/>
  <c r="D42" i="16"/>
  <c r="D40" i="16"/>
  <c r="D39" i="16"/>
  <c r="D38" i="16"/>
  <c r="D35" i="16"/>
  <c r="D33" i="16"/>
  <c r="D32" i="16"/>
  <c r="D31" i="16"/>
  <c r="D30" i="16"/>
  <c r="D28" i="16"/>
  <c r="D27" i="16"/>
  <c r="D22" i="16"/>
  <c r="D21" i="16"/>
  <c r="D20" i="16"/>
  <c r="D12" i="16"/>
  <c r="D11" i="16"/>
  <c r="D10" i="16"/>
  <c r="D9" i="16"/>
  <c r="D7" i="16"/>
  <c r="D6" i="16"/>
  <c r="D5" i="16"/>
  <c r="D3" i="16"/>
  <c r="G62" i="16"/>
  <c r="C62" i="16"/>
  <c r="F8" i="13"/>
  <c r="C320" i="13"/>
  <c r="F374" i="13"/>
  <c r="F340" i="13"/>
  <c r="C374" i="13"/>
  <c r="C338" i="13"/>
  <c r="J8" i="13"/>
  <c r="I8" i="13"/>
  <c r="K8" i="13" l="1"/>
  <c r="H7" i="18"/>
  <c r="D7" i="18"/>
  <c r="H25" i="18"/>
  <c r="D25" i="18"/>
  <c r="H41" i="18" l="1"/>
  <c r="H40" i="18"/>
  <c r="H37" i="18"/>
  <c r="H36" i="18"/>
  <c r="H35" i="18"/>
  <c r="H32" i="18"/>
  <c r="H28" i="18"/>
  <c r="H27" i="18"/>
  <c r="H22" i="18"/>
  <c r="H20" i="18"/>
  <c r="H19" i="18"/>
  <c r="H17" i="18"/>
  <c r="H16" i="18"/>
  <c r="H12" i="18"/>
  <c r="H11" i="18"/>
  <c r="H4" i="18"/>
  <c r="H3" i="18"/>
  <c r="D41" i="18"/>
  <c r="D40" i="18"/>
  <c r="D37" i="18"/>
  <c r="D36" i="18"/>
  <c r="D35" i="18"/>
  <c r="D32" i="18"/>
  <c r="D28" i="18"/>
  <c r="D27" i="18"/>
  <c r="D22" i="18"/>
  <c r="D20" i="18"/>
  <c r="D19" i="18"/>
  <c r="D17" i="18"/>
  <c r="D16" i="18"/>
  <c r="D12" i="18"/>
  <c r="D11" i="18"/>
  <c r="D4" i="18"/>
  <c r="D3" i="18"/>
  <c r="G42" i="18"/>
  <c r="C42" i="18"/>
  <c r="H34" i="17" l="1"/>
  <c r="D34" i="17"/>
  <c r="H6" i="17"/>
  <c r="D6" i="17"/>
  <c r="H9" i="17"/>
  <c r="D9" i="17"/>
  <c r="H36" i="17"/>
  <c r="D36" i="17"/>
  <c r="H35" i="17"/>
  <c r="D35" i="17"/>
  <c r="H33" i="17"/>
  <c r="D33" i="17"/>
  <c r="H11" i="17"/>
  <c r="D11" i="17"/>
  <c r="H41" i="17" l="1"/>
  <c r="H40" i="17"/>
  <c r="H39" i="17"/>
  <c r="H38" i="17"/>
  <c r="H32" i="17"/>
  <c r="H31" i="17"/>
  <c r="H30" i="17"/>
  <c r="H29" i="17"/>
  <c r="H27" i="17"/>
  <c r="H26" i="17"/>
  <c r="H25" i="17"/>
  <c r="H23" i="17"/>
  <c r="H20" i="17"/>
  <c r="H19" i="17"/>
  <c r="H18" i="17"/>
  <c r="H16" i="17"/>
  <c r="H15" i="17"/>
  <c r="H13" i="17"/>
  <c r="H12" i="17"/>
  <c r="H10" i="17"/>
  <c r="H8" i="17"/>
  <c r="H5" i="17"/>
  <c r="H4" i="17"/>
  <c r="D41" i="17"/>
  <c r="D40" i="17"/>
  <c r="D39" i="17"/>
  <c r="D38" i="17"/>
  <c r="D32" i="17"/>
  <c r="D31" i="17"/>
  <c r="D30" i="17"/>
  <c r="D29" i="17"/>
  <c r="D27" i="17"/>
  <c r="D26" i="17"/>
  <c r="D25" i="17"/>
  <c r="D23" i="17"/>
  <c r="D20" i="17"/>
  <c r="D19" i="17"/>
  <c r="D18" i="17"/>
  <c r="D16" i="17"/>
  <c r="D15" i="17"/>
  <c r="D13" i="17"/>
  <c r="D12" i="17"/>
  <c r="D10" i="17"/>
  <c r="D8" i="17"/>
  <c r="D5" i="17"/>
  <c r="D4" i="17"/>
  <c r="F134" i="13"/>
  <c r="C125" i="13"/>
  <c r="F300" i="13"/>
  <c r="C297" i="13"/>
  <c r="F47" i="13"/>
  <c r="C32" i="13"/>
  <c r="J26" i="13"/>
  <c r="I26" i="13"/>
  <c r="K26" i="13" s="1"/>
  <c r="F211" i="13"/>
  <c r="C285" i="13"/>
  <c r="F357" i="13"/>
  <c r="C357" i="13"/>
  <c r="F199" i="13"/>
  <c r="C191" i="13"/>
  <c r="F5" i="13"/>
  <c r="F83" i="13"/>
  <c r="F363" i="13"/>
  <c r="C363" i="13"/>
  <c r="F80" i="13"/>
  <c r="C65" i="13"/>
  <c r="F46" i="13"/>
  <c r="C73" i="13"/>
  <c r="F187" i="13"/>
  <c r="C178" i="13"/>
  <c r="L15" i="2"/>
  <c r="H9" i="2"/>
  <c r="D9" i="2"/>
  <c r="H37" i="2"/>
  <c r="D37" i="2"/>
  <c r="H30" i="2"/>
  <c r="D30" i="2"/>
  <c r="H49" i="2"/>
  <c r="H48" i="2"/>
  <c r="H47" i="2"/>
  <c r="H46" i="2"/>
  <c r="H45" i="2"/>
  <c r="H39" i="2"/>
  <c r="H38" i="2"/>
  <c r="H35" i="2"/>
  <c r="H33" i="2"/>
  <c r="H32" i="2"/>
  <c r="H31" i="2"/>
  <c r="H29" i="2"/>
  <c r="H28" i="2"/>
  <c r="H27" i="2"/>
  <c r="H24" i="2"/>
  <c r="H22" i="2"/>
  <c r="H21" i="2"/>
  <c r="H20" i="2"/>
  <c r="H19" i="2"/>
  <c r="H18" i="2"/>
  <c r="H17" i="2"/>
  <c r="H15" i="2"/>
  <c r="H14" i="2"/>
  <c r="H13" i="2"/>
  <c r="H12" i="2"/>
  <c r="H11" i="2"/>
  <c r="H8" i="2"/>
  <c r="H7" i="2"/>
  <c r="H4" i="2"/>
  <c r="H3" i="2"/>
  <c r="D49" i="2"/>
  <c r="D48" i="2"/>
  <c r="D47" i="2"/>
  <c r="D46" i="2"/>
  <c r="D45" i="2"/>
  <c r="D39" i="2"/>
  <c r="D38" i="2"/>
  <c r="D35" i="2"/>
  <c r="D33" i="2"/>
  <c r="D32" i="2"/>
  <c r="D31" i="2"/>
  <c r="D29" i="2"/>
  <c r="D28" i="2"/>
  <c r="D27" i="2"/>
  <c r="D24" i="2"/>
  <c r="D22" i="2"/>
  <c r="D21" i="2"/>
  <c r="D20" i="2"/>
  <c r="D19" i="2"/>
  <c r="D18" i="2"/>
  <c r="D17" i="2"/>
  <c r="D15" i="2"/>
  <c r="D14" i="2"/>
  <c r="D13" i="2"/>
  <c r="D12" i="2"/>
  <c r="D11" i="2"/>
  <c r="D8" i="2"/>
  <c r="D7" i="2"/>
  <c r="D4" i="2"/>
  <c r="D3" i="2"/>
  <c r="G50" i="2"/>
  <c r="C50" i="2"/>
  <c r="F54" i="13"/>
  <c r="J9" i="13"/>
  <c r="I9" i="13"/>
  <c r="F174" i="13"/>
  <c r="C160" i="13"/>
  <c r="F259" i="13"/>
  <c r="C252" i="13"/>
  <c r="F164" i="13"/>
  <c r="C148" i="13"/>
  <c r="F310" i="13"/>
  <c r="C307" i="13"/>
  <c r="F133" i="13"/>
  <c r="C124" i="13"/>
  <c r="J49" i="13"/>
  <c r="I49" i="13"/>
  <c r="K9" i="13" l="1"/>
  <c r="J37" i="13"/>
  <c r="I37" i="13"/>
  <c r="J5" i="13"/>
  <c r="I5" i="13"/>
  <c r="F189" i="13"/>
  <c r="C180" i="13"/>
  <c r="O20" i="6"/>
  <c r="O19" i="6"/>
  <c r="K5" i="13" l="1"/>
  <c r="H18" i="6"/>
  <c r="D18" i="6"/>
  <c r="H22" i="6"/>
  <c r="D22" i="6"/>
  <c r="H48" i="6"/>
  <c r="H47" i="6"/>
  <c r="H46" i="6"/>
  <c r="H44" i="6"/>
  <c r="H43" i="6"/>
  <c r="H42" i="6"/>
  <c r="H41" i="6"/>
  <c r="H38" i="6"/>
  <c r="H37" i="6"/>
  <c r="H35" i="6"/>
  <c r="H34" i="6"/>
  <c r="H33" i="6"/>
  <c r="H32" i="6"/>
  <c r="H31" i="6"/>
  <c r="H30" i="6"/>
  <c r="H29" i="6"/>
  <c r="H26" i="6"/>
  <c r="H21" i="6"/>
  <c r="H17" i="6"/>
  <c r="H16" i="6"/>
  <c r="H12" i="6"/>
  <c r="H8" i="6"/>
  <c r="H7" i="6"/>
  <c r="H6" i="6"/>
  <c r="H5" i="6"/>
  <c r="H3" i="6"/>
  <c r="D48" i="6"/>
  <c r="D47" i="6"/>
  <c r="D46" i="6"/>
  <c r="D44" i="6"/>
  <c r="D43" i="6"/>
  <c r="D42" i="6"/>
  <c r="D41" i="6"/>
  <c r="D38" i="6"/>
  <c r="D37" i="6"/>
  <c r="D35" i="6"/>
  <c r="D34" i="6"/>
  <c r="D33" i="6"/>
  <c r="D32" i="6"/>
  <c r="D31" i="6"/>
  <c r="D30" i="6"/>
  <c r="D29" i="6"/>
  <c r="D26" i="6"/>
  <c r="D21" i="6"/>
  <c r="D17" i="6"/>
  <c r="D16" i="6"/>
  <c r="D12" i="6"/>
  <c r="D8" i="6"/>
  <c r="D7" i="6"/>
  <c r="D6" i="6"/>
  <c r="D5" i="6"/>
  <c r="D3" i="6"/>
  <c r="G49" i="6"/>
  <c r="C49" i="6"/>
  <c r="F49" i="6"/>
  <c r="B49" i="6"/>
  <c r="F216" i="13"/>
  <c r="C208" i="13"/>
  <c r="F42" i="18"/>
  <c r="H42" i="18" s="1"/>
  <c r="B42" i="18"/>
  <c r="D42" i="18" s="1"/>
  <c r="H55" i="19"/>
  <c r="D55" i="19"/>
  <c r="H42" i="17"/>
  <c r="D42" i="17"/>
  <c r="F62" i="16"/>
  <c r="H62" i="16" s="1"/>
  <c r="B62" i="16"/>
  <c r="D62" i="16" s="1"/>
  <c r="AC12" i="6"/>
  <c r="AC5" i="6"/>
  <c r="H57" i="15"/>
  <c r="D57" i="15"/>
  <c r="F209" i="13"/>
  <c r="C202" i="13"/>
  <c r="F240" i="13"/>
  <c r="C233" i="13"/>
  <c r="F10" i="13"/>
  <c r="C4" i="13"/>
  <c r="F27" i="13"/>
  <c r="C14" i="13"/>
  <c r="F149" i="13"/>
  <c r="C132" i="13"/>
  <c r="F17" i="13"/>
  <c r="C8" i="13"/>
  <c r="F97" i="13"/>
  <c r="C88" i="13"/>
  <c r="F332" i="13"/>
  <c r="C330" i="13"/>
  <c r="F91" i="13"/>
  <c r="C81" i="13"/>
  <c r="F4" i="13"/>
  <c r="C274" i="13"/>
  <c r="F166" i="13"/>
  <c r="C151" i="13"/>
  <c r="F370" i="13"/>
  <c r="C370" i="13"/>
  <c r="F12" i="13"/>
  <c r="C6" i="13"/>
  <c r="F76" i="13"/>
  <c r="C62" i="13"/>
  <c r="C37" i="13"/>
  <c r="F347" i="13"/>
  <c r="C346" i="13"/>
  <c r="F345" i="13"/>
  <c r="C344" i="13"/>
  <c r="F343" i="13"/>
  <c r="C341" i="13"/>
  <c r="F43" i="13"/>
  <c r="C30" i="13"/>
  <c r="C80" i="13"/>
  <c r="C33" i="13"/>
  <c r="C283" i="13"/>
  <c r="C131" i="13"/>
  <c r="F306" i="13"/>
  <c r="C303" i="13"/>
  <c r="F172" i="13"/>
  <c r="C158" i="13"/>
  <c r="F41" i="13"/>
  <c r="C28" i="13"/>
  <c r="D49" i="6" l="1"/>
  <c r="H49" i="6"/>
  <c r="F161" i="13"/>
  <c r="C145" i="13"/>
  <c r="F230" i="13" l="1"/>
  <c r="C222" i="13"/>
  <c r="F307" i="13" l="1"/>
  <c r="C304" i="13"/>
  <c r="F168" i="13" l="1"/>
  <c r="C153" i="13"/>
  <c r="F51" i="13" l="1"/>
  <c r="C36" i="13"/>
  <c r="F31" i="13" l="1"/>
  <c r="C18" i="13"/>
  <c r="F246" i="13" l="1"/>
  <c r="C239" i="13"/>
  <c r="F135" i="13" l="1"/>
  <c r="C126" i="13"/>
  <c r="F204" i="13" l="1"/>
  <c r="F177" i="13"/>
  <c r="C197" i="13"/>
  <c r="C163" i="13"/>
  <c r="F247" i="13" l="1"/>
  <c r="C240" i="13"/>
  <c r="F316" i="13" l="1"/>
  <c r="C313" i="13"/>
  <c r="F165" i="13"/>
  <c r="C149" i="13"/>
  <c r="F182" i="13"/>
  <c r="C169" i="13"/>
  <c r="F139" i="13"/>
  <c r="C167" i="13"/>
  <c r="F338" i="13"/>
  <c r="C336" i="13"/>
  <c r="F49" i="13"/>
  <c r="F137" i="13"/>
  <c r="F29" i="13"/>
  <c r="F348" i="13"/>
  <c r="F339" i="13"/>
  <c r="F261" i="13"/>
  <c r="F38" i="13"/>
  <c r="F128" i="13"/>
  <c r="F20" i="13"/>
  <c r="F148" i="13"/>
  <c r="F84" i="13"/>
  <c r="F36" i="13"/>
  <c r="F119" i="13"/>
  <c r="F267" i="13"/>
  <c r="F329" i="13"/>
  <c r="F352" i="13"/>
  <c r="F360" i="13"/>
  <c r="F372" i="13"/>
  <c r="F256" i="13"/>
  <c r="F330" i="13"/>
  <c r="F354" i="13"/>
  <c r="F241" i="13"/>
  <c r="F113" i="13"/>
  <c r="F282" i="13"/>
  <c r="F299" i="13"/>
  <c r="F162" i="13"/>
  <c r="F321" i="13"/>
  <c r="F184" i="13"/>
  <c r="F288" i="13"/>
  <c r="F42" i="13"/>
  <c r="F295" i="13"/>
  <c r="F79" i="13"/>
  <c r="F90" i="13"/>
  <c r="F203" i="13"/>
  <c r="F78" i="13"/>
  <c r="F378" i="13"/>
  <c r="F147" i="13"/>
  <c r="F222" i="13"/>
  <c r="F57" i="13"/>
  <c r="F9" i="13"/>
  <c r="F37" i="13"/>
  <c r="F106" i="13"/>
  <c r="F153" i="13"/>
  <c r="F86" i="13"/>
  <c r="F107" i="13"/>
  <c r="F239" i="13"/>
  <c r="F252" i="13"/>
  <c r="F254" i="13"/>
  <c r="F111" i="13"/>
  <c r="F292" i="13"/>
  <c r="F297" i="13"/>
  <c r="F22" i="13"/>
  <c r="F303" i="13"/>
  <c r="F263" i="13"/>
  <c r="F32" i="13"/>
  <c r="F179" i="13"/>
  <c r="F313" i="13"/>
  <c r="F271" i="13"/>
  <c r="F287" i="13"/>
  <c r="F68" i="13"/>
  <c r="F117" i="13"/>
  <c r="F144" i="13"/>
  <c r="F326" i="13"/>
  <c r="F180" i="13"/>
  <c r="F367" i="13"/>
  <c r="F368" i="13"/>
  <c r="F124" i="13"/>
  <c r="F334" i="13"/>
  <c r="F317" i="13"/>
  <c r="F48" i="13"/>
  <c r="F69" i="13"/>
  <c r="F132" i="13"/>
  <c r="F70" i="13"/>
  <c r="F94" i="13"/>
  <c r="F369" i="13"/>
  <c r="F341" i="13"/>
  <c r="F375" i="13"/>
  <c r="C34" i="13"/>
  <c r="C327" i="13"/>
  <c r="C351" i="13"/>
  <c r="C318" i="13"/>
  <c r="C175" i="13"/>
  <c r="C353" i="13"/>
  <c r="C354" i="13"/>
  <c r="C129" i="13"/>
  <c r="C214" i="13"/>
  <c r="C41" i="13"/>
  <c r="C42" i="13"/>
  <c r="C24" i="13"/>
  <c r="C136" i="13"/>
  <c r="C71" i="13"/>
  <c r="C289" i="13"/>
  <c r="C294" i="13"/>
  <c r="C300" i="13"/>
  <c r="C188" i="13"/>
  <c r="C367" i="13"/>
  <c r="C368" i="13"/>
  <c r="C119" i="13"/>
  <c r="C347" i="13"/>
  <c r="C10" i="13"/>
  <c r="C230" i="13"/>
  <c r="C337" i="13"/>
  <c r="C102" i="13"/>
  <c r="C278" i="13"/>
  <c r="C296" i="13"/>
  <c r="C29" i="13"/>
  <c r="C328" i="13"/>
  <c r="C196" i="13"/>
  <c r="C95" i="13"/>
  <c r="C100" i="13"/>
  <c r="C165" i="13"/>
  <c r="C310" i="13"/>
  <c r="C54" i="13"/>
  <c r="C324" i="13"/>
  <c r="C332" i="13"/>
  <c r="C123" i="13"/>
  <c r="C369" i="13"/>
  <c r="C375" i="13"/>
  <c r="C69" i="13"/>
  <c r="C234" i="13"/>
  <c r="C64" i="13"/>
  <c r="C94" i="13"/>
  <c r="C232" i="13"/>
  <c r="C245" i="13"/>
  <c r="C247" i="13"/>
  <c r="C254" i="13"/>
  <c r="C264" i="13"/>
  <c r="C150" i="13"/>
  <c r="C19" i="13"/>
  <c r="C107" i="13"/>
  <c r="C55" i="13"/>
  <c r="C339" i="13"/>
  <c r="C109" i="13"/>
  <c r="C25" i="13"/>
  <c r="C77" i="13"/>
  <c r="C261" i="13"/>
  <c r="C360" i="13"/>
  <c r="C372" i="13"/>
  <c r="C249" i="13"/>
  <c r="C146" i="13"/>
  <c r="C284" i="13"/>
  <c r="C292" i="13"/>
  <c r="C378" i="13"/>
  <c r="C16" i="13"/>
  <c r="C256" i="13"/>
  <c r="C266" i="13"/>
  <c r="C166" i="13"/>
  <c r="C114" i="13"/>
  <c r="C314" i="13"/>
  <c r="C56" i="13"/>
  <c r="C85" i="13"/>
  <c r="F50" i="2"/>
  <c r="H50" i="2" s="1"/>
  <c r="B50" i="2"/>
  <c r="D50" i="2" s="1"/>
  <c r="F57" i="14"/>
  <c r="H57" i="14" s="1"/>
  <c r="B57" i="14"/>
  <c r="D57" i="14" s="1"/>
  <c r="C380" i="13" l="1"/>
  <c r="F380" i="13"/>
</calcChain>
</file>

<file path=xl/sharedStrings.xml><?xml version="1.0" encoding="utf-8"?>
<sst xmlns="http://schemas.openxmlformats.org/spreadsheetml/2006/main" count="4557" uniqueCount="784">
  <si>
    <t>TRIES</t>
  </si>
  <si>
    <t>Tot</t>
  </si>
  <si>
    <t>POINTS</t>
  </si>
  <si>
    <t>TOTALS</t>
  </si>
  <si>
    <t>Penalty Tries</t>
  </si>
  <si>
    <t>Williams</t>
  </si>
  <si>
    <t>Most Points</t>
  </si>
  <si>
    <t>Att</t>
  </si>
  <si>
    <t>%</t>
  </si>
  <si>
    <t>Ordered</t>
  </si>
  <si>
    <t>ordered</t>
  </si>
  <si>
    <t>TOTAL</t>
  </si>
  <si>
    <t>This Season</t>
  </si>
  <si>
    <t>-</t>
  </si>
  <si>
    <t xml:space="preserve"> </t>
  </si>
  <si>
    <t>Lewis</t>
  </si>
  <si>
    <t>Most Tries</t>
  </si>
  <si>
    <t>© Hillsport Media Ltd</t>
  </si>
  <si>
    <t>Top Strike Rates*</t>
  </si>
  <si>
    <t>Last Match             (All Comps)</t>
  </si>
  <si>
    <t xml:space="preserve">This Season </t>
  </si>
  <si>
    <t>Gls</t>
  </si>
  <si>
    <t>AC</t>
  </si>
  <si>
    <t>GLO</t>
  </si>
  <si>
    <t>SAL</t>
  </si>
  <si>
    <t>HAR</t>
  </si>
  <si>
    <t>EXE</t>
  </si>
  <si>
    <t>BRI</t>
  </si>
  <si>
    <t>Last Match            (All Comps)</t>
  </si>
  <si>
    <t>^regular season</t>
  </si>
  <si>
    <t>Top Try Scorer^</t>
  </si>
  <si>
    <t>Seq</t>
  </si>
  <si>
    <t>George</t>
  </si>
  <si>
    <t>SAR</t>
  </si>
  <si>
    <t>Moore</t>
  </si>
  <si>
    <t xml:space="preserve">Most Points^ </t>
  </si>
  <si>
    <t>Barwick</t>
  </si>
  <si>
    <t>Bern</t>
  </si>
  <si>
    <t>Bevan</t>
  </si>
  <si>
    <t>Burns</t>
  </si>
  <si>
    <t>Coles</t>
  </si>
  <si>
    <t>Crompton</t>
  </si>
  <si>
    <t>Balogun</t>
  </si>
  <si>
    <t>Bonner</t>
  </si>
  <si>
    <t>Lovibond</t>
  </si>
  <si>
    <t>Murray</t>
  </si>
  <si>
    <t>Nigrelli</t>
  </si>
  <si>
    <t>Pam</t>
  </si>
  <si>
    <t>Phillips</t>
  </si>
  <si>
    <t>Smith</t>
  </si>
  <si>
    <t>Ward</t>
  </si>
  <si>
    <t>White</t>
  </si>
  <si>
    <t>Webb</t>
  </si>
  <si>
    <t>Wilkinson</t>
  </si>
  <si>
    <t>Allen</t>
  </si>
  <si>
    <t>Bradley</t>
  </si>
  <si>
    <t>Buchanan</t>
  </si>
  <si>
    <t>Cantorna</t>
  </si>
  <si>
    <t>Fleming</t>
  </si>
  <si>
    <t>Hanlon</t>
  </si>
  <si>
    <t>Jefferies</t>
  </si>
  <si>
    <t>Johnson</t>
  </si>
  <si>
    <t>Langford</t>
  </si>
  <si>
    <t>McGillivray</t>
  </si>
  <si>
    <t>McGoverne</t>
  </si>
  <si>
    <t>McMahon</t>
  </si>
  <si>
    <t>Menin</t>
  </si>
  <si>
    <t>Middlebrooke</t>
  </si>
  <si>
    <t>Orchard</t>
  </si>
  <si>
    <t>Preece</t>
  </si>
  <si>
    <t>Rogers</t>
  </si>
  <si>
    <t>Sinclair</t>
  </si>
  <si>
    <t>Turani</t>
  </si>
  <si>
    <t>Tuttosi</t>
  </si>
  <si>
    <t>van der Velden</t>
  </si>
  <si>
    <t>Willett</t>
  </si>
  <si>
    <t>Zackary</t>
  </si>
  <si>
    <t>Beckett</t>
  </si>
  <si>
    <t>Blackburn</t>
  </si>
  <si>
    <t>Bridger</t>
  </si>
  <si>
    <t>Brock</t>
  </si>
  <si>
    <t>Buggy</t>
  </si>
  <si>
    <t>Constable O</t>
  </si>
  <si>
    <t>Copson</t>
  </si>
  <si>
    <t>Crabb</t>
  </si>
  <si>
    <t>Dale</t>
  </si>
  <si>
    <t>Delgado</t>
  </si>
  <si>
    <t>Else</t>
  </si>
  <si>
    <t>Goulden</t>
  </si>
  <si>
    <t>Heard</t>
  </si>
  <si>
    <t>Hendy</t>
  </si>
  <si>
    <t>Hunt</t>
  </si>
  <si>
    <t>Jones H</t>
  </si>
  <si>
    <t>Jones K</t>
  </si>
  <si>
    <t>Jones N</t>
  </si>
  <si>
    <t>Lewis B</t>
  </si>
  <si>
    <t>Lund</t>
  </si>
  <si>
    <t>Manns</t>
  </si>
  <si>
    <t>Matthews</t>
  </si>
  <si>
    <t>Monaghan</t>
  </si>
  <si>
    <t>Muir</t>
  </si>
  <si>
    <t>Neumann</t>
  </si>
  <si>
    <t>Richards</t>
  </si>
  <si>
    <t>Rugman</t>
  </si>
  <si>
    <t>Samuda</t>
  </si>
  <si>
    <t>Sing</t>
  </si>
  <si>
    <t>Tuipulotu</t>
  </si>
  <si>
    <t>Venner</t>
  </si>
  <si>
    <t>Jacobs</t>
  </si>
  <si>
    <t>Miell</t>
  </si>
  <si>
    <t>Flanagan</t>
  </si>
  <si>
    <t>Grant</t>
  </si>
  <si>
    <t>Rose</t>
  </si>
  <si>
    <t>Wyrwas</t>
  </si>
  <si>
    <t>McIntosh</t>
  </si>
  <si>
    <t>Evans G</t>
  </si>
  <si>
    <t>Botterman</t>
  </si>
  <si>
    <t>Casey</t>
  </si>
  <si>
    <t>Loyola</t>
  </si>
  <si>
    <t>Breach</t>
  </si>
  <si>
    <t>Clifford</t>
  </si>
  <si>
    <t>Infante</t>
  </si>
  <si>
    <t>McMillan</t>
  </si>
  <si>
    <t>Carson</t>
  </si>
  <si>
    <t>Packer</t>
  </si>
  <si>
    <t>Campbell</t>
  </si>
  <si>
    <t>Evans M</t>
  </si>
  <si>
    <t>McKenna</t>
  </si>
  <si>
    <t>Kasolo</t>
  </si>
  <si>
    <t>Green</t>
  </si>
  <si>
    <t>Tansley</t>
  </si>
  <si>
    <t>Gregson</t>
  </si>
  <si>
    <t>Harrison</t>
  </si>
  <si>
    <t>Wills</t>
  </si>
  <si>
    <t>Sims</t>
  </si>
  <si>
    <t>LOU</t>
  </si>
  <si>
    <t>Nelson</t>
  </si>
  <si>
    <t>Tuima</t>
  </si>
  <si>
    <t>Duffy</t>
  </si>
  <si>
    <t>Lingham</t>
  </si>
  <si>
    <t>Bawden</t>
  </si>
  <si>
    <t>Thorpe</t>
  </si>
  <si>
    <t>Delany</t>
  </si>
  <si>
    <t>Benson</t>
  </si>
  <si>
    <t>Fielding</t>
  </si>
  <si>
    <t>Irwin V A</t>
  </si>
  <si>
    <t>Young</t>
  </si>
  <si>
    <t>Antwis</t>
  </si>
  <si>
    <t>Taylor-Roberts</t>
  </si>
  <si>
    <t>Perrin</t>
  </si>
  <si>
    <t>Ridgeway</t>
  </si>
  <si>
    <t>Swailes</t>
  </si>
  <si>
    <t>Wright</t>
  </si>
  <si>
    <t>Iwanejko</t>
  </si>
  <si>
    <t>James</t>
  </si>
  <si>
    <t>Morrissey</t>
  </si>
  <si>
    <t>Bell</t>
  </si>
  <si>
    <t>Perris-Redding G</t>
  </si>
  <si>
    <t>Ishida</t>
  </si>
  <si>
    <t>Wood</t>
  </si>
  <si>
    <t>Woosey</t>
  </si>
  <si>
    <t>PWR</t>
  </si>
  <si>
    <t>Last Season</t>
  </si>
  <si>
    <t>LEI</t>
  </si>
  <si>
    <t xml:space="preserve">Last Season </t>
  </si>
  <si>
    <t>Atkin-Davies</t>
  </si>
  <si>
    <t>Atkin-Davies L</t>
  </si>
  <si>
    <t>CUP</t>
  </si>
  <si>
    <t>TOT</t>
  </si>
  <si>
    <t>n/a</t>
  </si>
  <si>
    <t>Hesketh</t>
  </si>
  <si>
    <t>David</t>
  </si>
  <si>
    <t>Lovibond E</t>
  </si>
  <si>
    <t>Marston-Mulhern R</t>
  </si>
  <si>
    <t>Bonner R</t>
  </si>
  <si>
    <t>Murray P</t>
  </si>
  <si>
    <t>Nigrelli G</t>
  </si>
  <si>
    <t>Ward A</t>
  </si>
  <si>
    <t>Bern S</t>
  </si>
  <si>
    <t>Burns D</t>
  </si>
  <si>
    <t>Pam S</t>
  </si>
  <si>
    <t>Bevan K</t>
  </si>
  <si>
    <t>Balogun R</t>
  </si>
  <si>
    <t>Rigoni</t>
  </si>
  <si>
    <t>Rigoni B</t>
  </si>
  <si>
    <t>de Goede</t>
  </si>
  <si>
    <t>de Goede S</t>
  </si>
  <si>
    <t>Harrison Z</t>
  </si>
  <si>
    <t>Malcolm</t>
  </si>
  <si>
    <t>Rowland</t>
  </si>
  <si>
    <t>Rowland H</t>
  </si>
  <si>
    <t>Malcolm R</t>
  </si>
  <si>
    <t>Amory</t>
  </si>
  <si>
    <t>Amory E</t>
  </si>
  <si>
    <t>Mayhew</t>
  </si>
  <si>
    <t>Tuima L</t>
  </si>
  <si>
    <t>Mayhew E</t>
  </si>
  <si>
    <t>Robinson F</t>
  </si>
  <si>
    <t>Fleming A</t>
  </si>
  <si>
    <t>McGhie</t>
  </si>
  <si>
    <t>Donaldson</t>
  </si>
  <si>
    <t>Donaldson E</t>
  </si>
  <si>
    <t>Jones M</t>
  </si>
  <si>
    <t>McGhie F</t>
  </si>
  <si>
    <t>Orchard N</t>
  </si>
  <si>
    <t>Cantorna G</t>
  </si>
  <si>
    <t>Breach J</t>
  </si>
  <si>
    <t>Buchanan K</t>
  </si>
  <si>
    <t>Cleall P</t>
  </si>
  <si>
    <t>Gregson S</t>
  </si>
  <si>
    <t>Infante L</t>
  </si>
  <si>
    <t>Packer M</t>
  </si>
  <si>
    <t>Sams</t>
  </si>
  <si>
    <t>Harris</t>
  </si>
  <si>
    <t>Dow A</t>
  </si>
  <si>
    <t>Perry</t>
  </si>
  <si>
    <t>Feury</t>
  </si>
  <si>
    <t>Feury T</t>
  </si>
  <si>
    <t>Brock G</t>
  </si>
  <si>
    <t>Venner M</t>
  </si>
  <si>
    <t>Taylor</t>
  </si>
  <si>
    <t>Taylor K</t>
  </si>
  <si>
    <t>Beckett S</t>
  </si>
  <si>
    <t>Sing E</t>
  </si>
  <si>
    <t>Bridger S</t>
  </si>
  <si>
    <t>Talling</t>
  </si>
  <si>
    <t>Talling M</t>
  </si>
  <si>
    <t>Swailes N</t>
  </si>
  <si>
    <t>Latsha B</t>
  </si>
  <si>
    <t>McBrien</t>
  </si>
  <si>
    <t>Daley</t>
  </si>
  <si>
    <t>Turner</t>
  </si>
  <si>
    <t>Evans</t>
  </si>
  <si>
    <t>Childs</t>
  </si>
  <si>
    <t>Tutt</t>
  </si>
  <si>
    <t>Quansah</t>
  </si>
  <si>
    <t>Swartz</t>
  </si>
  <si>
    <t>Nicholas</t>
  </si>
  <si>
    <t>Nye</t>
  </si>
  <si>
    <t>Relf</t>
  </si>
  <si>
    <t>Bartlett</t>
  </si>
  <si>
    <t>Sagapolu</t>
  </si>
  <si>
    <t>Bainbridge</t>
  </si>
  <si>
    <t>Martin</t>
  </si>
  <si>
    <t>Fray</t>
  </si>
  <si>
    <t>Brody</t>
  </si>
  <si>
    <t>Richardson</t>
  </si>
  <si>
    <t>Tasker</t>
  </si>
  <si>
    <t>Scantlebury</t>
  </si>
  <si>
    <t>Davey</t>
  </si>
  <si>
    <t>Hibbert-Jones</t>
  </si>
  <si>
    <t>Westcombe-Evans</t>
  </si>
  <si>
    <t>Brown</t>
  </si>
  <si>
    <t>Hardy</t>
  </si>
  <si>
    <t>Maxwell</t>
  </si>
  <si>
    <t>Belisle</t>
  </si>
  <si>
    <t>Waudby</t>
  </si>
  <si>
    <t>Ives Campion</t>
  </si>
  <si>
    <t>Farries</t>
  </si>
  <si>
    <t>Nelson H</t>
  </si>
  <si>
    <t>Brody T</t>
  </si>
  <si>
    <t>Relf A</t>
  </si>
  <si>
    <t>Westcombe-Evans B</t>
  </si>
  <si>
    <t>Campbell M</t>
  </si>
  <si>
    <t>Farries P</t>
  </si>
  <si>
    <t>Tuttosi E</t>
  </si>
  <si>
    <t>Wyrwas E</t>
  </si>
  <si>
    <t>Aucken</t>
  </si>
  <si>
    <t>Benjamin</t>
  </si>
  <si>
    <t>Bonar</t>
  </si>
  <si>
    <t>Cooper</t>
  </si>
  <si>
    <t>Cowell</t>
  </si>
  <si>
    <t>Cromack</t>
  </si>
  <si>
    <t>Fisher</t>
  </si>
  <si>
    <t>Hannay</t>
  </si>
  <si>
    <t>Harper</t>
  </si>
  <si>
    <t>Heryet</t>
  </si>
  <si>
    <t>Hillier</t>
  </si>
  <si>
    <t>Kildunne</t>
  </si>
  <si>
    <t>Layzell</t>
  </si>
  <si>
    <t>Leaney</t>
  </si>
  <si>
    <t>Lochner</t>
  </si>
  <si>
    <t>Mullen</t>
  </si>
  <si>
    <t>Robinson E</t>
  </si>
  <si>
    <t>Shillaker</t>
  </si>
  <si>
    <t>Shirley</t>
  </si>
  <si>
    <t>Spurrier</t>
  </si>
  <si>
    <t>Torley</t>
  </si>
  <si>
    <t>Wilcock</t>
  </si>
  <si>
    <t>Wythe</t>
  </si>
  <si>
    <t>Konkel</t>
  </si>
  <si>
    <t>Latsha</t>
  </si>
  <si>
    <t>Davey M</t>
  </si>
  <si>
    <t>Varley</t>
  </si>
  <si>
    <t>Varley M</t>
  </si>
  <si>
    <t>Crake</t>
  </si>
  <si>
    <t>Crake L</t>
  </si>
  <si>
    <t>Barwick M</t>
  </si>
  <si>
    <t>Zackary K</t>
  </si>
  <si>
    <t>Sims H</t>
  </si>
  <si>
    <t>Cromack E</t>
  </si>
  <si>
    <t>Tessier</t>
  </si>
  <si>
    <t>Tessier A</t>
  </si>
  <si>
    <t>Martin E</t>
  </si>
  <si>
    <t>Middlebrooke A</t>
  </si>
  <si>
    <t>Skeldon</t>
  </si>
  <si>
    <t>Skeldon L</t>
  </si>
  <si>
    <t>Botterman H</t>
  </si>
  <si>
    <t>Smith M</t>
  </si>
  <si>
    <t>Inman</t>
  </si>
  <si>
    <t>Inman R</t>
  </si>
  <si>
    <t>Prothero</t>
  </si>
  <si>
    <t>Prothero N</t>
  </si>
  <si>
    <t>Richardson M</t>
  </si>
  <si>
    <t>Hibbert-Jones D</t>
  </si>
  <si>
    <t>Clifford K</t>
  </si>
  <si>
    <t>Kasolo S</t>
  </si>
  <si>
    <t>Menin D</t>
  </si>
  <si>
    <t>Monaghan S</t>
  </si>
  <si>
    <t>George L</t>
  </si>
  <si>
    <t>Field</t>
  </si>
  <si>
    <t>MacDougall</t>
  </si>
  <si>
    <t>Linkins</t>
  </si>
  <si>
    <t>Schell</t>
  </si>
  <si>
    <t>Schell J</t>
  </si>
  <si>
    <t>Harper D</t>
  </si>
  <si>
    <t>Antwis I</t>
  </si>
  <si>
    <t>Sinclair E</t>
  </si>
  <si>
    <t>Allen M</t>
  </si>
  <si>
    <t>Grant C</t>
  </si>
  <si>
    <t>Lund R</t>
  </si>
  <si>
    <t>Boatman</t>
  </si>
  <si>
    <t>Burton</t>
  </si>
  <si>
    <t>McQuade</t>
  </si>
  <si>
    <t>Cooksey</t>
  </si>
  <si>
    <t>Burnfield</t>
  </si>
  <si>
    <t>Uren</t>
  </si>
  <si>
    <t>Cox</t>
  </si>
  <si>
    <t>Swords</t>
  </si>
  <si>
    <t>Tuffnail</t>
  </si>
  <si>
    <t>Leat</t>
  </si>
  <si>
    <t>Seye</t>
  </si>
  <si>
    <t>Blanco</t>
  </si>
  <si>
    <t>Beukeboom</t>
  </si>
  <si>
    <t>Buckland-Hurry</t>
  </si>
  <si>
    <t>Brincat</t>
  </si>
  <si>
    <t>Ikahihifo</t>
  </si>
  <si>
    <t>Pinnock</t>
  </si>
  <si>
    <t>Meta</t>
  </si>
  <si>
    <t>Brooks</t>
  </si>
  <si>
    <t>TFW</t>
  </si>
  <si>
    <t>Leaney K</t>
  </si>
  <si>
    <t xml:space="preserve">Gondwe </t>
  </si>
  <si>
    <t>Gondwe A</t>
  </si>
  <si>
    <t>Hunt M</t>
  </si>
  <si>
    <t>Kildunne E</t>
  </si>
  <si>
    <t>Rogers H</t>
  </si>
  <si>
    <t>Preece D</t>
  </si>
  <si>
    <t>Bricknell</t>
  </si>
  <si>
    <t>Bricknell T</t>
  </si>
  <si>
    <t>Cox C</t>
  </si>
  <si>
    <t>Gallagher</t>
  </si>
  <si>
    <t>Gallagher C</t>
  </si>
  <si>
    <t>Tasker G</t>
  </si>
  <si>
    <t>Kobayashi</t>
  </si>
  <si>
    <t>Kobayashi K</t>
  </si>
  <si>
    <t>Blacklock</t>
  </si>
  <si>
    <t>Blacklock B</t>
  </si>
  <si>
    <t>MacDougall A</t>
  </si>
  <si>
    <t>Seye S</t>
  </si>
  <si>
    <t>Field B</t>
  </si>
  <si>
    <t>Bawden H</t>
  </si>
  <si>
    <t>Benson C</t>
  </si>
  <si>
    <t>Bartlett L</t>
  </si>
  <si>
    <t>Jefferies E</t>
  </si>
  <si>
    <t>McBrien R</t>
  </si>
  <si>
    <t>Richards C</t>
  </si>
  <si>
    <t>Wilcock B</t>
  </si>
  <si>
    <t>Powell C</t>
  </si>
  <si>
    <t>Tuipulotu S</t>
  </si>
  <si>
    <t>Hunt N</t>
  </si>
  <si>
    <t>Matthews A</t>
  </si>
  <si>
    <t>Blaclock B</t>
  </si>
  <si>
    <t>Aucken F</t>
  </si>
  <si>
    <t>Layzell A</t>
  </si>
  <si>
    <t>Wythe N</t>
  </si>
  <si>
    <t>Hyett</t>
  </si>
  <si>
    <t>Hyett M</t>
  </si>
  <si>
    <t>Metcalfe</t>
  </si>
  <si>
    <t>Metcalfe N</t>
  </si>
  <si>
    <t>Delany L</t>
  </si>
  <si>
    <t>Else S</t>
  </si>
  <si>
    <t>Manns C-M</t>
  </si>
  <si>
    <t>Gallagher E</t>
  </si>
  <si>
    <t>Cowell H</t>
  </si>
  <si>
    <t>Muir M</t>
  </si>
  <si>
    <t>Crabb G</t>
  </si>
  <si>
    <t>Hendy P</t>
  </si>
  <si>
    <t>Blanco C</t>
  </si>
  <si>
    <t>Ives Campion L</t>
  </si>
  <si>
    <t>Goulden L</t>
  </si>
  <si>
    <t>James N</t>
  </si>
  <si>
    <t>Swords E</t>
  </si>
  <si>
    <t>Whitley</t>
  </si>
  <si>
    <t>Whitley L</t>
  </si>
  <si>
    <t>Rose D</t>
  </si>
  <si>
    <t>Lochner D</t>
  </si>
  <si>
    <t>Nicholas S</t>
  </si>
  <si>
    <t>Heard T</t>
  </si>
  <si>
    <t>Delgado L</t>
  </si>
  <si>
    <t>Spurrier J</t>
  </si>
  <si>
    <t>Phillips C</t>
  </si>
  <si>
    <t>McQuade A</t>
  </si>
  <si>
    <t>McKenna S</t>
  </si>
  <si>
    <t>David M</t>
  </si>
  <si>
    <t>Cokayne A</t>
  </si>
  <si>
    <t>Thorpe H</t>
  </si>
  <si>
    <t>Perrin L</t>
  </si>
  <si>
    <t>Wright M</t>
  </si>
  <si>
    <t>Neumann L</t>
  </si>
  <si>
    <t>Mullen J</t>
  </si>
  <si>
    <t>Feaunati M</t>
  </si>
  <si>
    <t>Fray C</t>
  </si>
  <si>
    <t>Shillaker K</t>
  </si>
  <si>
    <t>Burton A</t>
  </si>
  <si>
    <t>Sellors</t>
  </si>
  <si>
    <t>Sellors T</t>
  </si>
  <si>
    <t>Orr</t>
  </si>
  <si>
    <t>Herring</t>
  </si>
  <si>
    <t>Beet</t>
  </si>
  <si>
    <t>Beet N</t>
  </si>
  <si>
    <t>Clarke E</t>
  </si>
  <si>
    <t>Hesketh J</t>
  </si>
  <si>
    <t>Herring J</t>
  </si>
  <si>
    <t>Orr E</t>
  </si>
  <si>
    <t>2022/23</t>
  </si>
  <si>
    <t>UP SERIES</t>
  </si>
  <si>
    <t>Brennan</t>
  </si>
  <si>
    <t>Brennan N</t>
  </si>
  <si>
    <t>Webb M</t>
  </si>
  <si>
    <t>Langford S</t>
  </si>
  <si>
    <t>McMahon E</t>
  </si>
  <si>
    <t>McGoverne L</t>
  </si>
  <si>
    <t>McGillivray N</t>
  </si>
  <si>
    <t>Nye L</t>
  </si>
  <si>
    <t>Perry T</t>
  </si>
  <si>
    <t>Poulin</t>
  </si>
  <si>
    <t>Poulin S</t>
  </si>
  <si>
    <t>Priest</t>
  </si>
  <si>
    <t>Priest K</t>
  </si>
  <si>
    <t>Saunders</t>
  </si>
  <si>
    <t>Saunders M</t>
  </si>
  <si>
    <t>Swann</t>
  </si>
  <si>
    <t>Smith K</t>
  </si>
  <si>
    <t>Swann D</t>
  </si>
  <si>
    <t>Wall</t>
  </si>
  <si>
    <t>Wall D</t>
  </si>
  <si>
    <t>van der Velden L</t>
  </si>
  <si>
    <t>Wong</t>
  </si>
  <si>
    <t>Wong S</t>
  </si>
  <si>
    <t>Coles A</t>
  </si>
  <si>
    <t>Jaques</t>
  </si>
  <si>
    <t>Jaques I</t>
  </si>
  <si>
    <t>Lewis E</t>
  </si>
  <si>
    <t>Phillips H</t>
  </si>
  <si>
    <t>Carson M</t>
  </si>
  <si>
    <t>Castellucci</t>
  </si>
  <si>
    <t>Constable</t>
  </si>
  <si>
    <t>Castellucci C</t>
  </si>
  <si>
    <t xml:space="preserve">Lewis </t>
  </si>
  <si>
    <t>Roach</t>
  </si>
  <si>
    <t>Roach E</t>
  </si>
  <si>
    <t>Rugman E</t>
  </si>
  <si>
    <t>Dale A</t>
  </si>
  <si>
    <t>Copson T</t>
  </si>
  <si>
    <t>Blackburn B</t>
  </si>
  <si>
    <t>Samuda R</t>
  </si>
  <si>
    <t>Williams K</t>
  </si>
  <si>
    <t>Bailey</t>
  </si>
  <si>
    <t>Bailey I</t>
  </si>
  <si>
    <t>Bell F</t>
  </si>
  <si>
    <t>Benjamin C</t>
  </si>
  <si>
    <t>Blackburn, Emily</t>
  </si>
  <si>
    <t>Blackburn, Emma</t>
  </si>
  <si>
    <t>Brooks L</t>
  </si>
  <si>
    <t>Bush</t>
  </si>
  <si>
    <t>Callender</t>
  </si>
  <si>
    <t>Callender A</t>
  </si>
  <si>
    <t>Cooper S</t>
  </si>
  <si>
    <t>Crompton G</t>
  </si>
  <si>
    <t>Duffy H</t>
  </si>
  <si>
    <t>Fisher L</t>
  </si>
  <si>
    <t>Hanlon L</t>
  </si>
  <si>
    <t>Hannay I</t>
  </si>
  <si>
    <t>Harper A</t>
  </si>
  <si>
    <t>Henwood</t>
  </si>
  <si>
    <t>Henwood A</t>
  </si>
  <si>
    <t>Heryet L</t>
  </si>
  <si>
    <t>Hillier K</t>
  </si>
  <si>
    <t>Konkel J</t>
  </si>
  <si>
    <t>Moss</t>
  </si>
  <si>
    <t>Moss J</t>
  </si>
  <si>
    <t>Neller</t>
  </si>
  <si>
    <t>Neller F</t>
  </si>
  <si>
    <t>Packer L</t>
  </si>
  <si>
    <t>Pena</t>
  </si>
  <si>
    <t>Pena C</t>
  </si>
  <si>
    <t>Powell K</t>
  </si>
  <si>
    <t>Shirley T</t>
  </si>
  <si>
    <t>Torley L</t>
  </si>
  <si>
    <t>Turani S</t>
  </si>
  <si>
    <t>Bowes</t>
  </si>
  <si>
    <t>Cokayne</t>
  </si>
  <si>
    <t>Gordon</t>
  </si>
  <si>
    <t>Heath</t>
  </si>
  <si>
    <t>Henrich</t>
  </si>
  <si>
    <t>Omokhuale</t>
  </si>
  <si>
    <t>Russell</t>
  </si>
  <si>
    <t>Anstead</t>
  </si>
  <si>
    <t>Deane</t>
  </si>
  <si>
    <t>Lutui</t>
  </si>
  <si>
    <t>Maccoll</t>
  </si>
  <si>
    <t xml:space="preserve">Weaver </t>
  </si>
  <si>
    <t>Winter</t>
  </si>
  <si>
    <t>Winter I</t>
  </si>
  <si>
    <t>Young A</t>
  </si>
  <si>
    <t>Schonert</t>
  </si>
  <si>
    <t>Searcy</t>
  </si>
  <si>
    <t>Shermer</t>
  </si>
  <si>
    <t>Moreira</t>
  </si>
  <si>
    <t>Capell</t>
  </si>
  <si>
    <t>Ortiz</t>
  </si>
  <si>
    <t>Wilkins</t>
  </si>
  <si>
    <t>Pyrs</t>
  </si>
  <si>
    <t>Cowan</t>
  </si>
  <si>
    <t>Stefan</t>
  </si>
  <si>
    <t xml:space="preserve">Irwin </t>
  </si>
  <si>
    <t>Bennett</t>
  </si>
  <si>
    <t>Corrigan</t>
  </si>
  <si>
    <t>Tremelling</t>
  </si>
  <si>
    <t>Wight-Haley</t>
  </si>
  <si>
    <t>Broom</t>
  </si>
  <si>
    <t>Fitzgerald</t>
  </si>
  <si>
    <t>Eves</t>
  </si>
  <si>
    <t>Senft</t>
  </si>
  <si>
    <t>Sharp</t>
  </si>
  <si>
    <t>Biggs</t>
  </si>
  <si>
    <t>Lawford-Wilby</t>
  </si>
  <si>
    <t>Lawrence</t>
  </si>
  <si>
    <t>Goulding</t>
  </si>
  <si>
    <t>John</t>
  </si>
  <si>
    <t>Galligan</t>
  </si>
  <si>
    <t>Cousineau</t>
  </si>
  <si>
    <t>Shiels</t>
  </si>
  <si>
    <t>Denholm</t>
  </si>
  <si>
    <t>Green L</t>
  </si>
  <si>
    <t>Taufoou</t>
  </si>
  <si>
    <t>Mataitoga</t>
  </si>
  <si>
    <t>Taufoou H</t>
  </si>
  <si>
    <t>Mataitoga B</t>
  </si>
  <si>
    <t>Aspinall</t>
  </si>
  <si>
    <t>Aspinall D</t>
  </si>
  <si>
    <t>Meuller</t>
  </si>
  <si>
    <t>Haynes</t>
  </si>
  <si>
    <t>Parry</t>
  </si>
  <si>
    <t>Pashaei-Tarighoun</t>
  </si>
  <si>
    <t>Woodman</t>
  </si>
  <si>
    <t>Woodman C</t>
  </si>
  <si>
    <t>Shekells</t>
  </si>
  <si>
    <t>Shekells J</t>
  </si>
  <si>
    <t>Hopkins</t>
  </si>
  <si>
    <t>Hopkins G</t>
  </si>
  <si>
    <t>Perry E</t>
  </si>
  <si>
    <t>Green E</t>
  </si>
  <si>
    <t>Alema</t>
  </si>
  <si>
    <t>Alema Z</t>
  </si>
  <si>
    <t>Childs K</t>
  </si>
  <si>
    <t>Scurfield</t>
  </si>
  <si>
    <t>Calladine</t>
  </si>
  <si>
    <t>Keates</t>
  </si>
  <si>
    <t>Treder</t>
  </si>
  <si>
    <t>Treder K</t>
  </si>
  <si>
    <t>Maude</t>
  </si>
  <si>
    <t>Maude A</t>
  </si>
  <si>
    <t>Williams A</t>
  </si>
  <si>
    <t>Morrall</t>
  </si>
  <si>
    <t>Kelter</t>
  </si>
  <si>
    <t>Kelter A</t>
  </si>
  <si>
    <t>Morrall C</t>
  </si>
  <si>
    <t>Wilkins R</t>
  </si>
  <si>
    <t>Senft G</t>
  </si>
  <si>
    <t>Fitzgerald D</t>
  </si>
  <si>
    <t>Linkins J-J</t>
  </si>
  <si>
    <t>Laflin</t>
  </si>
  <si>
    <t>Laflin V</t>
  </si>
  <si>
    <t>Mattinson</t>
  </si>
  <si>
    <t>Thomson</t>
  </si>
  <si>
    <t>Thomson L</t>
  </si>
  <si>
    <t>Taylor E</t>
  </si>
  <si>
    <t>Boatman E</t>
  </si>
  <si>
    <t>Beukeboom T</t>
  </si>
  <si>
    <t>Meta A</t>
  </si>
  <si>
    <t>Mattinson C</t>
  </si>
  <si>
    <t>Cousineau K</t>
  </si>
  <si>
    <t>White G</t>
  </si>
  <si>
    <t>Evans K</t>
  </si>
  <si>
    <t>Uren E</t>
  </si>
  <si>
    <t>Meuller M</t>
  </si>
  <si>
    <t>Jacobs C</t>
  </si>
  <si>
    <t>Omokhuale J</t>
  </si>
  <si>
    <t>Russell J</t>
  </si>
  <si>
    <t>Wills E</t>
  </si>
  <si>
    <t>Waudby K</t>
  </si>
  <si>
    <t>Calladine L</t>
  </si>
  <si>
    <t>Cowan T</t>
  </si>
  <si>
    <t>Duffy L</t>
  </si>
  <si>
    <t>Fielding S</t>
  </si>
  <si>
    <t>Stefan S</t>
  </si>
  <si>
    <t>Parry S</t>
  </si>
  <si>
    <t>Corrigan A</t>
  </si>
  <si>
    <t>Sharp L</t>
  </si>
  <si>
    <t>Wood E</t>
  </si>
  <si>
    <t>Kabeya</t>
  </si>
  <si>
    <t>Kabeya S</t>
  </si>
  <si>
    <t>Philipps R</t>
  </si>
  <si>
    <t>Belisle C</t>
  </si>
  <si>
    <t>Loyola J</t>
  </si>
  <si>
    <t>Henrich E</t>
  </si>
  <si>
    <t>Sagapolu K M</t>
  </si>
  <si>
    <t>Simpson</t>
  </si>
  <si>
    <t>Simpson L</t>
  </si>
  <si>
    <t>Hardy E</t>
  </si>
  <si>
    <t>Wood R</t>
  </si>
  <si>
    <t>Leatherman</t>
  </si>
  <si>
    <t>Leatherman A</t>
  </si>
  <si>
    <t>Joyce-Butchers J</t>
  </si>
  <si>
    <t>Joyce-Butchers A</t>
  </si>
  <si>
    <t>Moore G</t>
  </si>
  <si>
    <t>Brebner-Holden</t>
  </si>
  <si>
    <t>Brebner-Holden L</t>
  </si>
  <si>
    <t>Davies</t>
  </si>
  <si>
    <t>Davies M</t>
  </si>
  <si>
    <t>Boag</t>
  </si>
  <si>
    <t>Boag G</t>
  </si>
  <si>
    <t>Grant M</t>
  </si>
  <si>
    <t>Cooksey J</t>
  </si>
  <si>
    <t>Ortiz O</t>
  </si>
  <si>
    <t>Howard</t>
  </si>
  <si>
    <t>Howard K</t>
  </si>
  <si>
    <t>PWR 2025/26 SCORERS</t>
  </si>
  <si>
    <t>Marston-Mulhern</t>
  </si>
  <si>
    <t>BRISTOL 2025/26 SCORERS</t>
  </si>
  <si>
    <t>EXETER 2025/26 SCORERS</t>
  </si>
  <si>
    <t>GLOUCESTER-HARTPURY 2025/26 SCORERS</t>
  </si>
  <si>
    <t>HARLEQUINS 2025/26 SCORERS</t>
  </si>
  <si>
    <t>LEICESTER 2025/26 SCORERS</t>
  </si>
  <si>
    <t>SALE 2025/26 SCORERS</t>
  </si>
  <si>
    <t>SARACENS 2025/26 SCORERS</t>
  </si>
  <si>
    <t>TRAILFINDERS 2025/26 SCORERS</t>
  </si>
  <si>
    <t>Clarke R</t>
  </si>
  <si>
    <t>John N</t>
  </si>
  <si>
    <t>2023/24</t>
  </si>
  <si>
    <t>Carr</t>
  </si>
  <si>
    <t>Short</t>
  </si>
  <si>
    <t>van der Straaten</t>
  </si>
  <si>
    <t>Picton-Powell</t>
  </si>
  <si>
    <t>Jah</t>
  </si>
  <si>
    <t>Granzotto</t>
  </si>
  <si>
    <t>Granzotto F</t>
  </si>
  <si>
    <t>Feaunati</t>
  </si>
  <si>
    <t>Hing</t>
  </si>
  <si>
    <t>Hing E</t>
  </si>
  <si>
    <t>Bluck</t>
  </si>
  <si>
    <t>Bluck H</t>
  </si>
  <si>
    <t>Rule</t>
  </si>
  <si>
    <t>Dare</t>
  </si>
  <si>
    <t>Dare Z</t>
  </si>
  <si>
    <t>Moloney-MacDonald Cli</t>
  </si>
  <si>
    <t>Moloney-MacDonald Cla</t>
  </si>
  <si>
    <t>Rule A</t>
  </si>
  <si>
    <t>Skeates</t>
  </si>
  <si>
    <t>Wilson</t>
  </si>
  <si>
    <t>Svoboda</t>
  </si>
  <si>
    <t>Fereday</t>
  </si>
  <si>
    <t>McIntosh F</t>
  </si>
  <si>
    <t>Priestnall</t>
  </si>
  <si>
    <t>Roberts</t>
  </si>
  <si>
    <t>Fitzpatrick</t>
  </si>
  <si>
    <t>Curphey</t>
  </si>
  <si>
    <t>Clifford G</t>
  </si>
  <si>
    <t>Bowman</t>
  </si>
  <si>
    <t>Hyndman</t>
  </si>
  <si>
    <t>Cleall</t>
  </si>
  <si>
    <t>Holland</t>
  </si>
  <si>
    <t>Ponsonby</t>
  </si>
  <si>
    <t>Ponsonby G</t>
  </si>
  <si>
    <t>Jarrell-Searcy E</t>
  </si>
  <si>
    <t>Lloyd</t>
  </si>
  <si>
    <t>Lloyd R</t>
  </si>
  <si>
    <t>Aitchison</t>
  </si>
  <si>
    <t>Aitchison H</t>
  </si>
  <si>
    <t>Bitter</t>
  </si>
  <si>
    <t>Bitter K</t>
  </si>
  <si>
    <t>Stratford</t>
  </si>
  <si>
    <t>Stratford Z</t>
  </si>
  <si>
    <t>Dallavalle</t>
  </si>
  <si>
    <t>Dallavalle H</t>
  </si>
  <si>
    <t>Evans N</t>
  </si>
  <si>
    <t>Lutui H</t>
  </si>
  <si>
    <t>Royer</t>
  </si>
  <si>
    <t>Royer L</t>
  </si>
  <si>
    <t>Gallagher N</t>
  </si>
  <si>
    <t>Apps</t>
  </si>
  <si>
    <t>Apps O</t>
  </si>
  <si>
    <t>Kacirkova</t>
  </si>
  <si>
    <t>Kacirkova K</t>
  </si>
  <si>
    <t>Labeyrie</t>
  </si>
  <si>
    <t>Labeyrie E</t>
  </si>
  <si>
    <t>Borland</t>
  </si>
  <si>
    <t>Borland A</t>
  </si>
  <si>
    <t>Perris-Redding</t>
  </si>
  <si>
    <t>Campbell S</t>
  </si>
  <si>
    <t>*Qual 10 attempts</t>
  </si>
  <si>
    <t>Mikaele-Tu'u</t>
  </si>
  <si>
    <t>Mikaele-Tu'u L</t>
  </si>
  <si>
    <t>McMillan L</t>
  </si>
  <si>
    <t>Svoboda S</t>
  </si>
  <si>
    <t>Bailey L</t>
  </si>
  <si>
    <t>Bell C</t>
  </si>
  <si>
    <t>Carr R</t>
  </si>
  <si>
    <t>Fitzpatrick K</t>
  </si>
  <si>
    <t>Flanagan C</t>
  </si>
  <si>
    <t>Pyrs G</t>
  </si>
  <si>
    <t>Scott</t>
  </si>
  <si>
    <t>Scott L</t>
  </si>
  <si>
    <t>Lingham G</t>
  </si>
  <si>
    <t>Priestnall A</t>
  </si>
  <si>
    <t>Skuse</t>
  </si>
  <si>
    <t>Skuse L</t>
  </si>
  <si>
    <t>Duguid</t>
  </si>
  <si>
    <t>Duguid A</t>
  </si>
  <si>
    <t>Demant</t>
  </si>
  <si>
    <t>Gunter</t>
  </si>
  <si>
    <t>Gunter M</t>
  </si>
  <si>
    <t>Daley C</t>
  </si>
  <si>
    <t>Vincent</t>
  </si>
  <si>
    <t>Galligan R</t>
  </si>
  <si>
    <t>Brincat C</t>
  </si>
  <si>
    <t>Bradley B</t>
  </si>
  <si>
    <t>Norman-Bell</t>
  </si>
  <si>
    <t>Norman-Bell I</t>
  </si>
  <si>
    <t>Demant R</t>
  </si>
  <si>
    <t>Sagapolu K-M</t>
  </si>
  <si>
    <t>LIGHTNING 2025/26 SCORERS</t>
  </si>
  <si>
    <t>Bermudez</t>
  </si>
  <si>
    <t>Bermudez F</t>
  </si>
  <si>
    <t>Pyrs A</t>
  </si>
  <si>
    <t>Roos</t>
  </si>
  <si>
    <t>Roos M</t>
  </si>
  <si>
    <t>Wafer</t>
  </si>
  <si>
    <t>Wafer A</t>
  </si>
  <si>
    <t>Ehrecke</t>
  </si>
  <si>
    <t>Ehrecke R</t>
  </si>
  <si>
    <t>Hyndman A</t>
  </si>
  <si>
    <t>Verghese</t>
  </si>
  <si>
    <t>Verghese J</t>
  </si>
  <si>
    <t>Hogan</t>
  </si>
  <si>
    <t>Hogan B</t>
  </si>
  <si>
    <t>Hogan-Rochester A</t>
  </si>
  <si>
    <t>Hogan-Rochester</t>
  </si>
  <si>
    <t>McCalman</t>
  </si>
  <si>
    <t>McCalman J</t>
  </si>
  <si>
    <t>Tuffnail C</t>
  </si>
  <si>
    <t>Wassell</t>
  </si>
  <si>
    <t>Wassell E</t>
  </si>
  <si>
    <t>Capell A</t>
  </si>
  <si>
    <t>Kalounivale</t>
  </si>
  <si>
    <t>Kalounivale T</t>
  </si>
  <si>
    <t>Buisa</t>
  </si>
  <si>
    <t>Buisa P</t>
  </si>
  <si>
    <t>at 28/05/26</t>
  </si>
  <si>
    <t>Pritchard</t>
  </si>
  <si>
    <t xml:space="preserve">Pritchard </t>
  </si>
  <si>
    <t>Pritchard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</si>
</sst>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2"/>
      <color rgb="FFFFC000"/>
      <name val="Calibri"/>
      <family val="2"/>
      <scheme val="minor"/>
    </font>
    <font>
      <sz val="11"/>
      <color theme="4" tint="0.39997558519241921"/>
      <name val="Calibri"/>
      <family val="2"/>
      <scheme val="minor"/>
    </font>
    <font>
      <b/>
      <sz val="11"/>
      <color theme="4" tint="0.59999389629810485"/>
      <name val="Calibri"/>
      <family val="2"/>
      <scheme val="minor"/>
    </font>
    <font>
      <b/>
      <sz val="11"/>
      <color theme="8" tint="0.39997558519241921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3333"/>
      <name val="Calibri"/>
      <family val="2"/>
      <scheme val="minor"/>
    </font>
    <font>
      <b/>
      <sz val="11"/>
      <color rgb="FFFF3333"/>
      <name val="Calibri"/>
      <family val="2"/>
      <scheme val="minor"/>
    </font>
    <font>
      <b/>
      <sz val="11"/>
      <color theme="9" tint="0.39997558519241921"/>
      <name val="Calibri"/>
      <family val="2"/>
      <scheme val="minor"/>
    </font>
    <font>
      <b/>
      <sz val="12"/>
      <color rgb="FFA6A6A6"/>
      <name val="Calibri"/>
      <family val="2"/>
      <scheme val="minor"/>
    </font>
    <font>
      <b/>
      <sz val="11"/>
      <color rgb="FFA6A6A6"/>
      <name val="Calibri"/>
      <family val="2"/>
      <scheme val="minor"/>
    </font>
    <font>
      <b/>
      <sz val="11"/>
      <color theme="9" tint="0.59999389629810485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1"/>
      <color theme="7" tint="0.79998168889431442"/>
      <name val="Calibri"/>
      <family val="2"/>
      <scheme val="minor"/>
    </font>
    <font>
      <b/>
      <sz val="11"/>
      <color theme="9" tint="0.79998168889431442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76294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36544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294">
    <xf numFmtId="0" fontId="0" fillId="0" borderId="0" xfId="0"/>
    <xf numFmtId="0" fontId="8" fillId="4" borderId="3" xfId="0" applyFont="1" applyFill="1" applyBorder="1" applyAlignment="1">
      <alignment vertical="center" wrapText="1"/>
    </xf>
    <xf numFmtId="0" fontId="7" fillId="5" borderId="4" xfId="0" applyFont="1" applyFill="1" applyBorder="1" applyAlignment="1">
      <alignment horizontal="right" vertical="center" wrapText="1"/>
    </xf>
    <xf numFmtId="0" fontId="7" fillId="0" borderId="0" xfId="0" applyFont="1"/>
    <xf numFmtId="0" fontId="8" fillId="7" borderId="1" xfId="0" applyFont="1" applyFill="1" applyBorder="1" applyAlignment="1">
      <alignment horizontal="right" vertical="center" wrapText="1"/>
    </xf>
    <xf numFmtId="0" fontId="8" fillId="7" borderId="1" xfId="0" applyFont="1" applyFill="1" applyBorder="1" applyAlignment="1">
      <alignment vertical="center" wrapText="1"/>
    </xf>
    <xf numFmtId="0" fontId="8" fillId="7" borderId="1" xfId="0" applyFont="1" applyFill="1" applyBorder="1"/>
    <xf numFmtId="0" fontId="8" fillId="7" borderId="3" xfId="0" applyFont="1" applyFill="1" applyBorder="1"/>
    <xf numFmtId="0" fontId="8" fillId="7" borderId="3" xfId="0" applyFont="1" applyFill="1" applyBorder="1" applyAlignment="1">
      <alignment vertical="top" wrapText="1"/>
    </xf>
    <xf numFmtId="0" fontId="14" fillId="2" borderId="4" xfId="0" applyFont="1" applyFill="1" applyBorder="1" applyAlignment="1">
      <alignment horizontal="right" vertical="center" wrapText="1"/>
    </xf>
    <xf numFmtId="0" fontId="8" fillId="4" borderId="3" xfId="0" applyFont="1" applyFill="1" applyBorder="1"/>
    <xf numFmtId="0" fontId="8" fillId="4" borderId="1" xfId="0" applyFont="1" applyFill="1" applyBorder="1" applyAlignment="1">
      <alignment horizontal="right" vertical="center" wrapText="1"/>
    </xf>
    <xf numFmtId="0" fontId="8" fillId="4" borderId="1" xfId="0" applyFont="1" applyFill="1" applyBorder="1"/>
    <xf numFmtId="0" fontId="7" fillId="4" borderId="1" xfId="0" applyFont="1" applyFill="1" applyBorder="1"/>
    <xf numFmtId="0" fontId="8" fillId="4" borderId="1" xfId="0" applyFont="1" applyFill="1" applyBorder="1" applyAlignment="1">
      <alignment vertical="center" wrapText="1"/>
    </xf>
    <xf numFmtId="1" fontId="11" fillId="2" borderId="4" xfId="0" applyNumberFormat="1" applyFont="1" applyFill="1" applyBorder="1" applyAlignment="1">
      <alignment horizontal="right" vertical="center" wrapText="1"/>
    </xf>
    <xf numFmtId="0" fontId="7" fillId="9" borderId="1" xfId="0" applyFont="1" applyFill="1" applyBorder="1"/>
    <xf numFmtId="1" fontId="7" fillId="9" borderId="1" xfId="0" applyNumberFormat="1" applyFont="1" applyFill="1" applyBorder="1"/>
    <xf numFmtId="0" fontId="8" fillId="9" borderId="1" xfId="0" applyFont="1" applyFill="1" applyBorder="1" applyAlignment="1">
      <alignment vertical="center" wrapText="1"/>
    </xf>
    <xf numFmtId="0" fontId="5" fillId="7" borderId="0" xfId="0" applyFont="1" applyFill="1"/>
    <xf numFmtId="0" fontId="0" fillId="7" borderId="8" xfId="0" applyFill="1" applyBorder="1"/>
    <xf numFmtId="0" fontId="3" fillId="7" borderId="0" xfId="0" applyFont="1" applyFill="1"/>
    <xf numFmtId="0" fontId="0" fillId="7" borderId="0" xfId="0" applyFill="1"/>
    <xf numFmtId="0" fontId="5" fillId="7" borderId="8" xfId="0" applyFont="1" applyFill="1" applyBorder="1"/>
    <xf numFmtId="0" fontId="0" fillId="0" borderId="8" xfId="0" applyBorder="1"/>
    <xf numFmtId="0" fontId="2" fillId="7" borderId="8" xfId="0" applyFont="1" applyFill="1" applyBorder="1" applyAlignment="1">
      <alignment horizontal="right" vertical="center" wrapText="1"/>
    </xf>
    <xf numFmtId="0" fontId="10" fillId="3" borderId="4" xfId="0" applyFont="1" applyFill="1" applyBorder="1" applyAlignment="1">
      <alignment horizontal="right" vertical="center" wrapText="1"/>
    </xf>
    <xf numFmtId="1" fontId="10" fillId="3" borderId="4" xfId="0" applyNumberFormat="1" applyFont="1" applyFill="1" applyBorder="1" applyAlignment="1">
      <alignment horizontal="right" vertical="center" wrapText="1"/>
    </xf>
    <xf numFmtId="0" fontId="10" fillId="3" borderId="3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0" fontId="8" fillId="7" borderId="0" xfId="0" applyFont="1" applyFill="1" applyAlignment="1">
      <alignment vertical="center" wrapText="1"/>
    </xf>
    <xf numFmtId="0" fontId="5" fillId="0" borderId="0" xfId="0" applyFont="1"/>
    <xf numFmtId="0" fontId="12" fillId="7" borderId="0" xfId="0" applyFont="1" applyFill="1" applyAlignment="1">
      <alignment vertical="center" wrapText="1"/>
    </xf>
    <xf numFmtId="0" fontId="7" fillId="7" borderId="1" xfId="0" applyFont="1" applyFill="1" applyBorder="1"/>
    <xf numFmtId="0" fontId="14" fillId="2" borderId="3" xfId="0" applyFont="1" applyFill="1" applyBorder="1" applyAlignment="1">
      <alignment vertical="center" wrapText="1"/>
    </xf>
    <xf numFmtId="0" fontId="9" fillId="7" borderId="0" xfId="0" applyFont="1" applyFill="1" applyAlignment="1">
      <alignment horizontal="right" vertical="center" wrapText="1"/>
    </xf>
    <xf numFmtId="1" fontId="9" fillId="7" borderId="0" xfId="0" applyNumberFormat="1" applyFont="1" applyFill="1" applyAlignment="1">
      <alignment horizontal="right" vertical="center" wrapText="1"/>
    </xf>
    <xf numFmtId="0" fontId="3" fillId="7" borderId="8" xfId="0" applyFont="1" applyFill="1" applyBorder="1"/>
    <xf numFmtId="0" fontId="11" fillId="2" borderId="4" xfId="0" applyFont="1" applyFill="1" applyBorder="1" applyAlignment="1">
      <alignment horizontal="right" vertical="center" wrapText="1"/>
    </xf>
    <xf numFmtId="0" fontId="8" fillId="7" borderId="3" xfId="0" applyFont="1" applyFill="1" applyBorder="1" applyAlignment="1">
      <alignment vertical="center" wrapText="1"/>
    </xf>
    <xf numFmtId="0" fontId="12" fillId="7" borderId="0" xfId="0" applyFont="1" applyFill="1"/>
    <xf numFmtId="0" fontId="15" fillId="3" borderId="8" xfId="0" applyFont="1" applyFill="1" applyBorder="1" applyAlignment="1">
      <alignment vertical="center"/>
    </xf>
    <xf numFmtId="0" fontId="15" fillId="3" borderId="6" xfId="0" applyFont="1" applyFill="1" applyBorder="1" applyAlignment="1">
      <alignment vertical="center"/>
    </xf>
    <xf numFmtId="0" fontId="4" fillId="7" borderId="0" xfId="0" applyFont="1" applyFill="1"/>
    <xf numFmtId="0" fontId="13" fillId="7" borderId="0" xfId="0" applyFont="1" applyFill="1" applyAlignment="1">
      <alignment horizontal="left" vertical="center" wrapText="1"/>
    </xf>
    <xf numFmtId="0" fontId="8" fillId="7" borderId="0" xfId="0" applyFont="1" applyFill="1" applyAlignment="1">
      <alignment horizontal="right" vertical="center" wrapText="1"/>
    </xf>
    <xf numFmtId="0" fontId="15" fillId="3" borderId="9" xfId="0" applyFont="1" applyFill="1" applyBorder="1" applyAlignment="1">
      <alignment vertical="center"/>
    </xf>
    <xf numFmtId="0" fontId="10" fillId="8" borderId="4" xfId="0" applyFont="1" applyFill="1" applyBorder="1" applyAlignment="1">
      <alignment horizontal="right" vertical="center" wrapText="1"/>
    </xf>
    <xf numFmtId="1" fontId="10" fillId="8" borderId="4" xfId="0" applyNumberFormat="1" applyFont="1" applyFill="1" applyBorder="1" applyAlignment="1">
      <alignment horizontal="right" vertical="center" wrapText="1"/>
    </xf>
    <xf numFmtId="0" fontId="0" fillId="0" borderId="13" xfId="0" applyBorder="1"/>
    <xf numFmtId="0" fontId="0" fillId="0" borderId="0" xfId="0" applyAlignment="1">
      <alignment vertical="center" wrapText="1"/>
    </xf>
    <xf numFmtId="0" fontId="7" fillId="7" borderId="13" xfId="0" applyFont="1" applyFill="1" applyBorder="1"/>
    <xf numFmtId="0" fontId="10" fillId="3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right" vertical="center" wrapText="1"/>
    </xf>
    <xf numFmtId="14" fontId="10" fillId="3" borderId="3" xfId="0" applyNumberFormat="1" applyFont="1" applyFill="1" applyBorder="1" applyAlignment="1">
      <alignment horizontal="left" vertical="center" wrapText="1"/>
    </xf>
    <xf numFmtId="0" fontId="16" fillId="0" borderId="0" xfId="0" applyFont="1"/>
    <xf numFmtId="0" fontId="16" fillId="7" borderId="0" xfId="0" applyFont="1" applyFill="1"/>
    <xf numFmtId="0" fontId="11" fillId="10" borderId="4" xfId="0" applyFont="1" applyFill="1" applyBorder="1" applyAlignment="1">
      <alignment horizontal="right" vertical="center" wrapText="1"/>
    </xf>
    <xf numFmtId="0" fontId="11" fillId="10" borderId="2" xfId="0" applyFont="1" applyFill="1" applyBorder="1" applyAlignment="1">
      <alignment horizontal="right" vertical="center" wrapText="1"/>
    </xf>
    <xf numFmtId="0" fontId="11" fillId="10" borderId="5" xfId="0" applyFont="1" applyFill="1" applyBorder="1" applyAlignment="1">
      <alignment horizontal="right" vertical="center" wrapText="1"/>
    </xf>
    <xf numFmtId="1" fontId="14" fillId="2" borderId="4" xfId="0" applyNumberFormat="1" applyFont="1" applyFill="1" applyBorder="1" applyAlignment="1">
      <alignment horizontal="right" vertical="center" wrapText="1"/>
    </xf>
    <xf numFmtId="0" fontId="7" fillId="5" borderId="3" xfId="0" applyFont="1" applyFill="1" applyBorder="1" applyAlignment="1">
      <alignment horizontal="right" vertical="center" wrapText="1"/>
    </xf>
    <xf numFmtId="0" fontId="2" fillId="7" borderId="0" xfId="0" applyFont="1" applyFill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11" fillId="11" borderId="2" xfId="0" applyFont="1" applyFill="1" applyBorder="1" applyAlignment="1">
      <alignment horizontal="right" vertical="center" wrapText="1"/>
    </xf>
    <xf numFmtId="0" fontId="11" fillId="11" borderId="4" xfId="0" applyFont="1" applyFill="1" applyBorder="1" applyAlignment="1">
      <alignment horizontal="right" vertical="center" wrapText="1"/>
    </xf>
    <xf numFmtId="0" fontId="7" fillId="9" borderId="1" xfId="0" applyFont="1" applyFill="1" applyBorder="1" applyAlignment="1">
      <alignment horizontal="right"/>
    </xf>
    <xf numFmtId="0" fontId="8" fillId="9" borderId="1" xfId="0" applyFont="1" applyFill="1" applyBorder="1" applyAlignment="1">
      <alignment horizontal="right"/>
    </xf>
    <xf numFmtId="0" fontId="10" fillId="7" borderId="0" xfId="0" applyFont="1" applyFill="1" applyAlignment="1">
      <alignment vertical="center" wrapText="1"/>
    </xf>
    <xf numFmtId="0" fontId="9" fillId="7" borderId="0" xfId="0" applyFont="1" applyFill="1" applyAlignment="1">
      <alignment vertical="center" wrapText="1"/>
    </xf>
    <xf numFmtId="0" fontId="17" fillId="7" borderId="0" xfId="0" applyFont="1" applyFill="1" applyAlignment="1">
      <alignment horizontal="right" vertical="center" wrapText="1"/>
    </xf>
    <xf numFmtId="0" fontId="18" fillId="7" borderId="0" xfId="0" applyFont="1" applyFill="1" applyAlignment="1">
      <alignment horizontal="right" vertical="center" wrapText="1"/>
    </xf>
    <xf numFmtId="0" fontId="19" fillId="7" borderId="0" xfId="0" applyFont="1" applyFill="1" applyAlignment="1">
      <alignment horizontal="center" vertical="center" wrapText="1"/>
    </xf>
    <xf numFmtId="0" fontId="9" fillId="7" borderId="13" xfId="0" applyFont="1" applyFill="1" applyBorder="1" applyAlignment="1">
      <alignment vertical="center" wrapText="1"/>
    </xf>
    <xf numFmtId="0" fontId="10" fillId="6" borderId="2" xfId="0" applyFont="1" applyFill="1" applyBorder="1" applyAlignment="1">
      <alignment vertical="center" wrapText="1"/>
    </xf>
    <xf numFmtId="0" fontId="10" fillId="6" borderId="4" xfId="0" applyFont="1" applyFill="1" applyBorder="1" applyAlignment="1">
      <alignment vertical="center" wrapText="1"/>
    </xf>
    <xf numFmtId="0" fontId="21" fillId="3" borderId="1" xfId="0" applyFont="1" applyFill="1" applyBorder="1" applyAlignment="1">
      <alignment vertical="center" wrapText="1"/>
    </xf>
    <xf numFmtId="0" fontId="21" fillId="3" borderId="3" xfId="0" applyFont="1" applyFill="1" applyBorder="1" applyAlignment="1">
      <alignment vertical="center" wrapText="1"/>
    </xf>
    <xf numFmtId="0" fontId="21" fillId="3" borderId="2" xfId="0" applyFont="1" applyFill="1" applyBorder="1" applyAlignment="1">
      <alignment horizontal="right" vertical="center" wrapText="1"/>
    </xf>
    <xf numFmtId="0" fontId="21" fillId="3" borderId="4" xfId="0" applyFont="1" applyFill="1" applyBorder="1" applyAlignment="1">
      <alignment horizontal="right" vertical="center" wrapText="1"/>
    </xf>
    <xf numFmtId="1" fontId="21" fillId="3" borderId="4" xfId="0" applyNumberFormat="1" applyFont="1" applyFill="1" applyBorder="1" applyAlignment="1">
      <alignment horizontal="right" vertical="center" wrapText="1"/>
    </xf>
    <xf numFmtId="0" fontId="21" fillId="3" borderId="1" xfId="0" applyFont="1" applyFill="1" applyBorder="1"/>
    <xf numFmtId="0" fontId="11" fillId="11" borderId="1" xfId="0" applyFont="1" applyFill="1" applyBorder="1" applyAlignment="1">
      <alignment vertical="center" wrapText="1"/>
    </xf>
    <xf numFmtId="0" fontId="11" fillId="11" borderId="3" xfId="0" applyFont="1" applyFill="1" applyBorder="1" applyAlignment="1">
      <alignment vertical="center" wrapText="1"/>
    </xf>
    <xf numFmtId="0" fontId="11" fillId="10" borderId="1" xfId="0" applyFont="1" applyFill="1" applyBorder="1" applyAlignment="1">
      <alignment vertical="center" wrapText="1"/>
    </xf>
    <xf numFmtId="0" fontId="11" fillId="10" borderId="3" xfId="0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9" fillId="0" borderId="0" xfId="0" applyFont="1"/>
    <xf numFmtId="0" fontId="11" fillId="11" borderId="1" xfId="0" applyFont="1" applyFill="1" applyBorder="1" applyAlignment="1">
      <alignment horizontal="right" vertical="center" wrapText="1"/>
    </xf>
    <xf numFmtId="1" fontId="11" fillId="11" borderId="1" xfId="0" applyNumberFormat="1" applyFont="1" applyFill="1" applyBorder="1" applyAlignment="1">
      <alignment horizontal="right" vertical="center" wrapText="1"/>
    </xf>
    <xf numFmtId="0" fontId="11" fillId="11" borderId="11" xfId="0" applyFont="1" applyFill="1" applyBorder="1" applyAlignment="1">
      <alignment vertical="center" wrapText="1"/>
    </xf>
    <xf numFmtId="0" fontId="11" fillId="11" borderId="12" xfId="0" applyFont="1" applyFill="1" applyBorder="1" applyAlignment="1">
      <alignment horizontal="right" vertical="center" wrapText="1"/>
    </xf>
    <xf numFmtId="0" fontId="7" fillId="7" borderId="3" xfId="0" applyFont="1" applyFill="1" applyBorder="1" applyAlignment="1">
      <alignment vertical="center" wrapText="1"/>
    </xf>
    <xf numFmtId="0" fontId="12" fillId="7" borderId="13" xfId="0" applyFont="1" applyFill="1" applyBorder="1" applyAlignment="1">
      <alignment vertical="center" wrapText="1"/>
    </xf>
    <xf numFmtId="0" fontId="9" fillId="7" borderId="8" xfId="0" applyFont="1" applyFill="1" applyBorder="1" applyAlignment="1">
      <alignment vertical="center" wrapText="1"/>
    </xf>
    <xf numFmtId="0" fontId="9" fillId="7" borderId="8" xfId="0" applyFont="1" applyFill="1" applyBorder="1" applyAlignment="1">
      <alignment horizontal="right" vertical="center" wrapText="1"/>
    </xf>
    <xf numFmtId="0" fontId="8" fillId="9" borderId="1" xfId="0" applyFont="1" applyFill="1" applyBorder="1"/>
    <xf numFmtId="0" fontId="8" fillId="9" borderId="1" xfId="0" applyFont="1" applyFill="1" applyBorder="1" applyAlignment="1">
      <alignment horizontal="right" vertical="center" wrapText="1"/>
    </xf>
    <xf numFmtId="1" fontId="8" fillId="9" borderId="1" xfId="0" applyNumberFormat="1" applyFont="1" applyFill="1" applyBorder="1" applyAlignment="1">
      <alignment horizontal="right" vertical="center" wrapText="1"/>
    </xf>
    <xf numFmtId="0" fontId="11" fillId="12" borderId="3" xfId="0" applyFont="1" applyFill="1" applyBorder="1" applyAlignment="1">
      <alignment vertical="center" wrapText="1"/>
    </xf>
    <xf numFmtId="0" fontId="11" fillId="12" borderId="4" xfId="0" applyFont="1" applyFill="1" applyBorder="1" applyAlignment="1">
      <alignment horizontal="right" vertical="center" wrapText="1"/>
    </xf>
    <xf numFmtId="1" fontId="11" fillId="12" borderId="4" xfId="0" applyNumberFormat="1" applyFont="1" applyFill="1" applyBorder="1" applyAlignment="1">
      <alignment horizontal="right" vertical="center" wrapText="1"/>
    </xf>
    <xf numFmtId="0" fontId="11" fillId="12" borderId="1" xfId="0" applyFont="1" applyFill="1" applyBorder="1" applyAlignment="1">
      <alignment vertical="center" wrapText="1"/>
    </xf>
    <xf numFmtId="0" fontId="11" fillId="12" borderId="2" xfId="0" applyFont="1" applyFill="1" applyBorder="1" applyAlignment="1">
      <alignment horizontal="right" vertical="center" wrapText="1"/>
    </xf>
    <xf numFmtId="14" fontId="12" fillId="13" borderId="3" xfId="0" applyNumberFormat="1" applyFont="1" applyFill="1" applyBorder="1" applyAlignment="1">
      <alignment horizontal="left" vertical="center" wrapText="1"/>
    </xf>
    <xf numFmtId="0" fontId="22" fillId="11" borderId="2" xfId="0" applyFont="1" applyFill="1" applyBorder="1" applyAlignment="1">
      <alignment horizontal="center" vertical="center" wrapText="1"/>
    </xf>
    <xf numFmtId="0" fontId="22" fillId="11" borderId="4" xfId="0" applyFont="1" applyFill="1" applyBorder="1" applyAlignment="1">
      <alignment horizontal="right" vertical="center" wrapText="1"/>
    </xf>
    <xf numFmtId="0" fontId="22" fillId="10" borderId="2" xfId="0" applyFont="1" applyFill="1" applyBorder="1" applyAlignment="1">
      <alignment horizontal="right" vertical="center" wrapText="1"/>
    </xf>
    <xf numFmtId="0" fontId="22" fillId="10" borderId="4" xfId="0" applyFont="1" applyFill="1" applyBorder="1" applyAlignment="1">
      <alignment horizontal="right" vertical="center" wrapText="1"/>
    </xf>
    <xf numFmtId="0" fontId="8" fillId="7" borderId="4" xfId="0" applyFont="1" applyFill="1" applyBorder="1" applyAlignment="1">
      <alignment horizontal="right" vertical="center" wrapText="1"/>
    </xf>
    <xf numFmtId="1" fontId="8" fillId="7" borderId="1" xfId="0" applyNumberFormat="1" applyFont="1" applyFill="1" applyBorder="1" applyAlignment="1">
      <alignment horizontal="right" vertical="center" wrapText="1"/>
    </xf>
    <xf numFmtId="0" fontId="8" fillId="7" borderId="2" xfId="0" applyFont="1" applyFill="1" applyBorder="1" applyAlignment="1">
      <alignment horizontal="right" vertical="center" wrapText="1"/>
    </xf>
    <xf numFmtId="0" fontId="22" fillId="14" borderId="2" xfId="0" applyFont="1" applyFill="1" applyBorder="1" applyAlignment="1">
      <alignment horizontal="center" vertical="center" wrapText="1"/>
    </xf>
    <xf numFmtId="0" fontId="22" fillId="14" borderId="4" xfId="0" applyFont="1" applyFill="1" applyBorder="1" applyAlignment="1">
      <alignment horizontal="right" vertical="center" wrapText="1"/>
    </xf>
    <xf numFmtId="0" fontId="24" fillId="14" borderId="1" xfId="0" applyFont="1" applyFill="1" applyBorder="1" applyAlignment="1">
      <alignment vertical="center" wrapText="1"/>
    </xf>
    <xf numFmtId="0" fontId="24" fillId="14" borderId="3" xfId="0" applyFont="1" applyFill="1" applyBorder="1" applyAlignment="1">
      <alignment vertical="center" wrapText="1"/>
    </xf>
    <xf numFmtId="0" fontId="24" fillId="14" borderId="2" xfId="0" applyFont="1" applyFill="1" applyBorder="1" applyAlignment="1">
      <alignment horizontal="right" vertical="center" wrapText="1"/>
    </xf>
    <xf numFmtId="0" fontId="24" fillId="14" borderId="4" xfId="0" applyFont="1" applyFill="1" applyBorder="1" applyAlignment="1">
      <alignment horizontal="right" vertical="center" wrapText="1"/>
    </xf>
    <xf numFmtId="0" fontId="24" fillId="14" borderId="1" xfId="0" applyFont="1" applyFill="1" applyBorder="1" applyAlignment="1">
      <alignment horizontal="right" vertical="center" wrapText="1"/>
    </xf>
    <xf numFmtId="1" fontId="24" fillId="14" borderId="1" xfId="0" applyNumberFormat="1" applyFont="1" applyFill="1" applyBorder="1" applyAlignment="1">
      <alignment horizontal="right" vertical="center" wrapText="1"/>
    </xf>
    <xf numFmtId="0" fontId="24" fillId="14" borderId="11" xfId="0" applyFont="1" applyFill="1" applyBorder="1" applyAlignment="1">
      <alignment vertical="center" wrapText="1"/>
    </xf>
    <xf numFmtId="0" fontId="24" fillId="14" borderId="12" xfId="0" applyFont="1" applyFill="1" applyBorder="1" applyAlignment="1">
      <alignment horizontal="right" vertical="center" wrapText="1"/>
    </xf>
    <xf numFmtId="0" fontId="24" fillId="10" borderId="2" xfId="0" applyFont="1" applyFill="1" applyBorder="1" applyAlignment="1">
      <alignment horizontal="right" vertical="center" wrapText="1"/>
    </xf>
    <xf numFmtId="0" fontId="24" fillId="10" borderId="4" xfId="0" applyFont="1" applyFill="1" applyBorder="1" applyAlignment="1">
      <alignment horizontal="right" vertical="center" wrapText="1"/>
    </xf>
    <xf numFmtId="0" fontId="24" fillId="10" borderId="5" xfId="0" applyFont="1" applyFill="1" applyBorder="1" applyAlignment="1">
      <alignment horizontal="right" vertical="center" wrapText="1"/>
    </xf>
    <xf numFmtId="0" fontId="24" fillId="10" borderId="3" xfId="0" applyFont="1" applyFill="1" applyBorder="1" applyAlignment="1">
      <alignment vertical="center" wrapText="1"/>
    </xf>
    <xf numFmtId="0" fontId="24" fillId="10" borderId="1" xfId="0" applyFont="1" applyFill="1" applyBorder="1" applyAlignment="1">
      <alignment vertical="center" wrapText="1"/>
    </xf>
    <xf numFmtId="0" fontId="11" fillId="15" borderId="1" xfId="0" applyFont="1" applyFill="1" applyBorder="1" applyAlignment="1">
      <alignment vertical="center" wrapText="1"/>
    </xf>
    <xf numFmtId="0" fontId="11" fillId="15" borderId="3" xfId="0" applyFont="1" applyFill="1" applyBorder="1" applyAlignment="1">
      <alignment vertical="center" wrapText="1"/>
    </xf>
    <xf numFmtId="0" fontId="11" fillId="15" borderId="2" xfId="0" applyFont="1" applyFill="1" applyBorder="1" applyAlignment="1">
      <alignment horizontal="right" vertical="center" wrapText="1"/>
    </xf>
    <xf numFmtId="0" fontId="11" fillId="15" borderId="4" xfId="0" applyFont="1" applyFill="1" applyBorder="1" applyAlignment="1">
      <alignment horizontal="right" vertical="center" wrapText="1"/>
    </xf>
    <xf numFmtId="0" fontId="11" fillId="15" borderId="1" xfId="0" applyFont="1" applyFill="1" applyBorder="1" applyAlignment="1">
      <alignment horizontal="right" vertical="center" wrapText="1"/>
    </xf>
    <xf numFmtId="1" fontId="11" fillId="15" borderId="1" xfId="0" applyNumberFormat="1" applyFont="1" applyFill="1" applyBorder="1" applyAlignment="1">
      <alignment horizontal="right" vertical="center" wrapText="1"/>
    </xf>
    <xf numFmtId="0" fontId="11" fillId="15" borderId="11" xfId="0" applyFont="1" applyFill="1" applyBorder="1" applyAlignment="1">
      <alignment vertical="center" wrapText="1"/>
    </xf>
    <xf numFmtId="0" fontId="11" fillId="15" borderId="12" xfId="0" applyFont="1" applyFill="1" applyBorder="1" applyAlignment="1">
      <alignment horizontal="right" vertical="center" wrapText="1"/>
    </xf>
    <xf numFmtId="0" fontId="22" fillId="3" borderId="2" xfId="0" applyFont="1" applyFill="1" applyBorder="1" applyAlignment="1">
      <alignment horizontal="right" vertical="center" wrapText="1"/>
    </xf>
    <xf numFmtId="0" fontId="22" fillId="3" borderId="4" xfId="0" applyFont="1" applyFill="1" applyBorder="1" applyAlignment="1">
      <alignment horizontal="right" vertical="center" wrapText="1"/>
    </xf>
    <xf numFmtId="0" fontId="22" fillId="6" borderId="2" xfId="0" applyFont="1" applyFill="1" applyBorder="1" applyAlignment="1">
      <alignment horizontal="right" vertical="center" wrapText="1"/>
    </xf>
    <xf numFmtId="0" fontId="22" fillId="6" borderId="4" xfId="0" applyFont="1" applyFill="1" applyBorder="1" applyAlignment="1">
      <alignment horizontal="right" vertical="center" wrapText="1"/>
    </xf>
    <xf numFmtId="1" fontId="8" fillId="7" borderId="4" xfId="0" applyNumberFormat="1" applyFont="1" applyFill="1" applyBorder="1" applyAlignment="1">
      <alignment horizontal="right" vertical="center" wrapText="1"/>
    </xf>
    <xf numFmtId="0" fontId="22" fillId="2" borderId="2" xfId="0" applyFont="1" applyFill="1" applyBorder="1" applyAlignment="1">
      <alignment horizontal="right" vertical="center" wrapText="1"/>
    </xf>
    <xf numFmtId="0" fontId="22" fillId="2" borderId="4" xfId="0" applyFont="1" applyFill="1" applyBorder="1" applyAlignment="1">
      <alignment horizontal="right" vertical="center" wrapText="1"/>
    </xf>
    <xf numFmtId="0" fontId="22" fillId="12" borderId="2" xfId="0" applyFont="1" applyFill="1" applyBorder="1" applyAlignment="1">
      <alignment horizontal="right" vertical="center" wrapText="1"/>
    </xf>
    <xf numFmtId="0" fontId="22" fillId="12" borderId="4" xfId="0" applyFont="1" applyFill="1" applyBorder="1" applyAlignment="1">
      <alignment horizontal="right" vertical="center" wrapText="1"/>
    </xf>
    <xf numFmtId="0" fontId="8" fillId="6" borderId="1" xfId="0" applyFont="1" applyFill="1" applyBorder="1" applyAlignment="1">
      <alignment vertical="center" wrapText="1"/>
    </xf>
    <xf numFmtId="0" fontId="8" fillId="6" borderId="2" xfId="0" applyFont="1" applyFill="1" applyBorder="1" applyAlignment="1">
      <alignment horizontal="right" vertical="center" wrapText="1"/>
    </xf>
    <xf numFmtId="0" fontId="8" fillId="6" borderId="3" xfId="0" applyFont="1" applyFill="1" applyBorder="1" applyAlignment="1">
      <alignment vertical="center" wrapText="1"/>
    </xf>
    <xf numFmtId="0" fontId="8" fillId="6" borderId="4" xfId="0" applyFont="1" applyFill="1" applyBorder="1" applyAlignment="1">
      <alignment horizontal="right" vertical="center" wrapText="1"/>
    </xf>
    <xf numFmtId="14" fontId="12" fillId="16" borderId="3" xfId="0" applyNumberFormat="1" applyFont="1" applyFill="1" applyBorder="1" applyAlignment="1">
      <alignment horizontal="left" vertical="center" wrapText="1"/>
    </xf>
    <xf numFmtId="0" fontId="9" fillId="9" borderId="1" xfId="0" applyFont="1" applyFill="1" applyBorder="1" applyAlignment="1">
      <alignment horizontal="right"/>
    </xf>
    <xf numFmtId="0" fontId="18" fillId="3" borderId="2" xfId="0" applyFont="1" applyFill="1" applyBorder="1" applyAlignment="1">
      <alignment horizontal="right" vertical="center" wrapText="1"/>
    </xf>
    <xf numFmtId="0" fontId="18" fillId="3" borderId="4" xfId="0" applyFont="1" applyFill="1" applyBorder="1" applyAlignment="1">
      <alignment horizontal="right" vertical="center" wrapText="1"/>
    </xf>
    <xf numFmtId="0" fontId="18" fillId="6" borderId="2" xfId="0" applyFont="1" applyFill="1" applyBorder="1" applyAlignment="1">
      <alignment horizontal="right" vertical="center" wrapText="1"/>
    </xf>
    <xf numFmtId="0" fontId="18" fillId="6" borderId="4" xfId="0" applyFont="1" applyFill="1" applyBorder="1" applyAlignment="1">
      <alignment horizontal="right" vertical="center" wrapText="1"/>
    </xf>
    <xf numFmtId="0" fontId="10" fillId="3" borderId="2" xfId="0" applyFont="1" applyFill="1" applyBorder="1" applyAlignment="1">
      <alignment horizontal="right" vertical="center" wrapText="1"/>
    </xf>
    <xf numFmtId="0" fontId="10" fillId="6" borderId="2" xfId="0" applyFont="1" applyFill="1" applyBorder="1" applyAlignment="1">
      <alignment horizontal="right" vertical="center" wrapText="1"/>
    </xf>
    <xf numFmtId="0" fontId="10" fillId="6" borderId="4" xfId="0" applyFont="1" applyFill="1" applyBorder="1" applyAlignment="1">
      <alignment horizontal="right" vertical="center" wrapText="1"/>
    </xf>
    <xf numFmtId="14" fontId="10" fillId="3" borderId="10" xfId="0" applyNumberFormat="1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vertical="center" wrapText="1"/>
    </xf>
    <xf numFmtId="14" fontId="11" fillId="2" borderId="3" xfId="0" applyNumberFormat="1" applyFont="1" applyFill="1" applyBorder="1" applyAlignment="1">
      <alignment horizontal="left" vertical="center" wrapText="1"/>
    </xf>
    <xf numFmtId="0" fontId="9" fillId="7" borderId="0" xfId="0" applyFont="1" applyFill="1"/>
    <xf numFmtId="0" fontId="26" fillId="7" borderId="1" xfId="0" applyFont="1" applyFill="1" applyBorder="1" applyAlignment="1">
      <alignment vertical="center" wrapText="1"/>
    </xf>
    <xf numFmtId="0" fontId="26" fillId="7" borderId="2" xfId="0" applyFont="1" applyFill="1" applyBorder="1" applyAlignment="1">
      <alignment vertical="center" wrapText="1"/>
    </xf>
    <xf numFmtId="0" fontId="26" fillId="4" borderId="2" xfId="0" applyFont="1" applyFill="1" applyBorder="1" applyAlignment="1">
      <alignment vertical="center" wrapText="1"/>
    </xf>
    <xf numFmtId="0" fontId="26" fillId="9" borderId="1" xfId="0" applyFont="1" applyFill="1" applyBorder="1" applyAlignment="1">
      <alignment vertical="center" wrapText="1"/>
    </xf>
    <xf numFmtId="0" fontId="26" fillId="9" borderId="2" xfId="0" applyFont="1" applyFill="1" applyBorder="1" applyAlignment="1">
      <alignment vertical="center" wrapText="1"/>
    </xf>
    <xf numFmtId="0" fontId="26" fillId="9" borderId="2" xfId="0" applyFont="1" applyFill="1" applyBorder="1" applyAlignment="1">
      <alignment horizontal="right" vertical="center" wrapText="1"/>
    </xf>
    <xf numFmtId="0" fontId="26" fillId="9" borderId="1" xfId="0" applyFont="1" applyFill="1" applyBorder="1" applyAlignment="1">
      <alignment horizontal="right" vertical="center" wrapText="1"/>
    </xf>
    <xf numFmtId="0" fontId="27" fillId="6" borderId="1" xfId="0" applyFont="1" applyFill="1" applyBorder="1" applyAlignment="1">
      <alignment vertical="center" wrapText="1"/>
    </xf>
    <xf numFmtId="0" fontId="27" fillId="6" borderId="3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horizontal="right" vertical="center" wrapText="1"/>
    </xf>
    <xf numFmtId="14" fontId="12" fillId="18" borderId="3" xfId="0" applyNumberFormat="1" applyFont="1" applyFill="1" applyBorder="1" applyAlignment="1">
      <alignment horizontal="left" vertical="center" wrapText="1"/>
    </xf>
    <xf numFmtId="0" fontId="22" fillId="19" borderId="2" xfId="0" applyFont="1" applyFill="1" applyBorder="1" applyAlignment="1">
      <alignment horizontal="right" vertical="center" wrapText="1"/>
    </xf>
    <xf numFmtId="0" fontId="11" fillId="19" borderId="2" xfId="0" applyFont="1" applyFill="1" applyBorder="1" applyAlignment="1">
      <alignment vertical="center" wrapText="1"/>
    </xf>
    <xf numFmtId="0" fontId="11" fillId="19" borderId="2" xfId="0" applyFont="1" applyFill="1" applyBorder="1" applyAlignment="1">
      <alignment horizontal="right" vertical="center" wrapText="1"/>
    </xf>
    <xf numFmtId="0" fontId="11" fillId="19" borderId="4" xfId="0" applyFont="1" applyFill="1" applyBorder="1" applyAlignment="1">
      <alignment vertical="center" wrapText="1"/>
    </xf>
    <xf numFmtId="0" fontId="22" fillId="19" borderId="4" xfId="0" applyFont="1" applyFill="1" applyBorder="1" applyAlignment="1">
      <alignment horizontal="right" vertical="center" wrapText="1"/>
    </xf>
    <xf numFmtId="0" fontId="11" fillId="19" borderId="4" xfId="0" applyFont="1" applyFill="1" applyBorder="1" applyAlignment="1">
      <alignment horizontal="right" vertical="center" wrapText="1"/>
    </xf>
    <xf numFmtId="0" fontId="11" fillId="19" borderId="3" xfId="0" applyFont="1" applyFill="1" applyBorder="1" applyAlignment="1">
      <alignment vertical="center" wrapText="1"/>
    </xf>
    <xf numFmtId="0" fontId="25" fillId="15" borderId="2" xfId="0" applyFont="1" applyFill="1" applyBorder="1" applyAlignment="1">
      <alignment horizontal="center" vertical="center" wrapText="1"/>
    </xf>
    <xf numFmtId="0" fontId="25" fillId="15" borderId="4" xfId="0" applyFont="1" applyFill="1" applyBorder="1" applyAlignment="1">
      <alignment horizontal="right" vertical="center" wrapText="1"/>
    </xf>
    <xf numFmtId="0" fontId="28" fillId="15" borderId="2" xfId="0" applyFont="1" applyFill="1" applyBorder="1" applyAlignment="1">
      <alignment horizontal="center" vertical="center" wrapText="1"/>
    </xf>
    <xf numFmtId="0" fontId="28" fillId="15" borderId="4" xfId="0" applyFont="1" applyFill="1" applyBorder="1" applyAlignment="1">
      <alignment horizontal="right" vertical="center" wrapText="1"/>
    </xf>
    <xf numFmtId="0" fontId="28" fillId="10" borderId="2" xfId="0" applyFont="1" applyFill="1" applyBorder="1" applyAlignment="1">
      <alignment horizontal="right" vertical="center" wrapText="1"/>
    </xf>
    <xf numFmtId="0" fontId="28" fillId="10" borderId="4" xfId="0" applyFont="1" applyFill="1" applyBorder="1" applyAlignment="1">
      <alignment horizontal="right" vertical="center" wrapText="1"/>
    </xf>
    <xf numFmtId="0" fontId="28" fillId="10" borderId="5" xfId="0" applyFont="1" applyFill="1" applyBorder="1" applyAlignment="1">
      <alignment horizontal="right" vertical="center" wrapText="1"/>
    </xf>
    <xf numFmtId="14" fontId="11" fillId="15" borderId="10" xfId="0" applyNumberFormat="1" applyFont="1" applyFill="1" applyBorder="1" applyAlignment="1">
      <alignment horizontal="left" vertical="center" wrapText="1"/>
    </xf>
    <xf numFmtId="0" fontId="30" fillId="6" borderId="4" xfId="0" applyFont="1" applyFill="1" applyBorder="1" applyAlignment="1">
      <alignment horizontal="right" vertical="center" wrapText="1"/>
    </xf>
    <xf numFmtId="0" fontId="30" fillId="6" borderId="2" xfId="0" applyFont="1" applyFill="1" applyBorder="1" applyAlignment="1">
      <alignment horizontal="right" vertical="center" wrapText="1"/>
    </xf>
    <xf numFmtId="0" fontId="30" fillId="7" borderId="0" xfId="0" applyFont="1" applyFill="1" applyAlignment="1">
      <alignment horizontal="right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0" xfId="0" applyFont="1" applyFill="1" applyAlignment="1">
      <alignment vertical="center" wrapText="1"/>
    </xf>
    <xf numFmtId="1" fontId="8" fillId="7" borderId="0" xfId="0" applyNumberFormat="1" applyFont="1" applyFill="1" applyAlignment="1">
      <alignment horizontal="right" vertical="center" wrapText="1"/>
    </xf>
    <xf numFmtId="0" fontId="8" fillId="7" borderId="3" xfId="0" applyFont="1" applyFill="1" applyBorder="1" applyAlignment="1">
      <alignment horizontal="right" vertical="center" wrapText="1"/>
    </xf>
    <xf numFmtId="0" fontId="18" fillId="2" borderId="2" xfId="0" applyFont="1" applyFill="1" applyBorder="1" applyAlignment="1">
      <alignment horizontal="right" vertical="center" wrapText="1"/>
    </xf>
    <xf numFmtId="0" fontId="18" fillId="2" borderId="4" xfId="0" applyFont="1" applyFill="1" applyBorder="1" applyAlignment="1">
      <alignment horizontal="right" vertical="center" wrapText="1"/>
    </xf>
    <xf numFmtId="0" fontId="18" fillId="19" borderId="2" xfId="0" applyFont="1" applyFill="1" applyBorder="1" applyAlignment="1">
      <alignment horizontal="right" vertical="center" wrapText="1"/>
    </xf>
    <xf numFmtId="0" fontId="18" fillId="19" borderId="4" xfId="0" applyFont="1" applyFill="1" applyBorder="1" applyAlignment="1">
      <alignment horizontal="right" vertical="center" wrapText="1"/>
    </xf>
    <xf numFmtId="0" fontId="18" fillId="11" borderId="2" xfId="0" applyFont="1" applyFill="1" applyBorder="1" applyAlignment="1">
      <alignment horizontal="right" vertical="center" wrapText="1"/>
    </xf>
    <xf numFmtId="0" fontId="18" fillId="11" borderId="4" xfId="0" applyFont="1" applyFill="1" applyBorder="1" applyAlignment="1">
      <alignment horizontal="right" vertical="center" wrapText="1"/>
    </xf>
    <xf numFmtId="0" fontId="18" fillId="10" borderId="2" xfId="0" applyFont="1" applyFill="1" applyBorder="1" applyAlignment="1">
      <alignment horizontal="right" vertical="center" wrapText="1"/>
    </xf>
    <xf numFmtId="0" fontId="18" fillId="10" borderId="4" xfId="0" applyFont="1" applyFill="1" applyBorder="1" applyAlignment="1">
      <alignment horizontal="right" vertical="center" wrapText="1"/>
    </xf>
    <xf numFmtId="0" fontId="18" fillId="10" borderId="5" xfId="0" applyFont="1" applyFill="1" applyBorder="1" applyAlignment="1">
      <alignment horizontal="right" vertical="center" wrapText="1"/>
    </xf>
    <xf numFmtId="0" fontId="18" fillId="14" borderId="2" xfId="0" applyFont="1" applyFill="1" applyBorder="1" applyAlignment="1">
      <alignment horizontal="right" vertical="center" wrapText="1"/>
    </xf>
    <xf numFmtId="0" fontId="18" fillId="14" borderId="4" xfId="0" applyFont="1" applyFill="1" applyBorder="1" applyAlignment="1">
      <alignment horizontal="right" vertical="center" wrapText="1"/>
    </xf>
    <xf numFmtId="1" fontId="11" fillId="15" borderId="4" xfId="0" applyNumberFormat="1" applyFont="1" applyFill="1" applyBorder="1" applyAlignment="1">
      <alignment horizontal="right" vertical="center" wrapText="1"/>
    </xf>
    <xf numFmtId="0" fontId="11" fillId="20" borderId="1" xfId="0" applyFont="1" applyFill="1" applyBorder="1" applyAlignment="1">
      <alignment vertical="center" wrapText="1"/>
    </xf>
    <xf numFmtId="0" fontId="25" fillId="20" borderId="2" xfId="0" applyFont="1" applyFill="1" applyBorder="1" applyAlignment="1">
      <alignment horizontal="center" vertical="center" wrapText="1"/>
    </xf>
    <xf numFmtId="0" fontId="11" fillId="20" borderId="2" xfId="0" applyFont="1" applyFill="1" applyBorder="1" applyAlignment="1">
      <alignment horizontal="right" vertical="center" wrapText="1"/>
    </xf>
    <xf numFmtId="0" fontId="11" fillId="20" borderId="3" xfId="0" applyFont="1" applyFill="1" applyBorder="1" applyAlignment="1">
      <alignment vertical="center" wrapText="1"/>
    </xf>
    <xf numFmtId="0" fontId="25" fillId="20" borderId="4" xfId="0" applyFont="1" applyFill="1" applyBorder="1" applyAlignment="1">
      <alignment horizontal="right" vertical="center" wrapText="1"/>
    </xf>
    <xf numFmtId="0" fontId="11" fillId="20" borderId="4" xfId="0" applyFont="1" applyFill="1" applyBorder="1" applyAlignment="1">
      <alignment horizontal="right" vertical="center" wrapText="1"/>
    </xf>
    <xf numFmtId="0" fontId="11" fillId="20" borderId="1" xfId="0" applyFont="1" applyFill="1" applyBorder="1" applyAlignment="1">
      <alignment horizontal="right" vertical="center" wrapText="1"/>
    </xf>
    <xf numFmtId="1" fontId="11" fillId="20" borderId="1" xfId="0" applyNumberFormat="1" applyFont="1" applyFill="1" applyBorder="1" applyAlignment="1">
      <alignment horizontal="right" vertical="center" wrapText="1"/>
    </xf>
    <xf numFmtId="0" fontId="11" fillId="20" borderId="11" xfId="0" applyFont="1" applyFill="1" applyBorder="1" applyAlignment="1">
      <alignment vertical="center" wrapText="1"/>
    </xf>
    <xf numFmtId="0" fontId="11" fillId="20" borderId="12" xfId="0" applyFont="1" applyFill="1" applyBorder="1" applyAlignment="1">
      <alignment horizontal="right" vertical="center" wrapText="1"/>
    </xf>
    <xf numFmtId="14" fontId="11" fillId="20" borderId="3" xfId="0" applyNumberFormat="1" applyFont="1" applyFill="1" applyBorder="1" applyAlignment="1">
      <alignment horizontal="left" vertical="center" wrapText="1"/>
    </xf>
    <xf numFmtId="0" fontId="18" fillId="20" borderId="2" xfId="0" applyFont="1" applyFill="1" applyBorder="1" applyAlignment="1">
      <alignment horizontal="right" vertical="center" wrapText="1"/>
    </xf>
    <xf numFmtId="0" fontId="18" fillId="20" borderId="4" xfId="0" applyFont="1" applyFill="1" applyBorder="1" applyAlignment="1">
      <alignment horizontal="right" vertical="center" wrapText="1"/>
    </xf>
    <xf numFmtId="0" fontId="18" fillId="12" borderId="2" xfId="0" applyFont="1" applyFill="1" applyBorder="1" applyAlignment="1">
      <alignment horizontal="right" vertical="center" wrapText="1"/>
    </xf>
    <xf numFmtId="0" fontId="18" fillId="12" borderId="4" xfId="0" applyFont="1" applyFill="1" applyBorder="1" applyAlignment="1">
      <alignment horizontal="right" vertical="center" wrapText="1"/>
    </xf>
    <xf numFmtId="0" fontId="11" fillId="21" borderId="1" xfId="0" applyFont="1" applyFill="1" applyBorder="1" applyAlignment="1">
      <alignment vertical="center" wrapText="1"/>
    </xf>
    <xf numFmtId="0" fontId="29" fillId="21" borderId="2" xfId="0" applyFont="1" applyFill="1" applyBorder="1" applyAlignment="1">
      <alignment horizontal="center" vertical="center" wrapText="1"/>
    </xf>
    <xf numFmtId="0" fontId="18" fillId="21" borderId="2" xfId="0" applyFont="1" applyFill="1" applyBorder="1" applyAlignment="1">
      <alignment horizontal="right" vertical="center" wrapText="1"/>
    </xf>
    <xf numFmtId="0" fontId="11" fillId="21" borderId="2" xfId="0" applyFont="1" applyFill="1" applyBorder="1" applyAlignment="1">
      <alignment horizontal="right" vertical="center" wrapText="1"/>
    </xf>
    <xf numFmtId="0" fontId="11" fillId="21" borderId="3" xfId="0" applyFont="1" applyFill="1" applyBorder="1" applyAlignment="1">
      <alignment vertical="center" wrapText="1"/>
    </xf>
    <xf numFmtId="0" fontId="29" fillId="21" borderId="4" xfId="0" applyFont="1" applyFill="1" applyBorder="1" applyAlignment="1">
      <alignment horizontal="right" vertical="center" wrapText="1"/>
    </xf>
    <xf numFmtId="0" fontId="18" fillId="21" borderId="4" xfId="0" applyFont="1" applyFill="1" applyBorder="1" applyAlignment="1">
      <alignment horizontal="right" vertical="center" wrapText="1"/>
    </xf>
    <xf numFmtId="0" fontId="11" fillId="21" borderId="4" xfId="0" applyFont="1" applyFill="1" applyBorder="1" applyAlignment="1">
      <alignment horizontal="right" vertical="center" wrapText="1"/>
    </xf>
    <xf numFmtId="0" fontId="11" fillId="21" borderId="11" xfId="0" applyFont="1" applyFill="1" applyBorder="1" applyAlignment="1">
      <alignment vertical="center" wrapText="1"/>
    </xf>
    <xf numFmtId="0" fontId="11" fillId="21" borderId="1" xfId="0" applyFont="1" applyFill="1" applyBorder="1" applyAlignment="1">
      <alignment horizontal="right" vertical="center" wrapText="1"/>
    </xf>
    <xf numFmtId="1" fontId="11" fillId="21" borderId="1" xfId="0" applyNumberFormat="1" applyFont="1" applyFill="1" applyBorder="1" applyAlignment="1">
      <alignment horizontal="right" vertical="center" wrapText="1"/>
    </xf>
    <xf numFmtId="0" fontId="11" fillId="21" borderId="12" xfId="0" applyFont="1" applyFill="1" applyBorder="1" applyAlignment="1">
      <alignment horizontal="right" vertical="center" wrapText="1"/>
    </xf>
    <xf numFmtId="0" fontId="8" fillId="7" borderId="1" xfId="0" applyFont="1" applyFill="1" applyBorder="1" applyAlignment="1">
      <alignment vertical="top" wrapText="1"/>
    </xf>
    <xf numFmtId="0" fontId="11" fillId="17" borderId="0" xfId="0" applyFont="1" applyFill="1"/>
    <xf numFmtId="0" fontId="8" fillId="9" borderId="4" xfId="0" applyFont="1" applyFill="1" applyBorder="1" applyAlignment="1">
      <alignment horizontal="right"/>
    </xf>
    <xf numFmtId="1" fontId="7" fillId="9" borderId="4" xfId="0" applyNumberFormat="1" applyFont="1" applyFill="1" applyBorder="1"/>
    <xf numFmtId="0" fontId="7" fillId="9" borderId="3" xfId="0" applyFont="1" applyFill="1" applyBorder="1"/>
    <xf numFmtId="0" fontId="7" fillId="9" borderId="4" xfId="0" applyFont="1" applyFill="1" applyBorder="1" applyAlignment="1">
      <alignment horizontal="right"/>
    </xf>
    <xf numFmtId="0" fontId="9" fillId="7" borderId="9" xfId="0" applyFont="1" applyFill="1" applyBorder="1" applyAlignment="1">
      <alignment vertical="center" wrapText="1"/>
    </xf>
    <xf numFmtId="0" fontId="3" fillId="0" borderId="8" xfId="0" applyFont="1" applyBorder="1"/>
    <xf numFmtId="0" fontId="26" fillId="4" borderId="11" xfId="0" applyFont="1" applyFill="1" applyBorder="1" applyAlignment="1">
      <alignment vertical="center" wrapText="1"/>
    </xf>
    <xf numFmtId="0" fontId="26" fillId="4" borderId="12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2" fillId="7" borderId="0" xfId="0" applyFont="1" applyFill="1" applyAlignment="1">
      <alignment vertical="center" wrapText="1"/>
    </xf>
    <xf numFmtId="0" fontId="1" fillId="0" borderId="0" xfId="0" applyFont="1"/>
    <xf numFmtId="0" fontId="2" fillId="7" borderId="9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8" fillId="16" borderId="7" xfId="0" applyFont="1" applyFill="1" applyBorder="1" applyAlignment="1">
      <alignment vertical="center" wrapText="1"/>
    </xf>
    <xf numFmtId="0" fontId="8" fillId="16" borderId="3" xfId="0" applyFont="1" applyFill="1" applyBorder="1" applyAlignment="1">
      <alignment vertical="center" wrapText="1"/>
    </xf>
    <xf numFmtId="0" fontId="9" fillId="7" borderId="0" xfId="0" applyFont="1" applyFill="1" applyAlignment="1">
      <alignment vertical="center" wrapText="1"/>
    </xf>
    <xf numFmtId="0" fontId="9" fillId="0" borderId="0" xfId="0" applyFont="1"/>
    <xf numFmtId="0" fontId="6" fillId="11" borderId="9" xfId="0" applyFont="1" applyFill="1" applyBorder="1" applyAlignment="1">
      <alignment horizontal="left" vertical="center"/>
    </xf>
    <xf numFmtId="0" fontId="6" fillId="11" borderId="8" xfId="0" applyFont="1" applyFill="1" applyBorder="1" applyAlignment="1">
      <alignment horizontal="left" vertical="center"/>
    </xf>
    <xf numFmtId="0" fontId="6" fillId="11" borderId="6" xfId="0" applyFont="1" applyFill="1" applyBorder="1" applyAlignment="1">
      <alignment horizontal="left" vertical="center"/>
    </xf>
    <xf numFmtId="0" fontId="1" fillId="5" borderId="9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8" fillId="13" borderId="7" xfId="0" applyFont="1" applyFill="1" applyBorder="1" applyAlignment="1">
      <alignment vertical="center" wrapText="1"/>
    </xf>
    <xf numFmtId="0" fontId="8" fillId="13" borderId="3" xfId="0" applyFont="1" applyFill="1" applyBorder="1" applyAlignment="1">
      <alignment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8" fillId="18" borderId="7" xfId="0" applyFont="1" applyFill="1" applyBorder="1" applyAlignment="1">
      <alignment vertical="center" wrapText="1"/>
    </xf>
    <xf numFmtId="0" fontId="8" fillId="18" borderId="3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23" fillId="14" borderId="9" xfId="0" applyFont="1" applyFill="1" applyBorder="1" applyAlignment="1">
      <alignment horizontal="left" vertical="center"/>
    </xf>
    <xf numFmtId="0" fontId="23" fillId="14" borderId="8" xfId="0" applyFont="1" applyFill="1" applyBorder="1" applyAlignment="1">
      <alignment horizontal="left" vertical="center"/>
    </xf>
    <xf numFmtId="0" fontId="23" fillId="14" borderId="6" xfId="0" applyFont="1" applyFill="1" applyBorder="1" applyAlignment="1">
      <alignment horizontal="left" vertical="center"/>
    </xf>
    <xf numFmtId="0" fontId="6" fillId="15" borderId="9" xfId="0" applyFont="1" applyFill="1" applyBorder="1" applyAlignment="1">
      <alignment horizontal="left" vertical="center"/>
    </xf>
    <xf numFmtId="0" fontId="6" fillId="15" borderId="8" xfId="0" applyFont="1" applyFill="1" applyBorder="1" applyAlignment="1">
      <alignment horizontal="left" vertical="center"/>
    </xf>
    <xf numFmtId="0" fontId="6" fillId="15" borderId="6" xfId="0" applyFont="1" applyFill="1" applyBorder="1" applyAlignment="1">
      <alignment horizontal="left" vertical="center"/>
    </xf>
    <xf numFmtId="0" fontId="6" fillId="20" borderId="9" xfId="0" applyFont="1" applyFill="1" applyBorder="1" applyAlignment="1">
      <alignment horizontal="left" vertical="center"/>
    </xf>
    <xf numFmtId="0" fontId="6" fillId="20" borderId="8" xfId="0" applyFont="1" applyFill="1" applyBorder="1" applyAlignment="1">
      <alignment horizontal="left" vertical="center"/>
    </xf>
    <xf numFmtId="0" fontId="6" fillId="20" borderId="6" xfId="0" applyFont="1" applyFill="1" applyBorder="1" applyAlignment="1">
      <alignment horizontal="left" vertical="center"/>
    </xf>
    <xf numFmtId="0" fontId="6" fillId="12" borderId="9" xfId="0" applyFont="1" applyFill="1" applyBorder="1" applyAlignment="1">
      <alignment horizontal="left" vertical="center"/>
    </xf>
    <xf numFmtId="0" fontId="6" fillId="12" borderId="8" xfId="0" applyFont="1" applyFill="1" applyBorder="1" applyAlignment="1">
      <alignment horizontal="left" vertical="center"/>
    </xf>
    <xf numFmtId="0" fontId="6" fillId="12" borderId="6" xfId="0" applyFont="1" applyFill="1" applyBorder="1" applyAlignment="1">
      <alignment horizontal="left" vertical="center"/>
    </xf>
    <xf numFmtId="0" fontId="20" fillId="3" borderId="9" xfId="0" applyFont="1" applyFill="1" applyBorder="1" applyAlignment="1">
      <alignment horizontal="left" vertical="center"/>
    </xf>
    <xf numFmtId="0" fontId="20" fillId="3" borderId="8" xfId="0" applyFont="1" applyFill="1" applyBorder="1" applyAlignment="1">
      <alignment horizontal="left" vertical="center"/>
    </xf>
    <xf numFmtId="0" fontId="20" fillId="3" borderId="6" xfId="0" applyFont="1" applyFill="1" applyBorder="1" applyAlignment="1">
      <alignment horizontal="left" vertical="center"/>
    </xf>
    <xf numFmtId="0" fontId="6" fillId="21" borderId="9" xfId="0" applyFont="1" applyFill="1" applyBorder="1" applyAlignment="1">
      <alignment horizontal="left" vertical="center"/>
    </xf>
    <xf numFmtId="0" fontId="6" fillId="21" borderId="8" xfId="0" applyFont="1" applyFill="1" applyBorder="1" applyAlignment="1">
      <alignment horizontal="left" vertical="center"/>
    </xf>
    <xf numFmtId="0" fontId="6" fillId="21" borderId="6" xfId="0" applyFont="1" applyFill="1" applyBorder="1" applyAlignment="1">
      <alignment horizontal="left" vertical="center"/>
    </xf>
    <xf numFmtId="0" fontId="12" fillId="7" borderId="13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8" fillId="7" borderId="0" xfId="0" applyFont="1" applyFill="1" applyBorder="1"/>
  </cellXfs>
  <cellStyles count="1">
    <cellStyle name="Normal" xfId="0" builtinId="0"/>
  </cellStyles>
  <dxfs count="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</dxfs>
  <tableStyles count="0" defaultTableStyle="TableStyleMedium2" defaultPivotStyle="PivotStyleLight16"/>
  <colors>
    <mruColors>
      <color rgb="FFFF3333"/>
      <color rgb="FF036544"/>
      <color rgb="FFA6A6A6"/>
      <color rgb="FF762949"/>
      <color rgb="FFFF0066"/>
      <color rgb="FFF4BAE8"/>
      <color rgb="FFF145E1"/>
      <color rgb="FFFF3300"/>
      <color rgb="FF133926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100</xdr:row>
      <xdr:rowOff>17252</xdr:rowOff>
    </xdr:from>
    <xdr:to>
      <xdr:col>1</xdr:col>
      <xdr:colOff>206423</xdr:colOff>
      <xdr:row>108</xdr:row>
      <xdr:rowOff>7057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AC5EA0-1558-4173-B2BB-A98830010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995365"/>
          <a:ext cx="1440000" cy="1439043"/>
        </a:xfrm>
        <a:prstGeom prst="rect">
          <a:avLst/>
        </a:prstGeom>
      </xdr:spPr>
    </xdr:pic>
    <xdr:clientData/>
  </xdr:twoCellAnchor>
  <xdr:twoCellAnchor editAs="oneCell">
    <xdr:from>
      <xdr:col>29</xdr:col>
      <xdr:colOff>0</xdr:colOff>
      <xdr:row>0</xdr:row>
      <xdr:rowOff>0</xdr:rowOff>
    </xdr:from>
    <xdr:to>
      <xdr:col>32</xdr:col>
      <xdr:colOff>456589</xdr:colOff>
      <xdr:row>7</xdr:row>
      <xdr:rowOff>110575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47EA20-1EDF-43BC-A0DB-9B55178077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7691" y="0"/>
          <a:ext cx="1440000" cy="143904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2</xdr:row>
      <xdr:rowOff>0</xdr:rowOff>
    </xdr:from>
    <xdr:to>
      <xdr:col>19</xdr:col>
      <xdr:colOff>215049</xdr:colOff>
      <xdr:row>9</xdr:row>
      <xdr:rowOff>110575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DC6CAF-BEB8-4C40-A916-0D46A4089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79502" y="370936"/>
          <a:ext cx="1440000" cy="14390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381</xdr:row>
      <xdr:rowOff>0</xdr:rowOff>
    </xdr:from>
    <xdr:to>
      <xdr:col>0</xdr:col>
      <xdr:colOff>1440000</xdr:colOff>
      <xdr:row>388</xdr:row>
      <xdr:rowOff>170960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661235B-40C9-4DED-8C9C-AF0F10DED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9080332"/>
          <a:ext cx="1440000" cy="14390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102</xdr:row>
      <xdr:rowOff>25879</xdr:rowOff>
    </xdr:from>
    <xdr:to>
      <xdr:col>0</xdr:col>
      <xdr:colOff>1440000</xdr:colOff>
      <xdr:row>110</xdr:row>
      <xdr:rowOff>15682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DCB11E-2467-4467-8891-E8199A386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556083"/>
          <a:ext cx="1440000" cy="1439043"/>
        </a:xfrm>
        <a:prstGeom prst="rect">
          <a:avLst/>
        </a:prstGeom>
      </xdr:spPr>
    </xdr:pic>
    <xdr:clientData/>
  </xdr:twoCellAnchor>
  <xdr:twoCellAnchor editAs="oneCell">
    <xdr:from>
      <xdr:col>28</xdr:col>
      <xdr:colOff>25879</xdr:colOff>
      <xdr:row>0</xdr:row>
      <xdr:rowOff>0</xdr:rowOff>
    </xdr:from>
    <xdr:to>
      <xdr:col>30</xdr:col>
      <xdr:colOff>240928</xdr:colOff>
      <xdr:row>7</xdr:row>
      <xdr:rowOff>110575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B44A3B7-172A-4DE7-914B-B5CC6F787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17924" y="0"/>
          <a:ext cx="1440000" cy="14390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110</xdr:row>
      <xdr:rowOff>25881</xdr:rowOff>
    </xdr:from>
    <xdr:to>
      <xdr:col>1</xdr:col>
      <xdr:colOff>309940</xdr:colOff>
      <xdr:row>118</xdr:row>
      <xdr:rowOff>15687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5B1C91-ACB7-4AC5-A522-FC6D9B8BA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919058"/>
          <a:ext cx="1440000" cy="1439043"/>
        </a:xfrm>
        <a:prstGeom prst="rect">
          <a:avLst/>
        </a:prstGeom>
      </xdr:spPr>
    </xdr:pic>
    <xdr:clientData/>
  </xdr:twoCellAnchor>
  <xdr:twoCellAnchor editAs="oneCell">
    <xdr:from>
      <xdr:col>28</xdr:col>
      <xdr:colOff>1</xdr:colOff>
      <xdr:row>0</xdr:row>
      <xdr:rowOff>8626</xdr:rowOff>
    </xdr:from>
    <xdr:to>
      <xdr:col>30</xdr:col>
      <xdr:colOff>215050</xdr:colOff>
      <xdr:row>7</xdr:row>
      <xdr:rowOff>119201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D9B1A0-0712-4A51-B464-A2E6E5341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6220" y="8626"/>
          <a:ext cx="1440000" cy="143904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126</xdr:row>
      <xdr:rowOff>0</xdr:rowOff>
    </xdr:from>
    <xdr:to>
      <xdr:col>1</xdr:col>
      <xdr:colOff>309940</xdr:colOff>
      <xdr:row>133</xdr:row>
      <xdr:rowOff>170960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A01783-7DB0-47A5-9B8E-A3650EF4D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161925"/>
          <a:ext cx="1440000" cy="1439043"/>
        </a:xfrm>
        <a:prstGeom prst="rect">
          <a:avLst/>
        </a:prstGeom>
      </xdr:spPr>
    </xdr:pic>
    <xdr:clientData/>
  </xdr:twoCellAnchor>
  <xdr:twoCellAnchor editAs="oneCell">
    <xdr:from>
      <xdr:col>28</xdr:col>
      <xdr:colOff>1</xdr:colOff>
      <xdr:row>0</xdr:row>
      <xdr:rowOff>0</xdr:rowOff>
    </xdr:from>
    <xdr:to>
      <xdr:col>30</xdr:col>
      <xdr:colOff>197797</xdr:colOff>
      <xdr:row>7</xdr:row>
      <xdr:rowOff>84696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583423B-D7DE-4107-B1CC-6DC4DC586A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9405" y="0"/>
          <a:ext cx="1440000" cy="143904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86</xdr:row>
      <xdr:rowOff>0</xdr:rowOff>
    </xdr:from>
    <xdr:to>
      <xdr:col>1</xdr:col>
      <xdr:colOff>309940</xdr:colOff>
      <xdr:row>93</xdr:row>
      <xdr:rowOff>170960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7E3648-FB0A-4426-9259-C7C404E20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700740"/>
          <a:ext cx="1440000" cy="1439043"/>
        </a:xfrm>
        <a:prstGeom prst="rect">
          <a:avLst/>
        </a:prstGeom>
      </xdr:spPr>
    </xdr:pic>
    <xdr:clientData/>
  </xdr:twoCellAnchor>
  <xdr:twoCellAnchor editAs="oneCell">
    <xdr:from>
      <xdr:col>28</xdr:col>
      <xdr:colOff>1</xdr:colOff>
      <xdr:row>0</xdr:row>
      <xdr:rowOff>0</xdr:rowOff>
    </xdr:from>
    <xdr:to>
      <xdr:col>30</xdr:col>
      <xdr:colOff>197797</xdr:colOff>
      <xdr:row>7</xdr:row>
      <xdr:rowOff>84696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80BD6D1-3192-4730-8247-C7CE8944B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9405" y="0"/>
          <a:ext cx="1440000" cy="143904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86</xdr:row>
      <xdr:rowOff>25880</xdr:rowOff>
    </xdr:from>
    <xdr:to>
      <xdr:col>1</xdr:col>
      <xdr:colOff>292687</xdr:colOff>
      <xdr:row>94</xdr:row>
      <xdr:rowOff>15686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35FA44-DE46-49AF-B0B3-E35555D77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390189"/>
          <a:ext cx="1440000" cy="1439043"/>
        </a:xfrm>
        <a:prstGeom prst="rect">
          <a:avLst/>
        </a:prstGeom>
      </xdr:spPr>
    </xdr:pic>
    <xdr:clientData/>
  </xdr:twoCellAnchor>
  <xdr:twoCellAnchor editAs="oneCell">
    <xdr:from>
      <xdr:col>27</xdr:col>
      <xdr:colOff>612476</xdr:colOff>
      <xdr:row>0</xdr:row>
      <xdr:rowOff>0</xdr:rowOff>
    </xdr:from>
    <xdr:to>
      <xdr:col>30</xdr:col>
      <xdr:colOff>197798</xdr:colOff>
      <xdr:row>7</xdr:row>
      <xdr:rowOff>84696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45422E4-6BDA-461D-A31B-DA427C4B35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54023" y="0"/>
          <a:ext cx="1440000" cy="143904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116</xdr:row>
      <xdr:rowOff>0</xdr:rowOff>
    </xdr:from>
    <xdr:to>
      <xdr:col>1</xdr:col>
      <xdr:colOff>309940</xdr:colOff>
      <xdr:row>123</xdr:row>
      <xdr:rowOff>170960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AB967F-B6A6-43A8-8F03-9620652EB4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376921"/>
          <a:ext cx="1440000" cy="1439043"/>
        </a:xfrm>
        <a:prstGeom prst="rect">
          <a:avLst/>
        </a:prstGeom>
      </xdr:spPr>
    </xdr:pic>
    <xdr:clientData/>
  </xdr:twoCellAnchor>
  <xdr:twoCellAnchor editAs="oneCell">
    <xdr:from>
      <xdr:col>28</xdr:col>
      <xdr:colOff>8627</xdr:colOff>
      <xdr:row>0</xdr:row>
      <xdr:rowOff>0</xdr:rowOff>
    </xdr:from>
    <xdr:to>
      <xdr:col>30</xdr:col>
      <xdr:colOff>206423</xdr:colOff>
      <xdr:row>7</xdr:row>
      <xdr:rowOff>110575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EBF63E0-51DF-443D-A9C8-BC2786D18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8031" y="0"/>
          <a:ext cx="1440000" cy="143904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116</xdr:row>
      <xdr:rowOff>0</xdr:rowOff>
    </xdr:from>
    <xdr:to>
      <xdr:col>2</xdr:col>
      <xdr:colOff>8015</xdr:colOff>
      <xdr:row>123</xdr:row>
      <xdr:rowOff>170960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AE53AB-9C01-4036-BB4B-1510A7935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153298"/>
          <a:ext cx="1440000" cy="1439043"/>
        </a:xfrm>
        <a:prstGeom prst="rect">
          <a:avLst/>
        </a:prstGeom>
      </xdr:spPr>
    </xdr:pic>
    <xdr:clientData/>
  </xdr:twoCellAnchor>
  <xdr:twoCellAnchor editAs="oneCell">
    <xdr:from>
      <xdr:col>28</xdr:col>
      <xdr:colOff>8626</xdr:colOff>
      <xdr:row>0</xdr:row>
      <xdr:rowOff>8627</xdr:rowOff>
    </xdr:from>
    <xdr:to>
      <xdr:col>30</xdr:col>
      <xdr:colOff>206422</xdr:colOff>
      <xdr:row>7</xdr:row>
      <xdr:rowOff>93323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AC843EE-E119-4714-97BD-A8F761A41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62317" y="8627"/>
          <a:ext cx="1440000" cy="143904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112</xdr:row>
      <xdr:rowOff>25879</xdr:rowOff>
    </xdr:from>
    <xdr:to>
      <xdr:col>1</xdr:col>
      <xdr:colOff>309940</xdr:colOff>
      <xdr:row>120</xdr:row>
      <xdr:rowOff>15684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E81B2C-3DE8-4B0D-B1B7-DC0F5F3C2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359004"/>
          <a:ext cx="1440000" cy="1439043"/>
        </a:xfrm>
        <a:prstGeom prst="rect">
          <a:avLst/>
        </a:prstGeom>
      </xdr:spPr>
    </xdr:pic>
    <xdr:clientData/>
  </xdr:twoCellAnchor>
  <xdr:twoCellAnchor editAs="oneCell">
    <xdr:from>
      <xdr:col>27</xdr:col>
      <xdr:colOff>379563</xdr:colOff>
      <xdr:row>0</xdr:row>
      <xdr:rowOff>0</xdr:rowOff>
    </xdr:from>
    <xdr:to>
      <xdr:col>30</xdr:col>
      <xdr:colOff>189170</xdr:colOff>
      <xdr:row>7</xdr:row>
      <xdr:rowOff>84696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FB5B07E-2043-4B55-80AC-284C094FF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0778" y="0"/>
          <a:ext cx="1440000" cy="14390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Users/seanhill/Documents/WORK/RWC%202019%20Databases/Pro%2014/2019:20/2019-10-15%20Round%203/PRO14%2019-10-15%20Scorers.xlsx" TargetMode="External"/><Relationship Id="rId1" Type="http://schemas.openxmlformats.org/officeDocument/2006/relationships/externalLinkPath" Target="/Users/seanhill/Documents/WORK/RWC%202019%20Databases/Pro%2014/2019:20/2019-10-15%20Round%203/PRO14%2019-10-15%20Score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BEN"/>
      <sheetName val="CBL"/>
      <sheetName val="CHE"/>
      <sheetName val="CON"/>
      <sheetName val="DRA"/>
      <sheetName val="EDI"/>
      <sheetName val="GLA"/>
      <sheetName val="LEIN"/>
      <sheetName val="MUN"/>
      <sheetName val="OSP"/>
      <sheetName val="SCA"/>
      <sheetName val="SKG"/>
      <sheetName val="ULS"/>
      <sheetName val="ZEB"/>
      <sheetName val="OVERALL"/>
    </sheetNames>
    <sheetDataSet>
      <sheetData sheetId="0">
        <row r="54">
          <cell r="B54">
            <v>6</v>
          </cell>
          <cell r="F54">
            <v>52</v>
          </cell>
        </row>
      </sheetData>
      <sheetData sheetId="1">
        <row r="50">
          <cell r="B50">
            <v>7</v>
          </cell>
          <cell r="F50">
            <v>55</v>
          </cell>
        </row>
      </sheetData>
      <sheetData sheetId="2">
        <row r="62">
          <cell r="B62">
            <v>22</v>
          </cell>
          <cell r="E62">
            <v>151</v>
          </cell>
        </row>
      </sheetData>
      <sheetData sheetId="3">
        <row r="51">
          <cell r="B51">
            <v>12</v>
          </cell>
          <cell r="F51">
            <v>89</v>
          </cell>
        </row>
      </sheetData>
      <sheetData sheetId="4">
        <row r="55">
          <cell r="B55">
            <v>9</v>
          </cell>
          <cell r="F55">
            <v>75</v>
          </cell>
        </row>
      </sheetData>
      <sheetData sheetId="5">
        <row r="51">
          <cell r="B51">
            <v>10</v>
          </cell>
          <cell r="F51">
            <v>83</v>
          </cell>
        </row>
      </sheetData>
      <sheetData sheetId="6">
        <row r="58">
          <cell r="B58">
            <v>6</v>
          </cell>
          <cell r="F58">
            <v>52</v>
          </cell>
        </row>
      </sheetData>
      <sheetData sheetId="7">
        <row r="58">
          <cell r="B58">
            <v>18</v>
          </cell>
          <cell r="F58">
            <v>125</v>
          </cell>
        </row>
      </sheetData>
      <sheetData sheetId="8">
        <row r="55">
          <cell r="B55">
            <v>10</v>
          </cell>
          <cell r="F55">
            <v>86</v>
          </cell>
        </row>
      </sheetData>
      <sheetData sheetId="9">
        <row r="50">
          <cell r="B50">
            <v>6</v>
          </cell>
          <cell r="F50">
            <v>43</v>
          </cell>
        </row>
      </sheetData>
      <sheetData sheetId="10">
        <row r="56">
          <cell r="B56">
            <v>13</v>
          </cell>
          <cell r="F56">
            <v>97</v>
          </cell>
        </row>
      </sheetData>
      <sheetData sheetId="11">
        <row r="47">
          <cell r="B47">
            <v>7</v>
          </cell>
          <cell r="E47">
            <v>64</v>
          </cell>
        </row>
      </sheetData>
      <sheetData sheetId="12">
        <row r="59">
          <cell r="B59">
            <v>15</v>
          </cell>
          <cell r="F59">
            <v>106</v>
          </cell>
        </row>
      </sheetData>
      <sheetData sheetId="13">
        <row r="49">
          <cell r="B49">
            <v>7</v>
          </cell>
          <cell r="F49">
            <v>53</v>
          </cell>
        </row>
      </sheetData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100"/>
  <sheetViews>
    <sheetView workbookViewId="0">
      <selection activeCell="J12" sqref="J12"/>
    </sheetView>
  </sheetViews>
  <sheetFormatPr defaultColWidth="8.875" defaultRowHeight="14.3" x14ac:dyDescent="0.25"/>
  <cols>
    <col min="1" max="1" width="17.875" bestFit="1" customWidth="1"/>
    <col min="2" max="2" width="5" bestFit="1" customWidth="1"/>
    <col min="3" max="3" width="5" customWidth="1"/>
    <col min="4" max="4" width="4.75" customWidth="1"/>
    <col min="5" max="5" width="17.875" bestFit="1" customWidth="1"/>
    <col min="6" max="8" width="5.25" customWidth="1"/>
    <col min="9" max="9" width="16.75" customWidth="1"/>
    <col min="10" max="12" width="5.375" customWidth="1"/>
    <col min="13" max="27" width="5.75" customWidth="1"/>
    <col min="28" max="32" width="4.75" customWidth="1"/>
  </cols>
  <sheetData>
    <row r="1" spans="1:38" ht="14.95" customHeight="1" thickBot="1" x14ac:dyDescent="0.3">
      <c r="A1" s="257" t="s">
        <v>651</v>
      </c>
      <c r="B1" s="258"/>
      <c r="C1" s="258"/>
      <c r="D1" s="258"/>
      <c r="E1" s="258"/>
      <c r="F1" s="258"/>
      <c r="G1" s="258"/>
      <c r="H1" s="259"/>
      <c r="I1" s="264" t="s">
        <v>161</v>
      </c>
      <c r="J1" s="260" t="s">
        <v>12</v>
      </c>
      <c r="K1" s="266"/>
      <c r="L1" s="261"/>
      <c r="M1" s="260" t="s">
        <v>28</v>
      </c>
      <c r="N1" s="266"/>
      <c r="O1" s="261"/>
      <c r="P1" s="260" t="s">
        <v>31</v>
      </c>
      <c r="Q1" s="261"/>
      <c r="R1" s="247" t="s">
        <v>162</v>
      </c>
      <c r="S1" s="248"/>
      <c r="T1" s="249"/>
      <c r="U1" s="247" t="s">
        <v>661</v>
      </c>
      <c r="V1" s="248"/>
      <c r="W1" s="249"/>
      <c r="X1" s="191"/>
      <c r="Y1" s="191"/>
      <c r="Z1" s="191"/>
      <c r="AA1" s="247" t="s">
        <v>435</v>
      </c>
      <c r="AB1" s="248"/>
      <c r="AC1" s="249"/>
      <c r="AD1" s="3"/>
      <c r="AE1" s="3"/>
      <c r="AF1" s="3"/>
      <c r="AI1" s="3"/>
    </row>
    <row r="2" spans="1:38" ht="14.95" customHeight="1" thickBot="1" x14ac:dyDescent="0.3">
      <c r="A2" s="83" t="s">
        <v>0</v>
      </c>
      <c r="B2" s="106" t="s">
        <v>161</v>
      </c>
      <c r="C2" s="199" t="s">
        <v>167</v>
      </c>
      <c r="D2" s="65" t="s">
        <v>168</v>
      </c>
      <c r="E2" s="85" t="s">
        <v>2</v>
      </c>
      <c r="F2" s="108" t="s">
        <v>161</v>
      </c>
      <c r="G2" s="201" t="s">
        <v>167</v>
      </c>
      <c r="H2" s="59" t="s">
        <v>168</v>
      </c>
      <c r="I2" s="265"/>
      <c r="J2" s="262"/>
      <c r="K2" s="267"/>
      <c r="L2" s="263"/>
      <c r="M2" s="262"/>
      <c r="N2" s="267"/>
      <c r="O2" s="263"/>
      <c r="P2" s="262"/>
      <c r="Q2" s="263"/>
      <c r="R2" s="250"/>
      <c r="S2" s="251"/>
      <c r="T2" s="252"/>
      <c r="U2" s="250"/>
      <c r="V2" s="251"/>
      <c r="W2" s="252"/>
      <c r="X2" s="63"/>
      <c r="Y2" s="63"/>
      <c r="Z2" s="63"/>
      <c r="AA2" s="250"/>
      <c r="AB2" s="251"/>
      <c r="AC2" s="252"/>
      <c r="AG2" s="3"/>
      <c r="AH2" s="3"/>
      <c r="AI2" s="3"/>
      <c r="AJ2" s="3"/>
      <c r="AK2" s="3"/>
      <c r="AL2" s="3"/>
    </row>
    <row r="3" spans="1:38" ht="14.95" customHeight="1" thickBot="1" x14ac:dyDescent="0.3">
      <c r="A3" s="84" t="s">
        <v>165</v>
      </c>
      <c r="B3" s="107">
        <v>0</v>
      </c>
      <c r="C3" s="200">
        <v>0</v>
      </c>
      <c r="D3" s="66">
        <f t="shared" ref="D3:D49" si="0">SUM(B3:C3)</f>
        <v>0</v>
      </c>
      <c r="E3" s="86" t="s">
        <v>165</v>
      </c>
      <c r="F3" s="109">
        <v>0</v>
      </c>
      <c r="G3" s="202">
        <v>0</v>
      </c>
      <c r="H3" s="58">
        <f t="shared" ref="H3:H49" si="1">SUM(F3:G3)</f>
        <v>0</v>
      </c>
      <c r="I3" s="105" t="s">
        <v>14</v>
      </c>
      <c r="J3" s="2" t="s">
        <v>21</v>
      </c>
      <c r="K3" s="2" t="s">
        <v>7</v>
      </c>
      <c r="L3" s="2" t="s">
        <v>8</v>
      </c>
      <c r="M3" s="62" t="s">
        <v>21</v>
      </c>
      <c r="N3" s="2" t="s">
        <v>7</v>
      </c>
      <c r="O3" s="2" t="s">
        <v>8</v>
      </c>
      <c r="P3" s="2" t="s">
        <v>161</v>
      </c>
      <c r="Q3" s="2" t="s">
        <v>22</v>
      </c>
      <c r="R3" s="110" t="s">
        <v>21</v>
      </c>
      <c r="S3" s="110" t="s">
        <v>7</v>
      </c>
      <c r="T3" s="110" t="s">
        <v>8</v>
      </c>
      <c r="U3" s="194" t="s">
        <v>21</v>
      </c>
      <c r="V3" s="110" t="s">
        <v>7</v>
      </c>
      <c r="W3" s="110" t="s">
        <v>8</v>
      </c>
      <c r="X3" s="45"/>
      <c r="Y3" s="45"/>
      <c r="Z3" s="45"/>
      <c r="AA3" s="194" t="s">
        <v>21</v>
      </c>
      <c r="AB3" s="110" t="s">
        <v>7</v>
      </c>
      <c r="AC3" s="110" t="s">
        <v>8</v>
      </c>
    </row>
    <row r="4" spans="1:38" ht="14.95" customHeight="1" thickBot="1" x14ac:dyDescent="0.3">
      <c r="A4" s="84" t="s">
        <v>478</v>
      </c>
      <c r="B4" s="107">
        <v>0</v>
      </c>
      <c r="C4" s="200">
        <v>0</v>
      </c>
      <c r="D4" s="66">
        <f t="shared" si="0"/>
        <v>0</v>
      </c>
      <c r="E4" s="86" t="s">
        <v>478</v>
      </c>
      <c r="F4" s="109">
        <v>0</v>
      </c>
      <c r="G4" s="202">
        <v>2</v>
      </c>
      <c r="H4" s="58">
        <f t="shared" si="1"/>
        <v>2</v>
      </c>
      <c r="I4" s="83" t="s">
        <v>478</v>
      </c>
      <c r="J4" s="89" t="s">
        <v>13</v>
      </c>
      <c r="K4" s="65" t="s">
        <v>13</v>
      </c>
      <c r="L4" s="90" t="s">
        <v>13</v>
      </c>
      <c r="M4" s="89" t="s">
        <v>13</v>
      </c>
      <c r="N4" s="89" t="s">
        <v>13</v>
      </c>
      <c r="O4" s="90" t="s">
        <v>13</v>
      </c>
      <c r="P4" s="65" t="s">
        <v>169</v>
      </c>
      <c r="Q4" s="65">
        <v>-2</v>
      </c>
      <c r="R4" s="4" t="s">
        <v>13</v>
      </c>
      <c r="S4" s="112" t="s">
        <v>13</v>
      </c>
      <c r="T4" s="111" t="s">
        <v>13</v>
      </c>
      <c r="U4" s="4" t="s">
        <v>13</v>
      </c>
      <c r="V4" s="112" t="s">
        <v>13</v>
      </c>
      <c r="W4" s="111" t="s">
        <v>13</v>
      </c>
      <c r="X4" s="193"/>
      <c r="Y4" s="193"/>
      <c r="Z4" s="193"/>
      <c r="AA4" s="4" t="s">
        <v>13</v>
      </c>
      <c r="AB4" s="112" t="s">
        <v>13</v>
      </c>
      <c r="AC4" s="111" t="s">
        <v>13</v>
      </c>
    </row>
    <row r="5" spans="1:38" ht="14.95" customHeight="1" thickBot="1" x14ac:dyDescent="0.3">
      <c r="A5" s="84" t="s">
        <v>42</v>
      </c>
      <c r="B5" s="107">
        <v>1</v>
      </c>
      <c r="C5" s="200">
        <v>0</v>
      </c>
      <c r="D5" s="66">
        <f t="shared" si="0"/>
        <v>1</v>
      </c>
      <c r="E5" s="86" t="s">
        <v>42</v>
      </c>
      <c r="F5" s="109">
        <v>5</v>
      </c>
      <c r="G5" s="202">
        <v>0</v>
      </c>
      <c r="H5" s="58">
        <f t="shared" si="1"/>
        <v>5</v>
      </c>
      <c r="I5" s="83" t="s">
        <v>38</v>
      </c>
      <c r="J5" s="89">
        <v>23</v>
      </c>
      <c r="K5" s="89">
        <v>39</v>
      </c>
      <c r="L5" s="90">
        <f t="shared" ref="L5:L7" si="2">SUM(J5/K5)*100</f>
        <v>58.974358974358978</v>
      </c>
      <c r="M5" s="89">
        <v>1</v>
      </c>
      <c r="N5" s="89">
        <v>3</v>
      </c>
      <c r="O5" s="90">
        <f t="shared" ref="O5" si="3">SUM(M5/N5)*100</f>
        <v>33.333333333333329</v>
      </c>
      <c r="P5" s="65">
        <v>-1</v>
      </c>
      <c r="Q5" s="65">
        <v>-1</v>
      </c>
      <c r="R5" s="4">
        <v>18</v>
      </c>
      <c r="S5" s="4">
        <v>34</v>
      </c>
      <c r="T5" s="111">
        <v>52.941176470588239</v>
      </c>
      <c r="U5" s="4" t="s">
        <v>13</v>
      </c>
      <c r="V5" s="4" t="s">
        <v>13</v>
      </c>
      <c r="W5" s="111" t="s">
        <v>13</v>
      </c>
      <c r="X5" s="193"/>
      <c r="Y5" s="193"/>
      <c r="Z5" s="193"/>
      <c r="AA5" s="4">
        <v>9</v>
      </c>
      <c r="AB5" s="4">
        <v>11</v>
      </c>
      <c r="AC5" s="111">
        <f>(AA5/AB5)*100</f>
        <v>81.818181818181827</v>
      </c>
    </row>
    <row r="6" spans="1:38" ht="14.95" customHeight="1" thickBot="1" x14ac:dyDescent="0.3">
      <c r="A6" s="84" t="s">
        <v>429</v>
      </c>
      <c r="B6" s="107">
        <v>0</v>
      </c>
      <c r="C6" s="200">
        <v>0</v>
      </c>
      <c r="D6" s="66">
        <f t="shared" si="0"/>
        <v>0</v>
      </c>
      <c r="E6" s="86" t="s">
        <v>429</v>
      </c>
      <c r="F6" s="109">
        <v>0</v>
      </c>
      <c r="G6" s="202">
        <v>0</v>
      </c>
      <c r="H6" s="58">
        <f t="shared" si="1"/>
        <v>0</v>
      </c>
      <c r="I6" s="83" t="s">
        <v>741</v>
      </c>
      <c r="J6" s="89">
        <v>2</v>
      </c>
      <c r="K6" s="89">
        <v>5</v>
      </c>
      <c r="L6" s="90">
        <f t="shared" si="2"/>
        <v>40</v>
      </c>
      <c r="M6" s="89" t="s">
        <v>13</v>
      </c>
      <c r="N6" s="89" t="s">
        <v>13</v>
      </c>
      <c r="O6" s="90" t="s">
        <v>13</v>
      </c>
      <c r="P6" s="65">
        <v>-1</v>
      </c>
      <c r="Q6" s="65">
        <v>-1</v>
      </c>
      <c r="R6" s="4" t="s">
        <v>13</v>
      </c>
      <c r="S6" s="112" t="s">
        <v>13</v>
      </c>
      <c r="T6" s="111" t="s">
        <v>13</v>
      </c>
      <c r="U6" s="4" t="s">
        <v>13</v>
      </c>
      <c r="V6" s="112" t="s">
        <v>13</v>
      </c>
      <c r="W6" s="111" t="s">
        <v>13</v>
      </c>
      <c r="X6" s="193"/>
      <c r="Y6" s="193"/>
      <c r="Z6" s="193"/>
      <c r="AA6" s="4" t="s">
        <v>13</v>
      </c>
      <c r="AB6" s="112" t="s">
        <v>13</v>
      </c>
      <c r="AC6" s="111" t="s">
        <v>13</v>
      </c>
    </row>
    <row r="7" spans="1:38" ht="14.95" customHeight="1" thickBot="1" x14ac:dyDescent="0.3">
      <c r="A7" s="84" t="s">
        <v>37</v>
      </c>
      <c r="B7" s="107">
        <v>4</v>
      </c>
      <c r="C7" s="200">
        <v>0</v>
      </c>
      <c r="D7" s="66">
        <f t="shared" si="0"/>
        <v>4</v>
      </c>
      <c r="E7" s="86" t="s">
        <v>37</v>
      </c>
      <c r="F7" s="109">
        <v>20</v>
      </c>
      <c r="G7" s="202">
        <v>0</v>
      </c>
      <c r="H7" s="58">
        <f t="shared" si="1"/>
        <v>20</v>
      </c>
      <c r="I7" s="83" t="s">
        <v>232</v>
      </c>
      <c r="J7" s="89">
        <v>1</v>
      </c>
      <c r="K7" s="89">
        <v>2</v>
      </c>
      <c r="L7" s="90">
        <f t="shared" si="2"/>
        <v>50</v>
      </c>
      <c r="M7" s="89" t="s">
        <v>13</v>
      </c>
      <c r="N7" s="89" t="s">
        <v>13</v>
      </c>
      <c r="O7" s="90" t="s">
        <v>13</v>
      </c>
      <c r="P7" s="65">
        <v>1</v>
      </c>
      <c r="Q7" s="65">
        <v>1</v>
      </c>
      <c r="R7" s="4" t="s">
        <v>13</v>
      </c>
      <c r="S7" s="4" t="s">
        <v>13</v>
      </c>
      <c r="T7" s="111" t="s">
        <v>13</v>
      </c>
      <c r="U7" s="4" t="s">
        <v>13</v>
      </c>
      <c r="V7" s="4" t="s">
        <v>13</v>
      </c>
      <c r="W7" s="111" t="s">
        <v>13</v>
      </c>
      <c r="X7" s="193"/>
      <c r="Y7" s="193"/>
      <c r="Z7" s="193"/>
      <c r="AA7" s="4" t="s">
        <v>13</v>
      </c>
      <c r="AB7" s="4" t="s">
        <v>13</v>
      </c>
      <c r="AC7" s="111" t="s">
        <v>13</v>
      </c>
    </row>
    <row r="8" spans="1:38" ht="14.95" customHeight="1" thickBot="1" x14ac:dyDescent="0.3">
      <c r="A8" s="84" t="s">
        <v>38</v>
      </c>
      <c r="B8" s="107">
        <v>4</v>
      </c>
      <c r="C8" s="200">
        <v>0</v>
      </c>
      <c r="D8" s="66">
        <f t="shared" si="0"/>
        <v>4</v>
      </c>
      <c r="E8" s="86" t="s">
        <v>38</v>
      </c>
      <c r="F8" s="109">
        <v>67</v>
      </c>
      <c r="G8" s="202">
        <v>0</v>
      </c>
      <c r="H8" s="58">
        <f t="shared" si="1"/>
        <v>67</v>
      </c>
      <c r="I8" s="83" t="s">
        <v>170</v>
      </c>
      <c r="J8" s="89">
        <v>1</v>
      </c>
      <c r="K8" s="65">
        <v>3</v>
      </c>
      <c r="L8" s="90">
        <f t="shared" ref="L8" si="4">SUM(J8/K8)*100</f>
        <v>33.333333333333329</v>
      </c>
      <c r="M8" s="89" t="s">
        <v>13</v>
      </c>
      <c r="N8" s="89" t="s">
        <v>13</v>
      </c>
      <c r="O8" s="90" t="s">
        <v>13</v>
      </c>
      <c r="P8" s="65">
        <v>-2</v>
      </c>
      <c r="Q8" s="65">
        <v>-2</v>
      </c>
      <c r="R8" s="4" t="s">
        <v>13</v>
      </c>
      <c r="S8" s="112" t="s">
        <v>13</v>
      </c>
      <c r="T8" s="111" t="s">
        <v>13</v>
      </c>
      <c r="U8" s="4" t="s">
        <v>13</v>
      </c>
      <c r="V8" s="112" t="s">
        <v>13</v>
      </c>
      <c r="W8" s="111" t="s">
        <v>13</v>
      </c>
      <c r="X8" s="193"/>
      <c r="Y8" s="193"/>
      <c r="Z8" s="193"/>
      <c r="AA8" s="4" t="s">
        <v>13</v>
      </c>
      <c r="AB8" s="112" t="s">
        <v>13</v>
      </c>
      <c r="AC8" s="111" t="s">
        <v>13</v>
      </c>
      <c r="AD8" s="3"/>
    </row>
    <row r="9" spans="1:38" ht="14.95" customHeight="1" thickBot="1" x14ac:dyDescent="0.3">
      <c r="A9" s="84" t="s">
        <v>43</v>
      </c>
      <c r="B9" s="107">
        <v>6</v>
      </c>
      <c r="C9" s="200">
        <v>8</v>
      </c>
      <c r="D9" s="66">
        <f t="shared" si="0"/>
        <v>14</v>
      </c>
      <c r="E9" s="86" t="s">
        <v>43</v>
      </c>
      <c r="F9" s="109">
        <v>30</v>
      </c>
      <c r="G9" s="202">
        <v>40</v>
      </c>
      <c r="H9" s="58">
        <f t="shared" si="1"/>
        <v>70</v>
      </c>
      <c r="I9" s="83" t="s">
        <v>44</v>
      </c>
      <c r="J9" s="89" t="s">
        <v>13</v>
      </c>
      <c r="K9" s="65" t="s">
        <v>13</v>
      </c>
      <c r="L9" s="90" t="s">
        <v>13</v>
      </c>
      <c r="M9" s="89" t="s">
        <v>13</v>
      </c>
      <c r="N9" s="89" t="s">
        <v>13</v>
      </c>
      <c r="O9" s="90" t="s">
        <v>13</v>
      </c>
      <c r="P9" s="65" t="s">
        <v>169</v>
      </c>
      <c r="Q9" s="65">
        <v>1</v>
      </c>
      <c r="R9" s="4" t="s">
        <v>13</v>
      </c>
      <c r="S9" s="112" t="s">
        <v>13</v>
      </c>
      <c r="T9" s="111" t="s">
        <v>13</v>
      </c>
      <c r="U9" s="4" t="s">
        <v>13</v>
      </c>
      <c r="V9" s="112" t="s">
        <v>13</v>
      </c>
      <c r="W9" s="111" t="s">
        <v>13</v>
      </c>
      <c r="X9" s="193"/>
      <c r="Y9" s="193"/>
      <c r="Z9" s="193"/>
      <c r="AA9" s="4" t="s">
        <v>13</v>
      </c>
      <c r="AB9" s="112" t="s">
        <v>13</v>
      </c>
      <c r="AC9" s="111" t="s">
        <v>13</v>
      </c>
    </row>
    <row r="10" spans="1:38" ht="14.95" customHeight="1" thickBot="1" x14ac:dyDescent="0.3">
      <c r="A10" s="84" t="s">
        <v>116</v>
      </c>
      <c r="B10" s="107">
        <v>0</v>
      </c>
      <c r="C10" s="200">
        <v>0</v>
      </c>
      <c r="D10" s="66">
        <f t="shared" si="0"/>
        <v>0</v>
      </c>
      <c r="E10" s="86" t="s">
        <v>116</v>
      </c>
      <c r="F10" s="109">
        <v>0</v>
      </c>
      <c r="G10" s="202">
        <v>0</v>
      </c>
      <c r="H10" s="58">
        <f t="shared" si="1"/>
        <v>0</v>
      </c>
      <c r="I10" s="91" t="s">
        <v>737</v>
      </c>
      <c r="J10" s="89">
        <v>1</v>
      </c>
      <c r="K10" s="65">
        <v>1</v>
      </c>
      <c r="L10" s="90">
        <f t="shared" ref="L10" si="5">SUM(J10/K10)*100</f>
        <v>100</v>
      </c>
      <c r="M10" s="89" t="s">
        <v>13</v>
      </c>
      <c r="N10" s="89" t="s">
        <v>13</v>
      </c>
      <c r="O10" s="90" t="s">
        <v>13</v>
      </c>
      <c r="P10" s="65">
        <v>1</v>
      </c>
      <c r="Q10" s="92">
        <v>1</v>
      </c>
      <c r="R10" s="4" t="s">
        <v>13</v>
      </c>
      <c r="S10" s="112" t="s">
        <v>13</v>
      </c>
      <c r="T10" s="111" t="s">
        <v>13</v>
      </c>
      <c r="U10" s="4" t="s">
        <v>13</v>
      </c>
      <c r="V10" s="112" t="s">
        <v>13</v>
      </c>
      <c r="W10" s="111" t="s">
        <v>13</v>
      </c>
      <c r="X10" s="193"/>
      <c r="Y10" s="193"/>
      <c r="Z10" s="193"/>
      <c r="AA10" s="4" t="s">
        <v>13</v>
      </c>
      <c r="AB10" s="112" t="s">
        <v>13</v>
      </c>
      <c r="AC10" s="111" t="s">
        <v>13</v>
      </c>
    </row>
    <row r="11" spans="1:38" ht="14.95" customHeight="1" thickBot="1" x14ac:dyDescent="0.3">
      <c r="A11" s="84" t="s">
        <v>778</v>
      </c>
      <c r="B11" s="107">
        <v>1</v>
      </c>
      <c r="C11" s="200">
        <v>0</v>
      </c>
      <c r="D11" s="66">
        <f t="shared" si="0"/>
        <v>1</v>
      </c>
      <c r="E11" s="86" t="s">
        <v>778</v>
      </c>
      <c r="F11" s="109">
        <v>5</v>
      </c>
      <c r="G11" s="202">
        <v>0</v>
      </c>
      <c r="H11" s="58">
        <f t="shared" si="1"/>
        <v>5</v>
      </c>
      <c r="I11" s="91" t="s">
        <v>49</v>
      </c>
      <c r="J11" s="89">
        <v>9</v>
      </c>
      <c r="K11" s="65">
        <v>10</v>
      </c>
      <c r="L11" s="90">
        <f t="shared" ref="L11" si="6">SUM(J11/K11)*100</f>
        <v>90</v>
      </c>
      <c r="M11" s="89" t="s">
        <v>13</v>
      </c>
      <c r="N11" s="89" t="s">
        <v>13</v>
      </c>
      <c r="O11" s="90" t="s">
        <v>13</v>
      </c>
      <c r="P11" s="89">
        <v>4</v>
      </c>
      <c r="Q11" s="92">
        <v>4</v>
      </c>
      <c r="R11" s="4" t="s">
        <v>13</v>
      </c>
      <c r="S11" s="112" t="s">
        <v>13</v>
      </c>
      <c r="T11" s="111" t="s">
        <v>13</v>
      </c>
      <c r="U11" s="4">
        <v>4</v>
      </c>
      <c r="V11" s="112">
        <v>7</v>
      </c>
      <c r="W11" s="111">
        <f t="shared" ref="W11" si="7">SUM(U11/V11)*100</f>
        <v>57.142857142857139</v>
      </c>
      <c r="X11" s="193"/>
      <c r="Y11" s="193"/>
      <c r="Z11" s="193"/>
      <c r="AA11" s="4" t="s">
        <v>13</v>
      </c>
      <c r="AB11" s="112" t="s">
        <v>13</v>
      </c>
      <c r="AC11" s="111" t="s">
        <v>13</v>
      </c>
    </row>
    <row r="12" spans="1:38" ht="14.95" customHeight="1" thickBot="1" x14ac:dyDescent="0.3">
      <c r="A12" s="84" t="s">
        <v>39</v>
      </c>
      <c r="B12" s="107">
        <v>1</v>
      </c>
      <c r="C12" s="200">
        <v>1</v>
      </c>
      <c r="D12" s="66">
        <f t="shared" si="0"/>
        <v>2</v>
      </c>
      <c r="E12" s="86" t="s">
        <v>39</v>
      </c>
      <c r="F12" s="109">
        <v>5</v>
      </c>
      <c r="G12" s="202">
        <v>5</v>
      </c>
      <c r="H12" s="58">
        <f t="shared" si="1"/>
        <v>10</v>
      </c>
      <c r="I12" s="91" t="s">
        <v>53</v>
      </c>
      <c r="J12" s="89" t="s">
        <v>13</v>
      </c>
      <c r="K12" s="65" t="s">
        <v>13</v>
      </c>
      <c r="L12" s="90" t="s">
        <v>13</v>
      </c>
      <c r="M12" s="89" t="s">
        <v>13</v>
      </c>
      <c r="N12" s="89" t="s">
        <v>13</v>
      </c>
      <c r="O12" s="90" t="s">
        <v>13</v>
      </c>
      <c r="P12" s="89">
        <v>3</v>
      </c>
      <c r="Q12" s="92">
        <v>3</v>
      </c>
      <c r="R12" s="4" t="s">
        <v>13</v>
      </c>
      <c r="S12" s="112" t="s">
        <v>13</v>
      </c>
      <c r="T12" s="111" t="s">
        <v>13</v>
      </c>
      <c r="U12" s="4" t="s">
        <v>13</v>
      </c>
      <c r="V12" s="112" t="s">
        <v>13</v>
      </c>
      <c r="W12" s="111" t="s">
        <v>13</v>
      </c>
      <c r="X12" s="193"/>
      <c r="Y12" s="193"/>
      <c r="Z12" s="193"/>
      <c r="AA12" s="4">
        <v>3</v>
      </c>
      <c r="AB12" s="112">
        <v>6</v>
      </c>
      <c r="AC12" s="111">
        <f>(AA12/AB12)*100</f>
        <v>50</v>
      </c>
    </row>
    <row r="13" spans="1:38" ht="14.95" customHeight="1" thickBot="1" x14ac:dyDescent="0.3">
      <c r="A13" s="84" t="s">
        <v>662</v>
      </c>
      <c r="B13" s="107">
        <v>0</v>
      </c>
      <c r="C13" s="200">
        <v>1</v>
      </c>
      <c r="D13" s="66">
        <f t="shared" si="0"/>
        <v>1</v>
      </c>
      <c r="E13" s="86" t="s">
        <v>662</v>
      </c>
      <c r="F13" s="109">
        <v>0</v>
      </c>
      <c r="G13" s="202">
        <v>5</v>
      </c>
      <c r="H13" s="58">
        <f t="shared" si="1"/>
        <v>5</v>
      </c>
      <c r="R13" s="50"/>
      <c r="S13" s="50"/>
      <c r="T13" s="50"/>
      <c r="U13" s="50"/>
      <c r="V13" s="50"/>
      <c r="W13" s="50"/>
      <c r="X13" s="50"/>
      <c r="Y13" s="50"/>
      <c r="Z13" s="50"/>
    </row>
    <row r="14" spans="1:38" ht="14.95" customHeight="1" thickBot="1" x14ac:dyDescent="0.3">
      <c r="A14" s="84" t="s">
        <v>431</v>
      </c>
      <c r="B14" s="107">
        <v>1</v>
      </c>
      <c r="C14" s="200">
        <v>0</v>
      </c>
      <c r="D14" s="66">
        <f t="shared" si="0"/>
        <v>1</v>
      </c>
      <c r="E14" s="86" t="s">
        <v>431</v>
      </c>
      <c r="F14" s="109">
        <v>5</v>
      </c>
      <c r="G14" s="202">
        <v>0</v>
      </c>
      <c r="H14" s="58">
        <f t="shared" si="1"/>
        <v>5</v>
      </c>
      <c r="I14" s="253" t="s">
        <v>167</v>
      </c>
      <c r="J14" s="260" t="s">
        <v>12</v>
      </c>
      <c r="K14" s="266"/>
      <c r="L14" s="261"/>
      <c r="M14" s="247" t="s">
        <v>661</v>
      </c>
      <c r="N14" s="248"/>
      <c r="O14" s="249"/>
    </row>
    <row r="15" spans="1:38" ht="14.95" customHeight="1" thickBot="1" x14ac:dyDescent="0.3">
      <c r="A15" s="84" t="s">
        <v>659</v>
      </c>
      <c r="B15" s="107">
        <v>0</v>
      </c>
      <c r="C15" s="200">
        <v>0</v>
      </c>
      <c r="D15" s="66">
        <f t="shared" si="0"/>
        <v>0</v>
      </c>
      <c r="E15" s="86" t="s">
        <v>659</v>
      </c>
      <c r="F15" s="109">
        <v>0</v>
      </c>
      <c r="G15" s="202">
        <v>0</v>
      </c>
      <c r="H15" s="58">
        <f t="shared" si="1"/>
        <v>0</v>
      </c>
      <c r="I15" s="254"/>
      <c r="J15" s="262"/>
      <c r="K15" s="267"/>
      <c r="L15" s="263"/>
      <c r="M15" s="250"/>
      <c r="N15" s="251"/>
      <c r="O15" s="252"/>
    </row>
    <row r="16" spans="1:38" ht="14.95" customHeight="1" thickBot="1" x14ac:dyDescent="0.3">
      <c r="A16" s="84" t="s">
        <v>40</v>
      </c>
      <c r="B16" s="107">
        <v>0</v>
      </c>
      <c r="C16" s="200">
        <v>0</v>
      </c>
      <c r="D16" s="66">
        <f t="shared" si="0"/>
        <v>0</v>
      </c>
      <c r="E16" s="86" t="s">
        <v>40</v>
      </c>
      <c r="F16" s="109">
        <v>0</v>
      </c>
      <c r="G16" s="202">
        <v>0</v>
      </c>
      <c r="H16" s="58">
        <f t="shared" si="1"/>
        <v>0</v>
      </c>
      <c r="I16" s="149" t="s">
        <v>14</v>
      </c>
      <c r="J16" s="2" t="s">
        <v>21</v>
      </c>
      <c r="K16" s="2" t="s">
        <v>7</v>
      </c>
      <c r="L16" s="2" t="s">
        <v>8</v>
      </c>
      <c r="M16" s="110" t="s">
        <v>21</v>
      </c>
      <c r="N16" s="110" t="s">
        <v>7</v>
      </c>
      <c r="O16" s="110" t="s">
        <v>8</v>
      </c>
      <c r="P16" s="45"/>
    </row>
    <row r="17" spans="1:15" ht="14.95" customHeight="1" thickBot="1" x14ac:dyDescent="0.3">
      <c r="A17" s="84" t="s">
        <v>85</v>
      </c>
      <c r="B17" s="107">
        <v>3</v>
      </c>
      <c r="C17" s="200">
        <v>0</v>
      </c>
      <c r="D17" s="66">
        <f t="shared" si="0"/>
        <v>3</v>
      </c>
      <c r="E17" s="86" t="s">
        <v>85</v>
      </c>
      <c r="F17" s="109">
        <v>15</v>
      </c>
      <c r="G17" s="202">
        <v>0</v>
      </c>
      <c r="H17" s="58">
        <f t="shared" si="1"/>
        <v>15</v>
      </c>
      <c r="I17" s="83" t="s">
        <v>478</v>
      </c>
      <c r="J17" s="89">
        <v>1</v>
      </c>
      <c r="K17" s="89">
        <v>3</v>
      </c>
      <c r="L17" s="90">
        <f t="shared" ref="L17:L19" si="8">SUM(J17/K17)*100</f>
        <v>33.333333333333329</v>
      </c>
      <c r="M17" s="4" t="s">
        <v>13</v>
      </c>
      <c r="N17" s="4" t="s">
        <v>13</v>
      </c>
      <c r="O17" s="111" t="s">
        <v>13</v>
      </c>
    </row>
    <row r="18" spans="1:15" ht="14.95" customHeight="1" thickBot="1" x14ac:dyDescent="0.3">
      <c r="A18" s="84" t="s">
        <v>171</v>
      </c>
      <c r="B18" s="107">
        <v>9</v>
      </c>
      <c r="C18" s="200">
        <v>1</v>
      </c>
      <c r="D18" s="66">
        <f t="shared" si="0"/>
        <v>10</v>
      </c>
      <c r="E18" s="86" t="s">
        <v>171</v>
      </c>
      <c r="F18" s="109">
        <v>45</v>
      </c>
      <c r="G18" s="202">
        <v>5</v>
      </c>
      <c r="H18" s="58">
        <f t="shared" si="1"/>
        <v>50</v>
      </c>
      <c r="I18" s="83" t="s">
        <v>232</v>
      </c>
      <c r="J18" s="89">
        <v>2</v>
      </c>
      <c r="K18" s="65">
        <v>2</v>
      </c>
      <c r="L18" s="90">
        <f t="shared" si="8"/>
        <v>100</v>
      </c>
      <c r="M18" s="4" t="s">
        <v>13</v>
      </c>
      <c r="N18" s="4" t="s">
        <v>13</v>
      </c>
      <c r="O18" s="111" t="s">
        <v>13</v>
      </c>
    </row>
    <row r="19" spans="1:15" ht="14.95" customHeight="1" thickBot="1" x14ac:dyDescent="0.3">
      <c r="A19" s="84" t="s">
        <v>741</v>
      </c>
      <c r="B19" s="107">
        <v>2</v>
      </c>
      <c r="C19" s="200">
        <v>0</v>
      </c>
      <c r="D19" s="66">
        <f t="shared" si="0"/>
        <v>2</v>
      </c>
      <c r="E19" s="86" t="s">
        <v>741</v>
      </c>
      <c r="F19" s="109">
        <v>14</v>
      </c>
      <c r="G19" s="202">
        <v>0</v>
      </c>
      <c r="H19" s="58">
        <f t="shared" si="1"/>
        <v>14</v>
      </c>
      <c r="I19" s="83" t="s">
        <v>170</v>
      </c>
      <c r="J19" s="89">
        <v>12</v>
      </c>
      <c r="K19" s="89">
        <v>26</v>
      </c>
      <c r="L19" s="90">
        <f t="shared" si="8"/>
        <v>46.153846153846153</v>
      </c>
      <c r="M19" s="4">
        <v>3</v>
      </c>
      <c r="N19" s="112">
        <v>3</v>
      </c>
      <c r="O19" s="111">
        <f t="shared" ref="O19:O20" si="9">SUM(M19/N19)*100</f>
        <v>100</v>
      </c>
    </row>
    <row r="20" spans="1:15" ht="14.95" customHeight="1" thickBot="1" x14ac:dyDescent="0.3">
      <c r="A20" s="84" t="s">
        <v>232</v>
      </c>
      <c r="B20" s="107">
        <v>0</v>
      </c>
      <c r="C20" s="200">
        <v>0</v>
      </c>
      <c r="D20" s="66">
        <f t="shared" si="0"/>
        <v>0</v>
      </c>
      <c r="E20" s="86" t="s">
        <v>232</v>
      </c>
      <c r="F20" s="109">
        <v>2</v>
      </c>
      <c r="G20" s="202">
        <v>4</v>
      </c>
      <c r="H20" s="58">
        <f t="shared" si="1"/>
        <v>6</v>
      </c>
      <c r="I20" s="83" t="s">
        <v>44</v>
      </c>
      <c r="J20" s="89" t="s">
        <v>13</v>
      </c>
      <c r="K20" s="65" t="s">
        <v>13</v>
      </c>
      <c r="L20" s="90" t="s">
        <v>13</v>
      </c>
      <c r="M20" s="4">
        <v>1</v>
      </c>
      <c r="N20" s="112">
        <v>4</v>
      </c>
      <c r="O20" s="111">
        <f t="shared" si="9"/>
        <v>25</v>
      </c>
    </row>
    <row r="21" spans="1:15" ht="14.95" customHeight="1" thickBot="1" x14ac:dyDescent="0.3">
      <c r="A21" s="84" t="s">
        <v>361</v>
      </c>
      <c r="B21" s="107">
        <v>7</v>
      </c>
      <c r="C21" s="200">
        <v>0</v>
      </c>
      <c r="D21" s="66">
        <f t="shared" si="0"/>
        <v>7</v>
      </c>
      <c r="E21" s="86" t="s">
        <v>361</v>
      </c>
      <c r="F21" s="109">
        <v>35</v>
      </c>
      <c r="G21" s="202">
        <v>0</v>
      </c>
      <c r="H21" s="58">
        <f t="shared" si="1"/>
        <v>35</v>
      </c>
      <c r="I21" s="91" t="s">
        <v>53</v>
      </c>
      <c r="J21" s="89" t="s">
        <v>13</v>
      </c>
      <c r="K21" s="65" t="s">
        <v>13</v>
      </c>
      <c r="L21" s="90" t="s">
        <v>13</v>
      </c>
      <c r="M21" s="4" t="s">
        <v>13</v>
      </c>
      <c r="N21" s="112" t="s">
        <v>13</v>
      </c>
      <c r="O21" s="111" t="s">
        <v>13</v>
      </c>
    </row>
    <row r="22" spans="1:15" ht="14.95" customHeight="1" thickBot="1" x14ac:dyDescent="0.3">
      <c r="A22" s="84" t="s">
        <v>170</v>
      </c>
      <c r="B22" s="107">
        <v>1</v>
      </c>
      <c r="C22" s="200">
        <v>0</v>
      </c>
      <c r="D22" s="66">
        <f t="shared" si="0"/>
        <v>1</v>
      </c>
      <c r="E22" s="86" t="s">
        <v>170</v>
      </c>
      <c r="F22" s="109">
        <v>7</v>
      </c>
      <c r="G22" s="202">
        <v>24</v>
      </c>
      <c r="H22" s="58">
        <f t="shared" si="1"/>
        <v>31</v>
      </c>
    </row>
    <row r="23" spans="1:15" ht="14.95" customHeight="1" thickBot="1" x14ac:dyDescent="0.3">
      <c r="A23" s="84" t="s">
        <v>428</v>
      </c>
      <c r="B23" s="107">
        <v>1</v>
      </c>
      <c r="C23" s="200">
        <v>0</v>
      </c>
      <c r="D23" s="66">
        <f t="shared" si="0"/>
        <v>1</v>
      </c>
      <c r="E23" s="86" t="s">
        <v>428</v>
      </c>
      <c r="F23" s="109">
        <v>5</v>
      </c>
      <c r="G23" s="202">
        <v>0</v>
      </c>
      <c r="H23" s="58">
        <f t="shared" si="1"/>
        <v>5</v>
      </c>
      <c r="I23" s="268" t="s">
        <v>436</v>
      </c>
      <c r="J23" s="247" t="s">
        <v>162</v>
      </c>
      <c r="K23" s="248"/>
      <c r="L23" s="249"/>
    </row>
    <row r="24" spans="1:15" ht="14.95" customHeight="1" thickBot="1" x14ac:dyDescent="0.3">
      <c r="A24" s="84" t="s">
        <v>570</v>
      </c>
      <c r="B24" s="107">
        <v>0</v>
      </c>
      <c r="C24" s="200">
        <v>0</v>
      </c>
      <c r="D24" s="66">
        <f t="shared" si="0"/>
        <v>0</v>
      </c>
      <c r="E24" s="86" t="s">
        <v>570</v>
      </c>
      <c r="F24" s="109">
        <v>0</v>
      </c>
      <c r="G24" s="202">
        <v>0</v>
      </c>
      <c r="H24" s="58">
        <f t="shared" si="1"/>
        <v>0</v>
      </c>
      <c r="I24" s="269"/>
      <c r="J24" s="250"/>
      <c r="K24" s="251"/>
      <c r="L24" s="252"/>
      <c r="N24" s="44"/>
      <c r="O24" s="44"/>
    </row>
    <row r="25" spans="1:15" ht="14.95" customHeight="1" thickBot="1" x14ac:dyDescent="0.3">
      <c r="A25" s="84" t="s">
        <v>666</v>
      </c>
      <c r="B25" s="107">
        <v>0</v>
      </c>
      <c r="C25" s="200">
        <v>1</v>
      </c>
      <c r="D25" s="66">
        <f t="shared" si="0"/>
        <v>1</v>
      </c>
      <c r="E25" s="86" t="s">
        <v>666</v>
      </c>
      <c r="F25" s="109">
        <v>0</v>
      </c>
      <c r="G25" s="202">
        <v>5</v>
      </c>
      <c r="H25" s="58">
        <f t="shared" si="1"/>
        <v>5</v>
      </c>
      <c r="I25" s="172" t="s">
        <v>14</v>
      </c>
      <c r="J25" s="110" t="s">
        <v>21</v>
      </c>
      <c r="K25" s="110" t="s">
        <v>7</v>
      </c>
      <c r="L25" s="110" t="s">
        <v>8</v>
      </c>
    </row>
    <row r="26" spans="1:15" ht="14.95" customHeight="1" thickBot="1" x14ac:dyDescent="0.3">
      <c r="A26" s="84" t="s">
        <v>461</v>
      </c>
      <c r="B26" s="107">
        <v>0</v>
      </c>
      <c r="C26" s="200">
        <v>0</v>
      </c>
      <c r="D26" s="66">
        <f t="shared" si="0"/>
        <v>0</v>
      </c>
      <c r="E26" s="86" t="s">
        <v>461</v>
      </c>
      <c r="F26" s="109">
        <v>0</v>
      </c>
      <c r="G26" s="202">
        <v>0</v>
      </c>
      <c r="H26" s="58">
        <f t="shared" si="1"/>
        <v>0</v>
      </c>
      <c r="I26" s="83" t="s">
        <v>232</v>
      </c>
      <c r="J26" s="4">
        <v>2</v>
      </c>
      <c r="K26" s="4">
        <v>2</v>
      </c>
      <c r="L26" s="111">
        <f t="shared" ref="L26" si="10">SUM(J26/K26)*100</f>
        <v>100</v>
      </c>
    </row>
    <row r="27" spans="1:15" ht="14.95" customHeight="1" thickBot="1" x14ac:dyDescent="0.3">
      <c r="A27" s="84" t="s">
        <v>550</v>
      </c>
      <c r="B27" s="107">
        <v>0</v>
      </c>
      <c r="C27" s="200">
        <v>0</v>
      </c>
      <c r="D27" s="66">
        <f t="shared" si="0"/>
        <v>0</v>
      </c>
      <c r="E27" s="86" t="s">
        <v>550</v>
      </c>
      <c r="F27" s="109">
        <v>0</v>
      </c>
      <c r="G27" s="202">
        <v>0</v>
      </c>
      <c r="H27" s="58">
        <f t="shared" si="1"/>
        <v>0</v>
      </c>
      <c r="I27" s="83" t="s">
        <v>170</v>
      </c>
      <c r="J27" s="4" t="s">
        <v>13</v>
      </c>
      <c r="K27" s="4" t="s">
        <v>13</v>
      </c>
      <c r="L27" s="111" t="s">
        <v>13</v>
      </c>
    </row>
    <row r="28" spans="1:15" ht="14.95" customHeight="1" thickBot="1" x14ac:dyDescent="0.3">
      <c r="A28" s="84" t="s">
        <v>636</v>
      </c>
      <c r="B28" s="107">
        <v>0</v>
      </c>
      <c r="C28" s="200">
        <v>0</v>
      </c>
      <c r="D28" s="66">
        <f t="shared" ref="D28" si="11">SUM(B28:C28)</f>
        <v>0</v>
      </c>
      <c r="E28" s="86" t="s">
        <v>636</v>
      </c>
      <c r="F28" s="109">
        <v>0</v>
      </c>
      <c r="G28" s="202">
        <v>0</v>
      </c>
      <c r="H28" s="58">
        <f t="shared" ref="H28" si="12">SUM(F28:G28)</f>
        <v>0</v>
      </c>
      <c r="I28" s="83" t="s">
        <v>44</v>
      </c>
      <c r="J28" s="4" t="s">
        <v>13</v>
      </c>
      <c r="K28" s="4" t="s">
        <v>13</v>
      </c>
      <c r="L28" s="111" t="s">
        <v>13</v>
      </c>
    </row>
    <row r="29" spans="1:15" ht="14.95" customHeight="1" thickBot="1" x14ac:dyDescent="0.3">
      <c r="A29" s="84" t="s">
        <v>635</v>
      </c>
      <c r="B29" s="107">
        <v>0</v>
      </c>
      <c r="C29" s="200">
        <v>0</v>
      </c>
      <c r="D29" s="66">
        <f t="shared" si="0"/>
        <v>0</v>
      </c>
      <c r="E29" s="86" t="s">
        <v>635</v>
      </c>
      <c r="F29" s="109">
        <v>0</v>
      </c>
      <c r="G29" s="202">
        <v>0</v>
      </c>
      <c r="H29" s="58">
        <f t="shared" si="1"/>
        <v>0</v>
      </c>
      <c r="I29" s="91" t="s">
        <v>53</v>
      </c>
      <c r="J29" s="4" t="s">
        <v>13</v>
      </c>
      <c r="K29" s="112" t="s">
        <v>13</v>
      </c>
      <c r="L29" s="111" t="s">
        <v>13</v>
      </c>
    </row>
    <row r="30" spans="1:15" ht="14.95" customHeight="1" thickBot="1" x14ac:dyDescent="0.3">
      <c r="A30" s="84" t="s">
        <v>15</v>
      </c>
      <c r="B30" s="107">
        <v>0</v>
      </c>
      <c r="C30" s="200">
        <v>0</v>
      </c>
      <c r="D30" s="66">
        <f t="shared" si="0"/>
        <v>0</v>
      </c>
      <c r="E30" s="86" t="s">
        <v>15</v>
      </c>
      <c r="F30" s="109">
        <v>0</v>
      </c>
      <c r="G30" s="202">
        <v>0</v>
      </c>
      <c r="H30" s="58">
        <f t="shared" si="1"/>
        <v>0</v>
      </c>
    </row>
    <row r="31" spans="1:15" ht="14.95" customHeight="1" thickBot="1" x14ac:dyDescent="0.3">
      <c r="A31" s="84" t="s">
        <v>44</v>
      </c>
      <c r="B31" s="107">
        <v>6</v>
      </c>
      <c r="C31" s="200">
        <v>5</v>
      </c>
      <c r="D31" s="66">
        <f t="shared" si="0"/>
        <v>11</v>
      </c>
      <c r="E31" s="86" t="s">
        <v>44</v>
      </c>
      <c r="F31" s="109">
        <v>30</v>
      </c>
      <c r="G31" s="202">
        <v>25</v>
      </c>
      <c r="H31" s="58">
        <f t="shared" si="1"/>
        <v>55</v>
      </c>
    </row>
    <row r="32" spans="1:15" ht="14.95" customHeight="1" thickBot="1" x14ac:dyDescent="0.3">
      <c r="A32" s="84" t="s">
        <v>650</v>
      </c>
      <c r="B32" s="107">
        <v>0</v>
      </c>
      <c r="C32" s="200">
        <v>0</v>
      </c>
      <c r="D32" s="66">
        <f t="shared" si="0"/>
        <v>0</v>
      </c>
      <c r="E32" s="86" t="s">
        <v>650</v>
      </c>
      <c r="F32" s="109">
        <v>0</v>
      </c>
      <c r="G32" s="202">
        <v>0</v>
      </c>
      <c r="H32" s="58">
        <f t="shared" si="1"/>
        <v>0</v>
      </c>
    </row>
    <row r="33" spans="1:32" ht="14.95" customHeight="1" thickBot="1" x14ac:dyDescent="0.3">
      <c r="A33" s="84" t="s">
        <v>45</v>
      </c>
      <c r="B33" s="107">
        <v>0</v>
      </c>
      <c r="C33" s="200">
        <v>4</v>
      </c>
      <c r="D33" s="66">
        <f t="shared" si="0"/>
        <v>4</v>
      </c>
      <c r="E33" s="86" t="s">
        <v>45</v>
      </c>
      <c r="F33" s="109">
        <v>0</v>
      </c>
      <c r="G33" s="202">
        <v>20</v>
      </c>
      <c r="H33" s="58">
        <f t="shared" si="1"/>
        <v>20</v>
      </c>
    </row>
    <row r="34" spans="1:32" ht="14.95" customHeight="1" thickBot="1" x14ac:dyDescent="0.3">
      <c r="A34" s="84" t="s">
        <v>427</v>
      </c>
      <c r="B34" s="107">
        <v>5</v>
      </c>
      <c r="C34" s="200">
        <v>0</v>
      </c>
      <c r="D34" s="66">
        <f t="shared" si="0"/>
        <v>5</v>
      </c>
      <c r="E34" s="86" t="s">
        <v>427</v>
      </c>
      <c r="F34" s="109">
        <v>25</v>
      </c>
      <c r="G34" s="203">
        <v>0</v>
      </c>
      <c r="H34" s="60">
        <f t="shared" si="1"/>
        <v>25</v>
      </c>
    </row>
    <row r="35" spans="1:32" ht="14.95" customHeight="1" thickBot="1" x14ac:dyDescent="0.3">
      <c r="A35" s="84" t="s">
        <v>47</v>
      </c>
      <c r="B35" s="107">
        <v>1</v>
      </c>
      <c r="C35" s="200">
        <v>0</v>
      </c>
      <c r="D35" s="66">
        <f t="shared" si="0"/>
        <v>1</v>
      </c>
      <c r="E35" s="86" t="s">
        <v>47</v>
      </c>
      <c r="F35" s="109">
        <v>5</v>
      </c>
      <c r="G35" s="203">
        <v>0</v>
      </c>
      <c r="H35" s="60">
        <f t="shared" si="1"/>
        <v>5</v>
      </c>
    </row>
    <row r="36" spans="1:32" ht="14.95" customHeight="1" thickBot="1" x14ac:dyDescent="0.3">
      <c r="A36" s="84" t="s">
        <v>565</v>
      </c>
      <c r="B36" s="107">
        <v>0</v>
      </c>
      <c r="C36" s="200">
        <v>3</v>
      </c>
      <c r="D36" s="66">
        <f t="shared" si="0"/>
        <v>3</v>
      </c>
      <c r="E36" s="86" t="s">
        <v>565</v>
      </c>
      <c r="F36" s="109">
        <v>0</v>
      </c>
      <c r="G36" s="203">
        <v>15</v>
      </c>
      <c r="H36" s="60">
        <f t="shared" si="1"/>
        <v>15</v>
      </c>
    </row>
    <row r="37" spans="1:32" ht="14.95" customHeight="1" thickBot="1" x14ac:dyDescent="0.3">
      <c r="A37" s="84" t="s">
        <v>4</v>
      </c>
      <c r="B37" s="107">
        <v>0</v>
      </c>
      <c r="C37" s="200">
        <v>0</v>
      </c>
      <c r="D37" s="66">
        <f t="shared" si="0"/>
        <v>0</v>
      </c>
      <c r="E37" s="86" t="s">
        <v>4</v>
      </c>
      <c r="F37" s="109">
        <v>0</v>
      </c>
      <c r="G37" s="203">
        <v>0</v>
      </c>
      <c r="H37" s="60">
        <f t="shared" si="1"/>
        <v>0</v>
      </c>
    </row>
    <row r="38" spans="1:32" ht="14.95" customHeight="1" thickBot="1" x14ac:dyDescent="0.3">
      <c r="A38" s="84" t="s">
        <v>48</v>
      </c>
      <c r="B38" s="107">
        <v>1</v>
      </c>
      <c r="C38" s="200">
        <v>0</v>
      </c>
      <c r="D38" s="66">
        <f t="shared" si="0"/>
        <v>1</v>
      </c>
      <c r="E38" s="86" t="s">
        <v>48</v>
      </c>
      <c r="F38" s="109">
        <v>5</v>
      </c>
      <c r="G38" s="203">
        <v>0</v>
      </c>
      <c r="H38" s="60">
        <f t="shared" si="1"/>
        <v>5</v>
      </c>
    </row>
    <row r="39" spans="1:32" ht="14.95" customHeight="1" thickBot="1" x14ac:dyDescent="0.3">
      <c r="A39" s="84" t="s">
        <v>665</v>
      </c>
      <c r="B39" s="107">
        <v>0</v>
      </c>
      <c r="C39" s="200">
        <v>2</v>
      </c>
      <c r="D39" s="66">
        <f t="shared" si="0"/>
        <v>2</v>
      </c>
      <c r="E39" s="86" t="s">
        <v>665</v>
      </c>
      <c r="F39" s="109">
        <v>0</v>
      </c>
      <c r="G39" s="203">
        <v>10</v>
      </c>
      <c r="H39" s="60">
        <f t="shared" si="1"/>
        <v>10</v>
      </c>
      <c r="AA39" s="88"/>
      <c r="AB39" s="88"/>
      <c r="AC39" s="88"/>
    </row>
    <row r="40" spans="1:32" ht="14.95" customHeight="1" thickBot="1" x14ac:dyDescent="0.3">
      <c r="A40" s="84" t="s">
        <v>663</v>
      </c>
      <c r="B40" s="107">
        <v>2</v>
      </c>
      <c r="C40" s="200">
        <v>2</v>
      </c>
      <c r="D40" s="66">
        <f t="shared" si="0"/>
        <v>4</v>
      </c>
      <c r="E40" s="86" t="s">
        <v>663</v>
      </c>
      <c r="F40" s="109">
        <v>10</v>
      </c>
      <c r="G40" s="203">
        <v>10</v>
      </c>
      <c r="H40" s="60">
        <f t="shared" si="1"/>
        <v>20</v>
      </c>
      <c r="AB40" s="50"/>
      <c r="AC40" s="50"/>
    </row>
    <row r="41" spans="1:32" ht="14.95" customHeight="1" thickBot="1" x14ac:dyDescent="0.3">
      <c r="A41" s="84" t="s">
        <v>305</v>
      </c>
      <c r="B41" s="107">
        <v>0</v>
      </c>
      <c r="C41" s="200">
        <v>0</v>
      </c>
      <c r="D41" s="66">
        <f t="shared" si="0"/>
        <v>0</v>
      </c>
      <c r="E41" s="86" t="s">
        <v>305</v>
      </c>
      <c r="F41" s="109">
        <v>0</v>
      </c>
      <c r="G41" s="202">
        <v>0</v>
      </c>
      <c r="H41" s="58">
        <f t="shared" si="1"/>
        <v>0</v>
      </c>
      <c r="AB41" s="50"/>
      <c r="AC41" s="50"/>
      <c r="AD41" s="73"/>
      <c r="AE41" s="40"/>
      <c r="AF41" s="40"/>
    </row>
    <row r="42" spans="1:32" ht="14.95" customHeight="1" thickBot="1" x14ac:dyDescent="0.3">
      <c r="A42" s="84" t="s">
        <v>737</v>
      </c>
      <c r="B42" s="107">
        <v>1</v>
      </c>
      <c r="C42" s="200">
        <v>0</v>
      </c>
      <c r="D42" s="66">
        <f t="shared" si="0"/>
        <v>1</v>
      </c>
      <c r="E42" s="86" t="s">
        <v>737</v>
      </c>
      <c r="F42" s="109">
        <v>7</v>
      </c>
      <c r="G42" s="202">
        <v>0</v>
      </c>
      <c r="H42" s="58">
        <f t="shared" si="1"/>
        <v>7</v>
      </c>
      <c r="AD42" s="88"/>
      <c r="AE42" s="88"/>
      <c r="AF42" s="88"/>
    </row>
    <row r="43" spans="1:32" ht="14.95" thickBot="1" x14ac:dyDescent="0.3">
      <c r="A43" s="84" t="s">
        <v>49</v>
      </c>
      <c r="B43" s="107">
        <v>0</v>
      </c>
      <c r="C43" s="200">
        <v>0</v>
      </c>
      <c r="D43" s="66">
        <f t="shared" si="0"/>
        <v>0</v>
      </c>
      <c r="E43" s="86" t="s">
        <v>49</v>
      </c>
      <c r="F43" s="109">
        <v>18</v>
      </c>
      <c r="G43" s="202">
        <v>0</v>
      </c>
      <c r="H43" s="58">
        <f t="shared" si="1"/>
        <v>18</v>
      </c>
      <c r="N43" s="88"/>
      <c r="AD43" s="50"/>
    </row>
    <row r="44" spans="1:32" ht="14.95" thickBot="1" x14ac:dyDescent="0.3">
      <c r="A44" s="84" t="s">
        <v>664</v>
      </c>
      <c r="B44" s="107">
        <v>0</v>
      </c>
      <c r="C44" s="200">
        <v>3</v>
      </c>
      <c r="D44" s="66">
        <f t="shared" si="0"/>
        <v>3</v>
      </c>
      <c r="E44" s="86" t="s">
        <v>664</v>
      </c>
      <c r="F44" s="109">
        <v>0</v>
      </c>
      <c r="G44" s="202">
        <v>15</v>
      </c>
      <c r="H44" s="58">
        <f t="shared" si="1"/>
        <v>15</v>
      </c>
      <c r="AD44" s="50"/>
    </row>
    <row r="45" spans="1:32" ht="14.95" customHeight="1" thickBot="1" x14ac:dyDescent="0.3">
      <c r="A45" s="84" t="s">
        <v>293</v>
      </c>
      <c r="B45" s="107">
        <v>0</v>
      </c>
      <c r="C45" s="200">
        <v>0</v>
      </c>
      <c r="D45" s="66">
        <f t="shared" si="0"/>
        <v>0</v>
      </c>
      <c r="E45" s="86" t="s">
        <v>293</v>
      </c>
      <c r="F45" s="109">
        <v>0</v>
      </c>
      <c r="G45" s="202">
        <v>0</v>
      </c>
      <c r="H45" s="58">
        <f t="shared" si="1"/>
        <v>0</v>
      </c>
      <c r="AD45" s="50"/>
    </row>
    <row r="46" spans="1:32" ht="14.95" thickBot="1" x14ac:dyDescent="0.3">
      <c r="A46" s="84" t="s">
        <v>50</v>
      </c>
      <c r="B46" s="107">
        <v>0</v>
      </c>
      <c r="C46" s="200">
        <v>0</v>
      </c>
      <c r="D46" s="66">
        <f t="shared" si="0"/>
        <v>0</v>
      </c>
      <c r="E46" s="86" t="s">
        <v>50</v>
      </c>
      <c r="F46" s="109">
        <v>0</v>
      </c>
      <c r="G46" s="202">
        <v>0</v>
      </c>
      <c r="H46" s="58">
        <f t="shared" si="1"/>
        <v>0</v>
      </c>
      <c r="R46" s="88"/>
      <c r="S46" s="88"/>
      <c r="T46" s="88"/>
      <c r="U46" s="88"/>
      <c r="V46" s="88"/>
      <c r="W46" s="88"/>
      <c r="X46" s="88"/>
      <c r="Y46" s="88"/>
      <c r="Z46" s="88"/>
      <c r="AD46" s="50"/>
    </row>
    <row r="47" spans="1:32" ht="14.95" thickBot="1" x14ac:dyDescent="0.3">
      <c r="A47" s="84" t="s">
        <v>52</v>
      </c>
      <c r="B47" s="107">
        <v>0</v>
      </c>
      <c r="C47" s="200">
        <v>0</v>
      </c>
      <c r="D47" s="66">
        <f t="shared" si="0"/>
        <v>0</v>
      </c>
      <c r="E47" s="86" t="s">
        <v>52</v>
      </c>
      <c r="F47" s="109">
        <v>0</v>
      </c>
      <c r="G47" s="202">
        <v>0</v>
      </c>
      <c r="H47" s="58">
        <f t="shared" si="1"/>
        <v>0</v>
      </c>
      <c r="AD47" s="50"/>
    </row>
    <row r="48" spans="1:32" ht="14.95" thickBot="1" x14ac:dyDescent="0.3">
      <c r="A48" s="84" t="s">
        <v>566</v>
      </c>
      <c r="B48" s="107">
        <v>1</v>
      </c>
      <c r="C48" s="200">
        <v>0</v>
      </c>
      <c r="D48" s="66">
        <f t="shared" si="0"/>
        <v>1</v>
      </c>
      <c r="E48" s="86" t="s">
        <v>566</v>
      </c>
      <c r="F48" s="109">
        <v>5</v>
      </c>
      <c r="G48" s="202">
        <v>0</v>
      </c>
      <c r="H48" s="58">
        <f t="shared" si="1"/>
        <v>5</v>
      </c>
    </row>
    <row r="49" spans="1:8" ht="14.95" thickBot="1" x14ac:dyDescent="0.3">
      <c r="A49" s="84" t="s">
        <v>3</v>
      </c>
      <c r="B49" s="107">
        <f>SUM(B3:B48)</f>
        <v>58</v>
      </c>
      <c r="C49" s="200">
        <f>SUM(C3:C48)</f>
        <v>31</v>
      </c>
      <c r="D49" s="66">
        <f t="shared" si="0"/>
        <v>89</v>
      </c>
      <c r="E49" s="86" t="s">
        <v>3</v>
      </c>
      <c r="F49" s="109">
        <f>SUM(F3:F48)</f>
        <v>365</v>
      </c>
      <c r="G49" s="202">
        <f>SUM(G3:G48)</f>
        <v>185</v>
      </c>
      <c r="H49" s="58">
        <f t="shared" si="1"/>
        <v>550</v>
      </c>
    </row>
    <row r="50" spans="1:8" x14ac:dyDescent="0.25">
      <c r="A50" s="255"/>
      <c r="B50" s="256"/>
      <c r="C50" s="256"/>
      <c r="D50" s="256"/>
      <c r="E50" s="256"/>
      <c r="F50" s="256"/>
      <c r="G50" s="88"/>
      <c r="H50" s="20"/>
    </row>
    <row r="51" spans="1:8" ht="14.95" thickBot="1" x14ac:dyDescent="0.3">
      <c r="A51" t="s">
        <v>9</v>
      </c>
      <c r="B51" s="56"/>
      <c r="C51" s="56"/>
      <c r="E51" s="19"/>
      <c r="F51" s="57"/>
      <c r="G51" s="57"/>
      <c r="H51" s="22"/>
    </row>
    <row r="52" spans="1:8" ht="14.95" thickBot="1" x14ac:dyDescent="0.3">
      <c r="A52" s="83" t="s">
        <v>0</v>
      </c>
      <c r="B52" s="106" t="s">
        <v>161</v>
      </c>
      <c r="C52" s="199" t="s">
        <v>167</v>
      </c>
      <c r="D52" s="65" t="s">
        <v>168</v>
      </c>
      <c r="E52" s="85" t="s">
        <v>2</v>
      </c>
      <c r="F52" s="108" t="s">
        <v>161</v>
      </c>
      <c r="G52" s="201" t="s">
        <v>167</v>
      </c>
      <c r="H52" s="59" t="s">
        <v>168</v>
      </c>
    </row>
    <row r="53" spans="1:8" ht="14.95" thickBot="1" x14ac:dyDescent="0.3">
      <c r="A53" s="84" t="s">
        <v>43</v>
      </c>
      <c r="B53" s="107">
        <v>6</v>
      </c>
      <c r="C53" s="200">
        <v>8</v>
      </c>
      <c r="D53" s="66">
        <f>SUM(B53:C53)</f>
        <v>14</v>
      </c>
      <c r="E53" s="86" t="s">
        <v>43</v>
      </c>
      <c r="F53" s="109">
        <v>30</v>
      </c>
      <c r="G53" s="202">
        <v>40</v>
      </c>
      <c r="H53" s="58">
        <f>SUM(F53:G53)</f>
        <v>70</v>
      </c>
    </row>
    <row r="54" spans="1:8" ht="14.95" thickBot="1" x14ac:dyDescent="0.3">
      <c r="A54" s="84" t="s">
        <v>44</v>
      </c>
      <c r="B54" s="107">
        <v>6</v>
      </c>
      <c r="C54" s="200">
        <v>5</v>
      </c>
      <c r="D54" s="66">
        <f>SUM(B54:C54)</f>
        <v>11</v>
      </c>
      <c r="E54" s="86" t="s">
        <v>38</v>
      </c>
      <c r="F54" s="109">
        <v>67</v>
      </c>
      <c r="G54" s="202">
        <v>0</v>
      </c>
      <c r="H54" s="58">
        <f>SUM(F54:G54)</f>
        <v>67</v>
      </c>
    </row>
    <row r="55" spans="1:8" ht="14.95" thickBot="1" x14ac:dyDescent="0.3">
      <c r="A55" s="84" t="s">
        <v>171</v>
      </c>
      <c r="B55" s="107">
        <v>9</v>
      </c>
      <c r="C55" s="200">
        <v>1</v>
      </c>
      <c r="D55" s="66">
        <f>SUM(B55:C55)</f>
        <v>10</v>
      </c>
      <c r="E55" s="86" t="s">
        <v>44</v>
      </c>
      <c r="F55" s="109">
        <v>30</v>
      </c>
      <c r="G55" s="202">
        <v>25</v>
      </c>
      <c r="H55" s="58">
        <f>SUM(F55:G55)</f>
        <v>55</v>
      </c>
    </row>
    <row r="56" spans="1:8" ht="14.95" thickBot="1" x14ac:dyDescent="0.3">
      <c r="A56" s="84" t="s">
        <v>361</v>
      </c>
      <c r="B56" s="107">
        <v>7</v>
      </c>
      <c r="C56" s="200">
        <v>0</v>
      </c>
      <c r="D56" s="66">
        <f>SUM(B56:C56)</f>
        <v>7</v>
      </c>
      <c r="E56" s="86" t="s">
        <v>171</v>
      </c>
      <c r="F56" s="109">
        <v>45</v>
      </c>
      <c r="G56" s="202">
        <v>5</v>
      </c>
      <c r="H56" s="58">
        <f>SUM(F56:G56)</f>
        <v>50</v>
      </c>
    </row>
    <row r="57" spans="1:8" ht="14.95" thickBot="1" x14ac:dyDescent="0.3">
      <c r="A57" s="84" t="s">
        <v>427</v>
      </c>
      <c r="B57" s="107">
        <v>5</v>
      </c>
      <c r="C57" s="200">
        <v>0</v>
      </c>
      <c r="D57" s="66">
        <f>SUM(B57:C57)</f>
        <v>5</v>
      </c>
      <c r="E57" s="86" t="s">
        <v>361</v>
      </c>
      <c r="F57" s="109">
        <v>35</v>
      </c>
      <c r="G57" s="202">
        <v>0</v>
      </c>
      <c r="H57" s="58">
        <f>SUM(F57:G57)</f>
        <v>35</v>
      </c>
    </row>
    <row r="58" spans="1:8" ht="14.95" thickBot="1" x14ac:dyDescent="0.3">
      <c r="A58" s="84" t="s">
        <v>37</v>
      </c>
      <c r="B58" s="107">
        <v>4</v>
      </c>
      <c r="C58" s="200">
        <v>0</v>
      </c>
      <c r="D58" s="66">
        <f>SUM(B58:C58)</f>
        <v>4</v>
      </c>
      <c r="E58" s="86" t="s">
        <v>170</v>
      </c>
      <c r="F58" s="109">
        <v>7</v>
      </c>
      <c r="G58" s="202">
        <v>24</v>
      </c>
      <c r="H58" s="58">
        <f>SUM(F58:G58)</f>
        <v>31</v>
      </c>
    </row>
    <row r="59" spans="1:8" ht="14.95" thickBot="1" x14ac:dyDescent="0.3">
      <c r="A59" s="84" t="s">
        <v>38</v>
      </c>
      <c r="B59" s="107">
        <v>4</v>
      </c>
      <c r="C59" s="200">
        <v>0</v>
      </c>
      <c r="D59" s="66">
        <f>SUM(B59:C59)</f>
        <v>4</v>
      </c>
      <c r="E59" s="86" t="s">
        <v>427</v>
      </c>
      <c r="F59" s="109">
        <v>25</v>
      </c>
      <c r="G59" s="202">
        <v>0</v>
      </c>
      <c r="H59" s="58">
        <f>SUM(F59:G59)</f>
        <v>25</v>
      </c>
    </row>
    <row r="60" spans="1:8" ht="14.95" thickBot="1" x14ac:dyDescent="0.3">
      <c r="A60" s="84" t="s">
        <v>45</v>
      </c>
      <c r="B60" s="107">
        <v>0</v>
      </c>
      <c r="C60" s="200">
        <v>4</v>
      </c>
      <c r="D60" s="66">
        <f>SUM(B60:C60)</f>
        <v>4</v>
      </c>
      <c r="E60" s="86" t="s">
        <v>37</v>
      </c>
      <c r="F60" s="109">
        <v>20</v>
      </c>
      <c r="G60" s="202">
        <v>0</v>
      </c>
      <c r="H60" s="58">
        <f>SUM(F60:G60)</f>
        <v>20</v>
      </c>
    </row>
    <row r="61" spans="1:8" ht="14.95" thickBot="1" x14ac:dyDescent="0.3">
      <c r="A61" s="84" t="s">
        <v>663</v>
      </c>
      <c r="B61" s="107">
        <v>2</v>
      </c>
      <c r="C61" s="200">
        <v>2</v>
      </c>
      <c r="D61" s="66">
        <f>SUM(B61:C61)</f>
        <v>4</v>
      </c>
      <c r="E61" s="86" t="s">
        <v>45</v>
      </c>
      <c r="F61" s="109">
        <v>0</v>
      </c>
      <c r="G61" s="202">
        <v>20</v>
      </c>
      <c r="H61" s="58">
        <f>SUM(F61:G61)</f>
        <v>20</v>
      </c>
    </row>
    <row r="62" spans="1:8" ht="14.95" thickBot="1" x14ac:dyDescent="0.3">
      <c r="A62" s="84" t="s">
        <v>85</v>
      </c>
      <c r="B62" s="107">
        <v>3</v>
      </c>
      <c r="C62" s="200">
        <v>0</v>
      </c>
      <c r="D62" s="66">
        <f>SUM(B62:C62)</f>
        <v>3</v>
      </c>
      <c r="E62" s="86" t="s">
        <v>663</v>
      </c>
      <c r="F62" s="109">
        <v>10</v>
      </c>
      <c r="G62" s="202">
        <v>10</v>
      </c>
      <c r="H62" s="58">
        <f>SUM(F62:G62)</f>
        <v>20</v>
      </c>
    </row>
    <row r="63" spans="1:8" ht="14.95" thickBot="1" x14ac:dyDescent="0.3">
      <c r="A63" s="84" t="s">
        <v>565</v>
      </c>
      <c r="B63" s="107">
        <v>0</v>
      </c>
      <c r="C63" s="200">
        <v>3</v>
      </c>
      <c r="D63" s="66">
        <f>SUM(B63:C63)</f>
        <v>3</v>
      </c>
      <c r="E63" s="86" t="s">
        <v>49</v>
      </c>
      <c r="F63" s="109">
        <v>18</v>
      </c>
      <c r="G63" s="202">
        <v>0</v>
      </c>
      <c r="H63" s="58">
        <f>SUM(F63:G63)</f>
        <v>18</v>
      </c>
    </row>
    <row r="64" spans="1:8" ht="14.95" thickBot="1" x14ac:dyDescent="0.3">
      <c r="A64" s="84" t="s">
        <v>664</v>
      </c>
      <c r="B64" s="107">
        <v>0</v>
      </c>
      <c r="C64" s="200">
        <v>3</v>
      </c>
      <c r="D64" s="66">
        <f>SUM(B64:C64)</f>
        <v>3</v>
      </c>
      <c r="E64" s="86" t="s">
        <v>85</v>
      </c>
      <c r="F64" s="109">
        <v>15</v>
      </c>
      <c r="G64" s="202">
        <v>0</v>
      </c>
      <c r="H64" s="58">
        <f>SUM(F64:G64)</f>
        <v>15</v>
      </c>
    </row>
    <row r="65" spans="1:8" ht="14.95" thickBot="1" x14ac:dyDescent="0.3">
      <c r="A65" s="84" t="s">
        <v>39</v>
      </c>
      <c r="B65" s="107">
        <v>1</v>
      </c>
      <c r="C65" s="200">
        <v>1</v>
      </c>
      <c r="D65" s="66">
        <f>SUM(B65:C65)</f>
        <v>2</v>
      </c>
      <c r="E65" s="86" t="s">
        <v>565</v>
      </c>
      <c r="F65" s="109">
        <v>0</v>
      </c>
      <c r="G65" s="202">
        <v>15</v>
      </c>
      <c r="H65" s="58">
        <f>SUM(F65:G65)</f>
        <v>15</v>
      </c>
    </row>
    <row r="66" spans="1:8" ht="14.95" thickBot="1" x14ac:dyDescent="0.3">
      <c r="A66" s="84" t="s">
        <v>741</v>
      </c>
      <c r="B66" s="107">
        <v>2</v>
      </c>
      <c r="C66" s="200">
        <v>0</v>
      </c>
      <c r="D66" s="66">
        <f>SUM(B66:C66)</f>
        <v>2</v>
      </c>
      <c r="E66" s="86" t="s">
        <v>664</v>
      </c>
      <c r="F66" s="109">
        <v>0</v>
      </c>
      <c r="G66" s="202">
        <v>15</v>
      </c>
      <c r="H66" s="58">
        <f>SUM(F66:G66)</f>
        <v>15</v>
      </c>
    </row>
    <row r="67" spans="1:8" ht="14.95" thickBot="1" x14ac:dyDescent="0.3">
      <c r="A67" s="84" t="s">
        <v>665</v>
      </c>
      <c r="B67" s="107">
        <v>0</v>
      </c>
      <c r="C67" s="200">
        <v>2</v>
      </c>
      <c r="D67" s="66">
        <f>SUM(B67:C67)</f>
        <v>2</v>
      </c>
      <c r="E67" s="86" t="s">
        <v>741</v>
      </c>
      <c r="F67" s="109">
        <v>14</v>
      </c>
      <c r="G67" s="202">
        <v>0</v>
      </c>
      <c r="H67" s="58">
        <f>SUM(F67:G67)</f>
        <v>14</v>
      </c>
    </row>
    <row r="68" spans="1:8" ht="14.95" thickBot="1" x14ac:dyDescent="0.3">
      <c r="A68" s="84" t="s">
        <v>42</v>
      </c>
      <c r="B68" s="107">
        <v>1</v>
      </c>
      <c r="C68" s="200">
        <v>0</v>
      </c>
      <c r="D68" s="66">
        <f>SUM(B68:C68)</f>
        <v>1</v>
      </c>
      <c r="E68" s="86" t="s">
        <v>39</v>
      </c>
      <c r="F68" s="109">
        <v>5</v>
      </c>
      <c r="G68" s="202">
        <v>5</v>
      </c>
      <c r="H68" s="58">
        <f>SUM(F68:G68)</f>
        <v>10</v>
      </c>
    </row>
    <row r="69" spans="1:8" ht="14.95" thickBot="1" x14ac:dyDescent="0.3">
      <c r="A69" s="84" t="s">
        <v>778</v>
      </c>
      <c r="B69" s="107">
        <v>1</v>
      </c>
      <c r="C69" s="200">
        <v>0</v>
      </c>
      <c r="D69" s="66">
        <f>SUM(B69:C69)</f>
        <v>1</v>
      </c>
      <c r="E69" s="86" t="s">
        <v>665</v>
      </c>
      <c r="F69" s="109">
        <v>0</v>
      </c>
      <c r="G69" s="202">
        <v>10</v>
      </c>
      <c r="H69" s="58">
        <f>SUM(F69:G69)</f>
        <v>10</v>
      </c>
    </row>
    <row r="70" spans="1:8" ht="14.95" thickBot="1" x14ac:dyDescent="0.3">
      <c r="A70" s="84" t="s">
        <v>662</v>
      </c>
      <c r="B70" s="107">
        <v>0</v>
      </c>
      <c r="C70" s="200">
        <v>1</v>
      </c>
      <c r="D70" s="66">
        <f>SUM(B70:C70)</f>
        <v>1</v>
      </c>
      <c r="E70" s="86" t="s">
        <v>737</v>
      </c>
      <c r="F70" s="109">
        <v>7</v>
      </c>
      <c r="G70" s="202">
        <v>0</v>
      </c>
      <c r="H70" s="58">
        <f>SUM(F70:G70)</f>
        <v>7</v>
      </c>
    </row>
    <row r="71" spans="1:8" ht="14.95" thickBot="1" x14ac:dyDescent="0.3">
      <c r="A71" s="84" t="s">
        <v>431</v>
      </c>
      <c r="B71" s="107">
        <v>1</v>
      </c>
      <c r="C71" s="200">
        <v>0</v>
      </c>
      <c r="D71" s="66">
        <f>SUM(B71:C71)</f>
        <v>1</v>
      </c>
      <c r="E71" s="86" t="s">
        <v>232</v>
      </c>
      <c r="F71" s="109">
        <v>2</v>
      </c>
      <c r="G71" s="202">
        <v>4</v>
      </c>
      <c r="H71" s="58">
        <f>SUM(F71:G71)</f>
        <v>6</v>
      </c>
    </row>
    <row r="72" spans="1:8" ht="14.95" thickBot="1" x14ac:dyDescent="0.3">
      <c r="A72" s="84" t="s">
        <v>170</v>
      </c>
      <c r="B72" s="107">
        <v>1</v>
      </c>
      <c r="C72" s="200">
        <v>0</v>
      </c>
      <c r="D72" s="66">
        <f>SUM(B72:C72)</f>
        <v>1</v>
      </c>
      <c r="E72" s="86" t="s">
        <v>42</v>
      </c>
      <c r="F72" s="109">
        <v>5</v>
      </c>
      <c r="G72" s="202">
        <v>0</v>
      </c>
      <c r="H72" s="58">
        <f>SUM(F72:G72)</f>
        <v>5</v>
      </c>
    </row>
    <row r="73" spans="1:8" ht="14.95" thickBot="1" x14ac:dyDescent="0.3">
      <c r="A73" s="84" t="s">
        <v>428</v>
      </c>
      <c r="B73" s="107">
        <v>1</v>
      </c>
      <c r="C73" s="200">
        <v>0</v>
      </c>
      <c r="D73" s="66">
        <f>SUM(B73:C73)</f>
        <v>1</v>
      </c>
      <c r="E73" s="86" t="s">
        <v>778</v>
      </c>
      <c r="F73" s="109">
        <v>5</v>
      </c>
      <c r="G73" s="202">
        <v>0</v>
      </c>
      <c r="H73" s="58">
        <f>SUM(F73:G73)</f>
        <v>5</v>
      </c>
    </row>
    <row r="74" spans="1:8" ht="14.95" thickBot="1" x14ac:dyDescent="0.3">
      <c r="A74" s="84" t="s">
        <v>666</v>
      </c>
      <c r="B74" s="107">
        <v>0</v>
      </c>
      <c r="C74" s="200">
        <v>1</v>
      </c>
      <c r="D74" s="66">
        <f>SUM(B74:C74)</f>
        <v>1</v>
      </c>
      <c r="E74" s="86" t="s">
        <v>662</v>
      </c>
      <c r="F74" s="109">
        <v>0</v>
      </c>
      <c r="G74" s="202">
        <v>5</v>
      </c>
      <c r="H74" s="58">
        <f>SUM(F74:G74)</f>
        <v>5</v>
      </c>
    </row>
    <row r="75" spans="1:8" ht="14.95" thickBot="1" x14ac:dyDescent="0.3">
      <c r="A75" s="84" t="s">
        <v>47</v>
      </c>
      <c r="B75" s="107">
        <v>1</v>
      </c>
      <c r="C75" s="200">
        <v>0</v>
      </c>
      <c r="D75" s="66">
        <f>SUM(B75:C75)</f>
        <v>1</v>
      </c>
      <c r="E75" s="86" t="s">
        <v>431</v>
      </c>
      <c r="F75" s="109">
        <v>5</v>
      </c>
      <c r="G75" s="202">
        <v>0</v>
      </c>
      <c r="H75" s="58">
        <f>SUM(F75:G75)</f>
        <v>5</v>
      </c>
    </row>
    <row r="76" spans="1:8" ht="14.95" thickBot="1" x14ac:dyDescent="0.3">
      <c r="A76" s="84" t="s">
        <v>48</v>
      </c>
      <c r="B76" s="107">
        <v>1</v>
      </c>
      <c r="C76" s="200">
        <v>0</v>
      </c>
      <c r="D76" s="66">
        <f>SUM(B76:C76)</f>
        <v>1</v>
      </c>
      <c r="E76" s="86" t="s">
        <v>428</v>
      </c>
      <c r="F76" s="109">
        <v>5</v>
      </c>
      <c r="G76" s="202">
        <v>0</v>
      </c>
      <c r="H76" s="58">
        <f>SUM(F76:G76)</f>
        <v>5</v>
      </c>
    </row>
    <row r="77" spans="1:8" ht="14.95" thickBot="1" x14ac:dyDescent="0.3">
      <c r="A77" s="84" t="s">
        <v>737</v>
      </c>
      <c r="B77" s="107">
        <v>1</v>
      </c>
      <c r="C77" s="200">
        <v>0</v>
      </c>
      <c r="D77" s="66">
        <f>SUM(B77:C77)</f>
        <v>1</v>
      </c>
      <c r="E77" s="86" t="s">
        <v>666</v>
      </c>
      <c r="F77" s="109">
        <v>0</v>
      </c>
      <c r="G77" s="202">
        <v>5</v>
      </c>
      <c r="H77" s="58">
        <f>SUM(F77:G77)</f>
        <v>5</v>
      </c>
    </row>
    <row r="78" spans="1:8" ht="14.95" thickBot="1" x14ac:dyDescent="0.3">
      <c r="A78" s="84" t="s">
        <v>566</v>
      </c>
      <c r="B78" s="107">
        <v>1</v>
      </c>
      <c r="C78" s="200">
        <v>0</v>
      </c>
      <c r="D78" s="66">
        <f>SUM(B78:C78)</f>
        <v>1</v>
      </c>
      <c r="E78" s="86" t="s">
        <v>47</v>
      </c>
      <c r="F78" s="109">
        <v>5</v>
      </c>
      <c r="G78" s="202">
        <v>0</v>
      </c>
      <c r="H78" s="58">
        <f>SUM(F78:G78)</f>
        <v>5</v>
      </c>
    </row>
    <row r="79" spans="1:8" ht="14.95" thickBot="1" x14ac:dyDescent="0.3">
      <c r="A79" s="84" t="s">
        <v>165</v>
      </c>
      <c r="B79" s="107">
        <v>0</v>
      </c>
      <c r="C79" s="200">
        <v>0</v>
      </c>
      <c r="D79" s="66">
        <f>SUM(B79:C79)</f>
        <v>0</v>
      </c>
      <c r="E79" s="86" t="s">
        <v>48</v>
      </c>
      <c r="F79" s="109">
        <v>5</v>
      </c>
      <c r="G79" s="202">
        <v>0</v>
      </c>
      <c r="H79" s="58">
        <f>SUM(F79:G79)</f>
        <v>5</v>
      </c>
    </row>
    <row r="80" spans="1:8" ht="14.95" thickBot="1" x14ac:dyDescent="0.3">
      <c r="A80" s="84" t="s">
        <v>478</v>
      </c>
      <c r="B80" s="107">
        <v>0</v>
      </c>
      <c r="C80" s="200">
        <v>0</v>
      </c>
      <c r="D80" s="66">
        <f>SUM(B80:C80)</f>
        <v>0</v>
      </c>
      <c r="E80" s="86" t="s">
        <v>566</v>
      </c>
      <c r="F80" s="109">
        <v>5</v>
      </c>
      <c r="G80" s="202">
        <v>0</v>
      </c>
      <c r="H80" s="58">
        <f>SUM(F80:G80)</f>
        <v>5</v>
      </c>
    </row>
    <row r="81" spans="1:8" ht="14.95" thickBot="1" x14ac:dyDescent="0.3">
      <c r="A81" s="84" t="s">
        <v>429</v>
      </c>
      <c r="B81" s="107">
        <v>0</v>
      </c>
      <c r="C81" s="200">
        <v>0</v>
      </c>
      <c r="D81" s="66">
        <f>SUM(B81:C81)</f>
        <v>0</v>
      </c>
      <c r="E81" s="86" t="s">
        <v>478</v>
      </c>
      <c r="F81" s="109">
        <v>0</v>
      </c>
      <c r="G81" s="202">
        <v>2</v>
      </c>
      <c r="H81" s="58">
        <f>SUM(F81:G81)</f>
        <v>2</v>
      </c>
    </row>
    <row r="82" spans="1:8" ht="14.95" thickBot="1" x14ac:dyDescent="0.3">
      <c r="A82" s="84" t="s">
        <v>116</v>
      </c>
      <c r="B82" s="107">
        <v>0</v>
      </c>
      <c r="C82" s="200">
        <v>0</v>
      </c>
      <c r="D82" s="66">
        <f>SUM(B82:C82)</f>
        <v>0</v>
      </c>
      <c r="E82" s="86" t="s">
        <v>165</v>
      </c>
      <c r="F82" s="109">
        <v>0</v>
      </c>
      <c r="G82" s="202">
        <v>0</v>
      </c>
      <c r="H82" s="58">
        <f>SUM(F82:G82)</f>
        <v>0</v>
      </c>
    </row>
    <row r="83" spans="1:8" ht="14.95" thickBot="1" x14ac:dyDescent="0.3">
      <c r="A83" s="84" t="s">
        <v>659</v>
      </c>
      <c r="B83" s="107">
        <v>0</v>
      </c>
      <c r="C83" s="200">
        <v>0</v>
      </c>
      <c r="D83" s="66">
        <f>SUM(B83:C83)</f>
        <v>0</v>
      </c>
      <c r="E83" s="86" t="s">
        <v>429</v>
      </c>
      <c r="F83" s="109">
        <v>0</v>
      </c>
      <c r="G83" s="202">
        <v>0</v>
      </c>
      <c r="H83" s="58">
        <f>SUM(F83:G83)</f>
        <v>0</v>
      </c>
    </row>
    <row r="84" spans="1:8" ht="14.95" thickBot="1" x14ac:dyDescent="0.3">
      <c r="A84" s="84" t="s">
        <v>40</v>
      </c>
      <c r="B84" s="107">
        <v>0</v>
      </c>
      <c r="C84" s="200">
        <v>0</v>
      </c>
      <c r="D84" s="66">
        <f>SUM(B84:C84)</f>
        <v>0</v>
      </c>
      <c r="E84" s="86" t="s">
        <v>116</v>
      </c>
      <c r="F84" s="109">
        <v>0</v>
      </c>
      <c r="G84" s="203">
        <v>0</v>
      </c>
      <c r="H84" s="60">
        <f>SUM(F84:G84)</f>
        <v>0</v>
      </c>
    </row>
    <row r="85" spans="1:8" ht="14.95" thickBot="1" x14ac:dyDescent="0.3">
      <c r="A85" s="84" t="s">
        <v>232</v>
      </c>
      <c r="B85" s="107">
        <v>0</v>
      </c>
      <c r="C85" s="200">
        <v>0</v>
      </c>
      <c r="D85" s="66">
        <f>SUM(B85:C85)</f>
        <v>0</v>
      </c>
      <c r="E85" s="86" t="s">
        <v>659</v>
      </c>
      <c r="F85" s="109">
        <v>0</v>
      </c>
      <c r="G85" s="203">
        <v>0</v>
      </c>
      <c r="H85" s="60">
        <f>SUM(F85:G85)</f>
        <v>0</v>
      </c>
    </row>
    <row r="86" spans="1:8" ht="14.95" thickBot="1" x14ac:dyDescent="0.3">
      <c r="A86" s="84" t="s">
        <v>570</v>
      </c>
      <c r="B86" s="107">
        <v>0</v>
      </c>
      <c r="C86" s="200">
        <v>0</v>
      </c>
      <c r="D86" s="66">
        <f>SUM(B86:C86)</f>
        <v>0</v>
      </c>
      <c r="E86" s="86" t="s">
        <v>40</v>
      </c>
      <c r="F86" s="109">
        <v>0</v>
      </c>
      <c r="G86" s="203">
        <v>0</v>
      </c>
      <c r="H86" s="60">
        <f>SUM(F86:G86)</f>
        <v>0</v>
      </c>
    </row>
    <row r="87" spans="1:8" ht="14.95" thickBot="1" x14ac:dyDescent="0.3">
      <c r="A87" s="84" t="s">
        <v>461</v>
      </c>
      <c r="B87" s="107">
        <v>0</v>
      </c>
      <c r="C87" s="200">
        <v>0</v>
      </c>
      <c r="D87" s="66">
        <f>SUM(B87:C87)</f>
        <v>0</v>
      </c>
      <c r="E87" s="86" t="s">
        <v>570</v>
      </c>
      <c r="F87" s="109">
        <v>0</v>
      </c>
      <c r="G87" s="203">
        <v>0</v>
      </c>
      <c r="H87" s="60">
        <f>SUM(F87:G87)</f>
        <v>0</v>
      </c>
    </row>
    <row r="88" spans="1:8" ht="14.95" thickBot="1" x14ac:dyDescent="0.3">
      <c r="A88" s="84" t="s">
        <v>550</v>
      </c>
      <c r="B88" s="107">
        <v>0</v>
      </c>
      <c r="C88" s="200">
        <v>0</v>
      </c>
      <c r="D88" s="66">
        <f>SUM(B88:C88)</f>
        <v>0</v>
      </c>
      <c r="E88" s="86" t="s">
        <v>461</v>
      </c>
      <c r="F88" s="109">
        <v>0</v>
      </c>
      <c r="G88" s="203">
        <v>0</v>
      </c>
      <c r="H88" s="60">
        <f>SUM(F88:G88)</f>
        <v>0</v>
      </c>
    </row>
    <row r="89" spans="1:8" ht="14.95" thickBot="1" x14ac:dyDescent="0.3">
      <c r="A89" s="84" t="s">
        <v>636</v>
      </c>
      <c r="B89" s="107">
        <v>0</v>
      </c>
      <c r="C89" s="200">
        <v>0</v>
      </c>
      <c r="D89" s="66">
        <f>SUM(B89:C89)</f>
        <v>0</v>
      </c>
      <c r="E89" s="86" t="s">
        <v>550</v>
      </c>
      <c r="F89" s="109">
        <v>0</v>
      </c>
      <c r="G89" s="203">
        <v>0</v>
      </c>
      <c r="H89" s="60">
        <f>SUM(F89:G89)</f>
        <v>0</v>
      </c>
    </row>
    <row r="90" spans="1:8" ht="14.95" thickBot="1" x14ac:dyDescent="0.3">
      <c r="A90" s="84" t="s">
        <v>635</v>
      </c>
      <c r="B90" s="107">
        <v>0</v>
      </c>
      <c r="C90" s="200">
        <v>0</v>
      </c>
      <c r="D90" s="66">
        <f>SUM(B90:C90)</f>
        <v>0</v>
      </c>
      <c r="E90" s="86" t="s">
        <v>636</v>
      </c>
      <c r="F90" s="109">
        <v>0</v>
      </c>
      <c r="G90" s="203">
        <v>0</v>
      </c>
      <c r="H90" s="60">
        <f>SUM(F90:G90)</f>
        <v>0</v>
      </c>
    </row>
    <row r="91" spans="1:8" ht="14.95" thickBot="1" x14ac:dyDescent="0.3">
      <c r="A91" s="84" t="s">
        <v>15</v>
      </c>
      <c r="B91" s="107">
        <v>0</v>
      </c>
      <c r="C91" s="200">
        <v>0</v>
      </c>
      <c r="D91" s="66">
        <f>SUM(B91:C91)</f>
        <v>0</v>
      </c>
      <c r="E91" s="86" t="s">
        <v>635</v>
      </c>
      <c r="F91" s="109">
        <v>0</v>
      </c>
      <c r="G91" s="202">
        <v>0</v>
      </c>
      <c r="H91" s="58">
        <f>SUM(F91:G91)</f>
        <v>0</v>
      </c>
    </row>
    <row r="92" spans="1:8" ht="14.95" thickBot="1" x14ac:dyDescent="0.3">
      <c r="A92" s="84" t="s">
        <v>650</v>
      </c>
      <c r="B92" s="107">
        <v>0</v>
      </c>
      <c r="C92" s="200">
        <v>0</v>
      </c>
      <c r="D92" s="66">
        <f>SUM(B92:C92)</f>
        <v>0</v>
      </c>
      <c r="E92" s="86" t="s">
        <v>15</v>
      </c>
      <c r="F92" s="109">
        <v>0</v>
      </c>
      <c r="G92" s="202">
        <v>0</v>
      </c>
      <c r="H92" s="58">
        <f>SUM(F92:G92)</f>
        <v>0</v>
      </c>
    </row>
    <row r="93" spans="1:8" ht="14.95" thickBot="1" x14ac:dyDescent="0.3">
      <c r="A93" s="84" t="s">
        <v>4</v>
      </c>
      <c r="B93" s="107">
        <v>0</v>
      </c>
      <c r="C93" s="200">
        <v>0</v>
      </c>
      <c r="D93" s="66">
        <f>SUM(B93:C93)</f>
        <v>0</v>
      </c>
      <c r="E93" s="86" t="s">
        <v>650</v>
      </c>
      <c r="F93" s="109">
        <v>0</v>
      </c>
      <c r="G93" s="202">
        <v>0</v>
      </c>
      <c r="H93" s="58">
        <f>SUM(F93:G93)</f>
        <v>0</v>
      </c>
    </row>
    <row r="94" spans="1:8" ht="14.95" thickBot="1" x14ac:dyDescent="0.3">
      <c r="A94" s="84" t="s">
        <v>305</v>
      </c>
      <c r="B94" s="107">
        <v>0</v>
      </c>
      <c r="C94" s="200">
        <v>0</v>
      </c>
      <c r="D94" s="66">
        <f>SUM(B94:C94)</f>
        <v>0</v>
      </c>
      <c r="E94" s="86" t="s">
        <v>4</v>
      </c>
      <c r="F94" s="109">
        <v>0</v>
      </c>
      <c r="G94" s="202">
        <v>0</v>
      </c>
      <c r="H94" s="58">
        <f>SUM(F94:G94)</f>
        <v>0</v>
      </c>
    </row>
    <row r="95" spans="1:8" ht="14.95" thickBot="1" x14ac:dyDescent="0.3">
      <c r="A95" s="84" t="s">
        <v>49</v>
      </c>
      <c r="B95" s="107">
        <v>0</v>
      </c>
      <c r="C95" s="200">
        <v>0</v>
      </c>
      <c r="D95" s="66">
        <f>SUM(B95:C95)</f>
        <v>0</v>
      </c>
      <c r="E95" s="86" t="s">
        <v>305</v>
      </c>
      <c r="F95" s="109">
        <v>0</v>
      </c>
      <c r="G95" s="202">
        <v>0</v>
      </c>
      <c r="H95" s="58">
        <f>SUM(F95:G95)</f>
        <v>0</v>
      </c>
    </row>
    <row r="96" spans="1:8" ht="14.95" thickBot="1" x14ac:dyDescent="0.3">
      <c r="A96" s="84" t="s">
        <v>293</v>
      </c>
      <c r="B96" s="107">
        <v>0</v>
      </c>
      <c r="C96" s="200">
        <v>0</v>
      </c>
      <c r="D96" s="66">
        <f>SUM(B96:C96)</f>
        <v>0</v>
      </c>
      <c r="E96" s="86" t="s">
        <v>293</v>
      </c>
      <c r="F96" s="109">
        <v>0</v>
      </c>
      <c r="G96" s="202">
        <v>0</v>
      </c>
      <c r="H96" s="58">
        <f>SUM(F96:G96)</f>
        <v>0</v>
      </c>
    </row>
    <row r="97" spans="1:8" ht="14.95" thickBot="1" x14ac:dyDescent="0.3">
      <c r="A97" s="84" t="s">
        <v>50</v>
      </c>
      <c r="B97" s="107">
        <v>0</v>
      </c>
      <c r="C97" s="200">
        <v>0</v>
      </c>
      <c r="D97" s="66">
        <f>SUM(B97:C97)</f>
        <v>0</v>
      </c>
      <c r="E97" s="86" t="s">
        <v>50</v>
      </c>
      <c r="F97" s="109">
        <v>0</v>
      </c>
      <c r="G97" s="202">
        <v>0</v>
      </c>
      <c r="H97" s="58">
        <f>SUM(F97:G97)</f>
        <v>0</v>
      </c>
    </row>
    <row r="98" spans="1:8" ht="14.95" thickBot="1" x14ac:dyDescent="0.3">
      <c r="A98" s="84" t="s">
        <v>52</v>
      </c>
      <c r="B98" s="107">
        <v>0</v>
      </c>
      <c r="C98" s="200">
        <v>0</v>
      </c>
      <c r="D98" s="66">
        <f>SUM(B98:C98)</f>
        <v>0</v>
      </c>
      <c r="E98" s="86" t="s">
        <v>52</v>
      </c>
      <c r="F98" s="109">
        <v>0</v>
      </c>
      <c r="G98" s="202">
        <v>0</v>
      </c>
      <c r="H98" s="58">
        <f>SUM(F98:G98)</f>
        <v>0</v>
      </c>
    </row>
    <row r="99" spans="1:8" ht="16.3" customHeight="1" thickBot="1" x14ac:dyDescent="0.3">
      <c r="A99" s="84" t="s">
        <v>3</v>
      </c>
      <c r="B99" s="107">
        <f>SUM(B53:B98)</f>
        <v>58</v>
      </c>
      <c r="C99" s="200">
        <f>SUM(C53:C98)</f>
        <v>31</v>
      </c>
      <c r="D99" s="66">
        <f t="shared" ref="D53:D99" si="13">SUM(B99:C99)</f>
        <v>89</v>
      </c>
      <c r="E99" s="86" t="s">
        <v>3</v>
      </c>
      <c r="F99" s="109">
        <f>SUM(F53:F98)</f>
        <v>365</v>
      </c>
      <c r="G99" s="202">
        <f>SUM(G53:G98)</f>
        <v>185</v>
      </c>
      <c r="H99" s="58">
        <f t="shared" ref="H53:H99" si="14">SUM(F99:G99)</f>
        <v>550</v>
      </c>
    </row>
    <row r="100" spans="1:8" ht="16.3" x14ac:dyDescent="0.3">
      <c r="A100" s="245" t="s">
        <v>17</v>
      </c>
      <c r="B100" s="246"/>
      <c r="C100" s="246"/>
      <c r="D100" s="246"/>
      <c r="E100" s="246"/>
      <c r="F100" s="246"/>
      <c r="G100" s="246"/>
      <c r="H100" s="246"/>
    </row>
  </sheetData>
  <sortState xmlns:xlrd2="http://schemas.microsoft.com/office/spreadsheetml/2017/richdata2" ref="E53:H98">
    <sortCondition descending="1" ref="H53:H98"/>
  </sortState>
  <mergeCells count="15">
    <mergeCell ref="A100:H100"/>
    <mergeCell ref="AA1:AC2"/>
    <mergeCell ref="I14:I15"/>
    <mergeCell ref="M14:O15"/>
    <mergeCell ref="A50:F50"/>
    <mergeCell ref="A1:H1"/>
    <mergeCell ref="P1:Q2"/>
    <mergeCell ref="I1:I2"/>
    <mergeCell ref="J1:L2"/>
    <mergeCell ref="M1:O2"/>
    <mergeCell ref="R1:T2"/>
    <mergeCell ref="I23:I24"/>
    <mergeCell ref="J23:L24"/>
    <mergeCell ref="U1:W2"/>
    <mergeCell ref="J14:L15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396"/>
  <sheetViews>
    <sheetView tabSelected="1" workbookViewId="0">
      <selection activeCell="R22" sqref="R22"/>
    </sheetView>
  </sheetViews>
  <sheetFormatPr defaultColWidth="8.875" defaultRowHeight="14.3" x14ac:dyDescent="0.25"/>
  <cols>
    <col min="1" max="1" width="22.25" bestFit="1" customWidth="1"/>
    <col min="2" max="2" width="4.625" bestFit="1" customWidth="1"/>
    <col min="3" max="3" width="5.75" customWidth="1"/>
    <col min="4" max="4" width="22.25" bestFit="1" customWidth="1"/>
    <col min="5" max="5" width="4.625" bestFit="1" customWidth="1"/>
    <col min="6" max="6" width="5.75" customWidth="1"/>
    <col min="7" max="7" width="17.75" customWidth="1"/>
    <col min="8" max="8" width="4.625" bestFit="1" customWidth="1"/>
    <col min="9" max="9" width="5.75" customWidth="1"/>
    <col min="10" max="10" width="5.25" customWidth="1"/>
    <col min="11" max="11" width="5.75" customWidth="1"/>
    <col min="12" max="12" width="16.75" customWidth="1"/>
    <col min="13" max="13" width="7" bestFit="1" customWidth="1"/>
    <col min="14" max="14" width="3.75" customWidth="1"/>
    <col min="15" max="15" width="14.375" customWidth="1"/>
    <col min="16" max="16" width="5.375" bestFit="1" customWidth="1"/>
    <col min="17" max="17" width="4.875" customWidth="1"/>
  </cols>
  <sheetData>
    <row r="1" spans="1:23" x14ac:dyDescent="0.25">
      <c r="A1" s="235" t="s">
        <v>649</v>
      </c>
      <c r="B1" s="22"/>
      <c r="C1" s="22"/>
      <c r="D1" s="22"/>
      <c r="E1" s="22"/>
    </row>
    <row r="2" spans="1:23" ht="14.95" thickBot="1" x14ac:dyDescent="0.3">
      <c r="A2" s="161" t="s">
        <v>780</v>
      </c>
    </row>
    <row r="3" spans="1:23" ht="14.95" customHeight="1" thickBot="1" x14ac:dyDescent="0.3">
      <c r="A3" s="162" t="s">
        <v>16</v>
      </c>
      <c r="B3" s="163"/>
      <c r="C3" s="163"/>
      <c r="D3" s="164" t="s">
        <v>6</v>
      </c>
      <c r="E3" s="164"/>
      <c r="F3" s="164"/>
      <c r="G3" s="165" t="s">
        <v>18</v>
      </c>
      <c r="H3" s="166"/>
      <c r="I3" s="167" t="s">
        <v>21</v>
      </c>
      <c r="J3" s="167" t="s">
        <v>7</v>
      </c>
      <c r="K3" s="168" t="s">
        <v>8</v>
      </c>
      <c r="L3" s="243" t="s">
        <v>30</v>
      </c>
      <c r="M3" s="243"/>
      <c r="N3" s="244"/>
      <c r="O3" s="242" t="s">
        <v>35</v>
      </c>
      <c r="P3" s="243"/>
      <c r="Q3" s="244"/>
    </row>
    <row r="4" spans="1:23" ht="14.95" customHeight="1" thickBot="1" x14ac:dyDescent="0.3">
      <c r="A4" s="39" t="s">
        <v>263</v>
      </c>
      <c r="B4" s="39" t="s">
        <v>33</v>
      </c>
      <c r="C4" s="6">
        <f>Dansartries</f>
        <v>12</v>
      </c>
      <c r="D4" s="1" t="s">
        <v>187</v>
      </c>
      <c r="E4" s="1" t="s">
        <v>33</v>
      </c>
      <c r="F4" s="12">
        <f>harrisonsarpts</f>
        <v>126</v>
      </c>
      <c r="G4" s="16" t="s">
        <v>308</v>
      </c>
      <c r="H4" s="16" t="s">
        <v>27</v>
      </c>
      <c r="I4" s="67">
        <f>Smithbrigls</f>
        <v>9</v>
      </c>
      <c r="J4" s="67">
        <f>smithbriatt</f>
        <v>10</v>
      </c>
      <c r="K4" s="99">
        <f>SUM(I4/J4)*100</f>
        <v>90</v>
      </c>
      <c r="L4" s="39"/>
      <c r="M4" s="39"/>
      <c r="N4" s="6"/>
      <c r="O4" s="1"/>
      <c r="P4" s="1"/>
      <c r="Q4" s="13"/>
    </row>
    <row r="5" spans="1:23" ht="14.95" customHeight="1" thickBot="1" x14ac:dyDescent="0.3">
      <c r="A5" s="39" t="s">
        <v>698</v>
      </c>
      <c r="B5" s="39" t="s">
        <v>24</v>
      </c>
      <c r="C5" s="6">
        <f>Lloydsaltries</f>
        <v>11</v>
      </c>
      <c r="D5" s="1" t="s">
        <v>223</v>
      </c>
      <c r="E5" s="1" t="s">
        <v>23</v>
      </c>
      <c r="F5" s="12">
        <f>Singglopts</f>
        <v>105</v>
      </c>
      <c r="G5" s="18" t="s">
        <v>187</v>
      </c>
      <c r="H5" s="97" t="s">
        <v>33</v>
      </c>
      <c r="I5" s="98">
        <f>farrellsarglscorrect</f>
        <v>61</v>
      </c>
      <c r="J5" s="98">
        <f>farrellsarattcorrect</f>
        <v>75</v>
      </c>
      <c r="K5" s="99">
        <f>SUM(I5/J5)*100</f>
        <v>81.333333333333329</v>
      </c>
      <c r="L5" s="39"/>
      <c r="M5" s="39"/>
      <c r="N5" s="6"/>
      <c r="O5" s="1"/>
      <c r="P5" s="1"/>
      <c r="Q5" s="12"/>
      <c r="T5" s="3"/>
      <c r="U5" s="3"/>
      <c r="V5" s="3"/>
      <c r="W5" s="3"/>
    </row>
    <row r="6" spans="1:23" ht="14.95" customHeight="1" thickBot="1" x14ac:dyDescent="0.3">
      <c r="A6" s="39" t="s">
        <v>219</v>
      </c>
      <c r="B6" s="39" t="s">
        <v>23</v>
      </c>
      <c r="C6" s="6">
        <f>Vennerglohtries</f>
        <v>11</v>
      </c>
      <c r="D6" s="1" t="s">
        <v>442</v>
      </c>
      <c r="E6" s="1" t="s">
        <v>26</v>
      </c>
      <c r="F6" s="11">
        <f>Kennyexepts</f>
        <v>78</v>
      </c>
      <c r="G6" s="16" t="s">
        <v>223</v>
      </c>
      <c r="H6" s="16" t="s">
        <v>23</v>
      </c>
      <c r="I6" s="67">
        <f>twelvetreesgoals</f>
        <v>40</v>
      </c>
      <c r="J6" s="68">
        <f>twelvetreesatt</f>
        <v>50</v>
      </c>
      <c r="K6" s="17">
        <f>SUM(I6/J6)*100</f>
        <v>80</v>
      </c>
      <c r="L6" s="39"/>
      <c r="M6" s="39"/>
      <c r="N6" s="33"/>
      <c r="O6" s="1"/>
      <c r="P6" s="1"/>
      <c r="Q6" s="12"/>
      <c r="S6" s="3"/>
    </row>
    <row r="7" spans="1:23" ht="14.95" customHeight="1" thickBot="1" x14ac:dyDescent="0.3">
      <c r="A7" s="39" t="s">
        <v>262</v>
      </c>
      <c r="B7" s="39" t="s">
        <v>135</v>
      </c>
      <c r="C7" s="33">
        <f>Westcombe_Evansloutriescorrect</f>
        <v>10</v>
      </c>
      <c r="D7" s="1" t="s">
        <v>300</v>
      </c>
      <c r="E7" s="1" t="s">
        <v>25</v>
      </c>
      <c r="F7" s="12">
        <f>CromackHARPTS</f>
        <v>68</v>
      </c>
      <c r="G7" s="16" t="s">
        <v>310</v>
      </c>
      <c r="H7" s="16" t="s">
        <v>350</v>
      </c>
      <c r="I7" s="67">
        <f>InmanTFWGLS</f>
        <v>13</v>
      </c>
      <c r="J7" s="68">
        <f>InmanTFWATT</f>
        <v>17</v>
      </c>
      <c r="K7" s="99">
        <f>SUM(I7/J7)*100</f>
        <v>76.470588235294116</v>
      </c>
      <c r="L7" s="39"/>
      <c r="M7" s="39"/>
      <c r="N7" s="33"/>
      <c r="O7" s="1"/>
      <c r="P7" s="1"/>
      <c r="Q7" s="12"/>
      <c r="S7" s="3"/>
    </row>
    <row r="8" spans="1:23" ht="14.95" customHeight="1" thickBot="1" x14ac:dyDescent="0.3">
      <c r="A8" s="39" t="s">
        <v>713</v>
      </c>
      <c r="B8" s="39" t="s">
        <v>33</v>
      </c>
      <c r="C8" s="6">
        <f>Adejimisartries</f>
        <v>9</v>
      </c>
      <c r="D8" s="1" t="s">
        <v>259</v>
      </c>
      <c r="E8" s="1" t="s">
        <v>135</v>
      </c>
      <c r="F8" s="12">
        <f>Nelsonloupts</f>
        <v>68</v>
      </c>
      <c r="G8" s="18" t="s">
        <v>259</v>
      </c>
      <c r="H8" s="16" t="s">
        <v>135</v>
      </c>
      <c r="I8" s="68">
        <f>Nelsonlougls</f>
        <v>33</v>
      </c>
      <c r="J8" s="68">
        <f>nelsonlouatt</f>
        <v>47</v>
      </c>
      <c r="K8" s="99">
        <f>SUM(I8/J8)*100</f>
        <v>70.212765957446805</v>
      </c>
      <c r="L8" s="39"/>
      <c r="M8" s="39"/>
      <c r="N8" s="6"/>
      <c r="O8" s="1"/>
      <c r="P8" s="1"/>
      <c r="Q8" s="12"/>
      <c r="S8" s="3"/>
    </row>
    <row r="9" spans="1:23" ht="14.95" customHeight="1" thickBot="1" x14ac:dyDescent="0.3">
      <c r="A9" s="39" t="s">
        <v>414</v>
      </c>
      <c r="B9" s="39" t="s">
        <v>27</v>
      </c>
      <c r="C9" s="6">
        <f>Davidbritries</f>
        <v>9</v>
      </c>
      <c r="D9" s="1" t="s">
        <v>181</v>
      </c>
      <c r="E9" s="1" t="s">
        <v>27</v>
      </c>
      <c r="F9" s="12">
        <f>Ascherlbripts</f>
        <v>67</v>
      </c>
      <c r="G9" s="16" t="s">
        <v>205</v>
      </c>
      <c r="H9" s="16" t="s">
        <v>26</v>
      </c>
      <c r="I9" s="67">
        <f>becconsallexegls</f>
        <v>11</v>
      </c>
      <c r="J9" s="67">
        <f>becconsallexeatt</f>
        <v>16</v>
      </c>
      <c r="K9" s="99">
        <f>SUM(I9/J9)*100</f>
        <v>68.75</v>
      </c>
      <c r="L9" s="7"/>
      <c r="M9" s="39"/>
      <c r="N9" s="6"/>
      <c r="O9" s="10"/>
      <c r="P9" s="10"/>
      <c r="Q9" s="12"/>
      <c r="S9" s="3"/>
    </row>
    <row r="10" spans="1:23" ht="14.95" customHeight="1" thickBot="1" x14ac:dyDescent="0.3">
      <c r="A10" s="39" t="s">
        <v>328</v>
      </c>
      <c r="B10" s="39" t="s">
        <v>26</v>
      </c>
      <c r="C10" s="6">
        <f>Armanddontries</f>
        <v>8</v>
      </c>
      <c r="D10" s="1" t="s">
        <v>263</v>
      </c>
      <c r="E10" s="1" t="s">
        <v>33</v>
      </c>
      <c r="F10" s="12">
        <f>Dansarpts</f>
        <v>60</v>
      </c>
      <c r="G10" s="18" t="s">
        <v>711</v>
      </c>
      <c r="H10" s="16" t="s">
        <v>350</v>
      </c>
      <c r="I10" s="68">
        <f>Gallaghertfwgls</f>
        <v>18</v>
      </c>
      <c r="J10" s="68">
        <f>gallaghertfwatt</f>
        <v>27</v>
      </c>
      <c r="K10" s="17">
        <f>SUM(I10/J10)*100</f>
        <v>66.666666666666657</v>
      </c>
      <c r="L10" s="39"/>
      <c r="M10" s="39"/>
      <c r="N10" s="6"/>
      <c r="O10" s="1"/>
      <c r="P10" s="1"/>
      <c r="Q10" s="12"/>
      <c r="S10" s="3"/>
    </row>
    <row r="11" spans="1:23" ht="14.95" customHeight="1" thickBot="1" x14ac:dyDescent="0.3">
      <c r="A11" s="39" t="s">
        <v>721</v>
      </c>
      <c r="B11" s="39" t="s">
        <v>24</v>
      </c>
      <c r="C11" s="33">
        <f>Campbellsaltries</f>
        <v>8</v>
      </c>
      <c r="D11" s="1" t="s">
        <v>698</v>
      </c>
      <c r="E11" s="1" t="s">
        <v>24</v>
      </c>
      <c r="F11" s="13">
        <f>Lloydsalpts</f>
        <v>55</v>
      </c>
      <c r="G11" s="16" t="s">
        <v>202</v>
      </c>
      <c r="H11" s="16" t="s">
        <v>350</v>
      </c>
      <c r="I11" s="67">
        <f>Jones_Mtfwgls</f>
        <v>15</v>
      </c>
      <c r="J11" s="68">
        <f>Jones_Mtfwatt</f>
        <v>23</v>
      </c>
      <c r="K11" s="99">
        <f>SUM(I11/J11)*100</f>
        <v>65.217391304347828</v>
      </c>
      <c r="L11" s="39"/>
      <c r="M11" s="39"/>
      <c r="N11" s="6"/>
      <c r="O11" s="10"/>
      <c r="P11" s="10"/>
      <c r="Q11" s="11"/>
      <c r="S11" s="3"/>
    </row>
    <row r="12" spans="1:23" ht="14.95" customHeight="1" thickBot="1" x14ac:dyDescent="0.3">
      <c r="A12" s="39" t="s">
        <v>623</v>
      </c>
      <c r="B12" s="39" t="s">
        <v>135</v>
      </c>
      <c r="C12" s="6">
        <f>Kabeyaloutriescorrect</f>
        <v>8</v>
      </c>
      <c r="D12" s="1" t="s">
        <v>219</v>
      </c>
      <c r="E12" s="1" t="s">
        <v>23</v>
      </c>
      <c r="F12" s="12">
        <f>vennerglohpts</f>
        <v>55</v>
      </c>
      <c r="G12" s="238" t="s">
        <v>300</v>
      </c>
      <c r="H12" s="16" t="s">
        <v>25</v>
      </c>
      <c r="I12" s="239">
        <f>Cromackhargls</f>
        <v>24</v>
      </c>
      <c r="J12" s="236">
        <f>Cromackharatt</f>
        <v>37</v>
      </c>
      <c r="K12" s="237">
        <f>SUM(I12/J12)*100</f>
        <v>64.86486486486487</v>
      </c>
      <c r="L12" s="39"/>
      <c r="M12" s="39"/>
      <c r="N12" s="33"/>
      <c r="O12" s="1"/>
      <c r="P12" s="1"/>
      <c r="Q12" s="12"/>
      <c r="S12" s="3"/>
    </row>
    <row r="13" spans="1:23" ht="14.95" customHeight="1" thickBot="1" x14ac:dyDescent="0.3">
      <c r="A13" s="39" t="s">
        <v>695</v>
      </c>
      <c r="B13" s="39" t="s">
        <v>350</v>
      </c>
      <c r="C13" s="6">
        <f>Rollietfwtries</f>
        <v>8</v>
      </c>
      <c r="D13" s="10" t="s">
        <v>615</v>
      </c>
      <c r="E13" s="10" t="s">
        <v>24</v>
      </c>
      <c r="F13" s="12">
        <f>Duffysalpts</f>
        <v>52</v>
      </c>
      <c r="G13" s="16" t="s">
        <v>190</v>
      </c>
      <c r="H13" s="16" t="s">
        <v>135</v>
      </c>
      <c r="I13" s="67">
        <f>Rowlandlouglscorrect</f>
        <v>11</v>
      </c>
      <c r="J13" s="68">
        <f>Rowlandlouattcorrect</f>
        <v>17</v>
      </c>
      <c r="K13" s="17">
        <f>SUM(I13/J13)*100</f>
        <v>64.705882352941174</v>
      </c>
      <c r="L13" s="39"/>
      <c r="M13" s="39"/>
      <c r="N13" s="33"/>
      <c r="O13" s="1"/>
      <c r="P13" s="1"/>
      <c r="Q13" s="12"/>
      <c r="S13" s="3"/>
    </row>
    <row r="14" spans="1:23" ht="14.95" customHeight="1" thickBot="1" x14ac:dyDescent="0.3">
      <c r="A14" s="39" t="s">
        <v>206</v>
      </c>
      <c r="B14" s="39" t="s">
        <v>33</v>
      </c>
      <c r="C14" s="6">
        <f>Dalysartriescorrect</f>
        <v>7</v>
      </c>
      <c r="D14" s="10" t="s">
        <v>214</v>
      </c>
      <c r="E14" s="10" t="s">
        <v>350</v>
      </c>
      <c r="F14" s="11">
        <f>Dowtfrpts</f>
        <v>51</v>
      </c>
      <c r="G14" s="16" t="s">
        <v>615</v>
      </c>
      <c r="H14" s="16" t="s">
        <v>24</v>
      </c>
      <c r="I14" s="67">
        <f>Duffysalgls</f>
        <v>21</v>
      </c>
      <c r="J14" s="68">
        <f>duffysalatt</f>
        <v>33</v>
      </c>
      <c r="K14" s="17">
        <f>SUM(I14/J14)*100</f>
        <v>63.636363636363633</v>
      </c>
      <c r="L14" s="39"/>
      <c r="M14" s="39"/>
      <c r="N14" s="6"/>
      <c r="O14" s="240" t="s">
        <v>29</v>
      </c>
      <c r="P14" s="241"/>
      <c r="Q14" s="241"/>
      <c r="S14" s="3"/>
    </row>
    <row r="15" spans="1:23" ht="14.95" customHeight="1" thickBot="1" x14ac:dyDescent="0.3">
      <c r="A15" s="39" t="s">
        <v>424</v>
      </c>
      <c r="B15" s="39" t="s">
        <v>350</v>
      </c>
      <c r="C15" s="33">
        <f>Burtontfwtries</f>
        <v>7</v>
      </c>
      <c r="D15" s="1" t="s">
        <v>262</v>
      </c>
      <c r="E15" s="1" t="s">
        <v>135</v>
      </c>
      <c r="F15" s="12">
        <f>Westcombe_Evanslouptscorrect</f>
        <v>50</v>
      </c>
      <c r="G15" s="18" t="s">
        <v>442</v>
      </c>
      <c r="H15" s="16" t="s">
        <v>26</v>
      </c>
      <c r="I15" s="68">
        <f>jenkinsiexegls</f>
        <v>31</v>
      </c>
      <c r="J15" s="68">
        <f>jenkinsiexeatt</f>
        <v>49</v>
      </c>
      <c r="K15" s="17">
        <f>SUM(I15/J15)*100</f>
        <v>63.265306122448983</v>
      </c>
      <c r="L15" s="39"/>
      <c r="M15" s="39"/>
      <c r="N15" s="6"/>
      <c r="O15" s="74"/>
      <c r="S15" s="3"/>
    </row>
    <row r="16" spans="1:23" ht="14.95" customHeight="1" thickBot="1" x14ac:dyDescent="0.3">
      <c r="A16" s="39" t="s">
        <v>208</v>
      </c>
      <c r="B16" s="39" t="s">
        <v>33</v>
      </c>
      <c r="C16" s="6">
        <f>farrellsartriescorrect</f>
        <v>7</v>
      </c>
      <c r="D16" s="1" t="s">
        <v>506</v>
      </c>
      <c r="E16" s="1" t="s">
        <v>25</v>
      </c>
      <c r="F16" s="12">
        <f>Penaharpts</f>
        <v>47</v>
      </c>
      <c r="G16" s="16" t="s">
        <v>181</v>
      </c>
      <c r="H16" s="16" t="s">
        <v>27</v>
      </c>
      <c r="I16" s="67">
        <f>Bedlowbrigls</f>
        <v>23</v>
      </c>
      <c r="J16" s="68">
        <f>bedlowbriatt</f>
        <v>39</v>
      </c>
      <c r="K16" s="99">
        <f>SUM(I16/J16)*100</f>
        <v>58.974358974358978</v>
      </c>
      <c r="L16" s="39"/>
      <c r="M16" s="39"/>
      <c r="N16" s="6"/>
      <c r="S16" s="3"/>
    </row>
    <row r="17" spans="1:22" ht="14.95" customHeight="1" thickBot="1" x14ac:dyDescent="0.3">
      <c r="A17" s="39" t="s">
        <v>619</v>
      </c>
      <c r="B17" s="39" t="s">
        <v>33</v>
      </c>
      <c r="C17" s="6">
        <f>Corrigansartries</f>
        <v>7</v>
      </c>
      <c r="D17" s="1" t="s">
        <v>713</v>
      </c>
      <c r="E17" s="1" t="s">
        <v>33</v>
      </c>
      <c r="F17" s="12">
        <f>Adejimisarpts</f>
        <v>45</v>
      </c>
      <c r="G17" s="18" t="s">
        <v>319</v>
      </c>
      <c r="H17" s="97" t="s">
        <v>23</v>
      </c>
      <c r="I17" s="98">
        <f>chapmanglogls</f>
        <v>20</v>
      </c>
      <c r="J17" s="98">
        <f>chapmangloatt</f>
        <v>35</v>
      </c>
      <c r="K17" s="99">
        <f>SUM(I17/J17)*100</f>
        <v>57.142857142857139</v>
      </c>
      <c r="L17" s="39"/>
      <c r="M17" s="39"/>
      <c r="N17" s="33"/>
      <c r="S17" s="3"/>
    </row>
    <row r="18" spans="1:22" ht="14.95" customHeight="1" thickBot="1" x14ac:dyDescent="0.3">
      <c r="A18" s="39" t="s">
        <v>393</v>
      </c>
      <c r="B18" s="39" t="s">
        <v>27</v>
      </c>
      <c r="C18" s="33">
        <f>Daviesbritries</f>
        <v>7</v>
      </c>
      <c r="D18" s="1" t="s">
        <v>414</v>
      </c>
      <c r="E18" s="1" t="s">
        <v>27</v>
      </c>
      <c r="F18" s="12">
        <f>Davidbripts</f>
        <v>45</v>
      </c>
      <c r="G18" s="18" t="s">
        <v>506</v>
      </c>
      <c r="H18" s="16" t="s">
        <v>25</v>
      </c>
      <c r="I18" s="68">
        <f>Penahargls</f>
        <v>16</v>
      </c>
      <c r="J18" s="68">
        <f>penaharatt</f>
        <v>28</v>
      </c>
      <c r="K18" s="17">
        <f>SUM(I18/J18)*100</f>
        <v>57.142857142857139</v>
      </c>
      <c r="L18" s="39"/>
      <c r="M18" s="39"/>
      <c r="N18" s="6"/>
    </row>
    <row r="19" spans="1:22" ht="14.95" customHeight="1" thickBot="1" x14ac:dyDescent="0.3">
      <c r="A19" s="8" t="s">
        <v>408</v>
      </c>
      <c r="B19" s="8" t="s">
        <v>23</v>
      </c>
      <c r="C19" s="6">
        <f>Krielglotries</f>
        <v>7</v>
      </c>
      <c r="D19" s="1" t="s">
        <v>310</v>
      </c>
      <c r="E19" s="1" t="s">
        <v>350</v>
      </c>
      <c r="F19" s="12">
        <f>Inmantfrpts</f>
        <v>42</v>
      </c>
      <c r="G19" s="18" t="s">
        <v>700</v>
      </c>
      <c r="H19" s="16" t="s">
        <v>24</v>
      </c>
      <c r="I19" s="68">
        <f>Aitchisonsalgls</f>
        <v>13</v>
      </c>
      <c r="J19" s="68">
        <f>atichisonsalatt</f>
        <v>28</v>
      </c>
      <c r="K19" s="99">
        <f>SUM(I19/J19)*100</f>
        <v>46.428571428571431</v>
      </c>
      <c r="L19" s="39"/>
      <c r="M19" s="39"/>
      <c r="N19" s="6"/>
    </row>
    <row r="20" spans="1:22" ht="14.95" customHeight="1" thickBot="1" x14ac:dyDescent="0.3">
      <c r="A20" s="39" t="s">
        <v>587</v>
      </c>
      <c r="B20" s="39" t="s">
        <v>135</v>
      </c>
      <c r="C20" s="6">
        <f>Kelterloutries</f>
        <v>7</v>
      </c>
      <c r="D20" s="1" t="s">
        <v>328</v>
      </c>
      <c r="E20" s="1" t="s">
        <v>26</v>
      </c>
      <c r="F20" s="12">
        <f>Armanddonpts</f>
        <v>40</v>
      </c>
      <c r="G20" s="16" t="s">
        <v>368</v>
      </c>
      <c r="H20" s="16" t="s">
        <v>33</v>
      </c>
      <c r="I20" s="67">
        <f>MacDougallsargls</f>
        <v>9</v>
      </c>
      <c r="J20" s="68">
        <f>MacDougallsaratt</f>
        <v>20</v>
      </c>
      <c r="K20" s="17">
        <f>SUM(I20/J20)*100</f>
        <v>45</v>
      </c>
      <c r="L20" s="39"/>
      <c r="M20" s="39"/>
      <c r="N20" s="6"/>
    </row>
    <row r="21" spans="1:22" ht="14.95" customHeight="1" thickBot="1" x14ac:dyDescent="0.3">
      <c r="A21" s="39" t="s">
        <v>355</v>
      </c>
      <c r="B21" s="39" t="s">
        <v>25</v>
      </c>
      <c r="C21" s="33">
        <f>Kildunnehartries</f>
        <v>7</v>
      </c>
      <c r="D21" s="1" t="s">
        <v>721</v>
      </c>
      <c r="E21" s="1" t="s">
        <v>24</v>
      </c>
      <c r="F21" s="12">
        <f>Campbellsalpts</f>
        <v>40</v>
      </c>
      <c r="G21" s="18" t="s">
        <v>702</v>
      </c>
      <c r="H21" s="16" t="s">
        <v>163</v>
      </c>
      <c r="I21" s="68">
        <f>Bitterleigls</f>
        <v>4</v>
      </c>
      <c r="J21" s="68">
        <f>bitterleiatt</f>
        <v>11</v>
      </c>
      <c r="K21" s="17">
        <f>SUM(I21/J21)*100</f>
        <v>36.363636363636367</v>
      </c>
      <c r="L21" s="39"/>
      <c r="M21" s="39"/>
      <c r="N21" s="6"/>
    </row>
    <row r="22" spans="1:22" ht="14.95" customHeight="1" thickBot="1" x14ac:dyDescent="0.3">
      <c r="A22" s="39" t="s">
        <v>330</v>
      </c>
      <c r="B22" s="39" t="s">
        <v>23</v>
      </c>
      <c r="C22" s="6">
        <f>Seabrookglotries</f>
        <v>7</v>
      </c>
      <c r="D22" s="1" t="s">
        <v>319</v>
      </c>
      <c r="E22" s="1" t="s">
        <v>23</v>
      </c>
      <c r="F22" s="12">
        <f>Ford_Robinsonglopts</f>
        <v>40</v>
      </c>
      <c r="G22" s="16" t="s">
        <v>587</v>
      </c>
      <c r="H22" s="16" t="s">
        <v>135</v>
      </c>
      <c r="I22" s="67">
        <f>Kelterlouyrgls</f>
        <v>1</v>
      </c>
      <c r="J22" s="150">
        <f>Kelterlouyratt</f>
        <v>1</v>
      </c>
      <c r="K22" s="99">
        <f>SUM(I22/J22)*100</f>
        <v>100</v>
      </c>
      <c r="L22" s="39"/>
      <c r="M22" s="39"/>
      <c r="N22" s="6"/>
    </row>
    <row r="23" spans="1:22" ht="14.95" customHeight="1" thickBot="1" x14ac:dyDescent="0.3">
      <c r="A23" s="39" t="s">
        <v>760</v>
      </c>
      <c r="B23" s="39" t="s">
        <v>25</v>
      </c>
      <c r="C23" s="33">
        <f>Wedervanghartries</f>
        <v>7</v>
      </c>
      <c r="D23" s="10" t="s">
        <v>202</v>
      </c>
      <c r="E23" s="10" t="s">
        <v>350</v>
      </c>
      <c r="F23" s="12">
        <f>Jones_Mtfwpts</f>
        <v>40</v>
      </c>
      <c r="G23" s="18" t="s">
        <v>176</v>
      </c>
      <c r="H23" s="16" t="s">
        <v>26</v>
      </c>
      <c r="I23" s="68">
        <f>Nigrelliexegls</f>
        <v>1</v>
      </c>
      <c r="J23" s="150">
        <f>Nigrelliexeatt</f>
        <v>1</v>
      </c>
      <c r="K23" s="17">
        <f>SUM(I23/J23)*100</f>
        <v>100</v>
      </c>
      <c r="L23" s="39"/>
      <c r="M23" s="39"/>
      <c r="N23" s="6"/>
      <c r="V23" t="s">
        <v>14</v>
      </c>
    </row>
    <row r="24" spans="1:22" ht="14.95" customHeight="1" thickBot="1" x14ac:dyDescent="0.3">
      <c r="A24" s="39" t="s">
        <v>174</v>
      </c>
      <c r="B24" s="39" t="s">
        <v>27</v>
      </c>
      <c r="C24" s="33">
        <f>Armstrongbritries</f>
        <v>6</v>
      </c>
      <c r="D24" s="1" t="s">
        <v>623</v>
      </c>
      <c r="E24" s="1" t="s">
        <v>135</v>
      </c>
      <c r="F24" s="12">
        <f>Kabeyalouptscorrect</f>
        <v>40</v>
      </c>
      <c r="G24" s="16" t="s">
        <v>738</v>
      </c>
      <c r="H24" s="16" t="s">
        <v>27</v>
      </c>
      <c r="I24" s="67">
        <f>Skusebrigls</f>
        <v>1</v>
      </c>
      <c r="J24" s="150">
        <f>+Skusebriatt</f>
        <v>1</v>
      </c>
      <c r="K24" s="99">
        <f>SUM(I24/J24)*100</f>
        <v>100</v>
      </c>
      <c r="L24" s="39"/>
      <c r="M24" s="39"/>
      <c r="N24" s="6"/>
    </row>
    <row r="25" spans="1:22" ht="14.95" customHeight="1" thickBot="1" x14ac:dyDescent="0.3">
      <c r="A25" s="39" t="s">
        <v>315</v>
      </c>
      <c r="B25" s="39" t="s">
        <v>33</v>
      </c>
      <c r="C25" s="6">
        <f>Georgesartriescorrect</f>
        <v>6</v>
      </c>
      <c r="D25" s="1" t="s">
        <v>695</v>
      </c>
      <c r="E25" s="1" t="s">
        <v>350</v>
      </c>
      <c r="F25" s="12">
        <f>Rollietfwpts</f>
        <v>40</v>
      </c>
      <c r="G25" s="16" t="s">
        <v>598</v>
      </c>
      <c r="H25" s="16" t="s">
        <v>350</v>
      </c>
      <c r="I25" s="67">
        <f>Taylortfwgls</f>
        <v>1</v>
      </c>
      <c r="J25" s="150">
        <f>Taylortfwatt</f>
        <v>1</v>
      </c>
      <c r="K25" s="17">
        <f>SUM(I25/J25)*100</f>
        <v>100</v>
      </c>
      <c r="L25" s="39"/>
      <c r="M25" s="39"/>
      <c r="N25" s="4"/>
    </row>
    <row r="26" spans="1:22" ht="14.95" customHeight="1" thickBot="1" x14ac:dyDescent="0.3">
      <c r="A26" s="39" t="s">
        <v>415</v>
      </c>
      <c r="B26" s="39" t="s">
        <v>24</v>
      </c>
      <c r="C26" s="6">
        <f>Cokaynesaltries</f>
        <v>6</v>
      </c>
      <c r="D26" s="1" t="s">
        <v>587</v>
      </c>
      <c r="E26" s="1" t="s">
        <v>135</v>
      </c>
      <c r="F26" s="12">
        <f>Kelterloupts</f>
        <v>37</v>
      </c>
      <c r="G26" s="16" t="s">
        <v>145</v>
      </c>
      <c r="H26" s="16" t="s">
        <v>24</v>
      </c>
      <c r="I26" s="67">
        <f>Irwin_V_Asalgls</f>
        <v>2</v>
      </c>
      <c r="J26" s="150">
        <f>irwinvasalatt</f>
        <v>3</v>
      </c>
      <c r="K26" s="17">
        <f>SUM(I26/J26)*100</f>
        <v>66.666666666666657</v>
      </c>
      <c r="L26" s="39"/>
      <c r="M26" s="39"/>
      <c r="N26" s="6"/>
    </row>
    <row r="27" spans="1:22" ht="14.95" customHeight="1" thickBot="1" x14ac:dyDescent="0.3">
      <c r="A27" s="39" t="s">
        <v>93</v>
      </c>
      <c r="B27" s="39" t="s">
        <v>23</v>
      </c>
      <c r="C27" s="6">
        <f>Morrisglotries</f>
        <v>6</v>
      </c>
      <c r="D27" s="1" t="s">
        <v>206</v>
      </c>
      <c r="E27" s="1" t="s">
        <v>33</v>
      </c>
      <c r="F27" s="12">
        <f>Dalysarptscorrect</f>
        <v>35</v>
      </c>
      <c r="G27" s="16" t="s">
        <v>217</v>
      </c>
      <c r="H27" s="16" t="s">
        <v>163</v>
      </c>
      <c r="I27" s="67">
        <f>Feuryleigls</f>
        <v>5</v>
      </c>
      <c r="J27" s="150">
        <f>feuryleiatt</f>
        <v>8</v>
      </c>
      <c r="K27" s="17">
        <f>SUM(I27/J27)*100</f>
        <v>62.5</v>
      </c>
      <c r="L27" s="39"/>
      <c r="M27" s="39"/>
      <c r="N27" s="6"/>
    </row>
    <row r="28" spans="1:22" ht="14.95" customHeight="1" thickBot="1" x14ac:dyDescent="0.3">
      <c r="A28" s="39" t="s">
        <v>172</v>
      </c>
      <c r="B28" s="39" t="s">
        <v>27</v>
      </c>
      <c r="C28" s="6">
        <f>Fenbylitries</f>
        <v>6</v>
      </c>
      <c r="D28" s="1" t="s">
        <v>424</v>
      </c>
      <c r="E28" s="1" t="s">
        <v>350</v>
      </c>
      <c r="F28" s="12">
        <f>Burtontfwpts</f>
        <v>35</v>
      </c>
      <c r="G28" s="16" t="s">
        <v>707</v>
      </c>
      <c r="H28" s="16" t="s">
        <v>27</v>
      </c>
      <c r="I28" s="67">
        <f>evansbrigls</f>
        <v>1</v>
      </c>
      <c r="J28" s="150">
        <f>evansbriatt</f>
        <v>2</v>
      </c>
      <c r="K28" s="99">
        <f>SUM(I28/J28)*100</f>
        <v>50</v>
      </c>
      <c r="L28" s="39"/>
      <c r="M28" s="39"/>
      <c r="N28" s="6"/>
    </row>
    <row r="29" spans="1:22" ht="14.95" customHeight="1" thickBot="1" x14ac:dyDescent="0.3">
      <c r="A29" s="39" t="s">
        <v>317</v>
      </c>
      <c r="B29" s="39" t="s">
        <v>26</v>
      </c>
      <c r="C29" s="6">
        <f>Maunderexetries</f>
        <v>6</v>
      </c>
      <c r="D29" s="1" t="s">
        <v>208</v>
      </c>
      <c r="E29" s="1" t="s">
        <v>33</v>
      </c>
      <c r="F29" s="12">
        <f>Farrellsarptscorrect</f>
        <v>35</v>
      </c>
      <c r="G29" s="18" t="s">
        <v>751</v>
      </c>
      <c r="H29" s="16" t="s">
        <v>27</v>
      </c>
      <c r="I29" s="68">
        <f>Demantbrigls</f>
        <v>2</v>
      </c>
      <c r="J29" s="150">
        <f>demantbriatt</f>
        <v>5</v>
      </c>
      <c r="K29" s="17">
        <f>SUM(I29/J29)*100</f>
        <v>40</v>
      </c>
      <c r="L29" s="7"/>
      <c r="M29" s="39"/>
      <c r="N29" s="6"/>
    </row>
    <row r="30" spans="1:22" ht="14.95" customHeight="1" thickBot="1" x14ac:dyDescent="0.3">
      <c r="A30" s="39" t="s">
        <v>389</v>
      </c>
      <c r="B30" s="39" t="s">
        <v>23</v>
      </c>
      <c r="C30" s="4">
        <f>Terryglotries</f>
        <v>6</v>
      </c>
      <c r="D30" s="1" t="s">
        <v>619</v>
      </c>
      <c r="E30" s="1" t="s">
        <v>33</v>
      </c>
      <c r="F30" s="12">
        <f>Corrigansarpts</f>
        <v>35</v>
      </c>
      <c r="G30" s="16" t="s">
        <v>432</v>
      </c>
      <c r="H30" s="16" t="s">
        <v>27</v>
      </c>
      <c r="I30" s="67">
        <f>heskethbrigls</f>
        <v>1</v>
      </c>
      <c r="J30" s="150">
        <f>heskethbriatt</f>
        <v>3</v>
      </c>
      <c r="K30" s="99">
        <f>SUM(I30/J30)*100</f>
        <v>33.333333333333329</v>
      </c>
      <c r="L30" s="240" t="s">
        <v>29</v>
      </c>
      <c r="M30" s="241"/>
      <c r="N30" s="241"/>
    </row>
    <row r="31" spans="1:22" ht="14.95" customHeight="1" thickBot="1" x14ac:dyDescent="0.3">
      <c r="A31" s="39" t="s">
        <v>302</v>
      </c>
      <c r="B31" s="39" t="s">
        <v>26</v>
      </c>
      <c r="C31" s="6">
        <f>Tessierexetries</f>
        <v>6</v>
      </c>
      <c r="D31" s="1" t="s">
        <v>393</v>
      </c>
      <c r="E31" s="1" t="s">
        <v>27</v>
      </c>
      <c r="F31" s="13">
        <f>Daviesbripts</f>
        <v>35</v>
      </c>
      <c r="G31" s="18" t="s">
        <v>400</v>
      </c>
      <c r="H31" s="97" t="s">
        <v>23</v>
      </c>
      <c r="I31" s="98">
        <f>evanslglogoals</f>
        <v>1</v>
      </c>
      <c r="J31" s="171">
        <f>evanslgloatt</f>
        <v>5</v>
      </c>
      <c r="K31" s="99">
        <f>SUM(I31/J31)*100</f>
        <v>20</v>
      </c>
    </row>
    <row r="32" spans="1:22" ht="14.95" customHeight="1" thickBot="1" x14ac:dyDescent="0.3">
      <c r="A32" s="39" t="s">
        <v>499</v>
      </c>
      <c r="B32" s="39" t="s">
        <v>25</v>
      </c>
      <c r="C32" s="33">
        <f>Konkel_Robertshartries</f>
        <v>5</v>
      </c>
      <c r="D32" s="1" t="s">
        <v>408</v>
      </c>
      <c r="E32" s="1" t="s">
        <v>23</v>
      </c>
      <c r="F32" s="12">
        <f>Krielglopts</f>
        <v>35</v>
      </c>
      <c r="G32" s="18" t="s">
        <v>736</v>
      </c>
      <c r="H32" s="16" t="s">
        <v>163</v>
      </c>
      <c r="I32" s="68">
        <f>Relfleigls</f>
        <v>0</v>
      </c>
      <c r="J32" s="150">
        <f>relfleiatt</f>
        <v>1</v>
      </c>
      <c r="K32" s="17">
        <f>SUM(I32/J32)*100</f>
        <v>0</v>
      </c>
    </row>
    <row r="33" spans="1:15" ht="14.95" customHeight="1" thickBot="1" x14ac:dyDescent="0.3">
      <c r="A33" s="39" t="s">
        <v>381</v>
      </c>
      <c r="B33" s="39" t="s">
        <v>23</v>
      </c>
      <c r="C33" s="4">
        <f>Slaterglotries</f>
        <v>5</v>
      </c>
      <c r="D33" s="1" t="s">
        <v>355</v>
      </c>
      <c r="E33" s="1" t="s">
        <v>25</v>
      </c>
      <c r="F33" s="12">
        <f>Kildunneharpts</f>
        <v>35</v>
      </c>
      <c r="G33" s="16" t="s">
        <v>327</v>
      </c>
      <c r="H33" s="16" t="s">
        <v>26</v>
      </c>
      <c r="I33" s="67">
        <f>Sinclairexegls</f>
        <v>0</v>
      </c>
      <c r="J33" s="150">
        <f>Sinclairexeatt</f>
        <v>1</v>
      </c>
      <c r="K33" s="99">
        <f>SUM(I33/J33)*100</f>
        <v>0</v>
      </c>
    </row>
    <row r="34" spans="1:15" ht="14.95" customHeight="1" thickBot="1" x14ac:dyDescent="0.3">
      <c r="A34" s="39" t="s">
        <v>434</v>
      </c>
      <c r="B34" s="39" t="s">
        <v>27</v>
      </c>
      <c r="C34" s="6">
        <f>Kerrbritries</f>
        <v>5</v>
      </c>
      <c r="D34" s="1" t="s">
        <v>330</v>
      </c>
      <c r="E34" s="1" t="s">
        <v>23</v>
      </c>
      <c r="F34" s="12">
        <f>Seabrookglopts</f>
        <v>35</v>
      </c>
      <c r="G34" s="18" t="s">
        <v>328</v>
      </c>
      <c r="H34" s="16" t="s">
        <v>26</v>
      </c>
      <c r="I34" s="68" t="str">
        <f>AllenEXEGLS</f>
        <v>-</v>
      </c>
      <c r="J34" s="150" t="str">
        <f>ALLENEXEATT</f>
        <v>-</v>
      </c>
      <c r="K34" s="17"/>
    </row>
    <row r="35" spans="1:15" ht="14.95" customHeight="1" thickBot="1" x14ac:dyDescent="0.3">
      <c r="A35" s="39" t="s">
        <v>618</v>
      </c>
      <c r="B35" s="39" t="s">
        <v>25</v>
      </c>
      <c r="C35" s="6">
        <f>Parryhartries</f>
        <v>5</v>
      </c>
      <c r="D35" s="1" t="s">
        <v>760</v>
      </c>
      <c r="E35" s="1" t="s">
        <v>25</v>
      </c>
      <c r="F35" s="12">
        <f>Wedervangharpts</f>
        <v>35</v>
      </c>
      <c r="G35" s="16" t="s">
        <v>367</v>
      </c>
      <c r="H35" s="16" t="s">
        <v>33</v>
      </c>
      <c r="I35" s="67" t="str">
        <f>Blacklocksargls</f>
        <v>-</v>
      </c>
      <c r="J35" s="150" t="str">
        <f>blacklocksaratt</f>
        <v>-</v>
      </c>
      <c r="K35" s="99"/>
    </row>
    <row r="36" spans="1:15" ht="14.95" customHeight="1" thickBot="1" x14ac:dyDescent="0.3">
      <c r="A36" s="39" t="s">
        <v>356</v>
      </c>
      <c r="B36" s="39" t="s">
        <v>26</v>
      </c>
      <c r="C36" s="6">
        <f>Sioexetries</f>
        <v>5</v>
      </c>
      <c r="D36" s="1" t="s">
        <v>626</v>
      </c>
      <c r="E36" s="1" t="s">
        <v>33</v>
      </c>
      <c r="F36" s="12">
        <f>Morrissarptscorrect</f>
        <v>33</v>
      </c>
      <c r="G36" s="16" t="s">
        <v>292</v>
      </c>
      <c r="H36" s="16" t="s">
        <v>135</v>
      </c>
      <c r="I36" s="67" t="str">
        <f>Daveylougls</f>
        <v>-</v>
      </c>
      <c r="J36" s="150" t="str">
        <f>daveylouatt</f>
        <v>-</v>
      </c>
      <c r="K36" s="99"/>
    </row>
    <row r="37" spans="1:15" ht="14.95" customHeight="1" thickBot="1" x14ac:dyDescent="0.3">
      <c r="A37" s="39" t="s">
        <v>223</v>
      </c>
      <c r="B37" s="39" t="s">
        <v>23</v>
      </c>
      <c r="C37" s="6">
        <f>Singglotries</f>
        <v>5</v>
      </c>
      <c r="D37" s="1" t="s">
        <v>174</v>
      </c>
      <c r="E37" s="1" t="s">
        <v>27</v>
      </c>
      <c r="F37" s="12">
        <f>Armstrongbripts</f>
        <v>30</v>
      </c>
      <c r="G37" s="18" t="s">
        <v>186</v>
      </c>
      <c r="H37" s="16" t="s">
        <v>33</v>
      </c>
      <c r="I37" s="68" t="str">
        <f>dehaassargls</f>
        <v>-</v>
      </c>
      <c r="J37" s="150" t="str">
        <f>dehaassaratt</f>
        <v>-</v>
      </c>
      <c r="K37" s="99"/>
    </row>
    <row r="38" spans="1:15" ht="14.95" customHeight="1" thickBot="1" x14ac:dyDescent="0.3">
      <c r="A38" s="39" t="s">
        <v>581</v>
      </c>
      <c r="B38" s="39" t="s">
        <v>135</v>
      </c>
      <c r="C38" s="33">
        <f>Taskerloutries</f>
        <v>5</v>
      </c>
      <c r="D38" s="1" t="s">
        <v>315</v>
      </c>
      <c r="E38" s="1" t="s">
        <v>33</v>
      </c>
      <c r="F38" s="12">
        <f>Georgesarptscorrect</f>
        <v>30</v>
      </c>
      <c r="G38" s="16" t="s">
        <v>573</v>
      </c>
      <c r="H38" s="16" t="s">
        <v>23</v>
      </c>
      <c r="I38" s="67" t="str">
        <f>Greenglogls</f>
        <v>-</v>
      </c>
      <c r="J38" s="150" t="str">
        <f>greengloatt</f>
        <v>-</v>
      </c>
      <c r="K38" s="17"/>
    </row>
    <row r="39" spans="1:15" ht="14.95" customHeight="1" thickBot="1" x14ac:dyDescent="0.3">
      <c r="A39" s="39" t="s">
        <v>604</v>
      </c>
      <c r="B39" s="39" t="s">
        <v>350</v>
      </c>
      <c r="C39" s="6">
        <f>Whitetfwtries</f>
        <v>5</v>
      </c>
      <c r="D39" s="1" t="s">
        <v>415</v>
      </c>
      <c r="E39" s="1" t="s">
        <v>24</v>
      </c>
      <c r="F39" s="12">
        <f>Cokaynesalpts</f>
        <v>30</v>
      </c>
      <c r="G39" s="16" t="s">
        <v>592</v>
      </c>
      <c r="H39" s="16" t="s">
        <v>33</v>
      </c>
      <c r="I39" s="67" t="str">
        <f>Linkinssargls</f>
        <v>-</v>
      </c>
      <c r="J39" s="150" t="str">
        <f>Linkinssaratt</f>
        <v>-</v>
      </c>
      <c r="K39" s="17"/>
    </row>
    <row r="40" spans="1:15" ht="14.95" customHeight="1" thickBot="1" x14ac:dyDescent="0.3">
      <c r="A40" s="39" t="s">
        <v>383</v>
      </c>
      <c r="B40" s="39" t="s">
        <v>25</v>
      </c>
      <c r="C40" s="6">
        <f>Auckenhartries</f>
        <v>4</v>
      </c>
      <c r="D40" s="1" t="s">
        <v>93</v>
      </c>
      <c r="E40" s="1" t="s">
        <v>23</v>
      </c>
      <c r="F40" s="12">
        <f>Morrisglopts</f>
        <v>30</v>
      </c>
      <c r="G40" s="16" t="s">
        <v>44</v>
      </c>
      <c r="H40" s="16" t="s">
        <v>27</v>
      </c>
      <c r="I40" s="67" t="str">
        <f>lovibondbrigls</f>
        <v>-</v>
      </c>
      <c r="J40" s="150" t="str">
        <f>lovibondbriatt</f>
        <v>-</v>
      </c>
      <c r="K40" s="99"/>
      <c r="L40" s="30" t="s">
        <v>14</v>
      </c>
    </row>
    <row r="41" spans="1:15" ht="14.95" customHeight="1" thickBot="1" x14ac:dyDescent="0.3">
      <c r="A41" s="39" t="s">
        <v>178</v>
      </c>
      <c r="B41" s="93" t="s">
        <v>27</v>
      </c>
      <c r="C41" s="6">
        <f>Armstrongjakebritries</f>
        <v>4</v>
      </c>
      <c r="D41" s="1" t="s">
        <v>172</v>
      </c>
      <c r="E41" s="1" t="s">
        <v>27</v>
      </c>
      <c r="F41" s="12">
        <f>Fenbylipts</f>
        <v>30</v>
      </c>
      <c r="G41" s="16" t="s">
        <v>413</v>
      </c>
      <c r="H41" s="16" t="s">
        <v>33</v>
      </c>
      <c r="I41" s="67" t="str">
        <f>McKennasaryrgls</f>
        <v>-</v>
      </c>
      <c r="J41" s="150" t="str">
        <f>mckennasaryratt</f>
        <v>-</v>
      </c>
      <c r="K41" s="99"/>
    </row>
    <row r="42" spans="1:15" ht="14.95" customHeight="1" thickBot="1" x14ac:dyDescent="0.3">
      <c r="A42" s="93" t="s">
        <v>181</v>
      </c>
      <c r="B42" s="7" t="s">
        <v>27</v>
      </c>
      <c r="C42" s="6">
        <f>Ascherlbritries</f>
        <v>4</v>
      </c>
      <c r="D42" s="1" t="s">
        <v>317</v>
      </c>
      <c r="E42" s="1" t="s">
        <v>26</v>
      </c>
      <c r="F42" s="12">
        <f>Maunderexepts</f>
        <v>30</v>
      </c>
      <c r="G42" s="18" t="s">
        <v>407</v>
      </c>
      <c r="H42" s="16" t="s">
        <v>163</v>
      </c>
      <c r="I42" s="68" t="str">
        <f>Nicholasleigls</f>
        <v>-</v>
      </c>
      <c r="J42" s="150" t="str">
        <f>Nicholasleiatt</f>
        <v>-</v>
      </c>
      <c r="K42" s="17"/>
      <c r="O42" s="30" t="s">
        <v>14</v>
      </c>
    </row>
    <row r="43" spans="1:15" ht="14.95" customHeight="1" thickBot="1" x14ac:dyDescent="0.3">
      <c r="A43" s="7" t="s">
        <v>719</v>
      </c>
      <c r="B43" s="39" t="s">
        <v>350</v>
      </c>
      <c r="C43" s="6">
        <f>Borlandtfwtries</f>
        <v>4</v>
      </c>
      <c r="D43" s="1" t="s">
        <v>389</v>
      </c>
      <c r="E43" s="1" t="s">
        <v>23</v>
      </c>
      <c r="F43" s="12">
        <f>Terryglopts</f>
        <v>30</v>
      </c>
      <c r="G43" s="18" t="s">
        <v>507</v>
      </c>
      <c r="H43" s="16" t="s">
        <v>25</v>
      </c>
      <c r="I43" s="68" t="str">
        <f>Powell_Khargls</f>
        <v>-</v>
      </c>
      <c r="J43" s="150" t="str">
        <f>Powell_Kharatt</f>
        <v>-</v>
      </c>
      <c r="K43" s="17"/>
    </row>
    <row r="44" spans="1:15" ht="14.95" customHeight="1" thickBot="1" x14ac:dyDescent="0.3">
      <c r="A44" s="39" t="s">
        <v>613</v>
      </c>
      <c r="B44" s="39" t="s">
        <v>135</v>
      </c>
      <c r="C44" s="6">
        <f>Calladineloutries</f>
        <v>4</v>
      </c>
      <c r="D44" s="1" t="s">
        <v>302</v>
      </c>
      <c r="E44" s="1" t="s">
        <v>26</v>
      </c>
      <c r="F44" s="12">
        <f>Tessierexepts</f>
        <v>30</v>
      </c>
      <c r="G44" s="18" t="s">
        <v>184</v>
      </c>
      <c r="H44" s="16" t="s">
        <v>24</v>
      </c>
      <c r="I44" s="68" t="str">
        <f>Rigonisalgls</f>
        <v>-</v>
      </c>
      <c r="J44" s="150" t="str">
        <f>rigonisalatt</f>
        <v>-</v>
      </c>
      <c r="K44" s="99"/>
    </row>
    <row r="45" spans="1:15" ht="14.95" customHeight="1" thickBot="1" x14ac:dyDescent="0.3">
      <c r="A45" s="39" t="s">
        <v>576</v>
      </c>
      <c r="B45" s="39" t="s">
        <v>24</v>
      </c>
      <c r="C45" s="33">
        <f>Childssaltries</f>
        <v>4</v>
      </c>
      <c r="D45" s="1" t="s">
        <v>700</v>
      </c>
      <c r="E45" s="1" t="s">
        <v>24</v>
      </c>
      <c r="F45" s="12">
        <f>Aitchisonsalpts</f>
        <v>26</v>
      </c>
      <c r="G45" s="18" t="s">
        <v>197</v>
      </c>
      <c r="H45" s="16" t="s">
        <v>26</v>
      </c>
      <c r="I45" s="68" t="str">
        <f>Robinson_Fexegls</f>
        <v>-</v>
      </c>
      <c r="J45" s="150" t="str">
        <f>robinsonfexexattcorrect</f>
        <v>-</v>
      </c>
      <c r="K45" s="17"/>
    </row>
    <row r="46" spans="1:15" ht="14.95" customHeight="1" thickBot="1" x14ac:dyDescent="0.3">
      <c r="A46" s="39" t="s">
        <v>300</v>
      </c>
      <c r="B46" s="39" t="s">
        <v>25</v>
      </c>
      <c r="C46" s="6">
        <f>CromackHARTRIES</f>
        <v>4</v>
      </c>
      <c r="D46" s="1" t="s">
        <v>217</v>
      </c>
      <c r="E46" s="1" t="s">
        <v>163</v>
      </c>
      <c r="F46" s="12">
        <f>Feuryglopts</f>
        <v>26</v>
      </c>
      <c r="G46" s="16" t="s">
        <v>324</v>
      </c>
      <c r="H46" s="16" t="s">
        <v>350</v>
      </c>
      <c r="I46" s="67" t="str">
        <f>SchellTFWGLS</f>
        <v>-</v>
      </c>
      <c r="J46" s="150" t="str">
        <f>SCHELLTFWATT</f>
        <v>-</v>
      </c>
      <c r="K46" s="99"/>
    </row>
    <row r="47" spans="1:15" ht="14.95" customHeight="1" thickBot="1" x14ac:dyDescent="0.3">
      <c r="A47" s="39" t="s">
        <v>706</v>
      </c>
      <c r="B47" s="39" t="s">
        <v>23</v>
      </c>
      <c r="C47" s="6">
        <f>Dallavalleglotries</f>
        <v>4</v>
      </c>
      <c r="D47" s="1" t="s">
        <v>499</v>
      </c>
      <c r="E47" s="1" t="s">
        <v>25</v>
      </c>
      <c r="F47" s="12">
        <f>Konkel_Robertsharpts</f>
        <v>25</v>
      </c>
      <c r="G47" s="16" t="s">
        <v>302</v>
      </c>
      <c r="H47" s="16" t="s">
        <v>26</v>
      </c>
      <c r="I47" s="67" t="str">
        <f>Tessierexegls</f>
        <v>-</v>
      </c>
      <c r="J47" s="150" t="str">
        <f>tessierexeatt</f>
        <v>-</v>
      </c>
      <c r="K47" s="17"/>
    </row>
    <row r="48" spans="1:15" ht="14.95" customHeight="1" thickBot="1" x14ac:dyDescent="0.3">
      <c r="A48" s="39" t="s">
        <v>370</v>
      </c>
      <c r="B48" s="39" t="s">
        <v>33</v>
      </c>
      <c r="C48" s="6">
        <f>Fieldsartries</f>
        <v>4</v>
      </c>
      <c r="D48" s="1" t="s">
        <v>381</v>
      </c>
      <c r="E48" s="1" t="s">
        <v>23</v>
      </c>
      <c r="F48" s="12">
        <f>Slaterglopts</f>
        <v>25</v>
      </c>
      <c r="G48" s="18" t="s">
        <v>597</v>
      </c>
      <c r="H48" s="16" t="s">
        <v>350</v>
      </c>
      <c r="I48" s="68" t="str">
        <f>Thomsonliztfwgls</f>
        <v>-</v>
      </c>
      <c r="J48" s="150" t="str">
        <f>thomsonliztfwatt</f>
        <v>-</v>
      </c>
      <c r="K48" s="17"/>
    </row>
    <row r="49" spans="1:11" ht="14.95" customHeight="1" thickBot="1" x14ac:dyDescent="0.3">
      <c r="A49" s="39" t="s">
        <v>314</v>
      </c>
      <c r="B49" s="39" t="s">
        <v>135</v>
      </c>
      <c r="C49" s="6">
        <f>Hibbert_Jonesloutries</f>
        <v>4</v>
      </c>
      <c r="D49" s="1" t="s">
        <v>434</v>
      </c>
      <c r="E49" s="1" t="s">
        <v>27</v>
      </c>
      <c r="F49" s="12">
        <f>Kerrbripts</f>
        <v>25</v>
      </c>
      <c r="G49" s="16" t="s">
        <v>195</v>
      </c>
      <c r="H49" s="16" t="s">
        <v>25</v>
      </c>
      <c r="I49" s="67" t="str">
        <f>Tuimahargls</f>
        <v>-</v>
      </c>
      <c r="J49" s="150" t="str">
        <f>tuimaharatt</f>
        <v>-</v>
      </c>
      <c r="K49" s="17"/>
    </row>
    <row r="50" spans="1:11" ht="14.95" customHeight="1" thickBot="1" x14ac:dyDescent="0.3">
      <c r="A50" s="39" t="s">
        <v>696</v>
      </c>
      <c r="B50" s="39" t="s">
        <v>24</v>
      </c>
      <c r="C50" s="6">
        <f>Kellysaltries</f>
        <v>4</v>
      </c>
      <c r="D50" s="1" t="s">
        <v>618</v>
      </c>
      <c r="E50" s="1" t="s">
        <v>25</v>
      </c>
      <c r="F50" s="12">
        <f>Parryharpts</f>
        <v>25</v>
      </c>
      <c r="G50" s="51" t="s">
        <v>722</v>
      </c>
    </row>
    <row r="51" spans="1:11" ht="14.95" customHeight="1" thickBot="1" x14ac:dyDescent="0.3">
      <c r="A51" s="39" t="s">
        <v>594</v>
      </c>
      <c r="B51" s="39" t="s">
        <v>350</v>
      </c>
      <c r="C51" s="6">
        <f>Laflintfwtries</f>
        <v>4</v>
      </c>
      <c r="D51" s="1" t="s">
        <v>356</v>
      </c>
      <c r="E51" s="1" t="s">
        <v>26</v>
      </c>
      <c r="F51" s="12">
        <f>Sioexepts</f>
        <v>25</v>
      </c>
    </row>
    <row r="52" spans="1:11" ht="14.95" customHeight="1" thickBot="1" x14ac:dyDescent="0.3">
      <c r="A52" s="39" t="s">
        <v>724</v>
      </c>
      <c r="B52" s="39" t="s">
        <v>25</v>
      </c>
      <c r="C52" s="33">
        <f>Millar_Millshartries</f>
        <v>4</v>
      </c>
      <c r="D52" s="1" t="s">
        <v>581</v>
      </c>
      <c r="E52" s="1" t="s">
        <v>135</v>
      </c>
      <c r="F52" s="12">
        <f>Taskerloupts</f>
        <v>25</v>
      </c>
    </row>
    <row r="53" spans="1:11" ht="14.95" customHeight="1" thickBot="1" x14ac:dyDescent="0.3">
      <c r="A53" s="39" t="s">
        <v>678</v>
      </c>
      <c r="B53" s="39" t="s">
        <v>26</v>
      </c>
      <c r="C53" s="6">
        <f>Moloney_MacDonald_Claudiaexetries</f>
        <v>4</v>
      </c>
      <c r="D53" s="1" t="s">
        <v>604</v>
      </c>
      <c r="E53" s="1" t="s">
        <v>350</v>
      </c>
      <c r="F53" s="12">
        <f>Whitetfwpts</f>
        <v>25</v>
      </c>
    </row>
    <row r="54" spans="1:11" ht="14.95" customHeight="1" thickBot="1" x14ac:dyDescent="0.3">
      <c r="A54" s="39" t="s">
        <v>677</v>
      </c>
      <c r="B54" s="39" t="s">
        <v>26</v>
      </c>
      <c r="C54" s="6">
        <f>mummtries</f>
        <v>4</v>
      </c>
      <c r="D54" s="1" t="s">
        <v>205</v>
      </c>
      <c r="E54" s="1" t="s">
        <v>26</v>
      </c>
      <c r="F54" s="12">
        <f>Carrick_Smithexepts</f>
        <v>22</v>
      </c>
    </row>
    <row r="55" spans="1:11" ht="14.95" customHeight="1" thickBot="1" x14ac:dyDescent="0.3">
      <c r="A55" s="39" t="s">
        <v>395</v>
      </c>
      <c r="B55" s="39" t="s">
        <v>23</v>
      </c>
      <c r="C55" s="6">
        <f>Stanleyglotries</f>
        <v>4</v>
      </c>
      <c r="D55" s="1" t="s">
        <v>190</v>
      </c>
      <c r="E55" s="1" t="s">
        <v>135</v>
      </c>
      <c r="F55" s="12">
        <f>Rowlandlouptscorrect</f>
        <v>22</v>
      </c>
    </row>
    <row r="56" spans="1:11" ht="14.95" customHeight="1" thickBot="1" x14ac:dyDescent="0.3">
      <c r="A56" s="39" t="s">
        <v>211</v>
      </c>
      <c r="B56" s="39" t="s">
        <v>33</v>
      </c>
      <c r="C56" s="6">
        <f>Taylorsartriescorrect</f>
        <v>4</v>
      </c>
      <c r="D56" s="1" t="s">
        <v>383</v>
      </c>
      <c r="E56" s="1" t="s">
        <v>25</v>
      </c>
      <c r="F56" s="12">
        <f>Auckenharpts</f>
        <v>20</v>
      </c>
    </row>
    <row r="57" spans="1:11" ht="14.95" customHeight="1" thickBot="1" x14ac:dyDescent="0.3">
      <c r="A57" s="39" t="s">
        <v>411</v>
      </c>
      <c r="B57" s="39" t="s">
        <v>25</v>
      </c>
      <c r="C57" s="6">
        <f>Phillipshartries</f>
        <v>4</v>
      </c>
      <c r="D57" s="1" t="s">
        <v>178</v>
      </c>
      <c r="E57" s="1" t="s">
        <v>27</v>
      </c>
      <c r="F57" s="12">
        <f>Armstrongjakebripts</f>
        <v>20</v>
      </c>
    </row>
    <row r="58" spans="1:11" ht="14.95" customHeight="1" thickBot="1" x14ac:dyDescent="0.3">
      <c r="A58" s="39" t="s">
        <v>378</v>
      </c>
      <c r="B58" s="39" t="s">
        <v>25</v>
      </c>
      <c r="C58" s="33">
        <f>Powellhartries</f>
        <v>4</v>
      </c>
      <c r="D58" s="1" t="s">
        <v>719</v>
      </c>
      <c r="E58" s="1" t="s">
        <v>350</v>
      </c>
      <c r="F58" s="13">
        <f>Borlandtfwpts</f>
        <v>20</v>
      </c>
    </row>
    <row r="59" spans="1:11" ht="14.95" customHeight="1" thickBot="1" x14ac:dyDescent="0.3">
      <c r="A59" s="39" t="s">
        <v>197</v>
      </c>
      <c r="B59" s="39" t="s">
        <v>26</v>
      </c>
      <c r="C59" s="6">
        <f>Robinson_Fexetries</f>
        <v>4</v>
      </c>
      <c r="D59" s="1" t="s">
        <v>613</v>
      </c>
      <c r="E59" s="1" t="s">
        <v>135</v>
      </c>
      <c r="F59" s="12">
        <f>Calladineloupts</f>
        <v>20</v>
      </c>
    </row>
    <row r="60" spans="1:11" ht="14.95" customHeight="1" thickBot="1" x14ac:dyDescent="0.3">
      <c r="A60" s="39" t="s">
        <v>620</v>
      </c>
      <c r="B60" s="39" t="s">
        <v>33</v>
      </c>
      <c r="C60" s="6">
        <f>Sharpsartries</f>
        <v>4</v>
      </c>
      <c r="D60" s="1" t="s">
        <v>576</v>
      </c>
      <c r="E60" s="1" t="s">
        <v>24</v>
      </c>
      <c r="F60" s="12">
        <f>Childssalpts</f>
        <v>20</v>
      </c>
    </row>
    <row r="61" spans="1:11" ht="14.95" customHeight="1" thickBot="1" x14ac:dyDescent="0.3">
      <c r="A61" s="7" t="s">
        <v>509</v>
      </c>
      <c r="B61" s="7" t="s">
        <v>25</v>
      </c>
      <c r="C61" s="6">
        <f>Torleyhartries</f>
        <v>4</v>
      </c>
      <c r="D61" s="1" t="s">
        <v>706</v>
      </c>
      <c r="E61" s="1" t="s">
        <v>23</v>
      </c>
      <c r="F61" s="12">
        <f>Dallavalleglopts</f>
        <v>20</v>
      </c>
    </row>
    <row r="62" spans="1:11" ht="14.95" customHeight="1" thickBot="1" x14ac:dyDescent="0.3">
      <c r="A62" s="7" t="s">
        <v>379</v>
      </c>
      <c r="B62" s="7" t="s">
        <v>23</v>
      </c>
      <c r="C62" s="6">
        <f>Tuipulotuglotries</f>
        <v>4</v>
      </c>
      <c r="D62" s="1" t="s">
        <v>370</v>
      </c>
      <c r="E62" s="1" t="s">
        <v>33</v>
      </c>
      <c r="F62" s="13">
        <f>Fieldsarpts</f>
        <v>20</v>
      </c>
    </row>
    <row r="63" spans="1:11" ht="14.95" customHeight="1" thickBot="1" x14ac:dyDescent="0.3">
      <c r="A63" s="39" t="s">
        <v>377</v>
      </c>
      <c r="B63" s="39" t="s">
        <v>25</v>
      </c>
      <c r="C63" s="6">
        <f>Wilcockhartries</f>
        <v>4</v>
      </c>
      <c r="D63" s="1" t="s">
        <v>314</v>
      </c>
      <c r="E63" s="1" t="s">
        <v>135</v>
      </c>
      <c r="F63" s="12">
        <f>Hibbert_Jonesloupts</f>
        <v>20</v>
      </c>
    </row>
    <row r="64" spans="1:11" ht="14.95" customHeight="1" thickBot="1" x14ac:dyDescent="0.3">
      <c r="A64" s="39" t="s">
        <v>477</v>
      </c>
      <c r="B64" s="39" t="s">
        <v>23</v>
      </c>
      <c r="C64" s="6">
        <f>Woodwardglotries</f>
        <v>4</v>
      </c>
      <c r="D64" s="1" t="s">
        <v>696</v>
      </c>
      <c r="E64" s="1" t="s">
        <v>24</v>
      </c>
      <c r="F64" s="13">
        <f>Kellysalpts</f>
        <v>20</v>
      </c>
    </row>
    <row r="65" spans="1:6" ht="14.95" customHeight="1" thickBot="1" x14ac:dyDescent="0.3">
      <c r="A65" s="39" t="s">
        <v>222</v>
      </c>
      <c r="B65" s="39" t="s">
        <v>23</v>
      </c>
      <c r="C65" s="6">
        <f>Atkinson_Sglotries</f>
        <v>3</v>
      </c>
      <c r="D65" s="1" t="s">
        <v>594</v>
      </c>
      <c r="E65" s="1" t="s">
        <v>350</v>
      </c>
      <c r="F65" s="12">
        <f>Laflintfwpts</f>
        <v>20</v>
      </c>
    </row>
    <row r="66" spans="1:6" ht="14.95" customHeight="1" thickBot="1" x14ac:dyDescent="0.3">
      <c r="A66" s="39" t="s">
        <v>398</v>
      </c>
      <c r="B66" s="39" t="s">
        <v>350</v>
      </c>
      <c r="C66" s="6">
        <f>Blancotfwtries</f>
        <v>3</v>
      </c>
      <c r="D66" s="1" t="s">
        <v>724</v>
      </c>
      <c r="E66" s="1" t="s">
        <v>25</v>
      </c>
      <c r="F66" s="12">
        <f>Millar_Millsharpts</f>
        <v>20</v>
      </c>
    </row>
    <row r="67" spans="1:6" ht="14.95" customHeight="1" thickBot="1" x14ac:dyDescent="0.3">
      <c r="A67" s="39" t="s">
        <v>748</v>
      </c>
      <c r="B67" s="39" t="s">
        <v>350</v>
      </c>
      <c r="C67" s="6">
        <f>Bradleytfwtries</f>
        <v>3</v>
      </c>
      <c r="D67" s="1" t="s">
        <v>678</v>
      </c>
      <c r="E67" s="1" t="s">
        <v>26</v>
      </c>
      <c r="F67" s="13">
        <f>Moloney_MacDonald_Claudiaexepts</f>
        <v>20</v>
      </c>
    </row>
    <row r="68" spans="1:6" ht="14.95" customHeight="1" thickBot="1" x14ac:dyDescent="0.3">
      <c r="A68" s="39" t="s">
        <v>224</v>
      </c>
      <c r="B68" s="39" t="s">
        <v>33</v>
      </c>
      <c r="C68" s="6">
        <f>Bridgerglotries</f>
        <v>3</v>
      </c>
      <c r="D68" s="1" t="s">
        <v>677</v>
      </c>
      <c r="E68" s="1" t="s">
        <v>26</v>
      </c>
      <c r="F68" s="12">
        <f>Mummpts</f>
        <v>20</v>
      </c>
    </row>
    <row r="69" spans="1:6" ht="14.95" customHeight="1" thickBot="1" x14ac:dyDescent="0.3">
      <c r="A69" s="39" t="s">
        <v>474</v>
      </c>
      <c r="B69" s="39" t="s">
        <v>23</v>
      </c>
      <c r="C69" s="6">
        <f>Coetzerglotries</f>
        <v>3</v>
      </c>
      <c r="D69" s="1" t="s">
        <v>395</v>
      </c>
      <c r="E69" s="1" t="s">
        <v>23</v>
      </c>
      <c r="F69" s="12">
        <f>Stanleyglopts</f>
        <v>20</v>
      </c>
    </row>
    <row r="70" spans="1:6" ht="14.95" customHeight="1" thickBot="1" x14ac:dyDescent="0.3">
      <c r="A70" s="7" t="s">
        <v>296</v>
      </c>
      <c r="B70" s="39" t="s">
        <v>33</v>
      </c>
      <c r="C70" s="6">
        <f>Crakesartries</f>
        <v>3</v>
      </c>
      <c r="D70" s="1" t="s">
        <v>211</v>
      </c>
      <c r="E70" s="1" t="s">
        <v>33</v>
      </c>
      <c r="F70" s="12">
        <f>Taylorsarptscorrect</f>
        <v>20</v>
      </c>
    </row>
    <row r="71" spans="1:6" ht="14.95" customHeight="1" thickBot="1" x14ac:dyDescent="0.3">
      <c r="A71" s="39" t="s">
        <v>473</v>
      </c>
      <c r="B71" s="39" t="s">
        <v>27</v>
      </c>
      <c r="C71" s="6">
        <f>Byrnebritries</f>
        <v>3</v>
      </c>
      <c r="D71" s="1" t="s">
        <v>411</v>
      </c>
      <c r="E71" s="1" t="s">
        <v>25</v>
      </c>
      <c r="F71" s="12">
        <f>Phillipsharpts</f>
        <v>20</v>
      </c>
    </row>
    <row r="72" spans="1:6" ht="14.95" customHeight="1" thickBot="1" x14ac:dyDescent="0.3">
      <c r="A72" s="39" t="s">
        <v>214</v>
      </c>
      <c r="B72" s="39" t="s">
        <v>350</v>
      </c>
      <c r="C72" s="6">
        <f>Dowtfrtries</f>
        <v>3</v>
      </c>
      <c r="D72" s="1" t="s">
        <v>378</v>
      </c>
      <c r="E72" s="1" t="s">
        <v>25</v>
      </c>
      <c r="F72" s="12">
        <f>Powellharpts</f>
        <v>20</v>
      </c>
    </row>
    <row r="73" spans="1:6" ht="14.95" customHeight="1" thickBot="1" x14ac:dyDescent="0.3">
      <c r="A73" s="39" t="s">
        <v>217</v>
      </c>
      <c r="B73" s="39" t="s">
        <v>163</v>
      </c>
      <c r="C73" s="6">
        <f>Feuryglotries</f>
        <v>3</v>
      </c>
      <c r="D73" s="1" t="s">
        <v>197</v>
      </c>
      <c r="E73" s="1" t="s">
        <v>26</v>
      </c>
      <c r="F73" s="12">
        <f>Robinson_Fexepts</f>
        <v>20</v>
      </c>
    </row>
    <row r="74" spans="1:6" ht="14.95" customHeight="1" thickBot="1" x14ac:dyDescent="0.3">
      <c r="A74" s="39" t="s">
        <v>310</v>
      </c>
      <c r="B74" s="39" t="s">
        <v>350</v>
      </c>
      <c r="C74" s="6">
        <f>Inmantfrtries</f>
        <v>3</v>
      </c>
      <c r="D74" s="1" t="s">
        <v>620</v>
      </c>
      <c r="E74" s="1" t="s">
        <v>33</v>
      </c>
      <c r="F74" s="12">
        <f>Sharpsarpts</f>
        <v>20</v>
      </c>
    </row>
    <row r="75" spans="1:6" ht="14.95" customHeight="1" thickBot="1" x14ac:dyDescent="0.3">
      <c r="A75" s="39" t="s">
        <v>316</v>
      </c>
      <c r="B75" s="39" t="s">
        <v>135</v>
      </c>
      <c r="C75" s="6">
        <f>kasololoutries</f>
        <v>3</v>
      </c>
      <c r="D75" s="10" t="s">
        <v>509</v>
      </c>
      <c r="E75" s="10" t="s">
        <v>25</v>
      </c>
      <c r="F75" s="13">
        <f>Torleyharpts</f>
        <v>20</v>
      </c>
    </row>
    <row r="76" spans="1:6" ht="14.95" customHeight="1" thickBot="1" x14ac:dyDescent="0.3">
      <c r="A76" s="7" t="s">
        <v>735</v>
      </c>
      <c r="B76" s="39" t="s">
        <v>163</v>
      </c>
      <c r="C76" s="6">
        <f>Jones_Nleitries</f>
        <v>3</v>
      </c>
      <c r="D76" s="1" t="s">
        <v>379</v>
      </c>
      <c r="E76" s="1" t="s">
        <v>23</v>
      </c>
      <c r="F76" s="12">
        <f>tuipulotuglopts</f>
        <v>20</v>
      </c>
    </row>
    <row r="77" spans="1:6" ht="14.95" customHeight="1" thickBot="1" x14ac:dyDescent="0.3">
      <c r="A77" s="39" t="s">
        <v>118</v>
      </c>
      <c r="B77" s="39" t="s">
        <v>33</v>
      </c>
      <c r="C77" s="6">
        <f>Morrissartriescorrect</f>
        <v>3</v>
      </c>
      <c r="D77" s="1" t="s">
        <v>377</v>
      </c>
      <c r="E77" s="1" t="s">
        <v>25</v>
      </c>
      <c r="F77" s="12">
        <f>Wilcockharpts</f>
        <v>20</v>
      </c>
    </row>
    <row r="78" spans="1:6" ht="14.95" customHeight="1" thickBot="1" x14ac:dyDescent="0.3">
      <c r="A78" s="39" t="s">
        <v>583</v>
      </c>
      <c r="B78" s="39" t="s">
        <v>135</v>
      </c>
      <c r="C78" s="6">
        <f>Maudeloutries</f>
        <v>3</v>
      </c>
      <c r="D78" s="1" t="s">
        <v>477</v>
      </c>
      <c r="E78" s="1" t="s">
        <v>23</v>
      </c>
      <c r="F78" s="12">
        <f>Woodwardglopts</f>
        <v>20</v>
      </c>
    </row>
    <row r="79" spans="1:6" ht="14.95" customHeight="1" thickBot="1" x14ac:dyDescent="0.3">
      <c r="A79" s="7" t="s">
        <v>442</v>
      </c>
      <c r="B79" s="7" t="s">
        <v>26</v>
      </c>
      <c r="C79" s="6">
        <f>Kennyexetries</f>
        <v>3</v>
      </c>
      <c r="D79" s="1" t="s">
        <v>308</v>
      </c>
      <c r="E79" s="1" t="s">
        <v>27</v>
      </c>
      <c r="F79" s="12">
        <f>Geraghtypts</f>
        <v>18</v>
      </c>
    </row>
    <row r="80" spans="1:6" ht="14.95" customHeight="1" thickBot="1" x14ac:dyDescent="0.3">
      <c r="A80" s="39" t="s">
        <v>318</v>
      </c>
      <c r="B80" s="39" t="s">
        <v>23</v>
      </c>
      <c r="C80" s="4">
        <f>Socinoglotries</f>
        <v>3</v>
      </c>
      <c r="D80" s="1" t="s">
        <v>222</v>
      </c>
      <c r="E80" s="1" t="s">
        <v>23</v>
      </c>
      <c r="F80" s="12">
        <f>Atkinson_Sglopts</f>
        <v>15</v>
      </c>
    </row>
    <row r="81" spans="1:6" ht="14.95" customHeight="1" thickBot="1" x14ac:dyDescent="0.3">
      <c r="A81" s="39" t="s">
        <v>609</v>
      </c>
      <c r="B81" s="39" t="s">
        <v>33</v>
      </c>
      <c r="C81" s="6">
        <f>Simpson_Gsartries</f>
        <v>3</v>
      </c>
      <c r="D81" s="1" t="s">
        <v>398</v>
      </c>
      <c r="E81" s="1" t="s">
        <v>350</v>
      </c>
      <c r="F81" s="12">
        <f>Blancotfwpts</f>
        <v>15</v>
      </c>
    </row>
    <row r="82" spans="1:6" ht="14.95" customHeight="1" thickBot="1" x14ac:dyDescent="0.3">
      <c r="A82" s="39" t="s">
        <v>506</v>
      </c>
      <c r="B82" s="39" t="s">
        <v>25</v>
      </c>
      <c r="C82" s="6">
        <f>Penahartries</f>
        <v>3</v>
      </c>
      <c r="D82" s="1" t="s">
        <v>748</v>
      </c>
      <c r="E82" s="1" t="s">
        <v>350</v>
      </c>
      <c r="F82" s="12">
        <f>Bradleytfwpts</f>
        <v>15</v>
      </c>
    </row>
    <row r="83" spans="1:6" ht="14.95" customHeight="1" thickBot="1" x14ac:dyDescent="0.3">
      <c r="A83" s="39" t="s">
        <v>447</v>
      </c>
      <c r="B83" s="39" t="s">
        <v>26</v>
      </c>
      <c r="C83" s="6">
        <f>Poulinexetries</f>
        <v>3</v>
      </c>
      <c r="D83" s="1" t="s">
        <v>224</v>
      </c>
      <c r="E83" s="1" t="s">
        <v>33</v>
      </c>
      <c r="F83" s="12">
        <f>Bridgerglopts</f>
        <v>15</v>
      </c>
    </row>
    <row r="84" spans="1:6" ht="14.95" customHeight="1" thickBot="1" x14ac:dyDescent="0.3">
      <c r="A84" s="39" t="s">
        <v>732</v>
      </c>
      <c r="B84" s="39" t="s">
        <v>24</v>
      </c>
      <c r="C84" s="6">
        <f>Pyrssaltries</f>
        <v>3</v>
      </c>
      <c r="D84" s="1" t="s">
        <v>474</v>
      </c>
      <c r="E84" s="1" t="s">
        <v>23</v>
      </c>
      <c r="F84" s="12">
        <f>Coetzerglopts</f>
        <v>15</v>
      </c>
    </row>
    <row r="85" spans="1:6" ht="14.95" customHeight="1" thickBot="1" x14ac:dyDescent="0.3">
      <c r="A85" s="39" t="s">
        <v>405</v>
      </c>
      <c r="B85" s="39" t="s">
        <v>33</v>
      </c>
      <c r="C85" s="6">
        <f>van_Zylsartriescorrect</f>
        <v>3</v>
      </c>
      <c r="D85" s="1" t="s">
        <v>296</v>
      </c>
      <c r="E85" s="1" t="s">
        <v>33</v>
      </c>
      <c r="F85" s="11">
        <f>Crakesarpts</f>
        <v>15</v>
      </c>
    </row>
    <row r="86" spans="1:6" ht="14.95" customHeight="1" thickBot="1" x14ac:dyDescent="0.3">
      <c r="A86" s="39" t="s">
        <v>679</v>
      </c>
      <c r="B86" s="39" t="s">
        <v>26</v>
      </c>
      <c r="C86" s="6">
        <f>Ruleexetries</f>
        <v>3</v>
      </c>
      <c r="D86" s="1" t="s">
        <v>473</v>
      </c>
      <c r="E86" s="1" t="s">
        <v>27</v>
      </c>
      <c r="F86" s="12">
        <f>Byrnebripts</f>
        <v>15</v>
      </c>
    </row>
    <row r="87" spans="1:6" ht="14.95" customHeight="1" thickBot="1" x14ac:dyDescent="0.3">
      <c r="A87" s="39" t="s">
        <v>752</v>
      </c>
      <c r="B87" s="39" t="s">
        <v>135</v>
      </c>
      <c r="C87" s="6">
        <f>Sagapoluloutries</f>
        <v>3</v>
      </c>
      <c r="D87" s="1" t="s">
        <v>316</v>
      </c>
      <c r="E87" s="1" t="s">
        <v>135</v>
      </c>
      <c r="F87" s="12">
        <f>Kasololoupts</f>
        <v>15</v>
      </c>
    </row>
    <row r="88" spans="1:6" ht="14.95" customHeight="1" thickBot="1" x14ac:dyDescent="0.3">
      <c r="A88" s="39" t="s">
        <v>426</v>
      </c>
      <c r="B88" s="39" t="s">
        <v>33</v>
      </c>
      <c r="C88" s="6">
        <f>Schutzlersartries</f>
        <v>3</v>
      </c>
      <c r="D88" s="1" t="s">
        <v>735</v>
      </c>
      <c r="E88" s="1" t="s">
        <v>163</v>
      </c>
      <c r="F88" s="12">
        <f>Jones_Nleipts</f>
        <v>15</v>
      </c>
    </row>
    <row r="89" spans="1:6" ht="14.95" customHeight="1" thickBot="1" x14ac:dyDescent="0.3">
      <c r="A89" s="39" t="s">
        <v>569</v>
      </c>
      <c r="B89" s="39" t="s">
        <v>23</v>
      </c>
      <c r="C89" s="6">
        <f>Scottglohtries</f>
        <v>3</v>
      </c>
      <c r="D89" s="1" t="s">
        <v>583</v>
      </c>
      <c r="E89" s="1" t="s">
        <v>135</v>
      </c>
      <c r="F89" s="12">
        <f>Maudeloupts</f>
        <v>15</v>
      </c>
    </row>
    <row r="90" spans="1:6" ht="14.95" customHeight="1" thickBot="1" x14ac:dyDescent="0.3">
      <c r="A90" s="39" t="s">
        <v>772</v>
      </c>
      <c r="B90" s="39" t="s">
        <v>350</v>
      </c>
      <c r="C90" s="6">
        <f>Tuffnailtfwtries</f>
        <v>3</v>
      </c>
      <c r="D90" s="1" t="s">
        <v>318</v>
      </c>
      <c r="E90" s="1" t="s">
        <v>23</v>
      </c>
      <c r="F90" s="12">
        <f>Socinoglopts</f>
        <v>15</v>
      </c>
    </row>
    <row r="91" spans="1:6" ht="14.95" customHeight="1" thickBot="1" x14ac:dyDescent="0.3">
      <c r="A91" s="7" t="s">
        <v>298</v>
      </c>
      <c r="B91" s="39" t="s">
        <v>350</v>
      </c>
      <c r="C91" s="6">
        <f>Zackarytfrtries</f>
        <v>3</v>
      </c>
      <c r="D91" s="1" t="s">
        <v>609</v>
      </c>
      <c r="E91" s="1" t="s">
        <v>33</v>
      </c>
      <c r="F91" s="12">
        <f>Simpson_Gsarpts</f>
        <v>15</v>
      </c>
    </row>
    <row r="92" spans="1:6" ht="14.95" customHeight="1" thickBot="1" x14ac:dyDescent="0.3">
      <c r="A92" s="39" t="s">
        <v>625</v>
      </c>
      <c r="B92" s="39" t="s">
        <v>135</v>
      </c>
      <c r="C92" s="6">
        <f>Belisleloutries</f>
        <v>2</v>
      </c>
      <c r="D92" s="10" t="s">
        <v>447</v>
      </c>
      <c r="E92" s="10" t="s">
        <v>26</v>
      </c>
      <c r="F92" s="13">
        <f>Poulinexepts</f>
        <v>15</v>
      </c>
    </row>
    <row r="93" spans="1:6" ht="14.95" customHeight="1" thickBot="1" x14ac:dyDescent="0.3">
      <c r="A93" s="39" t="s">
        <v>755</v>
      </c>
      <c r="B93" s="39" t="s">
        <v>135</v>
      </c>
      <c r="C93" s="6">
        <f>Bermudezloutries</f>
        <v>2</v>
      </c>
      <c r="D93" s="1" t="s">
        <v>732</v>
      </c>
      <c r="E93" s="1" t="s">
        <v>24</v>
      </c>
      <c r="F93" s="12">
        <f>Pyrssalpts</f>
        <v>15</v>
      </c>
    </row>
    <row r="94" spans="1:6" ht="14.95" customHeight="1" thickBot="1" x14ac:dyDescent="0.3">
      <c r="A94" s="39" t="s">
        <v>218</v>
      </c>
      <c r="B94" s="39" t="s">
        <v>23</v>
      </c>
      <c r="C94" s="6">
        <f>Bartonglotries</f>
        <v>2</v>
      </c>
      <c r="D94" s="1" t="s">
        <v>405</v>
      </c>
      <c r="E94" s="1" t="s">
        <v>33</v>
      </c>
      <c r="F94" s="12">
        <f>van_Zylsarptscorrect</f>
        <v>15</v>
      </c>
    </row>
    <row r="95" spans="1:6" ht="14.95" customHeight="1" thickBot="1" x14ac:dyDescent="0.3">
      <c r="A95" s="39" t="s">
        <v>207</v>
      </c>
      <c r="B95" s="39" t="s">
        <v>26</v>
      </c>
      <c r="C95" s="6">
        <f>Capstickexetries</f>
        <v>2</v>
      </c>
      <c r="D95" s="1" t="s">
        <v>679</v>
      </c>
      <c r="E95" s="1" t="s">
        <v>26</v>
      </c>
      <c r="F95" s="12">
        <f>Ruleexepts</f>
        <v>15</v>
      </c>
    </row>
    <row r="96" spans="1:6" ht="14.95" customHeight="1" thickBot="1" x14ac:dyDescent="0.3">
      <c r="A96" s="39" t="s">
        <v>775</v>
      </c>
      <c r="B96" s="39" t="s">
        <v>24</v>
      </c>
      <c r="C96" s="6">
        <f>Capellsaltries</f>
        <v>2</v>
      </c>
      <c r="D96" s="1" t="s">
        <v>752</v>
      </c>
      <c r="E96" s="1" t="s">
        <v>135</v>
      </c>
      <c r="F96" s="12">
        <f>Sagapoluloupts</f>
        <v>15</v>
      </c>
    </row>
    <row r="97" spans="1:6" ht="14.95" customHeight="1" thickBot="1" x14ac:dyDescent="0.3">
      <c r="A97" s="39" t="s">
        <v>360</v>
      </c>
      <c r="B97" s="39" t="s">
        <v>350</v>
      </c>
      <c r="C97" s="6">
        <f>Coxtfwtries</f>
        <v>2</v>
      </c>
      <c r="D97" s="1" t="s">
        <v>426</v>
      </c>
      <c r="E97" s="1" t="s">
        <v>33</v>
      </c>
      <c r="F97" s="12">
        <f>schutzlersarpts</f>
        <v>15</v>
      </c>
    </row>
    <row r="98" spans="1:6" ht="14.95" customHeight="1" thickBot="1" x14ac:dyDescent="0.3">
      <c r="A98" s="39" t="s">
        <v>751</v>
      </c>
      <c r="B98" s="39" t="s">
        <v>27</v>
      </c>
      <c r="C98" s="6">
        <f>Daviesbritriescorrect</f>
        <v>2</v>
      </c>
      <c r="D98" s="1" t="s">
        <v>569</v>
      </c>
      <c r="E98" s="1" t="s">
        <v>23</v>
      </c>
      <c r="F98" s="12">
        <f>scottglohpts</f>
        <v>15</v>
      </c>
    </row>
    <row r="99" spans="1:6" ht="14.95" customHeight="1" thickBot="1" x14ac:dyDescent="0.3">
      <c r="A99" s="39" t="s">
        <v>762</v>
      </c>
      <c r="B99" s="39" t="s">
        <v>135</v>
      </c>
      <c r="C99" s="33">
        <f>Ehreckeloutries</f>
        <v>2</v>
      </c>
      <c r="D99" s="1" t="s">
        <v>772</v>
      </c>
      <c r="E99" s="1" t="s">
        <v>350</v>
      </c>
      <c r="F99" s="12">
        <f>Tuffnailtfwpts</f>
        <v>15</v>
      </c>
    </row>
    <row r="100" spans="1:6" ht="14.95" customHeight="1" thickBot="1" x14ac:dyDescent="0.3">
      <c r="A100" s="39" t="s">
        <v>421</v>
      </c>
      <c r="B100" s="39" t="s">
        <v>26</v>
      </c>
      <c r="C100" s="6">
        <f>Devotoexetries</f>
        <v>2</v>
      </c>
      <c r="D100" s="1" t="s">
        <v>298</v>
      </c>
      <c r="E100" s="1" t="s">
        <v>350</v>
      </c>
      <c r="F100" s="12">
        <f>Zackarytfrpts</f>
        <v>15</v>
      </c>
    </row>
    <row r="101" spans="1:6" ht="14.95" customHeight="1" thickBot="1" x14ac:dyDescent="0.3">
      <c r="A101" s="39" t="s">
        <v>422</v>
      </c>
      <c r="B101" s="39" t="s">
        <v>24</v>
      </c>
      <c r="C101" s="6">
        <f>GrieveSALTRIES</f>
        <v>2</v>
      </c>
      <c r="D101" s="1" t="s">
        <v>751</v>
      </c>
      <c r="E101" s="1" t="s">
        <v>27</v>
      </c>
      <c r="F101" s="13">
        <f>Daviesbriptscorrect</f>
        <v>14</v>
      </c>
    </row>
    <row r="102" spans="1:6" ht="14.95" customHeight="1" thickBot="1" x14ac:dyDescent="0.3">
      <c r="A102" s="39" t="s">
        <v>668</v>
      </c>
      <c r="B102" s="39" t="s">
        <v>26</v>
      </c>
      <c r="C102" s="6">
        <f>Ewersexetries</f>
        <v>2</v>
      </c>
      <c r="D102" s="1" t="s">
        <v>4</v>
      </c>
      <c r="E102" s="1" t="s">
        <v>163</v>
      </c>
      <c r="F102" s="12">
        <f>Penalty_Triesleipts</f>
        <v>14</v>
      </c>
    </row>
    <row r="103" spans="1:6" ht="14.95" customHeight="1" thickBot="1" x14ac:dyDescent="0.3">
      <c r="A103" s="39" t="s">
        <v>743</v>
      </c>
      <c r="B103" s="39" t="s">
        <v>163</v>
      </c>
      <c r="C103" s="6">
        <f>Gunterleitries</f>
        <v>2</v>
      </c>
      <c r="D103" s="10" t="s">
        <v>702</v>
      </c>
      <c r="E103" s="1" t="s">
        <v>163</v>
      </c>
      <c r="F103" s="12">
        <f>Beaverleipts</f>
        <v>13</v>
      </c>
    </row>
    <row r="104" spans="1:6" ht="14.95" customHeight="1" thickBot="1" x14ac:dyDescent="0.3">
      <c r="A104" s="39" t="s">
        <v>768</v>
      </c>
      <c r="B104" s="39" t="s">
        <v>24</v>
      </c>
      <c r="C104" s="6">
        <f>Hopkinssaltries</f>
        <v>2</v>
      </c>
      <c r="D104" s="1" t="s">
        <v>625</v>
      </c>
      <c r="E104" s="1" t="s">
        <v>135</v>
      </c>
      <c r="F104" s="12">
        <f>Belisleloupts</f>
        <v>10</v>
      </c>
    </row>
    <row r="105" spans="1:6" ht="14.95" customHeight="1" thickBot="1" x14ac:dyDescent="0.3">
      <c r="A105" s="39" t="s">
        <v>399</v>
      </c>
      <c r="B105" s="39" t="s">
        <v>135</v>
      </c>
      <c r="C105" s="6">
        <f>Ives_Campionloutries</f>
        <v>2</v>
      </c>
      <c r="D105" s="1" t="s">
        <v>755</v>
      </c>
      <c r="E105" s="1" t="s">
        <v>135</v>
      </c>
      <c r="F105" s="12">
        <f>Bermudezloupts</f>
        <v>10</v>
      </c>
    </row>
    <row r="106" spans="1:6" ht="14.95" customHeight="1" thickBot="1" x14ac:dyDescent="0.3">
      <c r="A106" s="39" t="s">
        <v>202</v>
      </c>
      <c r="B106" s="39" t="s">
        <v>350</v>
      </c>
      <c r="C106" s="6">
        <f>Jones_Mtfwtries</f>
        <v>2</v>
      </c>
      <c r="D106" s="1" t="s">
        <v>218</v>
      </c>
      <c r="E106" s="1" t="s">
        <v>23</v>
      </c>
      <c r="F106" s="12">
        <f>Bartonglopts</f>
        <v>10</v>
      </c>
    </row>
    <row r="107" spans="1:6" ht="14.95" customHeight="1" thickBot="1" x14ac:dyDescent="0.3">
      <c r="A107" s="39" t="s">
        <v>94</v>
      </c>
      <c r="B107" s="39" t="s">
        <v>23</v>
      </c>
      <c r="C107" s="6">
        <f>Moriartyglotries</f>
        <v>2</v>
      </c>
      <c r="D107" s="1" t="s">
        <v>207</v>
      </c>
      <c r="E107" s="1" t="s">
        <v>26</v>
      </c>
      <c r="F107" s="11">
        <f>Capstickexepts</f>
        <v>10</v>
      </c>
    </row>
    <row r="108" spans="1:6" ht="14.95" customHeight="1" thickBot="1" x14ac:dyDescent="0.3">
      <c r="A108" s="39" t="s">
        <v>717</v>
      </c>
      <c r="B108" s="39" t="s">
        <v>163</v>
      </c>
      <c r="C108" s="6">
        <f>Labeyrieleitries</f>
        <v>2</v>
      </c>
      <c r="D108" s="1" t="s">
        <v>775</v>
      </c>
      <c r="E108" s="1" t="s">
        <v>24</v>
      </c>
      <c r="F108" s="12">
        <f>Capellsalpts</f>
        <v>10</v>
      </c>
    </row>
    <row r="109" spans="1:6" ht="14.95" customHeight="1" thickBot="1" x14ac:dyDescent="0.3">
      <c r="A109" s="39" t="s">
        <v>95</v>
      </c>
      <c r="B109" s="39" t="s">
        <v>23</v>
      </c>
      <c r="C109" s="6">
        <f>Rees_Zammitglotries</f>
        <v>2</v>
      </c>
      <c r="D109" s="1" t="s">
        <v>360</v>
      </c>
      <c r="E109" s="1" t="s">
        <v>350</v>
      </c>
      <c r="F109" s="12">
        <f>Coxtfwpts</f>
        <v>10</v>
      </c>
    </row>
    <row r="110" spans="1:6" ht="14.95" customHeight="1" thickBot="1" x14ac:dyDescent="0.3">
      <c r="A110" s="39" t="s">
        <v>708</v>
      </c>
      <c r="B110" s="39" t="s">
        <v>135</v>
      </c>
      <c r="C110" s="33">
        <f>Keatesloutries</f>
        <v>2</v>
      </c>
      <c r="D110" s="1" t="s">
        <v>762</v>
      </c>
      <c r="E110" s="1" t="s">
        <v>135</v>
      </c>
      <c r="F110" s="12">
        <f>Ehreckeloupts</f>
        <v>10</v>
      </c>
    </row>
    <row r="111" spans="1:6" ht="14.95" customHeight="1" thickBot="1" x14ac:dyDescent="0.3">
      <c r="A111" s="39" t="s">
        <v>191</v>
      </c>
      <c r="B111" s="39" t="s">
        <v>350</v>
      </c>
      <c r="C111" s="4">
        <f>malcolmtfwtries</f>
        <v>2</v>
      </c>
      <c r="D111" s="1" t="s">
        <v>421</v>
      </c>
      <c r="E111" s="1" t="s">
        <v>26</v>
      </c>
      <c r="F111" s="12">
        <f>Devotoexepts</f>
        <v>10</v>
      </c>
    </row>
    <row r="112" spans="1:6" ht="14.95" customHeight="1" thickBot="1" x14ac:dyDescent="0.3">
      <c r="A112" s="39" t="s">
        <v>771</v>
      </c>
      <c r="B112" s="39" t="s">
        <v>163</v>
      </c>
      <c r="C112" s="6">
        <f>Mundyleitries</f>
        <v>2</v>
      </c>
      <c r="D112" s="1" t="s">
        <v>422</v>
      </c>
      <c r="E112" s="1" t="s">
        <v>24</v>
      </c>
      <c r="F112" s="12">
        <f>GrieveSALPTS</f>
        <v>10</v>
      </c>
    </row>
    <row r="113" spans="1:6" ht="14.95" customHeight="1" thickBot="1" x14ac:dyDescent="0.3">
      <c r="A113" s="39" t="s">
        <v>203</v>
      </c>
      <c r="B113" s="39" t="s">
        <v>350</v>
      </c>
      <c r="C113" s="4">
        <f>McGhietfwtries</f>
        <v>2</v>
      </c>
      <c r="D113" s="1" t="s">
        <v>668</v>
      </c>
      <c r="E113" s="1" t="s">
        <v>26</v>
      </c>
      <c r="F113" s="12">
        <f>Ewersexepts</f>
        <v>10</v>
      </c>
    </row>
    <row r="114" spans="1:6" ht="14.95" customHeight="1" thickBot="1" x14ac:dyDescent="0.3">
      <c r="A114" s="39" t="s">
        <v>725</v>
      </c>
      <c r="B114" s="39" t="s">
        <v>33</v>
      </c>
      <c r="C114" s="6">
        <f>Reffellsartriescorrect</f>
        <v>2</v>
      </c>
      <c r="D114" s="1" t="s">
        <v>743</v>
      </c>
      <c r="E114" s="1" t="s">
        <v>163</v>
      </c>
      <c r="F114" s="12">
        <f>Gunterleipts</f>
        <v>10</v>
      </c>
    </row>
    <row r="115" spans="1:6" ht="14.95" customHeight="1" thickBot="1" x14ac:dyDescent="0.3">
      <c r="A115" s="39" t="s">
        <v>601</v>
      </c>
      <c r="B115" s="39" t="s">
        <v>350</v>
      </c>
      <c r="C115" s="6">
        <f>Metatfwtries</f>
        <v>2</v>
      </c>
      <c r="D115" s="1" t="s">
        <v>768</v>
      </c>
      <c r="E115" s="1" t="s">
        <v>24</v>
      </c>
      <c r="F115" s="12">
        <f>Hopkinssalpts</f>
        <v>10</v>
      </c>
    </row>
    <row r="116" spans="1:6" ht="14.95" customHeight="1" thickBot="1" x14ac:dyDescent="0.3">
      <c r="A116" s="39" t="s">
        <v>588</v>
      </c>
      <c r="B116" s="39" t="s">
        <v>135</v>
      </c>
      <c r="C116" s="6">
        <f>Morrallloutriescorrect</f>
        <v>2</v>
      </c>
      <c r="D116" s="1" t="s">
        <v>399</v>
      </c>
      <c r="E116" s="1" t="s">
        <v>135</v>
      </c>
      <c r="F116" s="12">
        <f>Ives_Campionloupts</f>
        <v>10</v>
      </c>
    </row>
    <row r="117" spans="1:6" ht="14.95" customHeight="1" thickBot="1" x14ac:dyDescent="0.3">
      <c r="A117" s="39" t="s">
        <v>4</v>
      </c>
      <c r="B117" s="39" t="s">
        <v>163</v>
      </c>
      <c r="C117" s="6">
        <f>Penalty_Triesleitries</f>
        <v>2</v>
      </c>
      <c r="D117" s="1" t="s">
        <v>94</v>
      </c>
      <c r="E117" s="1" t="s">
        <v>23</v>
      </c>
      <c r="F117" s="12">
        <f>Moriartyglopts</f>
        <v>10</v>
      </c>
    </row>
    <row r="118" spans="1:6" ht="14.95" customHeight="1" thickBot="1" x14ac:dyDescent="0.3">
      <c r="A118" s="39" t="s">
        <v>572</v>
      </c>
      <c r="B118" s="39" t="s">
        <v>23</v>
      </c>
      <c r="C118" s="6">
        <f>Perryglotriescorrect</f>
        <v>2</v>
      </c>
      <c r="D118" s="1" t="s">
        <v>717</v>
      </c>
      <c r="E118" s="1" t="s">
        <v>163</v>
      </c>
      <c r="F118" s="12">
        <f>Labeyrieleipts</f>
        <v>10</v>
      </c>
    </row>
    <row r="119" spans="1:6" ht="14.95" customHeight="1" thickBot="1" x14ac:dyDescent="0.3">
      <c r="A119" s="39" t="s">
        <v>283</v>
      </c>
      <c r="B119" s="39" t="s">
        <v>26</v>
      </c>
      <c r="C119" s="6">
        <f>Simmonds_Sexetries</f>
        <v>2</v>
      </c>
      <c r="D119" s="1" t="s">
        <v>95</v>
      </c>
      <c r="E119" s="1" t="s">
        <v>23</v>
      </c>
      <c r="F119" s="12">
        <f>Rees_Zammitglopts</f>
        <v>10</v>
      </c>
    </row>
    <row r="120" spans="1:6" ht="14.95" customHeight="1" thickBot="1" x14ac:dyDescent="0.3">
      <c r="A120" s="39" t="s">
        <v>324</v>
      </c>
      <c r="B120" s="39" t="s">
        <v>350</v>
      </c>
      <c r="C120" s="6">
        <f>Schelltfrtries</f>
        <v>2</v>
      </c>
      <c r="D120" s="1" t="s">
        <v>708</v>
      </c>
      <c r="E120" s="1" t="s">
        <v>135</v>
      </c>
      <c r="F120" s="13">
        <f>Keatesloupts</f>
        <v>10</v>
      </c>
    </row>
    <row r="121" spans="1:6" ht="14.95" customHeight="1" thickBot="1" x14ac:dyDescent="0.3">
      <c r="A121" s="39" t="s">
        <v>734</v>
      </c>
      <c r="B121" s="39" t="s">
        <v>135</v>
      </c>
      <c r="C121" s="33">
        <f>Scurfieldloutries</f>
        <v>2</v>
      </c>
      <c r="D121" s="1" t="s">
        <v>191</v>
      </c>
      <c r="E121" s="1" t="s">
        <v>350</v>
      </c>
      <c r="F121" s="12">
        <f>malcolmtfwpts</f>
        <v>10</v>
      </c>
    </row>
    <row r="122" spans="1:6" ht="14.95" customHeight="1" thickBot="1" x14ac:dyDescent="0.3">
      <c r="A122" s="39" t="s">
        <v>663</v>
      </c>
      <c r="B122" s="39" t="s">
        <v>27</v>
      </c>
      <c r="C122" s="6">
        <f>Shortbritries</f>
        <v>2</v>
      </c>
      <c r="D122" s="1" t="s">
        <v>771</v>
      </c>
      <c r="E122" s="1" t="s">
        <v>163</v>
      </c>
      <c r="F122" s="12">
        <f>Mundyleipts</f>
        <v>10</v>
      </c>
    </row>
    <row r="123" spans="1:6" ht="14.95" customHeight="1" thickBot="1" x14ac:dyDescent="0.3">
      <c r="A123" s="39" t="s">
        <v>327</v>
      </c>
      <c r="B123" s="39" t="s">
        <v>26</v>
      </c>
      <c r="C123" s="6">
        <f>Streetexetries</f>
        <v>2</v>
      </c>
      <c r="D123" s="1" t="s">
        <v>203</v>
      </c>
      <c r="E123" s="1" t="s">
        <v>350</v>
      </c>
      <c r="F123" s="12">
        <f>McGhietfwpts</f>
        <v>10</v>
      </c>
    </row>
    <row r="124" spans="1:6" ht="14.95" customHeight="1" thickBot="1" x14ac:dyDescent="0.3">
      <c r="A124" s="39" t="s">
        <v>195</v>
      </c>
      <c r="B124" s="39" t="s">
        <v>25</v>
      </c>
      <c r="C124" s="4">
        <f>Tuimahartries</f>
        <v>2</v>
      </c>
      <c r="D124" s="1" t="s">
        <v>725</v>
      </c>
      <c r="E124" s="1" t="s">
        <v>33</v>
      </c>
      <c r="F124" s="12">
        <f>Reffellsarptscorrect</f>
        <v>10</v>
      </c>
    </row>
    <row r="125" spans="1:6" ht="14.95" customHeight="1" thickBot="1" x14ac:dyDescent="0.3">
      <c r="A125" s="39" t="s">
        <v>265</v>
      </c>
      <c r="B125" s="39" t="s">
        <v>26</v>
      </c>
      <c r="C125" s="6">
        <f>Tshiunzaexetries</f>
        <v>2</v>
      </c>
      <c r="D125" s="1" t="s">
        <v>601</v>
      </c>
      <c r="E125" s="1" t="s">
        <v>350</v>
      </c>
      <c r="F125" s="12">
        <f>Metatfwpts</f>
        <v>10</v>
      </c>
    </row>
    <row r="126" spans="1:6" ht="14.95" customHeight="1" thickBot="1" x14ac:dyDescent="0.3">
      <c r="A126" s="39" t="s">
        <v>456</v>
      </c>
      <c r="B126" s="39" t="s">
        <v>26</v>
      </c>
      <c r="C126" s="6">
        <f>van_Heerdenexetries</f>
        <v>2</v>
      </c>
      <c r="D126" s="1" t="s">
        <v>588</v>
      </c>
      <c r="E126" s="1" t="s">
        <v>135</v>
      </c>
      <c r="F126" s="12">
        <f>Morralllouptscorrect</f>
        <v>10</v>
      </c>
    </row>
    <row r="127" spans="1:6" ht="14.95" customHeight="1" thickBot="1" x14ac:dyDescent="0.3">
      <c r="A127" s="39" t="s">
        <v>385</v>
      </c>
      <c r="B127" s="39" t="s">
        <v>25</v>
      </c>
      <c r="C127" s="6">
        <f>Wythehartries</f>
        <v>2</v>
      </c>
      <c r="D127" s="10" t="s">
        <v>572</v>
      </c>
      <c r="E127" s="10" t="s">
        <v>23</v>
      </c>
      <c r="F127" s="12">
        <f>Perrygloptscorrect</f>
        <v>10</v>
      </c>
    </row>
    <row r="128" spans="1:6" ht="14.95" customHeight="1" thickBot="1" x14ac:dyDescent="0.3">
      <c r="A128" s="39" t="s">
        <v>193</v>
      </c>
      <c r="B128" s="39" t="s">
        <v>350</v>
      </c>
      <c r="C128" s="6">
        <f>Amorytfrtries</f>
        <v>1</v>
      </c>
      <c r="D128" s="1" t="s">
        <v>283</v>
      </c>
      <c r="E128" s="1" t="s">
        <v>26</v>
      </c>
      <c r="F128" s="12">
        <f>Simmonds_Sexepts</f>
        <v>10</v>
      </c>
    </row>
    <row r="129" spans="1:6" ht="14.95" customHeight="1" thickBot="1" x14ac:dyDescent="0.3">
      <c r="A129" s="39" t="s">
        <v>182</v>
      </c>
      <c r="B129" s="39" t="s">
        <v>27</v>
      </c>
      <c r="C129" s="6">
        <f>Adeolokunbritries</f>
        <v>1</v>
      </c>
      <c r="D129" s="10" t="s">
        <v>324</v>
      </c>
      <c r="E129" s="10" t="s">
        <v>350</v>
      </c>
      <c r="F129" s="12">
        <f>Schelltfrpts</f>
        <v>10</v>
      </c>
    </row>
    <row r="130" spans="1:6" ht="14.95" customHeight="1" thickBot="1" x14ac:dyDescent="0.3">
      <c r="A130" s="39" t="s">
        <v>702</v>
      </c>
      <c r="B130" s="39" t="s">
        <v>163</v>
      </c>
      <c r="C130" s="6">
        <f>Beaverleitries</f>
        <v>1</v>
      </c>
      <c r="D130" s="1" t="s">
        <v>734</v>
      </c>
      <c r="E130" s="1" t="s">
        <v>135</v>
      </c>
      <c r="F130" s="12">
        <f>Scurfieldloupts</f>
        <v>10</v>
      </c>
    </row>
    <row r="131" spans="1:6" ht="14.95" customHeight="1" thickBot="1" x14ac:dyDescent="0.3">
      <c r="A131" s="39" t="s">
        <v>475</v>
      </c>
      <c r="B131" s="39" t="s">
        <v>23</v>
      </c>
      <c r="C131" s="6">
        <f>Balmainglotries</f>
        <v>1</v>
      </c>
      <c r="D131" s="1" t="s">
        <v>663</v>
      </c>
      <c r="E131" s="1" t="s">
        <v>27</v>
      </c>
      <c r="F131" s="12">
        <f>Shortbripts</f>
        <v>10</v>
      </c>
    </row>
    <row r="132" spans="1:6" ht="14.95" customHeight="1" thickBot="1" x14ac:dyDescent="0.3">
      <c r="A132" s="39" t="s">
        <v>367</v>
      </c>
      <c r="B132" s="39" t="s">
        <v>33</v>
      </c>
      <c r="C132" s="6">
        <f>Bryansartries</f>
        <v>1</v>
      </c>
      <c r="D132" s="1" t="s">
        <v>327</v>
      </c>
      <c r="E132" s="1" t="s">
        <v>26</v>
      </c>
      <c r="F132" s="12">
        <f>Streetexepts</f>
        <v>10</v>
      </c>
    </row>
    <row r="133" spans="1:6" ht="14.95" customHeight="1" thickBot="1" x14ac:dyDescent="0.3">
      <c r="A133" s="39" t="s">
        <v>747</v>
      </c>
      <c r="B133" s="39" t="s">
        <v>350</v>
      </c>
      <c r="C133" s="6">
        <f>Brincattfwtries</f>
        <v>1</v>
      </c>
      <c r="D133" s="1" t="s">
        <v>195</v>
      </c>
      <c r="E133" s="1" t="s">
        <v>25</v>
      </c>
      <c r="F133" s="12">
        <f>Tuimaharpts</f>
        <v>10</v>
      </c>
    </row>
    <row r="134" spans="1:6" ht="14.95" customHeight="1" thickBot="1" x14ac:dyDescent="0.3">
      <c r="A134" s="39" t="s">
        <v>260</v>
      </c>
      <c r="B134" s="39" t="s">
        <v>135</v>
      </c>
      <c r="C134" s="6">
        <f>Brodyloutries</f>
        <v>1</v>
      </c>
      <c r="D134" s="1" t="s">
        <v>265</v>
      </c>
      <c r="E134" s="1" t="s">
        <v>26</v>
      </c>
      <c r="F134" s="12">
        <f>Tshiunzaexepts</f>
        <v>10</v>
      </c>
    </row>
    <row r="135" spans="1:6" ht="14.95" customHeight="1" thickBot="1" x14ac:dyDescent="0.3">
      <c r="A135" s="39" t="s">
        <v>779</v>
      </c>
      <c r="B135" s="39" t="s">
        <v>27</v>
      </c>
      <c r="C135" s="6">
        <f>Buisabritries</f>
        <v>1</v>
      </c>
      <c r="D135" s="1" t="s">
        <v>456</v>
      </c>
      <c r="E135" s="1" t="s">
        <v>26</v>
      </c>
      <c r="F135" s="12">
        <f>van_Heerdenexepts</f>
        <v>10</v>
      </c>
    </row>
    <row r="136" spans="1:6" ht="14.95" customHeight="1" thickBot="1" x14ac:dyDescent="0.3">
      <c r="A136" s="39" t="s">
        <v>179</v>
      </c>
      <c r="B136" s="39" t="s">
        <v>27</v>
      </c>
      <c r="C136" s="6">
        <f>bedlowbritries</f>
        <v>1</v>
      </c>
      <c r="D136" s="1" t="s">
        <v>385</v>
      </c>
      <c r="E136" s="1" t="s">
        <v>25</v>
      </c>
      <c r="F136" s="12">
        <f>Wytheharpts</f>
        <v>10</v>
      </c>
    </row>
    <row r="137" spans="1:6" ht="14.95" customHeight="1" thickBot="1" x14ac:dyDescent="0.3">
      <c r="A137" s="39" t="s">
        <v>487</v>
      </c>
      <c r="B137" s="39" t="s">
        <v>25</v>
      </c>
      <c r="C137" s="6">
        <f>Callenderhartries</f>
        <v>1</v>
      </c>
      <c r="D137" s="1" t="s">
        <v>400</v>
      </c>
      <c r="E137" s="1" t="s">
        <v>23</v>
      </c>
      <c r="F137" s="12">
        <f>Hudsonglopts</f>
        <v>7</v>
      </c>
    </row>
    <row r="138" spans="1:6" ht="14.95" customHeight="1" thickBot="1" x14ac:dyDescent="0.3">
      <c r="A138" s="7" t="s">
        <v>431</v>
      </c>
      <c r="B138" s="7" t="s">
        <v>27</v>
      </c>
      <c r="C138" s="6">
        <f>Clarkebritries</f>
        <v>1</v>
      </c>
      <c r="D138" s="1" t="s">
        <v>432</v>
      </c>
      <c r="E138" s="1" t="s">
        <v>27</v>
      </c>
      <c r="F138" s="12">
        <f>Heskethbripts</f>
        <v>7</v>
      </c>
    </row>
    <row r="139" spans="1:6" ht="14.95" customHeight="1" thickBot="1" x14ac:dyDescent="0.3">
      <c r="A139" s="39" t="s">
        <v>614</v>
      </c>
      <c r="B139" s="39" t="s">
        <v>24</v>
      </c>
      <c r="C139" s="6">
        <f>Cowansaltries</f>
        <v>1</v>
      </c>
      <c r="D139" s="1" t="s">
        <v>176</v>
      </c>
      <c r="E139" s="1" t="s">
        <v>26</v>
      </c>
      <c r="F139" s="12">
        <f>Noreyexepts</f>
        <v>7</v>
      </c>
    </row>
    <row r="140" spans="1:6" ht="14.95" customHeight="1" thickBot="1" x14ac:dyDescent="0.3">
      <c r="A140" s="39" t="s">
        <v>744</v>
      </c>
      <c r="B140" s="39" t="s">
        <v>163</v>
      </c>
      <c r="C140" s="6">
        <f>Daleyleitries</f>
        <v>1</v>
      </c>
      <c r="D140" s="10" t="s">
        <v>4</v>
      </c>
      <c r="E140" s="10" t="s">
        <v>24</v>
      </c>
      <c r="F140" s="12">
        <f>Penalty_Triessalptscorrect</f>
        <v>7</v>
      </c>
    </row>
    <row r="141" spans="1:6" ht="14.95" customHeight="1" thickBot="1" x14ac:dyDescent="0.3">
      <c r="A141" s="39" t="s">
        <v>676</v>
      </c>
      <c r="B141" s="39" t="s">
        <v>26</v>
      </c>
      <c r="C141" s="6">
        <f>Dareexetries</f>
        <v>1</v>
      </c>
      <c r="D141" s="1" t="s">
        <v>4</v>
      </c>
      <c r="E141" s="1" t="s">
        <v>25</v>
      </c>
      <c r="F141" s="12">
        <f>Penalty_Triesharptscorrect</f>
        <v>7</v>
      </c>
    </row>
    <row r="142" spans="1:6" ht="14.95" customHeight="1" thickBot="1" x14ac:dyDescent="0.3">
      <c r="A142" s="39" t="s">
        <v>292</v>
      </c>
      <c r="B142" s="39" t="s">
        <v>135</v>
      </c>
      <c r="C142" s="6">
        <f>Daveyloutries</f>
        <v>1</v>
      </c>
      <c r="D142" s="1" t="s">
        <v>4</v>
      </c>
      <c r="E142" s="1" t="s">
        <v>23</v>
      </c>
      <c r="F142" s="12">
        <f>Thorleygloptscorrect</f>
        <v>7</v>
      </c>
    </row>
    <row r="143" spans="1:6" ht="14.95" customHeight="1" thickBot="1" x14ac:dyDescent="0.3">
      <c r="A143" s="39" t="s">
        <v>615</v>
      </c>
      <c r="B143" s="39" t="s">
        <v>24</v>
      </c>
      <c r="C143" s="6">
        <f>Duffysaltries</f>
        <v>1</v>
      </c>
      <c r="D143" s="159" t="s">
        <v>4</v>
      </c>
      <c r="E143" s="159" t="s">
        <v>350</v>
      </c>
      <c r="F143" s="11">
        <f>Penalty_Triestfrpts</f>
        <v>7</v>
      </c>
    </row>
    <row r="144" spans="1:6" ht="14.95" customHeight="1" thickBot="1" x14ac:dyDescent="0.3">
      <c r="A144" s="39" t="s">
        <v>740</v>
      </c>
      <c r="B144" s="39" t="s">
        <v>26</v>
      </c>
      <c r="C144" s="6">
        <f>Duguidexetries</f>
        <v>1</v>
      </c>
      <c r="D144" s="1" t="s">
        <v>738</v>
      </c>
      <c r="E144" s="1" t="s">
        <v>27</v>
      </c>
      <c r="F144" s="12">
        <f>Muldowneybripts</f>
        <v>7</v>
      </c>
    </row>
    <row r="145" spans="1:6" ht="14.95" customHeight="1" thickBot="1" x14ac:dyDescent="0.3">
      <c r="A145" s="39" t="s">
        <v>115</v>
      </c>
      <c r="B145" s="39" t="s">
        <v>33</v>
      </c>
      <c r="C145" s="6">
        <f>Hartleysartries</f>
        <v>1</v>
      </c>
      <c r="D145" s="1" t="s">
        <v>598</v>
      </c>
      <c r="E145" s="1" t="s">
        <v>350</v>
      </c>
      <c r="F145" s="12">
        <f>Taylortfwpts</f>
        <v>7</v>
      </c>
    </row>
    <row r="146" spans="1:6" ht="14.95" customHeight="1" thickBot="1" x14ac:dyDescent="0.3">
      <c r="A146" s="39" t="s">
        <v>264</v>
      </c>
      <c r="B146" s="39" t="s">
        <v>33</v>
      </c>
      <c r="C146" s="6">
        <f>Isiekwesartriescorrect</f>
        <v>1</v>
      </c>
      <c r="D146" s="1" t="s">
        <v>193</v>
      </c>
      <c r="E146" s="1" t="s">
        <v>350</v>
      </c>
      <c r="F146" s="12">
        <f>Amorytfrpts</f>
        <v>5</v>
      </c>
    </row>
    <row r="147" spans="1:6" ht="14.95" customHeight="1" thickBot="1" x14ac:dyDescent="0.3">
      <c r="A147" s="39" t="s">
        <v>616</v>
      </c>
      <c r="B147" s="39" t="s">
        <v>24</v>
      </c>
      <c r="C147" s="6">
        <f>Fieldingsaltries</f>
        <v>1</v>
      </c>
      <c r="D147" s="1" t="s">
        <v>182</v>
      </c>
      <c r="E147" s="1" t="s">
        <v>27</v>
      </c>
      <c r="F147" s="12">
        <f>Adeolokunbripts</f>
        <v>5</v>
      </c>
    </row>
    <row r="148" spans="1:6" ht="14.95" customHeight="1" thickBot="1" x14ac:dyDescent="0.3">
      <c r="A148" s="39" t="s">
        <v>198</v>
      </c>
      <c r="B148" s="39" t="s">
        <v>25</v>
      </c>
      <c r="C148" s="6">
        <f>Fleminghartries</f>
        <v>1</v>
      </c>
      <c r="D148" s="1" t="s">
        <v>475</v>
      </c>
      <c r="E148" s="1" t="s">
        <v>23</v>
      </c>
      <c r="F148" s="12">
        <f>Balmainglopts</f>
        <v>5</v>
      </c>
    </row>
    <row r="149" spans="1:6" ht="14.95" customHeight="1" thickBot="1" x14ac:dyDescent="0.3">
      <c r="A149" s="39" t="s">
        <v>746</v>
      </c>
      <c r="B149" s="39" t="s">
        <v>33</v>
      </c>
      <c r="C149" s="6">
        <f>Jacksonsartries</f>
        <v>1</v>
      </c>
      <c r="D149" s="1" t="s">
        <v>382</v>
      </c>
      <c r="E149" s="1" t="s">
        <v>33</v>
      </c>
      <c r="F149" s="12">
        <f>Bryansarpts</f>
        <v>5</v>
      </c>
    </row>
    <row r="150" spans="1:6" ht="14.95" customHeight="1" thickBot="1" x14ac:dyDescent="0.3">
      <c r="A150" s="39" t="s">
        <v>400</v>
      </c>
      <c r="B150" s="39" t="s">
        <v>23</v>
      </c>
      <c r="C150" s="6">
        <f>Hudsonglotries</f>
        <v>1</v>
      </c>
      <c r="D150" s="1" t="s">
        <v>747</v>
      </c>
      <c r="E150" s="1" t="s">
        <v>350</v>
      </c>
      <c r="F150" s="12">
        <f>Brincattfwpts</f>
        <v>5</v>
      </c>
    </row>
    <row r="151" spans="1:6" ht="14.95" customHeight="1" thickBot="1" x14ac:dyDescent="0.3">
      <c r="A151" s="39" t="s">
        <v>209</v>
      </c>
      <c r="B151" s="39" t="s">
        <v>33</v>
      </c>
      <c r="C151" s="6">
        <f>Gregsonsartries</f>
        <v>1</v>
      </c>
      <c r="D151" s="1" t="s">
        <v>260</v>
      </c>
      <c r="E151" s="1" t="s">
        <v>135</v>
      </c>
      <c r="F151" s="12">
        <f>Brodyloupts</f>
        <v>5</v>
      </c>
    </row>
    <row r="152" spans="1:6" ht="14.95" customHeight="1" thickBot="1" x14ac:dyDescent="0.3">
      <c r="A152" s="39" t="s">
        <v>631</v>
      </c>
      <c r="B152" s="39" t="s">
        <v>33</v>
      </c>
      <c r="C152" s="6">
        <f>Hardysartries</f>
        <v>1</v>
      </c>
      <c r="D152" s="1" t="s">
        <v>779</v>
      </c>
      <c r="E152" s="1" t="s">
        <v>27</v>
      </c>
      <c r="F152" s="12">
        <f>Buisabripts</f>
        <v>5</v>
      </c>
    </row>
    <row r="153" spans="1:6" ht="14.95" customHeight="1" thickBot="1" x14ac:dyDescent="0.3">
      <c r="A153" s="39" t="s">
        <v>397</v>
      </c>
      <c r="B153" s="39" t="s">
        <v>23</v>
      </c>
      <c r="C153" s="6">
        <f>Knightglotriescorrect</f>
        <v>1</v>
      </c>
      <c r="D153" s="1" t="s">
        <v>179</v>
      </c>
      <c r="E153" s="1" t="s">
        <v>27</v>
      </c>
      <c r="F153" s="12">
        <f>Bedlowbripts</f>
        <v>5</v>
      </c>
    </row>
    <row r="154" spans="1:6" ht="14.95" customHeight="1" thickBot="1" x14ac:dyDescent="0.3">
      <c r="A154" s="39" t="s">
        <v>627</v>
      </c>
      <c r="B154" s="39" t="s">
        <v>163</v>
      </c>
      <c r="C154" s="6">
        <f>Henrichleitries</f>
        <v>1</v>
      </c>
      <c r="D154" s="1" t="s">
        <v>487</v>
      </c>
      <c r="E154" s="1" t="s">
        <v>25</v>
      </c>
      <c r="F154" s="12">
        <f>Callenderharpts</f>
        <v>5</v>
      </c>
    </row>
    <row r="155" spans="1:6" ht="14.95" customHeight="1" thickBot="1" x14ac:dyDescent="0.3">
      <c r="A155" s="39" t="s">
        <v>433</v>
      </c>
      <c r="B155" s="39" t="s">
        <v>27</v>
      </c>
      <c r="C155" s="6">
        <f>Herringbritries</f>
        <v>1</v>
      </c>
      <c r="D155" s="1" t="s">
        <v>431</v>
      </c>
      <c r="E155" s="1" t="s">
        <v>27</v>
      </c>
      <c r="F155" s="11">
        <f>Clarkebripts</f>
        <v>5</v>
      </c>
    </row>
    <row r="156" spans="1:6" ht="14.95" customHeight="1" thickBot="1" x14ac:dyDescent="0.3">
      <c r="A156" s="39" t="s">
        <v>432</v>
      </c>
      <c r="B156" s="39" t="s">
        <v>27</v>
      </c>
      <c r="C156" s="6">
        <f>Heskethbritries</f>
        <v>1</v>
      </c>
      <c r="D156" s="10" t="s">
        <v>614</v>
      </c>
      <c r="E156" s="10" t="s">
        <v>24</v>
      </c>
      <c r="F156" s="12">
        <f>Cowansalpts</f>
        <v>5</v>
      </c>
    </row>
    <row r="157" spans="1:6" ht="14.95" customHeight="1" thickBot="1" x14ac:dyDescent="0.3">
      <c r="A157" s="39" t="s">
        <v>767</v>
      </c>
      <c r="B157" s="39" t="s">
        <v>24</v>
      </c>
      <c r="C157" s="293">
        <f>Hogansaltries</f>
        <v>1</v>
      </c>
      <c r="D157" s="1" t="s">
        <v>744</v>
      </c>
      <c r="E157" s="1" t="s">
        <v>163</v>
      </c>
      <c r="F157" s="12">
        <f>Daleyleipts</f>
        <v>5</v>
      </c>
    </row>
    <row r="158" spans="1:6" ht="14.95" customHeight="1" thickBot="1" x14ac:dyDescent="0.3">
      <c r="A158" s="39" t="s">
        <v>380</v>
      </c>
      <c r="B158" s="39" t="s">
        <v>23</v>
      </c>
      <c r="C158" s="6">
        <f>McGuiganglotries</f>
        <v>1</v>
      </c>
      <c r="D158" s="1" t="s">
        <v>676</v>
      </c>
      <c r="E158" s="1" t="s">
        <v>26</v>
      </c>
      <c r="F158" s="12">
        <f>Dareexepts</f>
        <v>5</v>
      </c>
    </row>
    <row r="159" spans="1:6" ht="14.95" customHeight="1" thickBot="1" x14ac:dyDescent="0.3">
      <c r="A159" s="39" t="s">
        <v>763</v>
      </c>
      <c r="B159" s="39" t="s">
        <v>24</v>
      </c>
      <c r="C159" s="6">
        <f>Hyndmansaltries</f>
        <v>1</v>
      </c>
      <c r="D159" s="1" t="s">
        <v>292</v>
      </c>
      <c r="E159" s="1" t="s">
        <v>135</v>
      </c>
      <c r="F159" s="12">
        <f>Daveyloupts</f>
        <v>5</v>
      </c>
    </row>
    <row r="160" spans="1:6" ht="14.95" customHeight="1" thickBot="1" x14ac:dyDescent="0.3">
      <c r="A160" s="7" t="s">
        <v>715</v>
      </c>
      <c r="B160" s="39" t="s">
        <v>163</v>
      </c>
      <c r="C160" s="6">
        <f>Jonesleitries</f>
        <v>1</v>
      </c>
      <c r="D160" s="1" t="s">
        <v>740</v>
      </c>
      <c r="E160" s="1" t="s">
        <v>26</v>
      </c>
      <c r="F160" s="13">
        <f>Duguidexepts</f>
        <v>5</v>
      </c>
    </row>
    <row r="161" spans="1:6" ht="14.95" customHeight="1" thickBot="1" x14ac:dyDescent="0.3">
      <c r="A161" s="39" t="s">
        <v>777</v>
      </c>
      <c r="B161" s="39" t="s">
        <v>350</v>
      </c>
      <c r="C161" s="6">
        <f>Kalounivaletfwtries</f>
        <v>1</v>
      </c>
      <c r="D161" s="1" t="s">
        <v>115</v>
      </c>
      <c r="E161" s="1" t="s">
        <v>33</v>
      </c>
      <c r="F161" s="13">
        <f>Hartleysarpts</f>
        <v>5</v>
      </c>
    </row>
    <row r="162" spans="1:6" ht="14.95" customHeight="1" thickBot="1" x14ac:dyDescent="0.3">
      <c r="A162" s="39" t="s">
        <v>634</v>
      </c>
      <c r="B162" s="39" t="s">
        <v>350</v>
      </c>
      <c r="C162" s="6">
        <f>LeathermanTFWTRIES</f>
        <v>1</v>
      </c>
      <c r="D162" s="1" t="s">
        <v>264</v>
      </c>
      <c r="E162" s="1" t="s">
        <v>33</v>
      </c>
      <c r="F162" s="12">
        <f>Isiekwesarptscorrect</f>
        <v>5</v>
      </c>
    </row>
    <row r="163" spans="1:6" ht="14.95" customHeight="1" thickBot="1" x14ac:dyDescent="0.3">
      <c r="A163" s="39" t="s">
        <v>592</v>
      </c>
      <c r="B163" s="39" t="s">
        <v>33</v>
      </c>
      <c r="C163" s="4">
        <f>Mooresartries</f>
        <v>1</v>
      </c>
      <c r="D163" s="10" t="s">
        <v>616</v>
      </c>
      <c r="E163" s="10" t="s">
        <v>24</v>
      </c>
      <c r="F163" s="12">
        <f>Fieldingsalpts</f>
        <v>5</v>
      </c>
    </row>
    <row r="164" spans="1:6" ht="14.95" customHeight="1" thickBot="1" x14ac:dyDescent="0.3">
      <c r="A164" s="39" t="s">
        <v>559</v>
      </c>
      <c r="B164" s="39" t="s">
        <v>135</v>
      </c>
      <c r="C164" s="33">
        <f>Mataitogaloutriescorrect</f>
        <v>1</v>
      </c>
      <c r="D164" s="1" t="s">
        <v>198</v>
      </c>
      <c r="E164" s="1" t="s">
        <v>25</v>
      </c>
      <c r="F164" s="12">
        <f>Flemingharpts</f>
        <v>5</v>
      </c>
    </row>
    <row r="165" spans="1:6" ht="14.95" customHeight="1" thickBot="1" x14ac:dyDescent="0.3">
      <c r="A165" s="39" t="s">
        <v>443</v>
      </c>
      <c r="B165" s="39" t="s">
        <v>26</v>
      </c>
      <c r="C165" s="6">
        <f>Keastexetries</f>
        <v>1</v>
      </c>
      <c r="D165" s="1" t="s">
        <v>746</v>
      </c>
      <c r="E165" s="1" t="s">
        <v>33</v>
      </c>
      <c r="F165" s="13">
        <f>Jacksonsarpts</f>
        <v>5</v>
      </c>
    </row>
    <row r="166" spans="1:6" ht="14.95" customHeight="1" thickBot="1" x14ac:dyDescent="0.3">
      <c r="A166" s="39" t="s">
        <v>413</v>
      </c>
      <c r="B166" s="39" t="s">
        <v>33</v>
      </c>
      <c r="C166" s="6">
        <f>Pifeletisartriescorrect</f>
        <v>1</v>
      </c>
      <c r="D166" s="1" t="s">
        <v>209</v>
      </c>
      <c r="E166" s="1" t="s">
        <v>33</v>
      </c>
      <c r="F166" s="12">
        <f>Gregsonsarpts</f>
        <v>5</v>
      </c>
    </row>
    <row r="167" spans="1:6" ht="14.95" customHeight="1" thickBot="1" x14ac:dyDescent="0.3">
      <c r="A167" s="39" t="s">
        <v>176</v>
      </c>
      <c r="B167" s="39" t="s">
        <v>26</v>
      </c>
      <c r="C167" s="6">
        <f>Noreyexetries</f>
        <v>1</v>
      </c>
      <c r="D167" s="1" t="s">
        <v>631</v>
      </c>
      <c r="E167" s="1" t="s">
        <v>33</v>
      </c>
      <c r="F167" s="12">
        <f>Hardysarpts</f>
        <v>5</v>
      </c>
    </row>
    <row r="168" spans="1:6" ht="14.95" customHeight="1" thickBot="1" x14ac:dyDescent="0.3">
      <c r="A168" s="7" t="s">
        <v>750</v>
      </c>
      <c r="B168" s="39" t="s">
        <v>350</v>
      </c>
      <c r="C168" s="6">
        <f>Musgrovetfrtries</f>
        <v>1</v>
      </c>
      <c r="D168" s="1" t="s">
        <v>397</v>
      </c>
      <c r="E168" s="1" t="s">
        <v>23</v>
      </c>
      <c r="F168" s="12">
        <f>Knightgloptscorrect</f>
        <v>5</v>
      </c>
    </row>
    <row r="169" spans="1:6" ht="14.95" customHeight="1" thickBot="1" x14ac:dyDescent="0.3">
      <c r="A169" s="39" t="s">
        <v>180</v>
      </c>
      <c r="B169" s="39" t="s">
        <v>27</v>
      </c>
      <c r="C169" s="6">
        <f>Lanebritries</f>
        <v>1</v>
      </c>
      <c r="D169" s="1" t="s">
        <v>627</v>
      </c>
      <c r="E169" s="1" t="s">
        <v>163</v>
      </c>
      <c r="F169" s="12">
        <f>Henrichleipts</f>
        <v>5</v>
      </c>
    </row>
    <row r="170" spans="1:6" ht="14.95" customHeight="1" thickBot="1" x14ac:dyDescent="0.3">
      <c r="A170" s="39" t="s">
        <v>4</v>
      </c>
      <c r="B170" s="39" t="s">
        <v>24</v>
      </c>
      <c r="C170" s="6">
        <f>Penalty_Triessaltriescorrect</f>
        <v>1</v>
      </c>
      <c r="D170" s="1" t="s">
        <v>433</v>
      </c>
      <c r="E170" s="1" t="s">
        <v>27</v>
      </c>
      <c r="F170" s="12">
        <f>Herringbripts</f>
        <v>5</v>
      </c>
    </row>
    <row r="171" spans="1:6" ht="14.95" customHeight="1" thickBot="1" x14ac:dyDescent="0.3">
      <c r="A171" s="7" t="s">
        <v>4</v>
      </c>
      <c r="B171" s="7" t="s">
        <v>25</v>
      </c>
      <c r="C171" s="6">
        <f>Penalty_Trieshartriescorerct</f>
        <v>1</v>
      </c>
      <c r="D171" s="1" t="s">
        <v>767</v>
      </c>
      <c r="E171" s="1" t="s">
        <v>24</v>
      </c>
      <c r="F171" s="12">
        <f>Hogansalpts</f>
        <v>5</v>
      </c>
    </row>
    <row r="172" spans="1:6" ht="14.95" customHeight="1" thickBot="1" x14ac:dyDescent="0.3">
      <c r="A172" s="39" t="s">
        <v>4</v>
      </c>
      <c r="B172" s="39" t="s">
        <v>23</v>
      </c>
      <c r="C172" s="6">
        <f>Thorleyglotriescorrect</f>
        <v>1</v>
      </c>
      <c r="D172" s="1" t="s">
        <v>380</v>
      </c>
      <c r="E172" s="1" t="s">
        <v>23</v>
      </c>
      <c r="F172" s="12">
        <f>McGuiganglopts</f>
        <v>5</v>
      </c>
    </row>
    <row r="173" spans="1:6" ht="14.95" customHeight="1" thickBot="1" x14ac:dyDescent="0.3">
      <c r="A173" s="39" t="s">
        <v>4</v>
      </c>
      <c r="B173" s="39" t="s">
        <v>350</v>
      </c>
      <c r="C173" s="6">
        <f>Penalty_Triestfrtries</f>
        <v>1</v>
      </c>
      <c r="D173" s="1" t="s">
        <v>763</v>
      </c>
      <c r="E173" s="1" t="s">
        <v>24</v>
      </c>
      <c r="F173" s="12">
        <f>Hyndmansalpts</f>
        <v>5</v>
      </c>
    </row>
    <row r="174" spans="1:6" ht="14.95" customHeight="1" thickBot="1" x14ac:dyDescent="0.3">
      <c r="A174" s="39" t="s">
        <v>417</v>
      </c>
      <c r="B174" s="39" t="s">
        <v>24</v>
      </c>
      <c r="C174" s="6">
        <f>Perrinsaltries</f>
        <v>1</v>
      </c>
      <c r="D174" s="1" t="s">
        <v>715</v>
      </c>
      <c r="E174" s="1" t="s">
        <v>163</v>
      </c>
      <c r="F174" s="12">
        <f>Jonesleipts</f>
        <v>5</v>
      </c>
    </row>
    <row r="175" spans="1:6" ht="14.95" customHeight="1" thickBot="1" x14ac:dyDescent="0.3">
      <c r="A175" s="39" t="s">
        <v>464</v>
      </c>
      <c r="B175" s="39" t="s">
        <v>27</v>
      </c>
      <c r="C175" s="6">
        <f>LloydBriTries</f>
        <v>1</v>
      </c>
      <c r="D175" s="1" t="s">
        <v>777</v>
      </c>
      <c r="E175" s="1" t="s">
        <v>350</v>
      </c>
      <c r="F175" s="12">
        <f>Kalounivaletfwpts</f>
        <v>5</v>
      </c>
    </row>
    <row r="176" spans="1:6" ht="14.95" customHeight="1" thickBot="1" x14ac:dyDescent="0.3">
      <c r="A176" s="39" t="s">
        <v>783</v>
      </c>
      <c r="B176" s="39" t="s">
        <v>23</v>
      </c>
      <c r="C176" s="6">
        <f>Pritchardglotries</f>
        <v>1</v>
      </c>
      <c r="D176" s="1" t="s">
        <v>634</v>
      </c>
      <c r="E176" s="1" t="s">
        <v>350</v>
      </c>
      <c r="F176" s="12">
        <f>LeathermanTFWPTS</f>
        <v>5</v>
      </c>
    </row>
    <row r="177" spans="1:6" ht="14.95" customHeight="1" thickBot="1" x14ac:dyDescent="0.3">
      <c r="A177" s="39" t="s">
        <v>312</v>
      </c>
      <c r="B177" s="39" t="s">
        <v>24</v>
      </c>
      <c r="C177" s="6">
        <f>Protherosaltries</f>
        <v>1</v>
      </c>
      <c r="D177" s="159" t="s">
        <v>592</v>
      </c>
      <c r="E177" s="159" t="s">
        <v>33</v>
      </c>
      <c r="F177" s="11">
        <f>Mooresarpts</f>
        <v>5</v>
      </c>
    </row>
    <row r="178" spans="1:6" ht="14.95" customHeight="1" thickBot="1" x14ac:dyDescent="0.3">
      <c r="A178" s="39" t="s">
        <v>756</v>
      </c>
      <c r="B178" s="39" t="s">
        <v>23</v>
      </c>
      <c r="C178" s="6">
        <f>Perryglotries</f>
        <v>1</v>
      </c>
      <c r="D178" s="1" t="s">
        <v>559</v>
      </c>
      <c r="E178" s="1" t="s">
        <v>135</v>
      </c>
      <c r="F178" s="12">
        <f>Mataitogalouptscorrect</f>
        <v>5</v>
      </c>
    </row>
    <row r="179" spans="1:6" ht="14.95" customHeight="1" thickBot="1" x14ac:dyDescent="0.3">
      <c r="A179" s="39" t="s">
        <v>261</v>
      </c>
      <c r="B179" s="39" t="s">
        <v>24</v>
      </c>
      <c r="C179" s="33">
        <f>Relfaltries</f>
        <v>1</v>
      </c>
      <c r="D179" s="1" t="s">
        <v>443</v>
      </c>
      <c r="E179" s="1" t="s">
        <v>26</v>
      </c>
      <c r="F179" s="12">
        <f>Keastexepts</f>
        <v>5</v>
      </c>
    </row>
    <row r="180" spans="1:6" ht="14.95" customHeight="1" thickBot="1" x14ac:dyDescent="0.3">
      <c r="A180" s="39" t="s">
        <v>184</v>
      </c>
      <c r="B180" s="39" t="s">
        <v>24</v>
      </c>
      <c r="C180" s="6">
        <f>Rigonisaltries</f>
        <v>1</v>
      </c>
      <c r="D180" s="1" t="s">
        <v>413</v>
      </c>
      <c r="E180" s="1" t="s">
        <v>33</v>
      </c>
      <c r="F180" s="12">
        <f>Pifeletisarptscorrect</f>
        <v>5</v>
      </c>
    </row>
    <row r="181" spans="1:6" ht="14.95" customHeight="1" thickBot="1" x14ac:dyDescent="0.3">
      <c r="A181" s="39" t="s">
        <v>758</v>
      </c>
      <c r="B181" s="39" t="s">
        <v>350</v>
      </c>
      <c r="C181" s="33">
        <f>Roostfwtries</f>
        <v>1</v>
      </c>
      <c r="D181" s="1" t="s">
        <v>750</v>
      </c>
      <c r="E181" s="1" t="s">
        <v>350</v>
      </c>
      <c r="F181" s="12">
        <f>Musgrovetfrpts</f>
        <v>5</v>
      </c>
    </row>
    <row r="182" spans="1:6" ht="14.95" customHeight="1" thickBot="1" x14ac:dyDescent="0.3">
      <c r="A182" s="39" t="s">
        <v>710</v>
      </c>
      <c r="B182" s="39" t="s">
        <v>33</v>
      </c>
      <c r="C182" s="6">
        <f>Royersartries</f>
        <v>1</v>
      </c>
      <c r="D182" s="1" t="s">
        <v>180</v>
      </c>
      <c r="E182" s="1" t="s">
        <v>27</v>
      </c>
      <c r="F182" s="12">
        <f>Lanebripts</f>
        <v>5</v>
      </c>
    </row>
    <row r="183" spans="1:6" ht="14.95" customHeight="1" thickBot="1" x14ac:dyDescent="0.3">
      <c r="A183" s="7" t="s">
        <v>610</v>
      </c>
      <c r="B183" s="39" t="s">
        <v>163</v>
      </c>
      <c r="C183" s="6">
        <f>Russellleitries</f>
        <v>1</v>
      </c>
      <c r="D183" s="1" t="s">
        <v>417</v>
      </c>
      <c r="E183" s="1" t="s">
        <v>24</v>
      </c>
      <c r="F183" s="12">
        <f>Perrinsalpts</f>
        <v>5</v>
      </c>
    </row>
    <row r="184" spans="1:6" ht="14.95" customHeight="1" thickBot="1" x14ac:dyDescent="0.3">
      <c r="A184" s="39" t="s">
        <v>590</v>
      </c>
      <c r="B184" s="39" t="s">
        <v>33</v>
      </c>
      <c r="C184" s="6">
        <f>Senftsartries</f>
        <v>1</v>
      </c>
      <c r="D184" s="1" t="s">
        <v>464</v>
      </c>
      <c r="E184" s="1" t="s">
        <v>27</v>
      </c>
      <c r="F184" s="12">
        <f>LloydBriPts</f>
        <v>5</v>
      </c>
    </row>
    <row r="185" spans="1:6" ht="14.95" customHeight="1" thickBot="1" x14ac:dyDescent="0.3">
      <c r="A185" s="39" t="s">
        <v>423</v>
      </c>
      <c r="B185" s="39" t="s">
        <v>25</v>
      </c>
      <c r="C185" s="6">
        <f>ShillakerHARTRIES</f>
        <v>1</v>
      </c>
      <c r="D185" s="1" t="s">
        <v>783</v>
      </c>
      <c r="E185" s="1" t="s">
        <v>23</v>
      </c>
      <c r="F185" s="12">
        <f>Pritchardglopts</f>
        <v>5</v>
      </c>
    </row>
    <row r="186" spans="1:6" ht="14.95" customHeight="1" thickBot="1" x14ac:dyDescent="0.3">
      <c r="A186" s="39" t="s">
        <v>630</v>
      </c>
      <c r="B186" s="39" t="s">
        <v>23</v>
      </c>
      <c r="C186" s="6">
        <f>Simpsonlucyglotries</f>
        <v>1</v>
      </c>
      <c r="D186" s="1" t="s">
        <v>312</v>
      </c>
      <c r="E186" s="1" t="s">
        <v>24</v>
      </c>
      <c r="F186" s="12">
        <f>Protherosalpts</f>
        <v>5</v>
      </c>
    </row>
    <row r="187" spans="1:6" ht="14.95" customHeight="1" thickBot="1" x14ac:dyDescent="0.3">
      <c r="A187" s="7" t="s">
        <v>299</v>
      </c>
      <c r="B187" s="7" t="s">
        <v>25</v>
      </c>
      <c r="C187" s="6">
        <f>SimsHARTRIES</f>
        <v>1</v>
      </c>
      <c r="D187" s="1" t="s">
        <v>756</v>
      </c>
      <c r="E187" s="1" t="s">
        <v>23</v>
      </c>
      <c r="F187" s="12">
        <f>Perryglopts</f>
        <v>5</v>
      </c>
    </row>
    <row r="188" spans="1:6" ht="14.95" customHeight="1" thickBot="1" x14ac:dyDescent="0.3">
      <c r="A188" s="39" t="s">
        <v>738</v>
      </c>
      <c r="B188" s="39" t="s">
        <v>27</v>
      </c>
      <c r="C188" s="6">
        <f>Muldowneybritries</f>
        <v>1</v>
      </c>
      <c r="D188" s="1" t="s">
        <v>261</v>
      </c>
      <c r="E188" s="1" t="s">
        <v>24</v>
      </c>
      <c r="F188" s="12">
        <f>Relfsalpts</f>
        <v>5</v>
      </c>
    </row>
    <row r="189" spans="1:6" ht="14.95" customHeight="1" thickBot="1" x14ac:dyDescent="0.3">
      <c r="A189" s="39" t="s">
        <v>704</v>
      </c>
      <c r="B189" s="39" t="s">
        <v>23</v>
      </c>
      <c r="C189" s="33">
        <f>Tandyglotries</f>
        <v>1</v>
      </c>
      <c r="D189" s="1" t="s">
        <v>184</v>
      </c>
      <c r="E189" s="1" t="s">
        <v>24</v>
      </c>
      <c r="F189" s="12">
        <f>Rigonisalpts</f>
        <v>5</v>
      </c>
    </row>
    <row r="190" spans="1:6" ht="14.95" customHeight="1" thickBot="1" x14ac:dyDescent="0.3">
      <c r="A190" s="39" t="s">
        <v>726</v>
      </c>
      <c r="B190" s="39" t="s">
        <v>25</v>
      </c>
      <c r="C190" s="6">
        <f>Svobodahartries</f>
        <v>1</v>
      </c>
      <c r="D190" s="10" t="s">
        <v>758</v>
      </c>
      <c r="E190" s="10" t="s">
        <v>350</v>
      </c>
      <c r="F190" s="12">
        <f>Roostfwpts</f>
        <v>5</v>
      </c>
    </row>
    <row r="191" spans="1:6" ht="14.95" customHeight="1" thickBot="1" x14ac:dyDescent="0.3">
      <c r="A191" s="39" t="s">
        <v>226</v>
      </c>
      <c r="B191" s="39" t="s">
        <v>24</v>
      </c>
      <c r="C191" s="33">
        <f>Tallingsaltries</f>
        <v>1</v>
      </c>
      <c r="D191" s="1" t="s">
        <v>710</v>
      </c>
      <c r="E191" s="1" t="s">
        <v>33</v>
      </c>
      <c r="F191" s="12">
        <f>Royersarpts</f>
        <v>5</v>
      </c>
    </row>
    <row r="192" spans="1:6" ht="14.95" customHeight="1" thickBot="1" x14ac:dyDescent="0.3">
      <c r="A192" s="39" t="s">
        <v>598</v>
      </c>
      <c r="B192" s="39" t="s">
        <v>350</v>
      </c>
      <c r="C192" s="6">
        <f>Taylortfwtries</f>
        <v>1</v>
      </c>
      <c r="D192" s="1" t="s">
        <v>610</v>
      </c>
      <c r="E192" s="1" t="s">
        <v>163</v>
      </c>
      <c r="F192" s="12">
        <f>Russellleipts</f>
        <v>5</v>
      </c>
    </row>
    <row r="193" spans="1:6" ht="14.95" customHeight="1" thickBot="1" x14ac:dyDescent="0.3">
      <c r="A193" s="39" t="s">
        <v>416</v>
      </c>
      <c r="B193" s="39" t="s">
        <v>24</v>
      </c>
      <c r="C193" s="33">
        <f>Thorpesaltries</f>
        <v>1</v>
      </c>
      <c r="D193" s="1" t="s">
        <v>590</v>
      </c>
      <c r="E193" s="1" t="s">
        <v>33</v>
      </c>
      <c r="F193" s="12">
        <f>Senftsarpts</f>
        <v>5</v>
      </c>
    </row>
    <row r="194" spans="1:6" ht="14.95" customHeight="1" thickBot="1" x14ac:dyDescent="0.3">
      <c r="A194" s="39" t="s">
        <v>510</v>
      </c>
      <c r="B194" s="39" t="s">
        <v>25</v>
      </c>
      <c r="C194" s="6">
        <f>Turanihartries</f>
        <v>1</v>
      </c>
      <c r="D194" s="1" t="s">
        <v>423</v>
      </c>
      <c r="E194" s="1" t="s">
        <v>25</v>
      </c>
      <c r="F194" s="12">
        <f>ShillakerHARPTS</f>
        <v>5</v>
      </c>
    </row>
    <row r="195" spans="1:6" ht="14.95" customHeight="1" thickBot="1" x14ac:dyDescent="0.3">
      <c r="A195" s="39" t="s">
        <v>606</v>
      </c>
      <c r="B195" s="39" t="s">
        <v>350</v>
      </c>
      <c r="C195" s="6">
        <f>Urentfwtries</f>
        <v>1</v>
      </c>
      <c r="D195" s="1" t="s">
        <v>630</v>
      </c>
      <c r="E195" s="1" t="s">
        <v>23</v>
      </c>
      <c r="F195" s="12">
        <f>Simpsonlucyglopts</f>
        <v>5</v>
      </c>
    </row>
    <row r="196" spans="1:6" ht="14.95" customHeight="1" thickBot="1" x14ac:dyDescent="0.3">
      <c r="A196" s="39" t="s">
        <v>457</v>
      </c>
      <c r="B196" s="39" t="s">
        <v>26</v>
      </c>
      <c r="C196" s="6">
        <f>Tuimaexetries</f>
        <v>1</v>
      </c>
      <c r="D196" s="1" t="s">
        <v>299</v>
      </c>
      <c r="E196" s="1" t="s">
        <v>25</v>
      </c>
      <c r="F196" s="12">
        <f>SimsHARPTS</f>
        <v>5</v>
      </c>
    </row>
    <row r="197" spans="1:6" ht="14.95" customHeight="1" thickBot="1" x14ac:dyDescent="0.3">
      <c r="A197" s="39" t="s">
        <v>765</v>
      </c>
      <c r="B197" s="39" t="s">
        <v>33</v>
      </c>
      <c r="C197" s="4">
        <f>Wilsonsartries</f>
        <v>1</v>
      </c>
      <c r="D197" s="1" t="s">
        <v>704</v>
      </c>
      <c r="E197" s="1" t="s">
        <v>23</v>
      </c>
      <c r="F197" s="12">
        <f>Tandyglopts</f>
        <v>5</v>
      </c>
    </row>
    <row r="198" spans="1:6" ht="14.95" customHeight="1" thickBot="1" x14ac:dyDescent="0.3">
      <c r="A198" s="39" t="s">
        <v>774</v>
      </c>
      <c r="B198" s="39" t="s">
        <v>350</v>
      </c>
      <c r="C198" s="6">
        <f>Wasselltfwtries</f>
        <v>1</v>
      </c>
      <c r="D198" s="1" t="s">
        <v>726</v>
      </c>
      <c r="E198" s="1" t="s">
        <v>25</v>
      </c>
      <c r="F198" s="12">
        <f>Svobodaharptscorrect</f>
        <v>5</v>
      </c>
    </row>
    <row r="199" spans="1:6" ht="14.95" customHeight="1" thickBot="1" x14ac:dyDescent="0.3">
      <c r="A199" s="39" t="s">
        <v>612</v>
      </c>
      <c r="B199" s="39" t="s">
        <v>135</v>
      </c>
      <c r="C199" s="6">
        <f>Waudbyloutries</f>
        <v>1</v>
      </c>
      <c r="D199" s="1" t="s">
        <v>226</v>
      </c>
      <c r="E199" s="1" t="s">
        <v>24</v>
      </c>
      <c r="F199" s="13">
        <f>Tallingsalpts</f>
        <v>5</v>
      </c>
    </row>
    <row r="200" spans="1:6" ht="14.95" customHeight="1" thickBot="1" x14ac:dyDescent="0.3">
      <c r="A200" s="39" t="s">
        <v>584</v>
      </c>
      <c r="B200" s="39" t="s">
        <v>135</v>
      </c>
      <c r="C200" s="6">
        <f>Williamsloutries</f>
        <v>1</v>
      </c>
      <c r="D200" s="1" t="s">
        <v>416</v>
      </c>
      <c r="E200" s="1" t="s">
        <v>24</v>
      </c>
      <c r="F200" s="13">
        <f>Thorpesalpts</f>
        <v>5</v>
      </c>
    </row>
    <row r="201" spans="1:6" ht="14.95" customHeight="1" thickBot="1" x14ac:dyDescent="0.3">
      <c r="A201" s="7" t="s">
        <v>611</v>
      </c>
      <c r="B201" s="39" t="s">
        <v>163</v>
      </c>
      <c r="C201" s="6">
        <f>Willsleitries</f>
        <v>1</v>
      </c>
      <c r="D201" s="10" t="s">
        <v>510</v>
      </c>
      <c r="E201" s="1" t="s">
        <v>25</v>
      </c>
      <c r="F201" s="12">
        <f>Turaniharpts</f>
        <v>5</v>
      </c>
    </row>
    <row r="202" spans="1:6" ht="14.95" customHeight="1" thickBot="1" x14ac:dyDescent="0.3">
      <c r="A202" s="39" t="s">
        <v>567</v>
      </c>
      <c r="B202" s="39" t="s">
        <v>27</v>
      </c>
      <c r="C202" s="6">
        <f>Wilkinsonbritries</f>
        <v>1</v>
      </c>
      <c r="D202" s="1" t="s">
        <v>606</v>
      </c>
      <c r="E202" s="1" t="s">
        <v>350</v>
      </c>
      <c r="F202" s="12">
        <f>Urentfwpts</f>
        <v>5</v>
      </c>
    </row>
    <row r="203" spans="1:6" ht="14.95" customHeight="1" thickBot="1" x14ac:dyDescent="0.3">
      <c r="A203" s="39" t="s">
        <v>418</v>
      </c>
      <c r="B203" s="39" t="s">
        <v>24</v>
      </c>
      <c r="C203" s="6">
        <f>Wrightsaltries</f>
        <v>1</v>
      </c>
      <c r="D203" s="1" t="s">
        <v>457</v>
      </c>
      <c r="E203" s="1" t="s">
        <v>26</v>
      </c>
      <c r="F203" s="12">
        <f>Tuimaexepts</f>
        <v>5</v>
      </c>
    </row>
    <row r="204" spans="1:6" ht="14.95" customHeight="1" thickBot="1" x14ac:dyDescent="0.3">
      <c r="A204" s="39" t="s">
        <v>700</v>
      </c>
      <c r="B204" s="39" t="s">
        <v>24</v>
      </c>
      <c r="C204" s="4">
        <f>Aitchisonsaltries</f>
        <v>0</v>
      </c>
      <c r="D204" s="159" t="s">
        <v>765</v>
      </c>
      <c r="E204" s="159" t="s">
        <v>33</v>
      </c>
      <c r="F204" s="11">
        <f>Wilsonsarpts</f>
        <v>5</v>
      </c>
    </row>
    <row r="205" spans="1:6" ht="14.95" customHeight="1" thickBot="1" x14ac:dyDescent="0.3">
      <c r="A205" s="39" t="s">
        <v>575</v>
      </c>
      <c r="B205" s="39" t="s">
        <v>163</v>
      </c>
      <c r="C205" s="33">
        <f>Alemaleitries</f>
        <v>0</v>
      </c>
      <c r="D205" s="1" t="s">
        <v>774</v>
      </c>
      <c r="E205" s="1" t="s">
        <v>350</v>
      </c>
      <c r="F205" s="12">
        <f>Wasselltfwpts</f>
        <v>5</v>
      </c>
    </row>
    <row r="206" spans="1:6" ht="14.95" customHeight="1" thickBot="1" x14ac:dyDescent="0.3">
      <c r="A206" s="39" t="s">
        <v>326</v>
      </c>
      <c r="B206" s="39" t="s">
        <v>24</v>
      </c>
      <c r="C206" s="6">
        <f>Antwissaltries</f>
        <v>0</v>
      </c>
      <c r="D206" s="1" t="s">
        <v>612</v>
      </c>
      <c r="E206" s="1" t="s">
        <v>135</v>
      </c>
      <c r="F206" s="12">
        <f>Waudbyloupts</f>
        <v>5</v>
      </c>
    </row>
    <row r="207" spans="1:6" ht="14.95" customHeight="1" thickBot="1" x14ac:dyDescent="0.3">
      <c r="A207" s="39" t="s">
        <v>561</v>
      </c>
      <c r="B207" s="39" t="s">
        <v>23</v>
      </c>
      <c r="C207" s="6">
        <f>Aspinallglotries</f>
        <v>0</v>
      </c>
      <c r="D207" s="1" t="s">
        <v>584</v>
      </c>
      <c r="E207" s="1" t="s">
        <v>135</v>
      </c>
      <c r="F207" s="12">
        <f>Williamsloupts</f>
        <v>5</v>
      </c>
    </row>
    <row r="208" spans="1:6" ht="14.95" customHeight="1" thickBot="1" x14ac:dyDescent="0.3">
      <c r="A208" s="39" t="s">
        <v>166</v>
      </c>
      <c r="B208" s="39" t="s">
        <v>27</v>
      </c>
      <c r="C208" s="6">
        <f>Atkin_Daviesbritries</f>
        <v>0</v>
      </c>
      <c r="D208" s="1" t="s">
        <v>611</v>
      </c>
      <c r="E208" s="1" t="s">
        <v>163</v>
      </c>
      <c r="F208" s="12">
        <f>Willsleipts</f>
        <v>5</v>
      </c>
    </row>
    <row r="209" spans="1:6" ht="14.95" customHeight="1" thickBot="1" x14ac:dyDescent="0.3">
      <c r="A209" s="39" t="s">
        <v>479</v>
      </c>
      <c r="B209" s="39" t="s">
        <v>25</v>
      </c>
      <c r="C209" s="6">
        <f>Baileyhartries</f>
        <v>0</v>
      </c>
      <c r="D209" s="1" t="s">
        <v>567</v>
      </c>
      <c r="E209" s="1" t="s">
        <v>27</v>
      </c>
      <c r="F209" s="12">
        <f>Wilkinsonbripts</f>
        <v>5</v>
      </c>
    </row>
    <row r="210" spans="1:6" ht="14.95" customHeight="1" thickBot="1" x14ac:dyDescent="0.3">
      <c r="A210" s="39" t="s">
        <v>727</v>
      </c>
      <c r="B210" s="39" t="s">
        <v>27</v>
      </c>
      <c r="C210" s="6">
        <f>Baileybritries</f>
        <v>0</v>
      </c>
      <c r="D210" s="1" t="s">
        <v>418</v>
      </c>
      <c r="E210" s="1" t="s">
        <v>24</v>
      </c>
      <c r="F210" s="12">
        <f>Wrightsalpts</f>
        <v>5</v>
      </c>
    </row>
    <row r="211" spans="1:6" ht="14.95" customHeight="1" thickBot="1" x14ac:dyDescent="0.3">
      <c r="A211" s="39" t="s">
        <v>373</v>
      </c>
      <c r="B211" s="39" t="s">
        <v>163</v>
      </c>
      <c r="C211" s="6">
        <f>Bartlettleitries</f>
        <v>0</v>
      </c>
      <c r="D211" s="1" t="s">
        <v>145</v>
      </c>
      <c r="E211" s="1" t="s">
        <v>24</v>
      </c>
      <c r="F211" s="12">
        <f>Irwin_V_Asalpts</f>
        <v>4</v>
      </c>
    </row>
    <row r="212" spans="1:6" ht="14.95" customHeight="1" thickBot="1" x14ac:dyDescent="0.3">
      <c r="A212" s="39" t="s">
        <v>297</v>
      </c>
      <c r="B212" s="39" t="s">
        <v>350</v>
      </c>
      <c r="C212" s="6">
        <f>Barwicktfrtries</f>
        <v>0</v>
      </c>
      <c r="D212" s="10" t="s">
        <v>707</v>
      </c>
      <c r="E212" s="10" t="s">
        <v>27</v>
      </c>
      <c r="F212" s="11">
        <f>Evansnbripts</f>
        <v>2</v>
      </c>
    </row>
    <row r="213" spans="1:6" ht="14.95" customHeight="1" thickBot="1" x14ac:dyDescent="0.3">
      <c r="A213" s="39" t="s">
        <v>371</v>
      </c>
      <c r="B213" s="39" t="s">
        <v>24</v>
      </c>
      <c r="C213" s="33">
        <f>Bawdensaltries</f>
        <v>0</v>
      </c>
      <c r="D213" s="1" t="s">
        <v>575</v>
      </c>
      <c r="E213" s="1" t="s">
        <v>163</v>
      </c>
      <c r="F213" s="12">
        <f>Alemaleipts</f>
        <v>0</v>
      </c>
    </row>
    <row r="214" spans="1:6" ht="14.95" customHeight="1" thickBot="1" x14ac:dyDescent="0.3">
      <c r="A214" s="39" t="s">
        <v>430</v>
      </c>
      <c r="B214" s="39" t="s">
        <v>27</v>
      </c>
      <c r="C214" s="6">
        <f>afoabritries</f>
        <v>0</v>
      </c>
      <c r="D214" s="10" t="s">
        <v>326</v>
      </c>
      <c r="E214" s="10" t="s">
        <v>24</v>
      </c>
      <c r="F214" s="12">
        <f>Antwissalpts</f>
        <v>0</v>
      </c>
    </row>
    <row r="215" spans="1:6" ht="14.95" customHeight="1" thickBot="1" x14ac:dyDescent="0.3">
      <c r="A215" s="39" t="s">
        <v>728</v>
      </c>
      <c r="B215" s="39" t="s">
        <v>135</v>
      </c>
      <c r="C215" s="6">
        <f>Bellloutries</f>
        <v>0</v>
      </c>
      <c r="D215" s="1" t="s">
        <v>561</v>
      </c>
      <c r="E215" s="1" t="s">
        <v>23</v>
      </c>
      <c r="F215" s="12">
        <f>Aspinallglopts</f>
        <v>0</v>
      </c>
    </row>
    <row r="216" spans="1:6" ht="14.95" customHeight="1" thickBot="1" x14ac:dyDescent="0.3">
      <c r="A216" s="39" t="s">
        <v>480</v>
      </c>
      <c r="B216" s="39" t="s">
        <v>25</v>
      </c>
      <c r="C216" s="6">
        <f>Bellhartries</f>
        <v>0</v>
      </c>
      <c r="D216" s="1" t="s">
        <v>166</v>
      </c>
      <c r="E216" s="1" t="s">
        <v>27</v>
      </c>
      <c r="F216" s="12">
        <f>Atkin_Daviesbripts</f>
        <v>0</v>
      </c>
    </row>
    <row r="217" spans="1:6" ht="14.95" customHeight="1" thickBot="1" x14ac:dyDescent="0.3">
      <c r="A217" s="39" t="s">
        <v>481</v>
      </c>
      <c r="B217" s="39" t="s">
        <v>25</v>
      </c>
      <c r="C217" s="6">
        <f>Benjaminhartries</f>
        <v>0</v>
      </c>
      <c r="D217" s="1" t="s">
        <v>479</v>
      </c>
      <c r="E217" s="1" t="s">
        <v>25</v>
      </c>
      <c r="F217" s="12">
        <f>Baileyharpts</f>
        <v>0</v>
      </c>
    </row>
    <row r="218" spans="1:6" ht="14.95" customHeight="1" thickBot="1" x14ac:dyDescent="0.3">
      <c r="A218" s="39" t="s">
        <v>372</v>
      </c>
      <c r="B218" s="39" t="s">
        <v>24</v>
      </c>
      <c r="C218" s="6">
        <f>Bensonsaltries</f>
        <v>0</v>
      </c>
      <c r="D218" s="1" t="s">
        <v>727</v>
      </c>
      <c r="E218" s="1" t="s">
        <v>27</v>
      </c>
      <c r="F218" s="12">
        <f>Baileybripts</f>
        <v>0</v>
      </c>
    </row>
    <row r="219" spans="1:6" ht="14.95" customHeight="1" thickBot="1" x14ac:dyDescent="0.3">
      <c r="A219" s="39" t="s">
        <v>600</v>
      </c>
      <c r="B219" s="39" t="s">
        <v>350</v>
      </c>
      <c r="C219" s="6">
        <f>Beukeboomtfwtries</f>
        <v>0</v>
      </c>
      <c r="D219" s="10" t="s">
        <v>373</v>
      </c>
      <c r="E219" s="1" t="s">
        <v>163</v>
      </c>
      <c r="F219" s="12">
        <f>Bartlettleipts</f>
        <v>0</v>
      </c>
    </row>
    <row r="220" spans="1:6" ht="14.95" customHeight="1" thickBot="1" x14ac:dyDescent="0.3">
      <c r="A220" s="39" t="s">
        <v>482</v>
      </c>
      <c r="B220" s="39" t="s">
        <v>25</v>
      </c>
      <c r="C220" s="6">
        <f>Blackburn__Emilyhartries</f>
        <v>0</v>
      </c>
      <c r="D220" s="1" t="s">
        <v>297</v>
      </c>
      <c r="E220" s="1" t="s">
        <v>350</v>
      </c>
      <c r="F220" s="12">
        <f>Barwicktfrpts</f>
        <v>0</v>
      </c>
    </row>
    <row r="221" spans="1:6" ht="14.95" customHeight="1" thickBot="1" x14ac:dyDescent="0.3">
      <c r="A221" s="39" t="s">
        <v>483</v>
      </c>
      <c r="B221" s="39" t="s">
        <v>25</v>
      </c>
      <c r="C221" s="6">
        <f>Blackburn__Emmahartries</f>
        <v>0</v>
      </c>
      <c r="D221" s="1" t="s">
        <v>371</v>
      </c>
      <c r="E221" s="1" t="s">
        <v>24</v>
      </c>
      <c r="F221" s="13">
        <f>Bawdensalpts</f>
        <v>0</v>
      </c>
    </row>
    <row r="222" spans="1:6" ht="14.95" customHeight="1" thickBot="1" x14ac:dyDescent="0.3">
      <c r="A222" s="39" t="s">
        <v>673</v>
      </c>
      <c r="B222" s="39" t="s">
        <v>26</v>
      </c>
      <c r="C222" s="6">
        <f>Cairnsexetries</f>
        <v>0</v>
      </c>
      <c r="D222" s="1" t="s">
        <v>430</v>
      </c>
      <c r="E222" s="1" t="s">
        <v>27</v>
      </c>
      <c r="F222" s="12">
        <f>afoabripts</f>
        <v>0</v>
      </c>
    </row>
    <row r="223" spans="1:6" ht="14.95" customHeight="1" thickBot="1" x14ac:dyDescent="0.3">
      <c r="A223" s="39" t="s">
        <v>643</v>
      </c>
      <c r="B223" s="39" t="s">
        <v>23</v>
      </c>
      <c r="C223" s="6">
        <f>Boagglotries</f>
        <v>0</v>
      </c>
      <c r="D223" s="1" t="s">
        <v>728</v>
      </c>
      <c r="E223" s="1" t="s">
        <v>135</v>
      </c>
      <c r="F223" s="12">
        <f>Bellloupts</f>
        <v>0</v>
      </c>
    </row>
    <row r="224" spans="1:6" ht="14.95" customHeight="1" thickBot="1" x14ac:dyDescent="0.3">
      <c r="A224" s="39" t="s">
        <v>599</v>
      </c>
      <c r="B224" s="39" t="s">
        <v>350</v>
      </c>
      <c r="C224" s="6">
        <f>Boatmantfwtries</f>
        <v>0</v>
      </c>
      <c r="D224" s="1" t="s">
        <v>480</v>
      </c>
      <c r="E224" s="1" t="s">
        <v>25</v>
      </c>
      <c r="F224" s="12">
        <f>Bellharpts</f>
        <v>0</v>
      </c>
    </row>
    <row r="225" spans="1:6" ht="14.95" customHeight="1" thickBot="1" x14ac:dyDescent="0.3">
      <c r="A225" s="39" t="s">
        <v>307</v>
      </c>
      <c r="B225" s="39" t="s">
        <v>27</v>
      </c>
      <c r="C225" s="6">
        <f>Botterman_Hbritries</f>
        <v>0</v>
      </c>
      <c r="D225" s="1" t="s">
        <v>481</v>
      </c>
      <c r="E225" s="1" t="s">
        <v>25</v>
      </c>
      <c r="F225" s="12">
        <f>Benjaminharpts</f>
        <v>0</v>
      </c>
    </row>
    <row r="226" spans="1:6" ht="14.95" customHeight="1" thickBot="1" x14ac:dyDescent="0.3">
      <c r="A226" s="39" t="s">
        <v>639</v>
      </c>
      <c r="B226" s="39" t="s">
        <v>135</v>
      </c>
      <c r="C226" s="6">
        <f>Brebner_Holdenloutries</f>
        <v>0</v>
      </c>
      <c r="D226" s="1" t="s">
        <v>372</v>
      </c>
      <c r="E226" s="1" t="s">
        <v>24</v>
      </c>
      <c r="F226" s="13">
        <f>Bensonsalpts</f>
        <v>0</v>
      </c>
    </row>
    <row r="227" spans="1:6" ht="14.95" customHeight="1" thickBot="1" x14ac:dyDescent="0.3">
      <c r="A227" s="39" t="s">
        <v>438</v>
      </c>
      <c r="B227" s="39" t="s">
        <v>26</v>
      </c>
      <c r="C227" s="6">
        <f>Brennanexetries</f>
        <v>0</v>
      </c>
      <c r="D227" s="1" t="s">
        <v>600</v>
      </c>
      <c r="E227" s="1" t="s">
        <v>350</v>
      </c>
      <c r="F227" s="12">
        <f>Beukeboomtfwpts</f>
        <v>0</v>
      </c>
    </row>
    <row r="228" spans="1:6" ht="14.95" customHeight="1" thickBot="1" x14ac:dyDescent="0.3">
      <c r="A228" s="39" t="s">
        <v>359</v>
      </c>
      <c r="B228" s="39" t="s">
        <v>26</v>
      </c>
      <c r="C228" s="6">
        <f>Bricknellexetries</f>
        <v>0</v>
      </c>
      <c r="D228" s="1" t="s">
        <v>482</v>
      </c>
      <c r="E228" s="1" t="s">
        <v>25</v>
      </c>
      <c r="F228" s="12">
        <f>Blackburn__Emilyharpts</f>
        <v>0</v>
      </c>
    </row>
    <row r="229" spans="1:6" ht="14.95" customHeight="1" thickBot="1" x14ac:dyDescent="0.3">
      <c r="A229" s="39" t="s">
        <v>484</v>
      </c>
      <c r="B229" s="39" t="s">
        <v>25</v>
      </c>
      <c r="C229" s="6">
        <f>brownshartries</f>
        <v>0</v>
      </c>
      <c r="D229" s="1" t="s">
        <v>483</v>
      </c>
      <c r="E229" s="1" t="s">
        <v>25</v>
      </c>
      <c r="F229" s="12">
        <f>Blackburn__Emmaharpts</f>
        <v>0</v>
      </c>
    </row>
    <row r="230" spans="1:6" ht="14.95" customHeight="1" thickBot="1" x14ac:dyDescent="0.3">
      <c r="A230" s="39" t="s">
        <v>205</v>
      </c>
      <c r="B230" s="39" t="s">
        <v>26</v>
      </c>
      <c r="C230" s="6">
        <f>Carrick_Smithexetries</f>
        <v>0</v>
      </c>
      <c r="D230" s="1" t="s">
        <v>673</v>
      </c>
      <c r="E230" s="1" t="s">
        <v>26</v>
      </c>
      <c r="F230" s="11">
        <f>Cairnsexepts</f>
        <v>0</v>
      </c>
    </row>
    <row r="231" spans="1:6" ht="14.95" customHeight="1" thickBot="1" x14ac:dyDescent="0.3">
      <c r="A231" s="39" t="s">
        <v>729</v>
      </c>
      <c r="B231" s="39" t="s">
        <v>27</v>
      </c>
      <c r="C231" s="6">
        <f>Carrbritries</f>
        <v>0</v>
      </c>
      <c r="D231" s="1" t="s">
        <v>643</v>
      </c>
      <c r="E231" s="1" t="s">
        <v>23</v>
      </c>
      <c r="F231" s="12">
        <f>Boagglopts</f>
        <v>0</v>
      </c>
    </row>
    <row r="232" spans="1:6" ht="14.95" customHeight="1" thickBot="1" x14ac:dyDescent="0.3">
      <c r="A232" s="39" t="s">
        <v>465</v>
      </c>
      <c r="B232" s="39" t="s">
        <v>23</v>
      </c>
      <c r="C232" s="6">
        <f>Carrerasglotries</f>
        <v>0</v>
      </c>
      <c r="D232" s="1" t="s">
        <v>599</v>
      </c>
      <c r="E232" s="1" t="s">
        <v>350</v>
      </c>
      <c r="F232" s="12">
        <f>Boatmantfwpts</f>
        <v>0</v>
      </c>
    </row>
    <row r="233" spans="1:6" ht="14.95" customHeight="1" thickBot="1" x14ac:dyDescent="0.3">
      <c r="A233" s="39" t="s">
        <v>117</v>
      </c>
      <c r="B233" s="39" t="s">
        <v>33</v>
      </c>
      <c r="C233" s="6">
        <f>de_Haassartriescorrect</f>
        <v>0</v>
      </c>
      <c r="D233" s="1" t="s">
        <v>307</v>
      </c>
      <c r="E233" s="1" t="s">
        <v>27</v>
      </c>
      <c r="F233" s="12">
        <f>Bottermanbripts</f>
        <v>0</v>
      </c>
    </row>
    <row r="234" spans="1:6" ht="14.95" customHeight="1" thickBot="1" x14ac:dyDescent="0.3">
      <c r="A234" s="39" t="s">
        <v>468</v>
      </c>
      <c r="B234" s="39" t="s">
        <v>23</v>
      </c>
      <c r="C234" s="6">
        <f>Chapmanglotries</f>
        <v>0</v>
      </c>
      <c r="D234" s="1" t="s">
        <v>639</v>
      </c>
      <c r="E234" s="1" t="s">
        <v>135</v>
      </c>
      <c r="F234" s="12">
        <f>Brebner_Holdenloupts</f>
        <v>0</v>
      </c>
    </row>
    <row r="235" spans="1:6" ht="14.95" customHeight="1" thickBot="1" x14ac:dyDescent="0.3">
      <c r="A235" s="7" t="s">
        <v>576</v>
      </c>
      <c r="B235" s="39" t="s">
        <v>163</v>
      </c>
      <c r="C235" s="6">
        <f>Childsleitries</f>
        <v>0</v>
      </c>
      <c r="D235" s="1" t="s">
        <v>438</v>
      </c>
      <c r="E235" s="1" t="s">
        <v>26</v>
      </c>
      <c r="F235" s="12">
        <f>brennanexepts</f>
        <v>0</v>
      </c>
    </row>
    <row r="236" spans="1:6" ht="14.95" customHeight="1" thickBot="1" x14ac:dyDescent="0.3">
      <c r="A236" s="39" t="s">
        <v>659</v>
      </c>
      <c r="B236" s="39" t="s">
        <v>27</v>
      </c>
      <c r="C236" s="6">
        <f>Clarke_Rbritries</f>
        <v>0</v>
      </c>
      <c r="D236" s="1" t="s">
        <v>359</v>
      </c>
      <c r="E236" s="1" t="s">
        <v>26</v>
      </c>
      <c r="F236" s="12">
        <f>Bricknellexepts</f>
        <v>0</v>
      </c>
    </row>
    <row r="237" spans="1:6" ht="14.95" customHeight="1" thickBot="1" x14ac:dyDescent="0.3">
      <c r="A237" s="39" t="s">
        <v>689</v>
      </c>
      <c r="B237" s="39" t="s">
        <v>135</v>
      </c>
      <c r="C237" s="33">
        <f>Clarkeloutriescorrect</f>
        <v>0</v>
      </c>
      <c r="D237" s="1" t="s">
        <v>484</v>
      </c>
      <c r="E237" s="1" t="s">
        <v>25</v>
      </c>
      <c r="F237" s="12">
        <f>brownsharpts</f>
        <v>0</v>
      </c>
    </row>
    <row r="238" spans="1:6" ht="14.95" customHeight="1" thickBot="1" x14ac:dyDescent="0.3">
      <c r="A238" s="39" t="s">
        <v>415</v>
      </c>
      <c r="B238" s="39" t="s">
        <v>163</v>
      </c>
      <c r="C238" s="6">
        <f>Cockaynekeitries</f>
        <v>0</v>
      </c>
      <c r="D238" s="10" t="s">
        <v>729</v>
      </c>
      <c r="E238" s="10" t="s">
        <v>27</v>
      </c>
      <c r="F238" s="12">
        <f>Carrbripts</f>
        <v>0</v>
      </c>
    </row>
    <row r="239" spans="1:6" ht="14.95" customHeight="1" thickBot="1" x14ac:dyDescent="0.3">
      <c r="A239" s="39" t="s">
        <v>460</v>
      </c>
      <c r="B239" s="39" t="s">
        <v>27</v>
      </c>
      <c r="C239" s="33">
        <f>Benz_Salomon_Jbritri</f>
        <v>0</v>
      </c>
      <c r="D239" s="1" t="s">
        <v>465</v>
      </c>
      <c r="E239" s="1" t="s">
        <v>23</v>
      </c>
      <c r="F239" s="12">
        <f>Carrerasglopts</f>
        <v>0</v>
      </c>
    </row>
    <row r="240" spans="1:6" ht="14.95" customHeight="1" thickBot="1" x14ac:dyDescent="0.3">
      <c r="A240" s="39" t="s">
        <v>82</v>
      </c>
      <c r="B240" s="39" t="s">
        <v>23</v>
      </c>
      <c r="C240" s="6">
        <f>Clarkglotries</f>
        <v>0</v>
      </c>
      <c r="D240" s="1" t="s">
        <v>117</v>
      </c>
      <c r="E240" s="1" t="s">
        <v>33</v>
      </c>
      <c r="F240" s="12">
        <f>de_Haassarptscorrect</f>
        <v>0</v>
      </c>
    </row>
    <row r="241" spans="1:6" ht="14.95" customHeight="1" thickBot="1" x14ac:dyDescent="0.3">
      <c r="A241" s="39" t="s">
        <v>645</v>
      </c>
      <c r="B241" s="39" t="s">
        <v>350</v>
      </c>
      <c r="C241" s="6">
        <f>Cookseytfwtries</f>
        <v>0</v>
      </c>
      <c r="D241" s="1" t="s">
        <v>468</v>
      </c>
      <c r="E241" s="1" t="s">
        <v>23</v>
      </c>
      <c r="F241" s="12">
        <f>Chapmanglopts</f>
        <v>0</v>
      </c>
    </row>
    <row r="242" spans="1:6" ht="14.95" customHeight="1" thickBot="1" x14ac:dyDescent="0.3">
      <c r="A242" s="39" t="s">
        <v>488</v>
      </c>
      <c r="B242" s="39" t="s">
        <v>25</v>
      </c>
      <c r="C242" s="6">
        <f>Cooperhartries</f>
        <v>0</v>
      </c>
      <c r="D242" s="1" t="s">
        <v>576</v>
      </c>
      <c r="E242" s="1" t="s">
        <v>163</v>
      </c>
      <c r="F242" s="12">
        <f>Childsleipts</f>
        <v>0</v>
      </c>
    </row>
    <row r="243" spans="1:6" ht="14.95" customHeight="1" thickBot="1" x14ac:dyDescent="0.3">
      <c r="A243" s="39" t="s">
        <v>603</v>
      </c>
      <c r="B243" s="39" t="s">
        <v>350</v>
      </c>
      <c r="C243" s="6">
        <f>Cousineautfwtries</f>
        <v>0</v>
      </c>
      <c r="D243" s="1" t="s">
        <v>659</v>
      </c>
      <c r="E243" s="1" t="s">
        <v>27</v>
      </c>
      <c r="F243" s="12">
        <f>Clarke_Rbripts</f>
        <v>0</v>
      </c>
    </row>
    <row r="244" spans="1:6" ht="14.95" customHeight="1" thickBot="1" x14ac:dyDescent="0.3">
      <c r="A244" s="39" t="s">
        <v>394</v>
      </c>
      <c r="B244" s="39" t="s">
        <v>25</v>
      </c>
      <c r="C244" s="6">
        <f>Cowellhartries</f>
        <v>0</v>
      </c>
      <c r="D244" s="1" t="s">
        <v>689</v>
      </c>
      <c r="E244" s="1" t="s">
        <v>135</v>
      </c>
      <c r="F244" s="12">
        <f>Clarkelouptscorrect</f>
        <v>0</v>
      </c>
    </row>
    <row r="245" spans="1:6" ht="14.95" customHeight="1" thickBot="1" x14ac:dyDescent="0.3">
      <c r="A245" s="39" t="s">
        <v>396</v>
      </c>
      <c r="B245" s="39" t="s">
        <v>23</v>
      </c>
      <c r="C245" s="6">
        <f>Dentonglotries</f>
        <v>0</v>
      </c>
      <c r="D245" s="1" t="s">
        <v>415</v>
      </c>
      <c r="E245" s="1" t="s">
        <v>163</v>
      </c>
      <c r="F245" s="12">
        <f>Cockayneleipts</f>
        <v>0</v>
      </c>
    </row>
    <row r="246" spans="1:6" ht="14.95" customHeight="1" thickBot="1" x14ac:dyDescent="0.3">
      <c r="A246" s="39" t="s">
        <v>489</v>
      </c>
      <c r="B246" s="39" t="s">
        <v>25</v>
      </c>
      <c r="C246" s="6">
        <f>Cromptonhartries</f>
        <v>0</v>
      </c>
      <c r="D246" s="1" t="s">
        <v>460</v>
      </c>
      <c r="E246" s="1" t="s">
        <v>27</v>
      </c>
      <c r="F246" s="12">
        <f>Benz_Salomon_Jbripts</f>
        <v>0</v>
      </c>
    </row>
    <row r="247" spans="1:6" ht="14.95" customHeight="1" thickBot="1" x14ac:dyDescent="0.3">
      <c r="A247" s="39" t="s">
        <v>473</v>
      </c>
      <c r="B247" s="39" t="s">
        <v>23</v>
      </c>
      <c r="C247" s="6">
        <f>Davidsonglotries</f>
        <v>0</v>
      </c>
      <c r="D247" s="1" t="s">
        <v>82</v>
      </c>
      <c r="E247" s="1" t="s">
        <v>23</v>
      </c>
      <c r="F247" s="12">
        <f>Clarkglopts</f>
        <v>0</v>
      </c>
    </row>
    <row r="248" spans="1:6" ht="14.95" customHeight="1" thickBot="1" x14ac:dyDescent="0.3">
      <c r="A248" s="39" t="s">
        <v>641</v>
      </c>
      <c r="B248" s="39" t="s">
        <v>23</v>
      </c>
      <c r="C248" s="6">
        <f>Daviesglotries</f>
        <v>0</v>
      </c>
      <c r="D248" s="1" t="s">
        <v>645</v>
      </c>
      <c r="E248" s="1" t="s">
        <v>350</v>
      </c>
      <c r="F248" s="12">
        <f>Cookseytfwpts</f>
        <v>0</v>
      </c>
    </row>
    <row r="249" spans="1:6" ht="14.95" customHeight="1" thickBot="1" x14ac:dyDescent="0.3">
      <c r="A249" s="39" t="s">
        <v>186</v>
      </c>
      <c r="B249" s="39" t="s">
        <v>33</v>
      </c>
      <c r="C249" s="6">
        <f>Goodesartriescorrect</f>
        <v>0</v>
      </c>
      <c r="D249" s="1" t="s">
        <v>488</v>
      </c>
      <c r="E249" s="1" t="s">
        <v>25</v>
      </c>
      <c r="F249" s="12">
        <f>Cooperharpts</f>
        <v>0</v>
      </c>
    </row>
    <row r="250" spans="1:6" ht="14.95" customHeight="1" thickBot="1" x14ac:dyDescent="0.3">
      <c r="A250" s="39" t="s">
        <v>390</v>
      </c>
      <c r="B250" s="39" t="s">
        <v>24</v>
      </c>
      <c r="C250" s="33">
        <f>Delanysaltries</f>
        <v>0</v>
      </c>
      <c r="D250" s="1" t="s">
        <v>603</v>
      </c>
      <c r="E250" s="1" t="s">
        <v>350</v>
      </c>
      <c r="F250" s="12">
        <f>Cousineautfwptss</f>
        <v>0</v>
      </c>
    </row>
    <row r="251" spans="1:6" ht="14.95" customHeight="1" thickBot="1" x14ac:dyDescent="0.3">
      <c r="A251" s="39" t="s">
        <v>409</v>
      </c>
      <c r="B251" s="39" t="s">
        <v>25</v>
      </c>
      <c r="C251" s="6">
        <f>Delgadohartries</f>
        <v>0</v>
      </c>
      <c r="D251" s="1" t="s">
        <v>394</v>
      </c>
      <c r="E251" s="1" t="s">
        <v>25</v>
      </c>
      <c r="F251" s="12">
        <f>Cowellharpts</f>
        <v>0</v>
      </c>
    </row>
    <row r="252" spans="1:6" ht="14.95" customHeight="1" thickBot="1" x14ac:dyDescent="0.3">
      <c r="A252" s="7" t="s">
        <v>201</v>
      </c>
      <c r="B252" s="39" t="s">
        <v>163</v>
      </c>
      <c r="C252" s="6">
        <f>Donaldsonleitries</f>
        <v>0</v>
      </c>
      <c r="D252" s="1" t="s">
        <v>396</v>
      </c>
      <c r="E252" s="1" t="s">
        <v>23</v>
      </c>
      <c r="F252" s="12">
        <f>Dentonglopts</f>
        <v>0</v>
      </c>
    </row>
    <row r="253" spans="1:6" ht="14.95" customHeight="1" thickBot="1" x14ac:dyDescent="0.3">
      <c r="A253" s="39" t="s">
        <v>490</v>
      </c>
      <c r="B253" s="39" t="s">
        <v>25</v>
      </c>
      <c r="C253" s="6">
        <f>Duffyhartries</f>
        <v>0</v>
      </c>
      <c r="D253" s="1" t="s">
        <v>489</v>
      </c>
      <c r="E253" s="1" t="s">
        <v>25</v>
      </c>
      <c r="F253" s="13">
        <f>Cromptonharpts</f>
        <v>0</v>
      </c>
    </row>
    <row r="254" spans="1:6" ht="14.95" customHeight="1" thickBot="1" x14ac:dyDescent="0.3">
      <c r="A254" s="39" t="s">
        <v>391</v>
      </c>
      <c r="B254" s="39" t="s">
        <v>23</v>
      </c>
      <c r="C254" s="6">
        <f>Evans_Lglotries</f>
        <v>0</v>
      </c>
      <c r="D254" s="1" t="s">
        <v>473</v>
      </c>
      <c r="E254" s="1" t="s">
        <v>23</v>
      </c>
      <c r="F254" s="12">
        <f>Davidsonglopts</f>
        <v>0</v>
      </c>
    </row>
    <row r="255" spans="1:6" ht="14.95" customHeight="1" thickBot="1" x14ac:dyDescent="0.3">
      <c r="A255" s="39" t="s">
        <v>605</v>
      </c>
      <c r="B255" s="39" t="s">
        <v>350</v>
      </c>
      <c r="C255" s="6">
        <f>Evanstfwtries</f>
        <v>0</v>
      </c>
      <c r="D255" s="1" t="s">
        <v>641</v>
      </c>
      <c r="E255" s="1" t="s">
        <v>23</v>
      </c>
      <c r="F255" s="12">
        <f>Daviesglopts</f>
        <v>0</v>
      </c>
    </row>
    <row r="256" spans="1:6" ht="14.95" customHeight="1" thickBot="1" x14ac:dyDescent="0.3">
      <c r="A256" s="39" t="s">
        <v>126</v>
      </c>
      <c r="B256" s="39" t="s">
        <v>33</v>
      </c>
      <c r="C256" s="6">
        <f>Hunter_Hillsartriescorrect</f>
        <v>0</v>
      </c>
      <c r="D256" s="1" t="s">
        <v>186</v>
      </c>
      <c r="E256" s="1" t="s">
        <v>33</v>
      </c>
      <c r="F256" s="12">
        <f>Goodesarptscorrect</f>
        <v>0</v>
      </c>
    </row>
    <row r="257" spans="1:6" ht="14.95" customHeight="1" thickBot="1" x14ac:dyDescent="0.3">
      <c r="A257" s="39" t="s">
        <v>707</v>
      </c>
      <c r="B257" s="39" t="s">
        <v>27</v>
      </c>
      <c r="C257" s="6">
        <f>Evansnbritries</f>
        <v>0</v>
      </c>
      <c r="D257" s="1" t="s">
        <v>390</v>
      </c>
      <c r="E257" s="1" t="s">
        <v>24</v>
      </c>
      <c r="F257" s="13">
        <f>Delanysalpts</f>
        <v>0</v>
      </c>
    </row>
    <row r="258" spans="1:6" ht="14.95" customHeight="1" thickBot="1" x14ac:dyDescent="0.3">
      <c r="A258" s="39" t="s">
        <v>491</v>
      </c>
      <c r="B258" s="39" t="s">
        <v>25</v>
      </c>
      <c r="C258" s="6">
        <f>Fisherhartries</f>
        <v>0</v>
      </c>
      <c r="D258" s="1" t="s">
        <v>409</v>
      </c>
      <c r="E258" s="1" t="s">
        <v>25</v>
      </c>
      <c r="F258" s="12">
        <f>Delgadoharpts</f>
        <v>0</v>
      </c>
    </row>
    <row r="259" spans="1:6" ht="14.95" customHeight="1" thickBot="1" x14ac:dyDescent="0.3">
      <c r="A259" s="39" t="s">
        <v>591</v>
      </c>
      <c r="B259" s="39" t="s">
        <v>33</v>
      </c>
      <c r="C259" s="33">
        <f>Fitzgeraldsartries</f>
        <v>0</v>
      </c>
      <c r="D259" s="1" t="s">
        <v>201</v>
      </c>
      <c r="E259" s="1" t="s">
        <v>163</v>
      </c>
      <c r="F259" s="12">
        <f>Donaldsonleipts</f>
        <v>0</v>
      </c>
    </row>
    <row r="260" spans="1:6" ht="14.95" customHeight="1" thickBot="1" x14ac:dyDescent="0.3">
      <c r="A260" s="39" t="s">
        <v>730</v>
      </c>
      <c r="B260" s="39" t="s">
        <v>135</v>
      </c>
      <c r="C260" s="4">
        <f>Goldthorploutries</f>
        <v>0</v>
      </c>
      <c r="D260" s="1" t="s">
        <v>490</v>
      </c>
      <c r="E260" s="1" t="s">
        <v>25</v>
      </c>
      <c r="F260" s="13">
        <f>Duffyharpts</f>
        <v>0</v>
      </c>
    </row>
    <row r="261" spans="1:6" ht="14.95" customHeight="1" thickBot="1" x14ac:dyDescent="0.3">
      <c r="A261" s="39" t="s">
        <v>731</v>
      </c>
      <c r="B261" s="39" t="s">
        <v>33</v>
      </c>
      <c r="C261" s="6">
        <f>Itojesartriescorrect</f>
        <v>0</v>
      </c>
      <c r="D261" s="10" t="s">
        <v>391</v>
      </c>
      <c r="E261" s="10" t="s">
        <v>23</v>
      </c>
      <c r="F261" s="12">
        <f>Evans_Lglopts</f>
        <v>0</v>
      </c>
    </row>
    <row r="262" spans="1:6" ht="14.95" customHeight="1" thickBot="1" x14ac:dyDescent="0.3">
      <c r="A262" s="39" t="s">
        <v>422</v>
      </c>
      <c r="B262" s="39" t="s">
        <v>163</v>
      </c>
      <c r="C262" s="6">
        <f>FrayLEITRIES</f>
        <v>0</v>
      </c>
      <c r="D262" s="1" t="s">
        <v>605</v>
      </c>
      <c r="E262" s="1" t="s">
        <v>350</v>
      </c>
      <c r="F262" s="12">
        <f>Evanstfwpts</f>
        <v>0</v>
      </c>
    </row>
    <row r="263" spans="1:6" ht="14.95" customHeight="1" thickBot="1" x14ac:dyDescent="0.3">
      <c r="A263" s="39" t="s">
        <v>362</v>
      </c>
      <c r="B263" s="39" t="s">
        <v>163</v>
      </c>
      <c r="C263" s="6">
        <f>Gallagherleictries</f>
        <v>0</v>
      </c>
      <c r="D263" s="1" t="s">
        <v>126</v>
      </c>
      <c r="E263" s="1" t="s">
        <v>33</v>
      </c>
      <c r="F263" s="12">
        <f>Hunter_Hillsarptscorrect</f>
        <v>0</v>
      </c>
    </row>
    <row r="264" spans="1:6" ht="14.95" customHeight="1" thickBot="1" x14ac:dyDescent="0.3">
      <c r="A264" s="39" t="s">
        <v>319</v>
      </c>
      <c r="B264" s="39" t="s">
        <v>23</v>
      </c>
      <c r="C264" s="6">
        <f>Ford_Robinsonglotries</f>
        <v>0</v>
      </c>
      <c r="D264" s="10" t="s">
        <v>491</v>
      </c>
      <c r="E264" s="10" t="s">
        <v>25</v>
      </c>
      <c r="F264" s="12">
        <f>Fisherharpts</f>
        <v>0</v>
      </c>
    </row>
    <row r="265" spans="1:6" ht="14.95" customHeight="1" thickBot="1" x14ac:dyDescent="0.3">
      <c r="A265" s="39" t="s">
        <v>353</v>
      </c>
      <c r="B265" s="39" t="s">
        <v>33</v>
      </c>
      <c r="C265" s="6">
        <f>Gondwesartries</f>
        <v>0</v>
      </c>
      <c r="D265" s="1" t="s">
        <v>591</v>
      </c>
      <c r="E265" s="1" t="s">
        <v>33</v>
      </c>
      <c r="F265" s="12">
        <f>Fitzgeraldsarpts</f>
        <v>0</v>
      </c>
    </row>
    <row r="266" spans="1:6" ht="14.95" customHeight="1" thickBot="1" x14ac:dyDescent="0.3">
      <c r="A266" s="39" t="s">
        <v>329</v>
      </c>
      <c r="B266" s="39" t="s">
        <v>33</v>
      </c>
      <c r="C266" s="6">
        <f>Lewissartriescorrect</f>
        <v>0</v>
      </c>
      <c r="D266" s="159" t="s">
        <v>730</v>
      </c>
      <c r="E266" s="159" t="s">
        <v>135</v>
      </c>
      <c r="F266" s="11">
        <f>Goldthorploupts</f>
        <v>0</v>
      </c>
    </row>
    <row r="267" spans="1:6" ht="14.95" customHeight="1" thickBot="1" x14ac:dyDescent="0.3">
      <c r="A267" s="39" t="s">
        <v>644</v>
      </c>
      <c r="B267" s="39" t="s">
        <v>25</v>
      </c>
      <c r="C267" s="33">
        <f>Groguthartries</f>
        <v>0</v>
      </c>
      <c r="D267" s="1" t="s">
        <v>731</v>
      </c>
      <c r="E267" s="1" t="s">
        <v>33</v>
      </c>
      <c r="F267" s="12">
        <f>Itojesarptscorrect</f>
        <v>0</v>
      </c>
    </row>
    <row r="268" spans="1:6" ht="14.95" customHeight="1" thickBot="1" x14ac:dyDescent="0.3">
      <c r="A268" s="39" t="s">
        <v>573</v>
      </c>
      <c r="B268" s="39" t="s">
        <v>23</v>
      </c>
      <c r="C268" s="6">
        <f>Heeleyglotries</f>
        <v>0</v>
      </c>
      <c r="D268" s="1" t="s">
        <v>422</v>
      </c>
      <c r="E268" s="1" t="s">
        <v>163</v>
      </c>
      <c r="F268" s="12">
        <f>FrayLEIPTS</f>
        <v>0</v>
      </c>
    </row>
    <row r="269" spans="1:6" ht="14.95" customHeight="1" thickBot="1" x14ac:dyDescent="0.3">
      <c r="A269" s="39" t="s">
        <v>555</v>
      </c>
      <c r="B269" s="39" t="s">
        <v>135</v>
      </c>
      <c r="C269" s="6">
        <f>Greenloutries</f>
        <v>0</v>
      </c>
      <c r="D269" s="1" t="s">
        <v>362</v>
      </c>
      <c r="E269" s="1" t="s">
        <v>163</v>
      </c>
      <c r="F269" s="12">
        <f>Gallagherleicpts</f>
        <v>0</v>
      </c>
    </row>
    <row r="270" spans="1:6" ht="14.95" customHeight="1" thickBot="1" x14ac:dyDescent="0.3">
      <c r="A270" s="39" t="s">
        <v>492</v>
      </c>
      <c r="B270" s="39" t="s">
        <v>25</v>
      </c>
      <c r="C270" s="6">
        <f>Hanlonhartries</f>
        <v>0</v>
      </c>
      <c r="D270" s="1" t="s">
        <v>353</v>
      </c>
      <c r="E270" s="1" t="s">
        <v>33</v>
      </c>
      <c r="F270" s="12">
        <f>Gondwesarpts</f>
        <v>0</v>
      </c>
    </row>
    <row r="271" spans="1:6" ht="14.95" customHeight="1" thickBot="1" x14ac:dyDescent="0.3">
      <c r="A271" s="39" t="s">
        <v>493</v>
      </c>
      <c r="B271" s="39" t="s">
        <v>25</v>
      </c>
      <c r="C271" s="6">
        <f>Hannayhartries</f>
        <v>0</v>
      </c>
      <c r="D271" s="1" t="s">
        <v>329</v>
      </c>
      <c r="E271" s="1" t="s">
        <v>33</v>
      </c>
      <c r="F271" s="12">
        <f>Lewissarptscorrect</f>
        <v>0</v>
      </c>
    </row>
    <row r="272" spans="1:6" ht="14.95" customHeight="1" thickBot="1" x14ac:dyDescent="0.3">
      <c r="A272" s="39" t="s">
        <v>494</v>
      </c>
      <c r="B272" s="39" t="s">
        <v>25</v>
      </c>
      <c r="C272" s="6">
        <f>Harperhartries</f>
        <v>0</v>
      </c>
      <c r="D272" s="1" t="s">
        <v>644</v>
      </c>
      <c r="E272" s="1" t="s">
        <v>25</v>
      </c>
      <c r="F272" s="12">
        <f>Grogutharpts</f>
        <v>0</v>
      </c>
    </row>
    <row r="273" spans="1:6" ht="14.95" customHeight="1" thickBot="1" x14ac:dyDescent="0.3">
      <c r="A273" s="39" t="s">
        <v>325</v>
      </c>
      <c r="B273" s="39" t="s">
        <v>24</v>
      </c>
      <c r="C273" s="6">
        <f>Harpersaletries</f>
        <v>0</v>
      </c>
      <c r="D273" s="10" t="s">
        <v>573</v>
      </c>
      <c r="E273" s="10" t="s">
        <v>23</v>
      </c>
      <c r="F273" s="12">
        <f>Heeleyglopts</f>
        <v>0</v>
      </c>
    </row>
    <row r="274" spans="1:6" ht="14.95" customHeight="1" thickBot="1" x14ac:dyDescent="0.3">
      <c r="A274" s="39" t="s">
        <v>187</v>
      </c>
      <c r="B274" s="39" t="s">
        <v>33</v>
      </c>
      <c r="C274" s="6">
        <f>Harrisonsartriesd</f>
        <v>0</v>
      </c>
      <c r="D274" s="1" t="s">
        <v>555</v>
      </c>
      <c r="E274" s="1" t="s">
        <v>135</v>
      </c>
      <c r="F274" s="12">
        <f>Greenloupts</f>
        <v>0</v>
      </c>
    </row>
    <row r="275" spans="1:6" ht="14.95" customHeight="1" thickBot="1" x14ac:dyDescent="0.3">
      <c r="A275" s="39" t="s">
        <v>496</v>
      </c>
      <c r="B275" s="39" t="s">
        <v>25</v>
      </c>
      <c r="C275" s="6">
        <f>Henwoodhartries</f>
        <v>0</v>
      </c>
      <c r="D275" s="1" t="s">
        <v>492</v>
      </c>
      <c r="E275" s="1" t="s">
        <v>25</v>
      </c>
      <c r="F275" s="12">
        <f>Hanlonharpts</f>
        <v>0</v>
      </c>
    </row>
    <row r="276" spans="1:6" ht="14.95" customHeight="1" thickBot="1" x14ac:dyDescent="0.3">
      <c r="A276" s="7" t="s">
        <v>497</v>
      </c>
      <c r="B276" s="39" t="s">
        <v>25</v>
      </c>
      <c r="C276" s="6">
        <f>Heryethartries</f>
        <v>0</v>
      </c>
      <c r="D276" s="1" t="s">
        <v>493</v>
      </c>
      <c r="E276" s="1" t="s">
        <v>25</v>
      </c>
      <c r="F276" s="12">
        <f>Hannayharpts</f>
        <v>0</v>
      </c>
    </row>
    <row r="277" spans="1:6" ht="14.95" customHeight="1" thickBot="1" x14ac:dyDescent="0.3">
      <c r="A277" s="39" t="s">
        <v>498</v>
      </c>
      <c r="B277" s="39" t="s">
        <v>25</v>
      </c>
      <c r="C277" s="6">
        <f>Hillierhartries</f>
        <v>0</v>
      </c>
      <c r="D277" s="1" t="s">
        <v>494</v>
      </c>
      <c r="E277" s="1" t="s">
        <v>25</v>
      </c>
      <c r="F277" s="12">
        <f>Harperharpts</f>
        <v>0</v>
      </c>
    </row>
    <row r="278" spans="1:6" ht="14.95" customHeight="1" thickBot="1" x14ac:dyDescent="0.3">
      <c r="A278" s="39" t="s">
        <v>671</v>
      </c>
      <c r="B278" s="39" t="s">
        <v>26</v>
      </c>
      <c r="C278" s="6">
        <f>Hepburnexetries</f>
        <v>0</v>
      </c>
      <c r="D278" s="10" t="s">
        <v>325</v>
      </c>
      <c r="E278" s="10" t="s">
        <v>24</v>
      </c>
      <c r="F278" s="12">
        <f>Harpersalepts</f>
        <v>0</v>
      </c>
    </row>
    <row r="279" spans="1:6" ht="14.95" customHeight="1" thickBot="1" x14ac:dyDescent="0.3">
      <c r="A279" s="39" t="s">
        <v>571</v>
      </c>
      <c r="B279" s="39" t="s">
        <v>27</v>
      </c>
      <c r="C279" s="6">
        <f>Hopkinsbritries</f>
        <v>0</v>
      </c>
      <c r="D279" s="1" t="s">
        <v>496</v>
      </c>
      <c r="E279" s="1" t="s">
        <v>25</v>
      </c>
      <c r="F279" s="12">
        <f>Henwoodharpyts</f>
        <v>0</v>
      </c>
    </row>
    <row r="280" spans="1:6" ht="14.95" customHeight="1" thickBot="1" x14ac:dyDescent="0.3">
      <c r="A280" s="39" t="s">
        <v>571</v>
      </c>
      <c r="B280" s="39" t="s">
        <v>23</v>
      </c>
      <c r="C280" s="6">
        <f>Hopkinsglotries</f>
        <v>0</v>
      </c>
      <c r="D280" s="1" t="s">
        <v>497</v>
      </c>
      <c r="E280" s="1" t="s">
        <v>25</v>
      </c>
      <c r="F280" s="12">
        <f>Heryetharpts</f>
        <v>0</v>
      </c>
    </row>
    <row r="281" spans="1:6" ht="14.95" customHeight="1" thickBot="1" x14ac:dyDescent="0.3">
      <c r="A281" s="39" t="s">
        <v>648</v>
      </c>
      <c r="B281" s="39" t="s">
        <v>24</v>
      </c>
      <c r="C281" s="6">
        <f>Howardsaltries</f>
        <v>0</v>
      </c>
      <c r="D281" s="1" t="s">
        <v>498</v>
      </c>
      <c r="E281" s="1" t="s">
        <v>25</v>
      </c>
      <c r="F281" s="12">
        <f>Hillierharpts</f>
        <v>0</v>
      </c>
    </row>
    <row r="282" spans="1:6" ht="14.95" customHeight="1" thickBot="1" x14ac:dyDescent="0.3">
      <c r="A282" s="39" t="s">
        <v>354</v>
      </c>
      <c r="B282" s="39" t="s">
        <v>33</v>
      </c>
      <c r="C282" s="6">
        <f>Huntsartries</f>
        <v>0</v>
      </c>
      <c r="D282" s="1" t="s">
        <v>671</v>
      </c>
      <c r="E282" s="1" t="s">
        <v>26</v>
      </c>
      <c r="F282" s="12">
        <f>Hepburnexepts</f>
        <v>0</v>
      </c>
    </row>
    <row r="283" spans="1:6" ht="14.95" customHeight="1" thickBot="1" x14ac:dyDescent="0.3">
      <c r="A283" s="39" t="s">
        <v>387</v>
      </c>
      <c r="B283" s="39" t="s">
        <v>23</v>
      </c>
      <c r="C283" s="6">
        <f>Meehanglotries</f>
        <v>0</v>
      </c>
      <c r="D283" s="1" t="s">
        <v>571</v>
      </c>
      <c r="E283" s="1" t="s">
        <v>27</v>
      </c>
      <c r="F283" s="12">
        <f>Hopkinsbripts</f>
        <v>0</v>
      </c>
    </row>
    <row r="284" spans="1:6" ht="14.95" customHeight="1" thickBot="1" x14ac:dyDescent="0.3">
      <c r="A284" s="39" t="s">
        <v>210</v>
      </c>
      <c r="B284" s="39" t="s">
        <v>33</v>
      </c>
      <c r="C284" s="6">
        <f>Maitlandsartriescorrect</f>
        <v>0</v>
      </c>
      <c r="D284" s="1" t="s">
        <v>571</v>
      </c>
      <c r="E284" s="1" t="s">
        <v>23</v>
      </c>
      <c r="F284" s="12">
        <f>Hopkinsglopts</f>
        <v>0</v>
      </c>
    </row>
    <row r="285" spans="1:6" ht="14.95" customHeight="1" thickBot="1" x14ac:dyDescent="0.3">
      <c r="A285" s="39" t="s">
        <v>145</v>
      </c>
      <c r="B285" s="39" t="s">
        <v>24</v>
      </c>
      <c r="C285" s="6">
        <f>Irwin_V_Asaltries</f>
        <v>0</v>
      </c>
      <c r="D285" s="1" t="s">
        <v>648</v>
      </c>
      <c r="E285" s="1" t="s">
        <v>24</v>
      </c>
      <c r="F285" s="12">
        <f>Howardsalpts</f>
        <v>0</v>
      </c>
    </row>
    <row r="286" spans="1:6" ht="14.95" customHeight="1" thickBot="1" x14ac:dyDescent="0.3">
      <c r="A286" s="7" t="s">
        <v>608</v>
      </c>
      <c r="B286" s="39" t="s">
        <v>163</v>
      </c>
      <c r="C286" s="6">
        <f>Jacobsleitries</f>
        <v>0</v>
      </c>
      <c r="D286" s="1" t="s">
        <v>354</v>
      </c>
      <c r="E286" s="1" t="s">
        <v>33</v>
      </c>
      <c r="F286" s="12">
        <f>Huntsarpts</f>
        <v>0</v>
      </c>
    </row>
    <row r="287" spans="1:6" ht="15.8" customHeight="1" thickBot="1" x14ac:dyDescent="0.3">
      <c r="A287" s="39" t="s">
        <v>666</v>
      </c>
      <c r="B287" s="39" t="s">
        <v>27</v>
      </c>
      <c r="C287" s="6">
        <f>Jahbritries</f>
        <v>0</v>
      </c>
      <c r="D287" s="1" t="s">
        <v>387</v>
      </c>
      <c r="E287" s="1" t="s">
        <v>23</v>
      </c>
      <c r="F287" s="12">
        <f>Meehanglopts</f>
        <v>0</v>
      </c>
    </row>
    <row r="288" spans="1:6" ht="14.95" customHeight="1" thickBot="1" x14ac:dyDescent="0.3">
      <c r="A288" s="39" t="s">
        <v>401</v>
      </c>
      <c r="B288" s="39" t="s">
        <v>24</v>
      </c>
      <c r="C288" s="6">
        <f>Jamesnicksaltries</f>
        <v>0</v>
      </c>
      <c r="D288" s="1" t="s">
        <v>210</v>
      </c>
      <c r="E288" s="1" t="s">
        <v>33</v>
      </c>
      <c r="F288" s="12">
        <f>Maitlandsarptscorrect</f>
        <v>0</v>
      </c>
    </row>
    <row r="289" spans="1:6" ht="15.8" customHeight="1" thickBot="1" x14ac:dyDescent="0.3">
      <c r="A289" s="7" t="s">
        <v>462</v>
      </c>
      <c r="B289" s="39" t="s">
        <v>27</v>
      </c>
      <c r="C289" s="6">
        <f>Cranebritries</f>
        <v>0</v>
      </c>
      <c r="D289" s="1" t="s">
        <v>608</v>
      </c>
      <c r="E289" s="1" t="s">
        <v>163</v>
      </c>
      <c r="F289" s="12">
        <f>Jacobsleipts</f>
        <v>0</v>
      </c>
    </row>
    <row r="290" spans="1:6" ht="15.8" customHeight="1" thickBot="1" x14ac:dyDescent="0.3">
      <c r="A290" s="39" t="s">
        <v>374</v>
      </c>
      <c r="B290" s="39" t="s">
        <v>26</v>
      </c>
      <c r="C290" s="6">
        <f>Hodgeexetries</f>
        <v>0</v>
      </c>
      <c r="D290" s="1" t="s">
        <v>666</v>
      </c>
      <c r="E290" s="1" t="s">
        <v>27</v>
      </c>
      <c r="F290" s="12">
        <f>Jahbripts</f>
        <v>0</v>
      </c>
    </row>
    <row r="291" spans="1:6" ht="14.95" customHeight="1" thickBot="1" x14ac:dyDescent="0.3">
      <c r="A291" s="7" t="s">
        <v>660</v>
      </c>
      <c r="B291" s="39" t="s">
        <v>27</v>
      </c>
      <c r="C291" s="6">
        <f>Johnbritries</f>
        <v>0</v>
      </c>
      <c r="D291" s="1" t="s">
        <v>401</v>
      </c>
      <c r="E291" s="1" t="s">
        <v>24</v>
      </c>
      <c r="F291" s="12">
        <f>Jamesnicksalpts</f>
        <v>0</v>
      </c>
    </row>
    <row r="292" spans="1:6" ht="15.65" customHeight="1" thickBot="1" x14ac:dyDescent="0.3">
      <c r="A292" s="39" t="s">
        <v>61</v>
      </c>
      <c r="B292" s="39" t="s">
        <v>33</v>
      </c>
      <c r="C292" s="6">
        <f>Mawisartriescorrect</f>
        <v>0</v>
      </c>
      <c r="D292" s="1" t="s">
        <v>462</v>
      </c>
      <c r="E292" s="1" t="s">
        <v>27</v>
      </c>
      <c r="F292" s="12">
        <f>cranebripts</f>
        <v>0</v>
      </c>
    </row>
    <row r="293" spans="1:6" ht="14.95" thickBot="1" x14ac:dyDescent="0.3">
      <c r="A293" s="7" t="s">
        <v>636</v>
      </c>
      <c r="B293" s="7" t="s">
        <v>27</v>
      </c>
      <c r="C293" s="6">
        <f>Joyce_Butchers_Abritries</f>
        <v>0</v>
      </c>
      <c r="D293" s="1" t="s">
        <v>374</v>
      </c>
      <c r="E293" s="1" t="s">
        <v>26</v>
      </c>
      <c r="F293" s="13">
        <f>Hodgeexepts</f>
        <v>0</v>
      </c>
    </row>
    <row r="294" spans="1:6" ht="14.95" thickBot="1" x14ac:dyDescent="0.3">
      <c r="A294" s="7" t="s">
        <v>635</v>
      </c>
      <c r="B294" s="39" t="s">
        <v>27</v>
      </c>
      <c r="C294" s="6">
        <f>Edenbritries</f>
        <v>0</v>
      </c>
      <c r="D294" s="1" t="s">
        <v>660</v>
      </c>
      <c r="E294" s="1" t="s">
        <v>27</v>
      </c>
      <c r="F294" s="12">
        <f>Johnbripts</f>
        <v>0</v>
      </c>
    </row>
    <row r="295" spans="1:6" ht="14.3" customHeight="1" thickBot="1" x14ac:dyDescent="0.3">
      <c r="A295" s="39" t="s">
        <v>365</v>
      </c>
      <c r="B295" s="39" t="s">
        <v>26</v>
      </c>
      <c r="C295" s="6">
        <f>Kobayashisartries</f>
        <v>0</v>
      </c>
      <c r="D295" s="1" t="s">
        <v>61</v>
      </c>
      <c r="E295" s="1" t="s">
        <v>33</v>
      </c>
      <c r="F295" s="12">
        <f>Mawisarptscorrect</f>
        <v>0</v>
      </c>
    </row>
    <row r="296" spans="1:6" ht="14.8" customHeight="1" thickBot="1" x14ac:dyDescent="0.3">
      <c r="A296" s="39" t="s">
        <v>440</v>
      </c>
      <c r="B296" s="39" t="s">
        <v>26</v>
      </c>
      <c r="C296" s="6">
        <f>holmesexetries</f>
        <v>0</v>
      </c>
      <c r="D296" s="10" t="s">
        <v>636</v>
      </c>
      <c r="E296" s="10" t="s">
        <v>27</v>
      </c>
      <c r="F296" s="11">
        <f>Joyce_Butchers_Abripts</f>
        <v>0</v>
      </c>
    </row>
    <row r="297" spans="1:6" ht="14.95" thickBot="1" x14ac:dyDescent="0.3">
      <c r="A297" s="39" t="s">
        <v>228</v>
      </c>
      <c r="B297" s="39" t="s">
        <v>25</v>
      </c>
      <c r="C297" s="33">
        <f>Latsha_Bhartries</f>
        <v>0</v>
      </c>
      <c r="D297" s="1" t="s">
        <v>635</v>
      </c>
      <c r="E297" s="1" t="s">
        <v>27</v>
      </c>
      <c r="F297" s="12">
        <f>Edenbripts</f>
        <v>0</v>
      </c>
    </row>
    <row r="298" spans="1:6" ht="14.95" thickBot="1" x14ac:dyDescent="0.3">
      <c r="A298" s="7" t="s">
        <v>384</v>
      </c>
      <c r="B298" s="39" t="s">
        <v>25</v>
      </c>
      <c r="C298" s="33">
        <f>Layzellhartries</f>
        <v>0</v>
      </c>
      <c r="D298" s="1" t="s">
        <v>365</v>
      </c>
      <c r="E298" s="1" t="s">
        <v>26</v>
      </c>
      <c r="F298" s="12">
        <f>Kobayashisarpts</f>
        <v>0</v>
      </c>
    </row>
    <row r="299" spans="1:6" ht="14.95" thickBot="1" x14ac:dyDescent="0.3">
      <c r="A299" s="39" t="s">
        <v>351</v>
      </c>
      <c r="B299" s="39" t="s">
        <v>25</v>
      </c>
      <c r="C299" s="6">
        <f>Leaneyhartries</f>
        <v>0</v>
      </c>
      <c r="D299" s="1" t="s">
        <v>440</v>
      </c>
      <c r="E299" s="1" t="s">
        <v>26</v>
      </c>
      <c r="F299" s="12">
        <f>Holmesexepts</f>
        <v>0</v>
      </c>
    </row>
    <row r="300" spans="1:6" ht="14.95" thickBot="1" x14ac:dyDescent="0.3">
      <c r="A300" s="39" t="s">
        <v>463</v>
      </c>
      <c r="B300" s="39" t="s">
        <v>27</v>
      </c>
      <c r="C300" s="6">
        <f>Frischbritries</f>
        <v>0</v>
      </c>
      <c r="D300" s="1" t="s">
        <v>228</v>
      </c>
      <c r="E300" s="1" t="s">
        <v>25</v>
      </c>
      <c r="F300" s="12">
        <f>Latsha_Bharpts</f>
        <v>0</v>
      </c>
    </row>
    <row r="301" spans="1:6" ht="14.95" thickBot="1" x14ac:dyDescent="0.3">
      <c r="A301" s="39" t="s">
        <v>139</v>
      </c>
      <c r="B301" s="39" t="s">
        <v>135</v>
      </c>
      <c r="C301" s="33">
        <v>0</v>
      </c>
      <c r="D301" s="1" t="s">
        <v>384</v>
      </c>
      <c r="E301" s="1" t="s">
        <v>25</v>
      </c>
      <c r="F301" s="12">
        <f>Layzellharpts</f>
        <v>0</v>
      </c>
    </row>
    <row r="302" spans="1:6" ht="14.95" thickBot="1" x14ac:dyDescent="0.3">
      <c r="A302" s="39" t="s">
        <v>406</v>
      </c>
      <c r="B302" s="39" t="s">
        <v>25</v>
      </c>
      <c r="C302" s="6">
        <f>Lochnerhartries</f>
        <v>0</v>
      </c>
      <c r="D302" s="1" t="s">
        <v>351</v>
      </c>
      <c r="E302" s="1" t="s">
        <v>25</v>
      </c>
      <c r="F302" s="12">
        <f>Leaneyharpts</f>
        <v>0</v>
      </c>
    </row>
    <row r="303" spans="1:6" ht="14.95" thickBot="1" x14ac:dyDescent="0.3">
      <c r="A303" s="8" t="s">
        <v>392</v>
      </c>
      <c r="B303" s="39" t="s">
        <v>23</v>
      </c>
      <c r="C303" s="4">
        <f>Simpsonglotries</f>
        <v>0</v>
      </c>
      <c r="D303" s="1" t="s">
        <v>463</v>
      </c>
      <c r="E303" s="1" t="s">
        <v>27</v>
      </c>
      <c r="F303" s="12">
        <f>Frischbripts</f>
        <v>0</v>
      </c>
    </row>
    <row r="304" spans="1:6" ht="14.95" thickBot="1" x14ac:dyDescent="0.3">
      <c r="A304" s="39" t="s">
        <v>173</v>
      </c>
      <c r="B304" s="39" t="s">
        <v>27</v>
      </c>
      <c r="C304" s="6">
        <f>Hewardbritries</f>
        <v>0</v>
      </c>
      <c r="D304" s="1" t="s">
        <v>139</v>
      </c>
      <c r="E304" s="1" t="s">
        <v>135</v>
      </c>
      <c r="F304" s="13">
        <v>0</v>
      </c>
    </row>
    <row r="305" spans="1:6" ht="14.95" thickBot="1" x14ac:dyDescent="0.3">
      <c r="A305" s="39" t="s">
        <v>303</v>
      </c>
      <c r="B305" s="39" t="s">
        <v>135</v>
      </c>
      <c r="C305" s="6">
        <f>Mataitogaloutries</f>
        <v>0</v>
      </c>
      <c r="D305" s="1" t="s">
        <v>406</v>
      </c>
      <c r="E305" s="1" t="s">
        <v>25</v>
      </c>
      <c r="F305" s="12">
        <f>Lochnerharpts</f>
        <v>0</v>
      </c>
    </row>
    <row r="306" spans="1:6" ht="14.95" thickBot="1" x14ac:dyDescent="0.3">
      <c r="A306" s="39" t="s">
        <v>602</v>
      </c>
      <c r="B306" s="39" t="s">
        <v>350</v>
      </c>
      <c r="C306" s="6">
        <f>Mattinsontfwtries</f>
        <v>0</v>
      </c>
      <c r="D306" s="1" t="s">
        <v>392</v>
      </c>
      <c r="E306" s="1" t="s">
        <v>23</v>
      </c>
      <c r="F306" s="12">
        <f>Simpsonglopts</f>
        <v>0</v>
      </c>
    </row>
    <row r="307" spans="1:6" ht="14.95" thickBot="1" x14ac:dyDescent="0.3">
      <c r="A307" s="39" t="s">
        <v>196</v>
      </c>
      <c r="B307" s="93" t="s">
        <v>25</v>
      </c>
      <c r="C307" s="6">
        <f>Mayhewhartries</f>
        <v>0</v>
      </c>
      <c r="D307" s="1" t="s">
        <v>173</v>
      </c>
      <c r="E307" s="1" t="s">
        <v>27</v>
      </c>
      <c r="F307" s="12">
        <f>Hewardbripts</f>
        <v>0</v>
      </c>
    </row>
    <row r="308" spans="1:6" ht="14.95" thickBot="1" x14ac:dyDescent="0.3">
      <c r="A308" s="5" t="s">
        <v>375</v>
      </c>
      <c r="B308" s="39" t="s">
        <v>163</v>
      </c>
      <c r="C308" s="6">
        <f>McBrienleictris</f>
        <v>0</v>
      </c>
      <c r="D308" s="1" t="s">
        <v>303</v>
      </c>
      <c r="E308" s="1" t="s">
        <v>135</v>
      </c>
      <c r="F308" s="12">
        <f>Mataitogaloupts</f>
        <v>0</v>
      </c>
    </row>
    <row r="309" spans="1:6" ht="14.95" thickBot="1" x14ac:dyDescent="0.3">
      <c r="A309" s="39" t="s">
        <v>684</v>
      </c>
      <c r="B309" s="39" t="s">
        <v>25</v>
      </c>
      <c r="C309" s="6">
        <f>mcIntoshhartries</f>
        <v>0</v>
      </c>
      <c r="D309" s="1" t="s">
        <v>602</v>
      </c>
      <c r="E309" s="1" t="s">
        <v>350</v>
      </c>
      <c r="F309" s="12">
        <f>Mattinsontfwpts</f>
        <v>0</v>
      </c>
    </row>
    <row r="310" spans="1:6" ht="14.95" thickBot="1" x14ac:dyDescent="0.3">
      <c r="A310" s="39" t="s">
        <v>441</v>
      </c>
      <c r="B310" s="39" t="s">
        <v>26</v>
      </c>
      <c r="C310" s="6">
        <f>Kirstenexetries</f>
        <v>0</v>
      </c>
      <c r="D310" s="1" t="s">
        <v>196</v>
      </c>
      <c r="E310" s="1" t="s">
        <v>25</v>
      </c>
      <c r="F310" s="12">
        <f>Mayhewharpts</f>
        <v>0</v>
      </c>
    </row>
    <row r="311" spans="1:6" ht="14.95" thickBot="1" x14ac:dyDescent="0.3">
      <c r="A311" s="39" t="s">
        <v>412</v>
      </c>
      <c r="B311" s="39" t="s">
        <v>350</v>
      </c>
      <c r="C311" s="6">
        <f>McQuadeTFWTRIES</f>
        <v>0</v>
      </c>
      <c r="D311" s="1" t="s">
        <v>375</v>
      </c>
      <c r="E311" s="1" t="s">
        <v>163</v>
      </c>
      <c r="F311" s="12">
        <f>McBrienleicpts</f>
        <v>0</v>
      </c>
    </row>
    <row r="312" spans="1:6" ht="14.95" thickBot="1" x14ac:dyDescent="0.3">
      <c r="A312" s="39" t="s">
        <v>607</v>
      </c>
      <c r="B312" s="39" t="s">
        <v>25</v>
      </c>
      <c r="C312" s="33">
        <f>Meullerhartries</f>
        <v>0</v>
      </c>
      <c r="D312" s="12" t="s">
        <v>684</v>
      </c>
      <c r="E312" s="10" t="s">
        <v>25</v>
      </c>
      <c r="F312" s="12">
        <f>McIntoshharptscorrect</f>
        <v>0</v>
      </c>
    </row>
    <row r="313" spans="1:6" ht="14.95" thickBot="1" x14ac:dyDescent="0.3">
      <c r="A313" s="39" t="s">
        <v>304</v>
      </c>
      <c r="B313" s="39" t="s">
        <v>26</v>
      </c>
      <c r="C313" s="6">
        <f>Maunder_Sexetries</f>
        <v>0</v>
      </c>
      <c r="D313" s="1" t="s">
        <v>441</v>
      </c>
      <c r="E313" s="1" t="s">
        <v>26</v>
      </c>
      <c r="F313" s="12">
        <f>Kirstenexepts</f>
        <v>0</v>
      </c>
    </row>
    <row r="314" spans="1:6" ht="14.95" thickBot="1" x14ac:dyDescent="0.3">
      <c r="A314" s="39" t="s">
        <v>109</v>
      </c>
      <c r="B314" s="39" t="s">
        <v>33</v>
      </c>
      <c r="C314" s="6">
        <f>Riccionisartriescorrect</f>
        <v>0</v>
      </c>
      <c r="D314" s="1" t="s">
        <v>412</v>
      </c>
      <c r="E314" s="1" t="s">
        <v>350</v>
      </c>
      <c r="F314" s="12">
        <f>McQuadetfwpts</f>
        <v>0</v>
      </c>
    </row>
    <row r="315" spans="1:6" ht="14.95" thickBot="1" x14ac:dyDescent="0.3">
      <c r="A315" s="39" t="s">
        <v>637</v>
      </c>
      <c r="B315" s="39" t="s">
        <v>350</v>
      </c>
      <c r="C315" s="6">
        <f>Mooretfwtries</f>
        <v>0</v>
      </c>
      <c r="D315" s="1" t="s">
        <v>607</v>
      </c>
      <c r="E315" s="1" t="s">
        <v>25</v>
      </c>
      <c r="F315" s="12">
        <f>Meullerharpts</f>
        <v>0</v>
      </c>
    </row>
    <row r="316" spans="1:6" ht="14.95" thickBot="1" x14ac:dyDescent="0.3">
      <c r="A316" s="39" t="s">
        <v>501</v>
      </c>
      <c r="B316" s="39" t="s">
        <v>25</v>
      </c>
      <c r="C316" s="6">
        <f>Mosshartries</f>
        <v>0</v>
      </c>
      <c r="D316" s="1" t="s">
        <v>304</v>
      </c>
      <c r="E316" s="1" t="s">
        <v>26</v>
      </c>
      <c r="F316" s="12">
        <f>Maunder_Sexepts</f>
        <v>0</v>
      </c>
    </row>
    <row r="317" spans="1:6" ht="14.95" thickBot="1" x14ac:dyDescent="0.3">
      <c r="A317" s="39" t="s">
        <v>420</v>
      </c>
      <c r="B317" s="39" t="s">
        <v>25</v>
      </c>
      <c r="C317" s="6">
        <f>Mullenhartries</f>
        <v>0</v>
      </c>
      <c r="D317" s="1" t="s">
        <v>109</v>
      </c>
      <c r="E317" s="1" t="s">
        <v>33</v>
      </c>
      <c r="F317" s="12">
        <f>Riccionisarptscorrect</f>
        <v>0</v>
      </c>
    </row>
    <row r="318" spans="1:6" ht="14.95" thickBot="1" x14ac:dyDescent="0.3">
      <c r="A318" s="39" t="s">
        <v>175</v>
      </c>
      <c r="B318" s="39" t="s">
        <v>27</v>
      </c>
      <c r="C318" s="33">
        <f>Jeffriesbritriescorrect</f>
        <v>0</v>
      </c>
      <c r="D318" s="1" t="s">
        <v>637</v>
      </c>
      <c r="E318" s="1" t="s">
        <v>350</v>
      </c>
      <c r="F318" s="12">
        <f>Mooretfwpts</f>
        <v>0</v>
      </c>
    </row>
    <row r="319" spans="1:6" ht="14.95" thickBot="1" x14ac:dyDescent="0.3">
      <c r="A319" s="39" t="s">
        <v>503</v>
      </c>
      <c r="B319" s="39" t="s">
        <v>25</v>
      </c>
      <c r="C319" s="6">
        <f>Nellerhartries</f>
        <v>0</v>
      </c>
      <c r="D319" s="1" t="s">
        <v>501</v>
      </c>
      <c r="E319" s="1" t="s">
        <v>25</v>
      </c>
      <c r="F319" s="12">
        <f>Mossharpts</f>
        <v>0</v>
      </c>
    </row>
    <row r="320" spans="1:6" ht="14.95" thickBot="1" x14ac:dyDescent="0.3">
      <c r="A320" s="39" t="s">
        <v>259</v>
      </c>
      <c r="B320" s="39" t="s">
        <v>135</v>
      </c>
      <c r="C320" s="6">
        <f>Nelsonloutries</f>
        <v>0</v>
      </c>
      <c r="D320" s="1" t="s">
        <v>420</v>
      </c>
      <c r="E320" s="1" t="s">
        <v>25</v>
      </c>
      <c r="F320" s="12">
        <f>Mullenharptss</f>
        <v>0</v>
      </c>
    </row>
    <row r="321" spans="1:6" ht="14.95" thickBot="1" x14ac:dyDescent="0.3">
      <c r="A321" s="39" t="s">
        <v>419</v>
      </c>
      <c r="B321" s="39" t="s">
        <v>25</v>
      </c>
      <c r="C321" s="6">
        <f>Neumannhartries</f>
        <v>0</v>
      </c>
      <c r="D321" s="1" t="s">
        <v>175</v>
      </c>
      <c r="E321" s="1" t="s">
        <v>27</v>
      </c>
      <c r="F321" s="12">
        <f>Jeffriesbriptscorrect</f>
        <v>0</v>
      </c>
    </row>
    <row r="322" spans="1:6" ht="14.95" thickBot="1" x14ac:dyDescent="0.3">
      <c r="A322" s="39" t="s">
        <v>407</v>
      </c>
      <c r="B322" s="39" t="s">
        <v>163</v>
      </c>
      <c r="C322" s="6">
        <f>Nicholasleitries</f>
        <v>0</v>
      </c>
      <c r="D322" s="1" t="s">
        <v>503</v>
      </c>
      <c r="E322" s="1" t="s">
        <v>25</v>
      </c>
      <c r="F322" s="12">
        <f>Nellerharpts</f>
        <v>0</v>
      </c>
    </row>
    <row r="323" spans="1:6" ht="14.95" thickBot="1" x14ac:dyDescent="0.3">
      <c r="A323" s="39" t="s">
        <v>444</v>
      </c>
      <c r="B323" s="39" t="s">
        <v>26</v>
      </c>
      <c r="C323" s="6">
        <f>Nyeexetries</f>
        <v>0</v>
      </c>
      <c r="D323" s="1" t="s">
        <v>419</v>
      </c>
      <c r="E323" s="1" t="s">
        <v>25</v>
      </c>
      <c r="F323" s="12">
        <f>Neumannharpts</f>
        <v>0</v>
      </c>
    </row>
    <row r="324" spans="1:6" ht="14.95" thickBot="1" x14ac:dyDescent="0.3">
      <c r="A324" s="39" t="s">
        <v>204</v>
      </c>
      <c r="B324" s="39" t="s">
        <v>26</v>
      </c>
      <c r="C324" s="6">
        <f>O_Brienexetries</f>
        <v>0</v>
      </c>
      <c r="D324" s="1" t="s">
        <v>407</v>
      </c>
      <c r="E324" s="1" t="s">
        <v>163</v>
      </c>
      <c r="F324" s="12">
        <f>Nicholasleipts</f>
        <v>0</v>
      </c>
    </row>
    <row r="325" spans="1:6" ht="14.95" thickBot="1" x14ac:dyDescent="0.3">
      <c r="A325" s="39" t="s">
        <v>646</v>
      </c>
      <c r="B325" s="39" t="s">
        <v>24</v>
      </c>
      <c r="C325" s="33">
        <f>Ortizsaltries</f>
        <v>0</v>
      </c>
      <c r="D325" s="1" t="s">
        <v>444</v>
      </c>
      <c r="E325" s="1" t="s">
        <v>26</v>
      </c>
      <c r="F325" s="12">
        <f>Nyeexepts</f>
        <v>0</v>
      </c>
    </row>
    <row r="326" spans="1:6" ht="14.95" thickBot="1" x14ac:dyDescent="0.3">
      <c r="A326" s="39" t="s">
        <v>504</v>
      </c>
      <c r="B326" s="39" t="s">
        <v>25</v>
      </c>
      <c r="C326" s="6">
        <f>Packerhartries</f>
        <v>0</v>
      </c>
      <c r="D326" s="10" t="s">
        <v>204</v>
      </c>
      <c r="E326" s="1" t="s">
        <v>26</v>
      </c>
      <c r="F326" s="12">
        <f>O_Brienexepts</f>
        <v>0</v>
      </c>
    </row>
    <row r="327" spans="1:6" ht="14.95" thickBot="1" x14ac:dyDescent="0.3">
      <c r="A327" s="39" t="s">
        <v>4</v>
      </c>
      <c r="B327" s="39" t="s">
        <v>27</v>
      </c>
      <c r="C327" s="6">
        <f>Loaderlirtries</f>
        <v>0</v>
      </c>
      <c r="D327" s="1" t="s">
        <v>646</v>
      </c>
      <c r="E327" s="1" t="s">
        <v>24</v>
      </c>
      <c r="F327" s="12">
        <f>Ortizsalpts</f>
        <v>0</v>
      </c>
    </row>
    <row r="328" spans="1:6" ht="14.95" thickBot="1" x14ac:dyDescent="0.3">
      <c r="A328" s="7" t="s">
        <v>4</v>
      </c>
      <c r="B328" s="7" t="s">
        <v>26</v>
      </c>
      <c r="C328" s="6">
        <f>Penalty_Triesexetries</f>
        <v>0</v>
      </c>
      <c r="D328" s="1" t="s">
        <v>504</v>
      </c>
      <c r="E328" s="1" t="s">
        <v>25</v>
      </c>
      <c r="F328" s="12">
        <f>Packerharpts</f>
        <v>0</v>
      </c>
    </row>
    <row r="329" spans="1:6" ht="14.95" thickBot="1" x14ac:dyDescent="0.3">
      <c r="A329" s="5" t="s">
        <v>4</v>
      </c>
      <c r="B329" s="39" t="s">
        <v>135</v>
      </c>
      <c r="C329" s="6">
        <f>Penalty_Triesloutries</f>
        <v>0</v>
      </c>
      <c r="D329" s="1" t="s">
        <v>4</v>
      </c>
      <c r="E329" s="1" t="s">
        <v>27</v>
      </c>
      <c r="F329" s="12">
        <f>Loaderlirpts</f>
        <v>0</v>
      </c>
    </row>
    <row r="330" spans="1:6" ht="14.95" thickBot="1" x14ac:dyDescent="0.3">
      <c r="A330" s="5" t="s">
        <v>4</v>
      </c>
      <c r="B330" s="39" t="s">
        <v>33</v>
      </c>
      <c r="C330" s="6">
        <f>Penalty_Triessarwomentries</f>
        <v>0</v>
      </c>
      <c r="D330" s="10" t="s">
        <v>4</v>
      </c>
      <c r="E330" s="10" t="s">
        <v>26</v>
      </c>
      <c r="F330" s="12">
        <f>Penalty_Triesexepts</f>
        <v>0</v>
      </c>
    </row>
    <row r="331" spans="1:6" ht="14.95" thickBot="1" x14ac:dyDescent="0.3">
      <c r="A331" s="5" t="s">
        <v>157</v>
      </c>
      <c r="B331" s="39" t="s">
        <v>24</v>
      </c>
      <c r="C331" s="6">
        <f>Perris_Redding_Gsaltries</f>
        <v>0</v>
      </c>
      <c r="D331" s="1" t="s">
        <v>4</v>
      </c>
      <c r="E331" s="1" t="s">
        <v>135</v>
      </c>
      <c r="F331" s="12">
        <f>Penalty_Triesloupts</f>
        <v>0</v>
      </c>
    </row>
    <row r="332" spans="1:6" ht="14.95" thickBot="1" x14ac:dyDescent="0.3">
      <c r="A332" s="5" t="s">
        <v>445</v>
      </c>
      <c r="B332" s="39" t="s">
        <v>26</v>
      </c>
      <c r="C332" s="6">
        <f>Reltonexetries</f>
        <v>0</v>
      </c>
      <c r="D332" s="1" t="s">
        <v>4</v>
      </c>
      <c r="E332" s="1" t="s">
        <v>33</v>
      </c>
      <c r="F332" s="12">
        <f>penaltytriessarwomenpts</f>
        <v>0</v>
      </c>
    </row>
    <row r="333" spans="1:6" ht="14.95" thickBot="1" x14ac:dyDescent="0.3">
      <c r="A333" s="5" t="s">
        <v>624</v>
      </c>
      <c r="B333" s="39" t="s">
        <v>24</v>
      </c>
      <c r="C333" s="33">
        <f>Phillipssaltriescorrect</f>
        <v>0</v>
      </c>
      <c r="D333" s="12" t="s">
        <v>157</v>
      </c>
      <c r="E333" s="12" t="s">
        <v>24</v>
      </c>
      <c r="F333" s="12">
        <f>Perris_Redding_Gsalpts</f>
        <v>0</v>
      </c>
    </row>
    <row r="334" spans="1:6" ht="14.95" thickBot="1" x14ac:dyDescent="0.3">
      <c r="A334" s="5" t="s">
        <v>665</v>
      </c>
      <c r="B334" s="39" t="s">
        <v>27</v>
      </c>
      <c r="C334" s="6">
        <f>Picton_Powellbritries</f>
        <v>0</v>
      </c>
      <c r="D334" s="12" t="s">
        <v>445</v>
      </c>
      <c r="E334" s="12" t="s">
        <v>26</v>
      </c>
      <c r="F334" s="12">
        <f>Reltonexepts</f>
        <v>0</v>
      </c>
    </row>
    <row r="335" spans="1:6" ht="14.95" thickBot="1" x14ac:dyDescent="0.3">
      <c r="A335" s="5" t="s">
        <v>507</v>
      </c>
      <c r="B335" s="39" t="s">
        <v>25</v>
      </c>
      <c r="C335" s="6">
        <f>Powell_Khartries</f>
        <v>0</v>
      </c>
      <c r="D335" s="14" t="s">
        <v>624</v>
      </c>
      <c r="E335" s="14" t="s">
        <v>24</v>
      </c>
      <c r="F335" s="11">
        <f>Phillipssalptscorrect</f>
        <v>0</v>
      </c>
    </row>
    <row r="336" spans="1:6" ht="14.95" thickBot="1" x14ac:dyDescent="0.3">
      <c r="A336" s="5" t="s">
        <v>357</v>
      </c>
      <c r="B336" s="39" t="s">
        <v>26</v>
      </c>
      <c r="C336" s="6">
        <f>Schickerlingexetries</f>
        <v>0</v>
      </c>
      <c r="D336" s="14" t="s">
        <v>665</v>
      </c>
      <c r="E336" s="14" t="s">
        <v>27</v>
      </c>
      <c r="F336" s="12">
        <f>Picton_Powellbripts</f>
        <v>0</v>
      </c>
    </row>
    <row r="337" spans="1:6" ht="14.95" thickBot="1" x14ac:dyDescent="0.3">
      <c r="A337" s="5" t="s">
        <v>449</v>
      </c>
      <c r="B337" s="39" t="s">
        <v>26</v>
      </c>
      <c r="C337" s="6">
        <f>Simmondsexetries</f>
        <v>0</v>
      </c>
      <c r="D337" s="14" t="s">
        <v>507</v>
      </c>
      <c r="E337" s="14" t="s">
        <v>25</v>
      </c>
      <c r="F337" s="12">
        <f>Powell_Kharpts</f>
        <v>0</v>
      </c>
    </row>
    <row r="338" spans="1:6" ht="14.95" thickBot="1" x14ac:dyDescent="0.3">
      <c r="A338" s="5" t="s">
        <v>261</v>
      </c>
      <c r="B338" s="39" t="s">
        <v>163</v>
      </c>
      <c r="C338" s="6">
        <f>Relfleitries</f>
        <v>0</v>
      </c>
      <c r="D338" s="12" t="s">
        <v>357</v>
      </c>
      <c r="E338" s="12" t="s">
        <v>26</v>
      </c>
      <c r="F338" s="12">
        <f>Schickerlingexepts</f>
        <v>0</v>
      </c>
    </row>
    <row r="339" spans="1:6" ht="14.95" thickBot="1" x14ac:dyDescent="0.3">
      <c r="A339" s="5" t="s">
        <v>376</v>
      </c>
      <c r="B339" s="39" t="s">
        <v>23</v>
      </c>
      <c r="C339" s="6">
        <f>Visagieglotries</f>
        <v>0</v>
      </c>
      <c r="D339" s="14" t="s">
        <v>449</v>
      </c>
      <c r="E339" s="14" t="s">
        <v>26</v>
      </c>
      <c r="F339" s="12">
        <f>Simmondsexepts</f>
        <v>0</v>
      </c>
    </row>
    <row r="340" spans="1:6" ht="14.95" thickBot="1" x14ac:dyDescent="0.3">
      <c r="A340" s="5" t="s">
        <v>313</v>
      </c>
      <c r="B340" s="39" t="s">
        <v>163</v>
      </c>
      <c r="C340" s="6">
        <f>RichardsonLEITRIES</f>
        <v>0</v>
      </c>
      <c r="D340" s="14" t="s">
        <v>261</v>
      </c>
      <c r="E340" s="14" t="s">
        <v>163</v>
      </c>
      <c r="F340" s="12">
        <f>Relfleipts</f>
        <v>0</v>
      </c>
    </row>
    <row r="341" spans="1:6" ht="14.95" thickBot="1" x14ac:dyDescent="0.3">
      <c r="A341" s="5" t="s">
        <v>471</v>
      </c>
      <c r="B341" s="39" t="s">
        <v>23</v>
      </c>
      <c r="C341" s="6">
        <f>Robinsonglotries</f>
        <v>0</v>
      </c>
      <c r="D341" s="14" t="s">
        <v>376</v>
      </c>
      <c r="E341" s="14" t="s">
        <v>23</v>
      </c>
      <c r="F341" s="12">
        <f>Visagieglopts</f>
        <v>0</v>
      </c>
    </row>
    <row r="342" spans="1:6" ht="14.95" thickBot="1" x14ac:dyDescent="0.3">
      <c r="A342" s="5" t="s">
        <v>686</v>
      </c>
      <c r="B342" s="39" t="s">
        <v>135</v>
      </c>
      <c r="C342" s="6">
        <f>Robertsloutries</f>
        <v>0</v>
      </c>
      <c r="D342" s="12" t="s">
        <v>313</v>
      </c>
      <c r="E342" s="12" t="s">
        <v>163</v>
      </c>
      <c r="F342" s="13">
        <f>Richardsonleipts</f>
        <v>0</v>
      </c>
    </row>
    <row r="343" spans="1:6" ht="14.95" thickBot="1" x14ac:dyDescent="0.3">
      <c r="A343" s="5" t="s">
        <v>190</v>
      </c>
      <c r="B343" s="39" t="s">
        <v>135</v>
      </c>
      <c r="C343" s="6">
        <f>Rowlandloutriescorrect</f>
        <v>0</v>
      </c>
      <c r="D343" s="14" t="s">
        <v>471</v>
      </c>
      <c r="E343" s="14" t="s">
        <v>23</v>
      </c>
      <c r="F343" s="12">
        <f>Robinsonglopts</f>
        <v>0</v>
      </c>
    </row>
    <row r="344" spans="1:6" ht="14.95" thickBot="1" x14ac:dyDescent="0.3">
      <c r="A344" s="5" t="s">
        <v>472</v>
      </c>
      <c r="B344" s="39" t="s">
        <v>23</v>
      </c>
      <c r="C344" s="6">
        <f>Rugmanglotries</f>
        <v>0</v>
      </c>
      <c r="D344" s="14" t="s">
        <v>686</v>
      </c>
      <c r="E344" s="14" t="s">
        <v>135</v>
      </c>
      <c r="F344" s="13">
        <f>Robertsloupts</f>
        <v>0</v>
      </c>
    </row>
    <row r="345" spans="1:6" ht="14.95" thickBot="1" x14ac:dyDescent="0.3">
      <c r="A345" s="5" t="s">
        <v>628</v>
      </c>
      <c r="B345" s="39" t="s">
        <v>163</v>
      </c>
      <c r="C345" s="6">
        <f>Sagapoluleitries</f>
        <v>0</v>
      </c>
      <c r="D345" s="14" t="s">
        <v>472</v>
      </c>
      <c r="E345" s="14" t="s">
        <v>23</v>
      </c>
      <c r="F345" s="12">
        <f>Rugmanglopts</f>
        <v>0</v>
      </c>
    </row>
    <row r="346" spans="1:6" ht="14.95" thickBot="1" x14ac:dyDescent="0.3">
      <c r="A346" s="5" t="s">
        <v>476</v>
      </c>
      <c r="B346" s="39" t="s">
        <v>23</v>
      </c>
      <c r="C346" s="6">
        <f>Samudaglotries</f>
        <v>0</v>
      </c>
      <c r="D346" s="14" t="s">
        <v>628</v>
      </c>
      <c r="E346" s="14" t="s">
        <v>163</v>
      </c>
      <c r="F346" s="12">
        <f>Sagapoluleipts</f>
        <v>0</v>
      </c>
    </row>
    <row r="347" spans="1:6" ht="14.95" thickBot="1" x14ac:dyDescent="0.3">
      <c r="A347" s="5" t="s">
        <v>451</v>
      </c>
      <c r="B347" s="39" t="s">
        <v>26</v>
      </c>
      <c r="C347" s="6">
        <f>Sladeexetries</f>
        <v>0</v>
      </c>
      <c r="D347" s="14" t="s">
        <v>476</v>
      </c>
      <c r="E347" s="14" t="s">
        <v>23</v>
      </c>
      <c r="F347" s="12">
        <f>Samudaglopts</f>
        <v>0</v>
      </c>
    </row>
    <row r="348" spans="1:6" ht="14.95" thickBot="1" x14ac:dyDescent="0.3">
      <c r="A348" s="5" t="s">
        <v>369</v>
      </c>
      <c r="B348" s="39" t="s">
        <v>350</v>
      </c>
      <c r="C348" s="6">
        <f>SeyeTFWTRIES</f>
        <v>0</v>
      </c>
      <c r="D348" s="14" t="s">
        <v>451</v>
      </c>
      <c r="E348" s="14" t="s">
        <v>26</v>
      </c>
      <c r="F348" s="12">
        <f>Sladeexepts</f>
        <v>0</v>
      </c>
    </row>
    <row r="349" spans="1:6" ht="14.95" thickBot="1" x14ac:dyDescent="0.3">
      <c r="A349" s="5" t="s">
        <v>508</v>
      </c>
      <c r="B349" s="39" t="s">
        <v>25</v>
      </c>
      <c r="C349" s="33">
        <f>Shirleyhartries</f>
        <v>0</v>
      </c>
      <c r="D349" s="12" t="s">
        <v>369</v>
      </c>
      <c r="E349" s="12" t="s">
        <v>350</v>
      </c>
      <c r="F349" s="13">
        <f>Seyetfwpts</f>
        <v>0</v>
      </c>
    </row>
    <row r="350" spans="1:6" ht="14.95" thickBot="1" x14ac:dyDescent="0.3">
      <c r="A350" s="5" t="s">
        <v>680</v>
      </c>
      <c r="B350" s="39" t="s">
        <v>26</v>
      </c>
      <c r="C350" s="6">
        <f>Skeatesexetries</f>
        <v>0</v>
      </c>
      <c r="D350" s="14" t="s">
        <v>508</v>
      </c>
      <c r="E350" s="14" t="s">
        <v>25</v>
      </c>
      <c r="F350" s="13">
        <f>Shirleyharpts</f>
        <v>0</v>
      </c>
    </row>
    <row r="351" spans="1:6" ht="14.95" thickBot="1" x14ac:dyDescent="0.3">
      <c r="A351" s="5" t="s">
        <v>306</v>
      </c>
      <c r="B351" s="39" t="s">
        <v>27</v>
      </c>
      <c r="C351" s="6">
        <f>McNallylirtries</f>
        <v>0</v>
      </c>
      <c r="D351" s="14" t="s">
        <v>680</v>
      </c>
      <c r="E351" s="14" t="s">
        <v>26</v>
      </c>
      <c r="F351" s="13">
        <f>Skeatesexepts</f>
        <v>0</v>
      </c>
    </row>
    <row r="352" spans="1:6" ht="14.95" thickBot="1" x14ac:dyDescent="0.3">
      <c r="A352" s="5" t="s">
        <v>453</v>
      </c>
      <c r="B352" s="39" t="s">
        <v>26</v>
      </c>
      <c r="C352" s="6">
        <f>Smithexetries</f>
        <v>0</v>
      </c>
      <c r="D352" s="14" t="s">
        <v>306</v>
      </c>
      <c r="E352" s="14" t="s">
        <v>27</v>
      </c>
      <c r="F352" s="12">
        <f>McNallylirpts</f>
        <v>0</v>
      </c>
    </row>
    <row r="353" spans="1:6" ht="14.95" thickBot="1" x14ac:dyDescent="0.3">
      <c r="A353" s="5" t="s">
        <v>308</v>
      </c>
      <c r="B353" s="39" t="s">
        <v>27</v>
      </c>
      <c r="C353" s="6">
        <f>MulchronelirtriesCORRECT</f>
        <v>0</v>
      </c>
      <c r="D353" s="14" t="s">
        <v>453</v>
      </c>
      <c r="E353" s="14" t="s">
        <v>26</v>
      </c>
      <c r="F353" s="12">
        <f>smithexepts</f>
        <v>0</v>
      </c>
    </row>
    <row r="354" spans="1:6" ht="14.95" thickBot="1" x14ac:dyDescent="0.3">
      <c r="A354" s="5" t="s">
        <v>308</v>
      </c>
      <c r="B354" s="39" t="s">
        <v>27</v>
      </c>
      <c r="C354" s="6">
        <f>Penalty_Triesbritries</f>
        <v>0</v>
      </c>
      <c r="D354" s="14" t="s">
        <v>308</v>
      </c>
      <c r="E354" s="14" t="s">
        <v>27</v>
      </c>
      <c r="F354" s="12">
        <f>Penalty_Triesbripts</f>
        <v>0</v>
      </c>
    </row>
    <row r="355" spans="1:6" ht="14.95" thickBot="1" x14ac:dyDescent="0.3">
      <c r="A355" s="5" t="s">
        <v>410</v>
      </c>
      <c r="B355" s="39" t="s">
        <v>25</v>
      </c>
      <c r="C355" s="6">
        <f>SpurrierHARTRIES</f>
        <v>0</v>
      </c>
      <c r="D355" s="14" t="s">
        <v>410</v>
      </c>
      <c r="E355" s="14" t="s">
        <v>25</v>
      </c>
      <c r="F355" s="12">
        <f>SpurrierHARPTS</f>
        <v>0</v>
      </c>
    </row>
    <row r="356" spans="1:6" ht="14.95" thickBot="1" x14ac:dyDescent="0.3">
      <c r="A356" s="5" t="s">
        <v>617</v>
      </c>
      <c r="B356" s="39" t="s">
        <v>24</v>
      </c>
      <c r="C356" s="6">
        <f>Stefansaltries</f>
        <v>0</v>
      </c>
      <c r="D356" s="12" t="s">
        <v>617</v>
      </c>
      <c r="E356" s="12" t="s">
        <v>24</v>
      </c>
      <c r="F356" s="12">
        <f>Stefansalpts</f>
        <v>0</v>
      </c>
    </row>
    <row r="357" spans="1:6" ht="14.95" thickBot="1" x14ac:dyDescent="0.3">
      <c r="A357" s="5" t="s">
        <v>227</v>
      </c>
      <c r="B357" s="39" t="s">
        <v>24</v>
      </c>
      <c r="C357" s="6">
        <f>Swailessaltries</f>
        <v>0</v>
      </c>
      <c r="D357" s="14" t="s">
        <v>227</v>
      </c>
      <c r="E357" s="14" t="s">
        <v>24</v>
      </c>
      <c r="F357" s="12">
        <f>Swailessalpts</f>
        <v>0</v>
      </c>
    </row>
    <row r="358" spans="1:6" ht="14.95" thickBot="1" x14ac:dyDescent="0.3">
      <c r="A358" s="5" t="s">
        <v>454</v>
      </c>
      <c r="B358" s="39" t="s">
        <v>26</v>
      </c>
      <c r="C358" s="6">
        <f>Swannexetries</f>
        <v>0</v>
      </c>
      <c r="D358" s="14" t="s">
        <v>454</v>
      </c>
      <c r="E358" s="14" t="s">
        <v>26</v>
      </c>
      <c r="F358" s="12">
        <f>Swannexepts</f>
        <v>0</v>
      </c>
    </row>
    <row r="359" spans="1:6" ht="14.95" thickBot="1" x14ac:dyDescent="0.3">
      <c r="A359" s="5" t="s">
        <v>402</v>
      </c>
      <c r="B359" s="39" t="s">
        <v>25</v>
      </c>
      <c r="C359" s="6">
        <f>Swordshartries</f>
        <v>0</v>
      </c>
      <c r="D359" s="14" t="s">
        <v>402</v>
      </c>
      <c r="E359" s="14" t="s">
        <v>25</v>
      </c>
      <c r="F359" s="12">
        <f>Swordsharpts</f>
        <v>0</v>
      </c>
    </row>
    <row r="360" spans="1:6" ht="14.95" thickBot="1" x14ac:dyDescent="0.3">
      <c r="A360" s="5" t="s">
        <v>130</v>
      </c>
      <c r="B360" s="39" t="s">
        <v>33</v>
      </c>
      <c r="C360" s="6">
        <f>Vunipola__Makosartriescorrect</f>
        <v>0</v>
      </c>
      <c r="D360" s="14" t="s">
        <v>130</v>
      </c>
      <c r="E360" s="14" t="s">
        <v>33</v>
      </c>
      <c r="F360" s="12">
        <f>Vunipola__Makosarptscorrect</f>
        <v>0</v>
      </c>
    </row>
    <row r="361" spans="1:6" ht="14.95" thickBot="1" x14ac:dyDescent="0.3">
      <c r="A361" s="5" t="s">
        <v>363</v>
      </c>
      <c r="B361" s="39" t="s">
        <v>26</v>
      </c>
      <c r="C361" s="6">
        <f>Taskerexetries</f>
        <v>0</v>
      </c>
      <c r="D361" s="14" t="s">
        <v>363</v>
      </c>
      <c r="E361" s="14" t="s">
        <v>26</v>
      </c>
      <c r="F361" s="12">
        <f>Taskerexepts</f>
        <v>0</v>
      </c>
    </row>
    <row r="362" spans="1:6" ht="14.95" thickBot="1" x14ac:dyDescent="0.3">
      <c r="A362" s="5" t="s">
        <v>558</v>
      </c>
      <c r="B362" s="39" t="s">
        <v>135</v>
      </c>
      <c r="C362" s="33">
        <f>Taufoouloutries</f>
        <v>0</v>
      </c>
      <c r="D362" s="14" t="s">
        <v>558</v>
      </c>
      <c r="E362" s="14" t="s">
        <v>135</v>
      </c>
      <c r="F362" s="12">
        <f>Taufoouloupts</f>
        <v>0</v>
      </c>
    </row>
    <row r="363" spans="1:6" ht="14.95" thickBot="1" x14ac:dyDescent="0.3">
      <c r="A363" s="5" t="s">
        <v>221</v>
      </c>
      <c r="B363" s="39" t="s">
        <v>23</v>
      </c>
      <c r="C363" s="6">
        <f>Taylorpwrglotries</f>
        <v>0</v>
      </c>
      <c r="D363" s="14" t="s">
        <v>221</v>
      </c>
      <c r="E363" s="14" t="s">
        <v>23</v>
      </c>
      <c r="F363" s="12">
        <f>Taylorpwrglopts</f>
        <v>0</v>
      </c>
    </row>
    <row r="364" spans="1:6" ht="14.95" customHeight="1" thickBot="1" x14ac:dyDescent="0.3">
      <c r="A364" s="5" t="s">
        <v>597</v>
      </c>
      <c r="B364" s="39" t="s">
        <v>350</v>
      </c>
      <c r="C364" s="4">
        <f>Thomsontfwtries</f>
        <v>0</v>
      </c>
      <c r="D364" s="14" t="s">
        <v>597</v>
      </c>
      <c r="E364" s="14" t="s">
        <v>350</v>
      </c>
      <c r="F364" s="12">
        <f>Thomsontfwpts</f>
        <v>0</v>
      </c>
    </row>
    <row r="365" spans="1:6" ht="14.95" thickBot="1" x14ac:dyDescent="0.3">
      <c r="A365" s="5" t="s">
        <v>664</v>
      </c>
      <c r="B365" s="39" t="s">
        <v>27</v>
      </c>
      <c r="C365" s="6">
        <f>Penalty_Triesbritries</f>
        <v>0</v>
      </c>
      <c r="D365" s="14" t="s">
        <v>664</v>
      </c>
      <c r="E365" s="14" t="s">
        <v>27</v>
      </c>
      <c r="F365" s="12">
        <f>Penalty_Triesbripts</f>
        <v>0</v>
      </c>
    </row>
    <row r="366" spans="1:6" ht="14.95" thickBot="1" x14ac:dyDescent="0.3">
      <c r="A366" s="234" t="s">
        <v>294</v>
      </c>
      <c r="B366" s="8" t="s">
        <v>27</v>
      </c>
      <c r="C366" s="4">
        <f>Varleybritries</f>
        <v>0</v>
      </c>
      <c r="D366" s="12" t="s">
        <v>294</v>
      </c>
      <c r="E366" s="12" t="s">
        <v>27</v>
      </c>
      <c r="F366" s="12">
        <f>Varleybripts</f>
        <v>0</v>
      </c>
    </row>
    <row r="367" spans="1:6" ht="14.95" thickBot="1" x14ac:dyDescent="0.3">
      <c r="A367" s="6" t="s">
        <v>177</v>
      </c>
      <c r="B367" s="7" t="s">
        <v>27</v>
      </c>
      <c r="C367" s="6">
        <f>Radradrabritries</f>
        <v>0</v>
      </c>
      <c r="D367" s="14" t="s">
        <v>177</v>
      </c>
      <c r="E367" s="14" t="s">
        <v>27</v>
      </c>
      <c r="F367" s="12">
        <f>Radradrabripts</f>
        <v>0</v>
      </c>
    </row>
    <row r="368" spans="1:6" ht="14.95" thickBot="1" x14ac:dyDescent="0.3">
      <c r="A368" s="6" t="s">
        <v>439</v>
      </c>
      <c r="B368" s="7" t="s">
        <v>27</v>
      </c>
      <c r="C368" s="6">
        <f>Palamobristries</f>
        <v>0</v>
      </c>
      <c r="D368" s="12" t="s">
        <v>439</v>
      </c>
      <c r="E368" s="12" t="s">
        <v>27</v>
      </c>
      <c r="F368" s="12">
        <f>Randallbripts</f>
        <v>0</v>
      </c>
    </row>
    <row r="369" spans="1:6" ht="14.95" thickBot="1" x14ac:dyDescent="0.3">
      <c r="A369" s="5" t="s">
        <v>404</v>
      </c>
      <c r="B369" s="39" t="s">
        <v>26</v>
      </c>
      <c r="C369" s="6">
        <f>van_der_Sluysexetries</f>
        <v>0</v>
      </c>
      <c r="D369" s="14" t="s">
        <v>404</v>
      </c>
      <c r="E369" s="14" t="s">
        <v>26</v>
      </c>
      <c r="F369" s="12">
        <f>van_der_Sluysexepts</f>
        <v>0</v>
      </c>
    </row>
    <row r="370" spans="1:6" ht="14.95" thickBot="1" x14ac:dyDescent="0.3">
      <c r="A370" s="5" t="s">
        <v>404</v>
      </c>
      <c r="B370" s="39" t="s">
        <v>23</v>
      </c>
      <c r="C370" s="6">
        <f>Walkerglohtries</f>
        <v>0</v>
      </c>
      <c r="D370" s="14" t="s">
        <v>404</v>
      </c>
      <c r="E370" s="14" t="s">
        <v>23</v>
      </c>
      <c r="F370" s="12">
        <f>walkerglohpts</f>
        <v>0</v>
      </c>
    </row>
    <row r="371" spans="1:6" ht="14.95" thickBot="1" x14ac:dyDescent="0.3">
      <c r="A371" s="5" t="s">
        <v>589</v>
      </c>
      <c r="B371" s="39" t="s">
        <v>24</v>
      </c>
      <c r="C371" s="6">
        <f>Wilkinssaltries</f>
        <v>0</v>
      </c>
      <c r="D371" s="14" t="s">
        <v>589</v>
      </c>
      <c r="E371" s="14" t="s">
        <v>24</v>
      </c>
      <c r="F371" s="12">
        <f>Wilkinssalpts</f>
        <v>0</v>
      </c>
    </row>
    <row r="372" spans="1:6" ht="14.95" thickBot="1" x14ac:dyDescent="0.3">
      <c r="A372" s="5" t="s">
        <v>5</v>
      </c>
      <c r="B372" s="39" t="s">
        <v>33</v>
      </c>
      <c r="C372" s="6">
        <f>Woolstencroftsartriescorrect</f>
        <v>0</v>
      </c>
      <c r="D372" s="14" t="s">
        <v>5</v>
      </c>
      <c r="E372" s="14" t="s">
        <v>33</v>
      </c>
      <c r="F372" s="12">
        <f>Woolstencroftsarptscorrect</f>
        <v>0</v>
      </c>
    </row>
    <row r="373" spans="1:6" ht="14.95" thickBot="1" x14ac:dyDescent="0.3">
      <c r="A373" s="5" t="s">
        <v>681</v>
      </c>
      <c r="B373" s="39" t="s">
        <v>23</v>
      </c>
      <c r="C373" s="6">
        <f>Williams_Morrisglotries</f>
        <v>0</v>
      </c>
      <c r="D373" s="14" t="s">
        <v>681</v>
      </c>
      <c r="E373" s="14" t="s">
        <v>23</v>
      </c>
      <c r="F373" s="12">
        <f>Williams_Morrisglopts</f>
        <v>0</v>
      </c>
    </row>
    <row r="374" spans="1:6" ht="14.95" thickBot="1" x14ac:dyDescent="0.3">
      <c r="A374" s="5" t="s">
        <v>524</v>
      </c>
      <c r="B374" s="39" t="s">
        <v>135</v>
      </c>
      <c r="C374" s="6">
        <f>Westcombe_Evansloutris</f>
        <v>0</v>
      </c>
      <c r="D374" s="14" t="s">
        <v>524</v>
      </c>
      <c r="E374" s="14" t="s">
        <v>135</v>
      </c>
      <c r="F374" s="12">
        <f>Westcombe_Evansloupts</f>
        <v>0</v>
      </c>
    </row>
    <row r="375" spans="1:6" ht="14.95" thickBot="1" x14ac:dyDescent="0.3">
      <c r="A375" s="5" t="s">
        <v>459</v>
      </c>
      <c r="B375" s="39" t="s">
        <v>26</v>
      </c>
      <c r="C375" s="6">
        <f>Whittentries</f>
        <v>0</v>
      </c>
      <c r="D375" s="14" t="s">
        <v>459</v>
      </c>
      <c r="E375" s="14" t="s">
        <v>26</v>
      </c>
      <c r="F375" s="12">
        <f>Whittenpts</f>
        <v>0</v>
      </c>
    </row>
    <row r="376" spans="1:6" ht="14.95" thickBot="1" x14ac:dyDescent="0.3">
      <c r="A376" s="5" t="s">
        <v>621</v>
      </c>
      <c r="B376" s="39" t="s">
        <v>24</v>
      </c>
      <c r="C376" s="6">
        <f>Woodsaltries</f>
        <v>0</v>
      </c>
      <c r="D376" s="12" t="s">
        <v>621</v>
      </c>
      <c r="E376" s="12" t="s">
        <v>24</v>
      </c>
      <c r="F376" s="12">
        <f>Woodsalpts</f>
        <v>0</v>
      </c>
    </row>
    <row r="377" spans="1:6" ht="14.95" thickBot="1" x14ac:dyDescent="0.3">
      <c r="A377" s="5" t="s">
        <v>632</v>
      </c>
      <c r="B377" s="39" t="s">
        <v>350</v>
      </c>
      <c r="C377" s="6">
        <f>WoodTFWTRIES</f>
        <v>0</v>
      </c>
      <c r="D377" s="14" t="s">
        <v>632</v>
      </c>
      <c r="E377" s="14" t="s">
        <v>350</v>
      </c>
      <c r="F377" s="12">
        <f>WoodTFWPTS</f>
        <v>0</v>
      </c>
    </row>
    <row r="378" spans="1:6" ht="14.95" thickBot="1" x14ac:dyDescent="0.3">
      <c r="A378" s="5" t="s">
        <v>266</v>
      </c>
      <c r="B378" s="39" t="s">
        <v>33</v>
      </c>
      <c r="C378" s="6">
        <f>Wraysartriescorrect</f>
        <v>0</v>
      </c>
      <c r="D378" s="14" t="s">
        <v>266</v>
      </c>
      <c r="E378" s="14" t="s">
        <v>33</v>
      </c>
      <c r="F378" s="12">
        <f>Wraysarptscorrect</f>
        <v>0</v>
      </c>
    </row>
    <row r="379" spans="1:6" ht="14.95" thickBot="1" x14ac:dyDescent="0.3">
      <c r="A379" s="5" t="s">
        <v>525</v>
      </c>
      <c r="B379" s="39" t="s">
        <v>135</v>
      </c>
      <c r="C379" s="6">
        <f>Williams_Cloutries</f>
        <v>0</v>
      </c>
      <c r="D379" s="12" t="s">
        <v>525</v>
      </c>
      <c r="E379" s="12" t="s">
        <v>135</v>
      </c>
      <c r="F379" s="12">
        <f>Williams_Cloupts</f>
        <v>0</v>
      </c>
    </row>
    <row r="380" spans="1:6" ht="14.95" thickBot="1" x14ac:dyDescent="0.3">
      <c r="A380" s="6" t="s">
        <v>11</v>
      </c>
      <c r="B380" s="6"/>
      <c r="C380" s="6">
        <f>SUM(C4:C379)</f>
        <v>581</v>
      </c>
      <c r="D380" s="12" t="s">
        <v>11</v>
      </c>
      <c r="E380" s="12"/>
      <c r="F380" s="12">
        <f>SUM(F4:F379)</f>
        <v>3708</v>
      </c>
    </row>
    <row r="381" spans="1:6" ht="16.3" x14ac:dyDescent="0.25">
      <c r="A381" s="192" t="s">
        <v>17</v>
      </c>
    </row>
    <row r="383" spans="1:6" x14ac:dyDescent="0.25">
      <c r="A383" s="22"/>
      <c r="B383" s="30"/>
      <c r="C383" s="22"/>
      <c r="D383" s="22"/>
      <c r="E383" s="30"/>
      <c r="F383" s="22"/>
    </row>
    <row r="384" spans="1:6" x14ac:dyDescent="0.25">
      <c r="A384" s="22"/>
      <c r="B384" s="30"/>
      <c r="C384" s="22"/>
      <c r="D384" s="22"/>
      <c r="E384" s="30"/>
      <c r="F384" s="22"/>
    </row>
    <row r="385" spans="1:6" x14ac:dyDescent="0.25">
      <c r="A385" s="22"/>
      <c r="B385" s="30"/>
      <c r="C385" s="22"/>
      <c r="D385" s="22"/>
      <c r="E385" s="30"/>
      <c r="F385" s="22"/>
    </row>
    <row r="386" spans="1:6" x14ac:dyDescent="0.25">
      <c r="A386" s="22"/>
      <c r="B386" s="30"/>
      <c r="C386" s="22"/>
      <c r="D386" s="22"/>
      <c r="E386" s="30"/>
      <c r="F386" s="22"/>
    </row>
    <row r="387" spans="1:6" x14ac:dyDescent="0.25">
      <c r="A387" s="22"/>
      <c r="B387" s="30"/>
      <c r="C387" s="22"/>
      <c r="D387" s="22"/>
      <c r="E387" s="30"/>
      <c r="F387" s="22"/>
    </row>
    <row r="388" spans="1:6" x14ac:dyDescent="0.25">
      <c r="A388" s="22"/>
      <c r="B388" s="30"/>
      <c r="C388" s="22"/>
      <c r="D388" s="22"/>
      <c r="E388" s="30"/>
      <c r="F388" s="22"/>
    </row>
    <row r="389" spans="1:6" x14ac:dyDescent="0.25">
      <c r="A389" s="22"/>
      <c r="B389" s="30"/>
      <c r="C389" s="22"/>
      <c r="D389" s="22"/>
      <c r="E389" s="30"/>
      <c r="F389" s="22"/>
    </row>
    <row r="390" spans="1:6" x14ac:dyDescent="0.25">
      <c r="A390" s="22"/>
      <c r="B390" s="30"/>
      <c r="C390" s="22"/>
      <c r="D390" s="22"/>
      <c r="E390" s="30"/>
      <c r="F390" s="22"/>
    </row>
    <row r="391" spans="1:6" x14ac:dyDescent="0.25">
      <c r="A391" s="22"/>
      <c r="B391" s="30"/>
      <c r="C391" s="22"/>
      <c r="D391" s="22"/>
      <c r="E391" s="30"/>
      <c r="F391" s="22"/>
    </row>
    <row r="392" spans="1:6" x14ac:dyDescent="0.25">
      <c r="A392" s="22"/>
      <c r="B392" s="30"/>
      <c r="C392" s="22"/>
      <c r="D392" s="22"/>
      <c r="E392" s="30"/>
      <c r="F392" s="22"/>
    </row>
    <row r="393" spans="1:6" x14ac:dyDescent="0.25">
      <c r="A393" s="22"/>
      <c r="B393" s="30"/>
      <c r="C393" s="22"/>
      <c r="D393" s="22"/>
      <c r="E393" s="30"/>
      <c r="F393" s="22"/>
    </row>
    <row r="394" spans="1:6" x14ac:dyDescent="0.25">
      <c r="A394" s="22"/>
      <c r="B394" s="30"/>
      <c r="C394" s="22"/>
      <c r="D394" s="22"/>
      <c r="E394" s="30"/>
      <c r="F394" s="22"/>
    </row>
    <row r="395" spans="1:6" x14ac:dyDescent="0.25">
      <c r="A395" s="22"/>
      <c r="B395" s="30"/>
      <c r="C395" s="22"/>
      <c r="D395" s="22"/>
      <c r="E395" s="30"/>
      <c r="F395" s="22"/>
    </row>
    <row r="396" spans="1:6" x14ac:dyDescent="0.25">
      <c r="A396" s="22"/>
      <c r="B396" s="22"/>
      <c r="C396" s="22"/>
      <c r="D396" s="22"/>
      <c r="E396" s="22"/>
      <c r="F396" s="22"/>
    </row>
  </sheetData>
  <sortState xmlns:xlrd2="http://schemas.microsoft.com/office/spreadsheetml/2017/richdata2" ref="G4:K49">
    <sortCondition sortBy="fontColor" ref="J4:J49" dxfId="1"/>
    <sortCondition descending="1" ref="K4:K49"/>
    <sortCondition descending="1" ref="J4:J49"/>
    <sortCondition ref="G4:G49"/>
  </sortState>
  <mergeCells count="4">
    <mergeCell ref="L30:N30"/>
    <mergeCell ref="O3:Q3"/>
    <mergeCell ref="L3:N3"/>
    <mergeCell ref="O14:Q1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02"/>
  <sheetViews>
    <sheetView zoomScaleNormal="100" workbookViewId="0">
      <selection activeCell="A102" sqref="A102:H102"/>
    </sheetView>
  </sheetViews>
  <sheetFormatPr defaultColWidth="8.875" defaultRowHeight="14.3" x14ac:dyDescent="0.25"/>
  <cols>
    <col min="1" max="1" width="21.75" bestFit="1" customWidth="1"/>
    <col min="2" max="2" width="5" bestFit="1" customWidth="1"/>
    <col min="3" max="3" width="5" customWidth="1"/>
    <col min="4" max="4" width="4.75" customWidth="1"/>
    <col min="5" max="5" width="21.75" bestFit="1" customWidth="1"/>
    <col min="6" max="8" width="5.25" customWidth="1"/>
    <col min="9" max="9" width="15.75" customWidth="1"/>
    <col min="10" max="16" width="5.375" customWidth="1"/>
    <col min="17" max="17" width="5.75" customWidth="1"/>
    <col min="18" max="25" width="5.375" customWidth="1"/>
    <col min="26" max="28" width="5.625" customWidth="1"/>
  </cols>
  <sheetData>
    <row r="1" spans="1:28" ht="14.95" customHeight="1" thickBot="1" x14ac:dyDescent="0.3">
      <c r="A1" s="46" t="s">
        <v>652</v>
      </c>
      <c r="B1" s="41"/>
      <c r="C1" s="41"/>
      <c r="D1" s="41"/>
      <c r="E1" s="41"/>
      <c r="F1" s="41"/>
      <c r="G1" s="41"/>
      <c r="H1" s="42"/>
      <c r="I1" s="264" t="s">
        <v>161</v>
      </c>
      <c r="J1" s="260" t="s">
        <v>20</v>
      </c>
      <c r="K1" s="266"/>
      <c r="L1" s="261"/>
      <c r="M1" s="260" t="s">
        <v>19</v>
      </c>
      <c r="N1" s="266"/>
      <c r="O1" s="261"/>
      <c r="P1" s="260" t="s">
        <v>31</v>
      </c>
      <c r="Q1" s="261"/>
      <c r="R1" s="247" t="s">
        <v>164</v>
      </c>
      <c r="S1" s="248"/>
      <c r="T1" s="249"/>
      <c r="U1" s="247" t="s">
        <v>661</v>
      </c>
      <c r="V1" s="248"/>
      <c r="W1" s="249"/>
      <c r="X1" s="3"/>
      <c r="Y1" s="3"/>
      <c r="Z1" s="247" t="s">
        <v>435</v>
      </c>
      <c r="AA1" s="248"/>
      <c r="AB1" s="249"/>
    </row>
    <row r="2" spans="1:28" ht="14.95" customHeight="1" thickBot="1" x14ac:dyDescent="0.3">
      <c r="A2" s="52" t="s">
        <v>0</v>
      </c>
      <c r="B2" s="136" t="s">
        <v>161</v>
      </c>
      <c r="C2" s="151" t="s">
        <v>167</v>
      </c>
      <c r="D2" s="155" t="s">
        <v>1</v>
      </c>
      <c r="E2" s="75" t="s">
        <v>2</v>
      </c>
      <c r="F2" s="138" t="s">
        <v>161</v>
      </c>
      <c r="G2" s="153" t="s">
        <v>167</v>
      </c>
      <c r="H2" s="156" t="s">
        <v>1</v>
      </c>
      <c r="I2" s="265"/>
      <c r="J2" s="262"/>
      <c r="K2" s="267"/>
      <c r="L2" s="263"/>
      <c r="M2" s="262"/>
      <c r="N2" s="267"/>
      <c r="O2" s="263"/>
      <c r="P2" s="262"/>
      <c r="Q2" s="263"/>
      <c r="R2" s="250"/>
      <c r="S2" s="251"/>
      <c r="T2" s="252"/>
      <c r="U2" s="250"/>
      <c r="V2" s="251"/>
      <c r="W2" s="252"/>
      <c r="X2" s="3"/>
      <c r="Y2" s="3"/>
      <c r="Z2" s="250"/>
      <c r="AA2" s="251"/>
      <c r="AB2" s="252"/>
    </row>
    <row r="3" spans="1:28" ht="14.95" customHeight="1" thickBot="1" x14ac:dyDescent="0.3">
      <c r="A3" s="28" t="s">
        <v>54</v>
      </c>
      <c r="B3" s="137">
        <v>8</v>
      </c>
      <c r="C3" s="152">
        <v>4</v>
      </c>
      <c r="D3" s="26">
        <f>SUM(B3:C3)</f>
        <v>12</v>
      </c>
      <c r="E3" s="76" t="s">
        <v>54</v>
      </c>
      <c r="F3" s="139">
        <v>40</v>
      </c>
      <c r="G3" s="154">
        <v>20</v>
      </c>
      <c r="H3" s="157">
        <f>SUM(F3:G3)</f>
        <v>60</v>
      </c>
      <c r="I3" s="105" t="s">
        <v>14</v>
      </c>
      <c r="J3" s="2" t="s">
        <v>21</v>
      </c>
      <c r="K3" s="2" t="s">
        <v>7</v>
      </c>
      <c r="L3" s="2" t="s">
        <v>8</v>
      </c>
      <c r="M3" s="2" t="s">
        <v>21</v>
      </c>
      <c r="N3" s="2" t="s">
        <v>7</v>
      </c>
      <c r="O3" s="2" t="s">
        <v>8</v>
      </c>
      <c r="P3" s="2" t="s">
        <v>161</v>
      </c>
      <c r="Q3" s="2" t="s">
        <v>22</v>
      </c>
      <c r="R3" s="110" t="s">
        <v>21</v>
      </c>
      <c r="S3" s="110" t="s">
        <v>7</v>
      </c>
      <c r="T3" s="110" t="s">
        <v>8</v>
      </c>
      <c r="U3" s="110" t="s">
        <v>21</v>
      </c>
      <c r="V3" s="110" t="s">
        <v>7</v>
      </c>
      <c r="W3" s="110" t="s">
        <v>8</v>
      </c>
      <c r="Z3" s="194" t="s">
        <v>21</v>
      </c>
      <c r="AA3" s="110" t="s">
        <v>7</v>
      </c>
      <c r="AB3" s="110" t="s">
        <v>8</v>
      </c>
    </row>
    <row r="4" spans="1:28" ht="14.95" customHeight="1" thickBot="1" x14ac:dyDescent="0.3">
      <c r="A4" s="28" t="s">
        <v>672</v>
      </c>
      <c r="B4" s="137">
        <v>0</v>
      </c>
      <c r="C4" s="152">
        <v>0</v>
      </c>
      <c r="D4" s="26">
        <f t="shared" ref="D4:D50" si="0">SUM(B4:C4)</f>
        <v>0</v>
      </c>
      <c r="E4" s="76" t="s">
        <v>672</v>
      </c>
      <c r="F4" s="139">
        <v>0</v>
      </c>
      <c r="G4" s="154">
        <v>0</v>
      </c>
      <c r="H4" s="157">
        <f t="shared" ref="H4:H50" si="1">SUM(F4:G4)</f>
        <v>0</v>
      </c>
      <c r="I4" s="55" t="s">
        <v>54</v>
      </c>
      <c r="J4" s="26" t="s">
        <v>13</v>
      </c>
      <c r="K4" s="26" t="s">
        <v>13</v>
      </c>
      <c r="L4" s="27" t="s">
        <v>13</v>
      </c>
      <c r="M4" s="47" t="s">
        <v>13</v>
      </c>
      <c r="N4" s="47" t="s">
        <v>13</v>
      </c>
      <c r="O4" s="48" t="s">
        <v>13</v>
      </c>
      <c r="P4" s="26">
        <v>-1</v>
      </c>
      <c r="Q4" s="26">
        <v>-1</v>
      </c>
      <c r="R4" s="110">
        <v>0</v>
      </c>
      <c r="S4" s="110">
        <v>1</v>
      </c>
      <c r="T4" s="140">
        <v>0</v>
      </c>
      <c r="U4" s="110" t="s">
        <v>13</v>
      </c>
      <c r="V4" s="110" t="s">
        <v>13</v>
      </c>
      <c r="W4" s="140" t="s">
        <v>13</v>
      </c>
      <c r="X4" s="3"/>
      <c r="Y4" s="3"/>
      <c r="Z4" s="194" t="s">
        <v>13</v>
      </c>
      <c r="AA4" s="110" t="s">
        <v>13</v>
      </c>
      <c r="AB4" s="140" t="s">
        <v>13</v>
      </c>
    </row>
    <row r="5" spans="1:28" ht="14.95" customHeight="1" thickBot="1" x14ac:dyDescent="0.3">
      <c r="A5" s="28" t="s">
        <v>437</v>
      </c>
      <c r="B5" s="137">
        <v>0</v>
      </c>
      <c r="C5" s="152">
        <v>0</v>
      </c>
      <c r="D5" s="26">
        <f t="shared" si="0"/>
        <v>0</v>
      </c>
      <c r="E5" s="76" t="s">
        <v>437</v>
      </c>
      <c r="F5" s="139">
        <v>0</v>
      </c>
      <c r="G5" s="154">
        <v>0</v>
      </c>
      <c r="H5" s="157">
        <f t="shared" si="1"/>
        <v>0</v>
      </c>
      <c r="I5" s="55" t="s">
        <v>57</v>
      </c>
      <c r="J5" s="26">
        <v>11</v>
      </c>
      <c r="K5" s="26">
        <v>16</v>
      </c>
      <c r="L5" s="27">
        <f t="shared" ref="L5:L7" si="2">SUM(J5/K5)*100</f>
        <v>68.75</v>
      </c>
      <c r="M5" s="47">
        <v>3</v>
      </c>
      <c r="N5" s="47">
        <v>5</v>
      </c>
      <c r="O5" s="48">
        <f t="shared" ref="O5" si="3">SUM(M5/N5)*100</f>
        <v>60</v>
      </c>
      <c r="P5" s="26">
        <v>1</v>
      </c>
      <c r="Q5" s="26">
        <v>1</v>
      </c>
      <c r="R5" s="110">
        <v>1</v>
      </c>
      <c r="S5" s="110">
        <v>1</v>
      </c>
      <c r="T5" s="140">
        <v>100</v>
      </c>
      <c r="U5" s="110">
        <v>46</v>
      </c>
      <c r="V5" s="110">
        <v>74</v>
      </c>
      <c r="W5" s="140">
        <f t="shared" ref="W5" si="4">SUM(U5/V5)*100</f>
        <v>62.162162162162161</v>
      </c>
      <c r="X5" s="3"/>
      <c r="Y5" s="3"/>
      <c r="Z5" s="194">
        <v>28</v>
      </c>
      <c r="AA5" s="110">
        <v>33</v>
      </c>
      <c r="AB5" s="140">
        <f t="shared" ref="AB5:AB6" si="5">SUM(Z5/AA5)*100</f>
        <v>84.848484848484844</v>
      </c>
    </row>
    <row r="6" spans="1:28" ht="14.95" customHeight="1" thickBot="1" x14ac:dyDescent="0.3">
      <c r="A6" s="28" t="s">
        <v>358</v>
      </c>
      <c r="B6" s="137">
        <v>0</v>
      </c>
      <c r="C6" s="152">
        <v>3</v>
      </c>
      <c r="D6" s="26">
        <f t="shared" si="0"/>
        <v>3</v>
      </c>
      <c r="E6" s="76" t="s">
        <v>358</v>
      </c>
      <c r="F6" s="139">
        <v>0</v>
      </c>
      <c r="G6" s="154">
        <v>15</v>
      </c>
      <c r="H6" s="157">
        <f t="shared" si="1"/>
        <v>15</v>
      </c>
      <c r="I6" s="55" t="s">
        <v>64</v>
      </c>
      <c r="J6" s="26">
        <v>31</v>
      </c>
      <c r="K6" s="26">
        <v>49</v>
      </c>
      <c r="L6" s="27">
        <f t="shared" si="2"/>
        <v>63.265306122448983</v>
      </c>
      <c r="M6" s="47" t="s">
        <v>13</v>
      </c>
      <c r="N6" s="47" t="s">
        <v>13</v>
      </c>
      <c r="O6" s="48" t="s">
        <v>13</v>
      </c>
      <c r="P6" s="26">
        <v>-1</v>
      </c>
      <c r="Q6" s="26">
        <v>-1</v>
      </c>
      <c r="R6" s="110">
        <v>21</v>
      </c>
      <c r="S6" s="110">
        <v>36</v>
      </c>
      <c r="T6" s="140">
        <v>58.333333333333336</v>
      </c>
      <c r="U6" s="110" t="s">
        <v>13</v>
      </c>
      <c r="V6" s="110" t="s">
        <v>13</v>
      </c>
      <c r="W6" s="140" t="s">
        <v>13</v>
      </c>
      <c r="X6" s="3"/>
      <c r="Y6" s="3"/>
      <c r="Z6" s="194">
        <v>75</v>
      </c>
      <c r="AA6" s="110">
        <v>106</v>
      </c>
      <c r="AB6" s="140">
        <f t="shared" si="5"/>
        <v>70.754716981132077</v>
      </c>
    </row>
    <row r="7" spans="1:28" ht="14.95" customHeight="1" thickBot="1" x14ac:dyDescent="0.3">
      <c r="A7" s="28" t="s">
        <v>56</v>
      </c>
      <c r="B7" s="137">
        <v>2</v>
      </c>
      <c r="C7" s="152">
        <v>2</v>
      </c>
      <c r="D7" s="26">
        <f t="shared" si="0"/>
        <v>4</v>
      </c>
      <c r="E7" s="76" t="s">
        <v>56</v>
      </c>
      <c r="F7" s="139">
        <v>10</v>
      </c>
      <c r="G7" s="154">
        <v>10</v>
      </c>
      <c r="H7" s="157">
        <f t="shared" si="1"/>
        <v>20</v>
      </c>
      <c r="I7" s="158" t="s">
        <v>46</v>
      </c>
      <c r="J7" s="47">
        <v>1</v>
      </c>
      <c r="K7" s="47">
        <v>1</v>
      </c>
      <c r="L7" s="48">
        <f t="shared" si="2"/>
        <v>100</v>
      </c>
      <c r="M7" s="47">
        <v>1</v>
      </c>
      <c r="N7" s="47">
        <v>1</v>
      </c>
      <c r="O7" s="48">
        <f t="shared" ref="O7" si="6">SUM(M7/N7)*100</f>
        <v>100</v>
      </c>
      <c r="P7" s="26">
        <v>1</v>
      </c>
      <c r="Q7" s="26">
        <v>1</v>
      </c>
      <c r="R7" s="110" t="s">
        <v>13</v>
      </c>
      <c r="S7" s="110" t="s">
        <v>13</v>
      </c>
      <c r="T7" s="140" t="s">
        <v>13</v>
      </c>
      <c r="U7" s="110" t="s">
        <v>13</v>
      </c>
      <c r="V7" s="110" t="s">
        <v>13</v>
      </c>
      <c r="W7" s="140" t="s">
        <v>13</v>
      </c>
      <c r="X7" s="3"/>
      <c r="Y7" s="3"/>
      <c r="Z7" s="194" t="s">
        <v>13</v>
      </c>
      <c r="AA7" s="110" t="s">
        <v>13</v>
      </c>
      <c r="AB7" s="140" t="s">
        <v>13</v>
      </c>
    </row>
    <row r="8" spans="1:28" ht="14.95" customHeight="1" thickBot="1" x14ac:dyDescent="0.3">
      <c r="A8" s="28" t="s">
        <v>57</v>
      </c>
      <c r="B8" s="137">
        <v>0</v>
      </c>
      <c r="C8" s="152">
        <v>0</v>
      </c>
      <c r="D8" s="26">
        <f t="shared" si="0"/>
        <v>0</v>
      </c>
      <c r="E8" s="76" t="s">
        <v>57</v>
      </c>
      <c r="F8" s="139">
        <v>22</v>
      </c>
      <c r="G8" s="154">
        <v>0</v>
      </c>
      <c r="H8" s="157">
        <f t="shared" si="1"/>
        <v>22</v>
      </c>
      <c r="I8" s="158" t="s">
        <v>197</v>
      </c>
      <c r="J8" s="47" t="s">
        <v>13</v>
      </c>
      <c r="K8" s="47" t="s">
        <v>13</v>
      </c>
      <c r="L8" s="48" t="s">
        <v>13</v>
      </c>
      <c r="M8" s="47" t="s">
        <v>13</v>
      </c>
      <c r="N8" s="47" t="s">
        <v>13</v>
      </c>
      <c r="O8" s="48" t="s">
        <v>13</v>
      </c>
      <c r="P8" s="26">
        <v>1</v>
      </c>
      <c r="Q8" s="26">
        <v>1</v>
      </c>
      <c r="R8" s="110">
        <v>1</v>
      </c>
      <c r="S8" s="110">
        <v>1</v>
      </c>
      <c r="T8" s="140">
        <v>100</v>
      </c>
      <c r="U8" s="110" t="s">
        <v>13</v>
      </c>
      <c r="V8" s="110" t="s">
        <v>13</v>
      </c>
      <c r="W8" s="140" t="s">
        <v>13</v>
      </c>
      <c r="X8" s="3"/>
      <c r="Y8" s="3"/>
      <c r="Z8" s="194" t="s">
        <v>13</v>
      </c>
      <c r="AA8" s="110" t="s">
        <v>13</v>
      </c>
      <c r="AB8" s="140" t="s">
        <v>13</v>
      </c>
    </row>
    <row r="9" spans="1:28" ht="14.95" customHeight="1" thickBot="1" x14ac:dyDescent="0.3">
      <c r="A9" s="28" t="s">
        <v>675</v>
      </c>
      <c r="B9" s="137">
        <v>1</v>
      </c>
      <c r="C9" s="152">
        <v>0</v>
      </c>
      <c r="D9" s="26">
        <f t="shared" si="0"/>
        <v>1</v>
      </c>
      <c r="E9" s="76" t="s">
        <v>675</v>
      </c>
      <c r="F9" s="139">
        <v>5</v>
      </c>
      <c r="G9" s="154">
        <v>0</v>
      </c>
      <c r="H9" s="157">
        <f t="shared" si="1"/>
        <v>5</v>
      </c>
      <c r="I9" s="158" t="s">
        <v>71</v>
      </c>
      <c r="J9" s="47">
        <v>0</v>
      </c>
      <c r="K9" s="47">
        <v>1</v>
      </c>
      <c r="L9" s="48">
        <f t="shared" ref="L9" si="7">SUM(J9/K9)*100</f>
        <v>0</v>
      </c>
      <c r="M9" s="47">
        <v>0</v>
      </c>
      <c r="N9" s="47">
        <v>1</v>
      </c>
      <c r="O9" s="48">
        <f t="shared" ref="O9" si="8">SUM(M9/N9)*100</f>
        <v>0</v>
      </c>
      <c r="P9" s="26">
        <v>-1</v>
      </c>
      <c r="Q9" s="26">
        <v>-1</v>
      </c>
      <c r="R9" s="110" t="s">
        <v>13</v>
      </c>
      <c r="S9" s="110" t="s">
        <v>13</v>
      </c>
      <c r="T9" s="140" t="s">
        <v>13</v>
      </c>
      <c r="U9" s="110" t="s">
        <v>13</v>
      </c>
      <c r="V9" s="110" t="s">
        <v>13</v>
      </c>
      <c r="W9" s="140" t="s">
        <v>13</v>
      </c>
      <c r="X9" s="3"/>
      <c r="Y9" s="3"/>
      <c r="Z9" s="4" t="s">
        <v>13</v>
      </c>
      <c r="AA9" s="110" t="s">
        <v>13</v>
      </c>
      <c r="AB9" s="140" t="s">
        <v>13</v>
      </c>
    </row>
    <row r="10" spans="1:28" ht="14.95" customHeight="1" thickBot="1" x14ac:dyDescent="0.3">
      <c r="A10" s="28" t="s">
        <v>739</v>
      </c>
      <c r="B10" s="137">
        <v>1</v>
      </c>
      <c r="C10" s="152">
        <v>0</v>
      </c>
      <c r="D10" s="26">
        <f t="shared" si="0"/>
        <v>1</v>
      </c>
      <c r="E10" s="76" t="s">
        <v>739</v>
      </c>
      <c r="F10" s="139">
        <v>5</v>
      </c>
      <c r="G10" s="154">
        <v>0</v>
      </c>
      <c r="H10" s="157">
        <f t="shared" si="1"/>
        <v>5</v>
      </c>
      <c r="I10" s="158" t="s">
        <v>301</v>
      </c>
      <c r="J10" s="26" t="s">
        <v>13</v>
      </c>
      <c r="K10" s="26" t="s">
        <v>13</v>
      </c>
      <c r="L10" s="27" t="s">
        <v>13</v>
      </c>
      <c r="M10" s="47" t="s">
        <v>13</v>
      </c>
      <c r="N10" s="47" t="s">
        <v>13</v>
      </c>
      <c r="O10" s="48" t="s">
        <v>13</v>
      </c>
      <c r="P10" s="26">
        <v>-2</v>
      </c>
      <c r="Q10" s="26">
        <v>-2</v>
      </c>
      <c r="R10" s="110">
        <v>17</v>
      </c>
      <c r="S10" s="110">
        <v>28</v>
      </c>
      <c r="T10" s="140">
        <v>60.714285714285708</v>
      </c>
      <c r="U10" s="110">
        <v>1</v>
      </c>
      <c r="V10" s="110">
        <v>4</v>
      </c>
      <c r="W10" s="140">
        <f t="shared" ref="W10" si="9">SUM(U10/V10)*100</f>
        <v>25</v>
      </c>
      <c r="X10" s="3"/>
      <c r="Y10" s="3"/>
      <c r="Z10" s="194" t="s">
        <v>13</v>
      </c>
      <c r="AA10" s="110" t="s">
        <v>13</v>
      </c>
      <c r="AB10" s="140" t="s">
        <v>13</v>
      </c>
    </row>
    <row r="11" spans="1:28" ht="14.95" customHeight="1" thickBot="1" x14ac:dyDescent="0.3">
      <c r="A11" s="28" t="s">
        <v>669</v>
      </c>
      <c r="B11" s="137">
        <v>2</v>
      </c>
      <c r="C11" s="152">
        <v>0</v>
      </c>
      <c r="D11" s="26">
        <f t="shared" si="0"/>
        <v>2</v>
      </c>
      <c r="E11" s="76" t="s">
        <v>669</v>
      </c>
      <c r="F11" s="139">
        <v>10</v>
      </c>
      <c r="G11" s="154">
        <v>0</v>
      </c>
      <c r="H11" s="157">
        <f t="shared" si="1"/>
        <v>10</v>
      </c>
      <c r="I11" s="24"/>
      <c r="Q11" s="24"/>
      <c r="R11" s="50"/>
      <c r="S11" s="50"/>
      <c r="T11" s="3"/>
    </row>
    <row r="12" spans="1:28" ht="14.95" customHeight="1" thickBot="1" x14ac:dyDescent="0.3">
      <c r="A12" s="28" t="s">
        <v>667</v>
      </c>
      <c r="B12" s="137">
        <v>2</v>
      </c>
      <c r="C12" s="152">
        <v>1</v>
      </c>
      <c r="D12" s="26">
        <f t="shared" si="0"/>
        <v>3</v>
      </c>
      <c r="E12" s="76" t="s">
        <v>667</v>
      </c>
      <c r="F12" s="139">
        <v>10</v>
      </c>
      <c r="G12" s="154">
        <v>5</v>
      </c>
      <c r="H12" s="157">
        <f t="shared" si="1"/>
        <v>15</v>
      </c>
      <c r="I12" s="253" t="s">
        <v>167</v>
      </c>
      <c r="J12" s="260" t="s">
        <v>20</v>
      </c>
      <c r="K12" s="266"/>
      <c r="L12" s="261"/>
      <c r="M12" s="3"/>
      <c r="N12" s="3"/>
      <c r="O12" s="3"/>
      <c r="R12" s="50"/>
      <c r="S12" s="50"/>
    </row>
    <row r="13" spans="1:28" ht="14.95" customHeight="1" thickBot="1" x14ac:dyDescent="0.3">
      <c r="A13" s="28" t="s">
        <v>213</v>
      </c>
      <c r="B13" s="137">
        <v>0</v>
      </c>
      <c r="C13" s="152">
        <v>0</v>
      </c>
      <c r="D13" s="26">
        <f t="shared" si="0"/>
        <v>0</v>
      </c>
      <c r="E13" s="76" t="s">
        <v>213</v>
      </c>
      <c r="F13" s="139">
        <v>0</v>
      </c>
      <c r="G13" s="154">
        <v>0</v>
      </c>
      <c r="H13" s="157">
        <f t="shared" si="1"/>
        <v>0</v>
      </c>
      <c r="I13" s="254"/>
      <c r="J13" s="262"/>
      <c r="K13" s="267"/>
      <c r="L13" s="263"/>
      <c r="M13" s="3"/>
      <c r="N13" s="3"/>
      <c r="O13" s="3"/>
      <c r="R13" s="50"/>
      <c r="S13" s="50"/>
    </row>
    <row r="14" spans="1:28" ht="14.95" customHeight="1" thickBot="1" x14ac:dyDescent="0.3">
      <c r="A14" s="28" t="s">
        <v>670</v>
      </c>
      <c r="B14" s="137">
        <v>0</v>
      </c>
      <c r="C14" s="152">
        <v>0</v>
      </c>
      <c r="D14" s="26">
        <f t="shared" si="0"/>
        <v>0</v>
      </c>
      <c r="E14" s="76" t="s">
        <v>670</v>
      </c>
      <c r="F14" s="139">
        <v>0</v>
      </c>
      <c r="G14" s="154">
        <v>0</v>
      </c>
      <c r="H14" s="157">
        <f t="shared" si="1"/>
        <v>0</v>
      </c>
      <c r="I14" s="149" t="s">
        <v>14</v>
      </c>
      <c r="J14" s="2" t="s">
        <v>21</v>
      </c>
      <c r="K14" s="2" t="s">
        <v>7</v>
      </c>
      <c r="L14" s="2" t="s">
        <v>8</v>
      </c>
      <c r="M14" s="3"/>
      <c r="N14" s="3"/>
      <c r="O14" s="3"/>
    </row>
    <row r="15" spans="1:28" ht="14.95" customHeight="1" thickBot="1" x14ac:dyDescent="0.3">
      <c r="A15" s="28" t="s">
        <v>60</v>
      </c>
      <c r="B15" s="137">
        <v>0</v>
      </c>
      <c r="C15" s="152">
        <v>0</v>
      </c>
      <c r="D15" s="26">
        <f t="shared" si="0"/>
        <v>0</v>
      </c>
      <c r="E15" s="76" t="s">
        <v>60</v>
      </c>
      <c r="F15" s="139">
        <v>0</v>
      </c>
      <c r="G15" s="154">
        <v>0</v>
      </c>
      <c r="H15" s="157">
        <f t="shared" si="1"/>
        <v>0</v>
      </c>
      <c r="I15" s="55" t="s">
        <v>64</v>
      </c>
      <c r="J15" s="26">
        <v>12</v>
      </c>
      <c r="K15" s="26">
        <v>21</v>
      </c>
      <c r="L15" s="27">
        <f t="shared" ref="L15" si="10">SUM(J15/K15)*100</f>
        <v>57.142857142857139</v>
      </c>
      <c r="V15" t="s">
        <v>14</v>
      </c>
    </row>
    <row r="16" spans="1:28" ht="14.95" customHeight="1" thickBot="1" x14ac:dyDescent="0.3">
      <c r="A16" s="28" t="s">
        <v>364</v>
      </c>
      <c r="B16" s="137">
        <v>0</v>
      </c>
      <c r="C16" s="152">
        <v>0</v>
      </c>
      <c r="D16" s="26">
        <f t="shared" si="0"/>
        <v>0</v>
      </c>
      <c r="E16" s="76" t="s">
        <v>364</v>
      </c>
      <c r="F16" s="139">
        <v>0</v>
      </c>
      <c r="G16" s="154">
        <v>0</v>
      </c>
      <c r="H16" s="157">
        <f t="shared" si="1"/>
        <v>0</v>
      </c>
    </row>
    <row r="17" spans="1:15" ht="14.95" customHeight="1" thickBot="1" x14ac:dyDescent="0.3">
      <c r="A17" s="28" t="s">
        <v>62</v>
      </c>
      <c r="B17" s="137">
        <v>0</v>
      </c>
      <c r="C17" s="152">
        <v>0</v>
      </c>
      <c r="D17" s="26">
        <f t="shared" si="0"/>
        <v>0</v>
      </c>
      <c r="E17" s="76" t="s">
        <v>62</v>
      </c>
      <c r="F17" s="139">
        <v>0</v>
      </c>
      <c r="G17" s="154">
        <v>0</v>
      </c>
      <c r="H17" s="157">
        <f t="shared" si="1"/>
        <v>0</v>
      </c>
      <c r="I17" s="268" t="s">
        <v>436</v>
      </c>
      <c r="J17" s="247" t="s">
        <v>164</v>
      </c>
      <c r="K17" s="248"/>
      <c r="L17" s="249"/>
    </row>
    <row r="18" spans="1:15" ht="14.95" customHeight="1" thickBot="1" x14ac:dyDescent="0.3">
      <c r="A18" s="28" t="s">
        <v>63</v>
      </c>
      <c r="B18" s="137">
        <v>1</v>
      </c>
      <c r="C18" s="152">
        <v>0</v>
      </c>
      <c r="D18" s="26">
        <f t="shared" si="0"/>
        <v>1</v>
      </c>
      <c r="E18" s="76" t="s">
        <v>63</v>
      </c>
      <c r="F18" s="139">
        <v>5</v>
      </c>
      <c r="G18" s="154">
        <v>0</v>
      </c>
      <c r="H18" s="157">
        <f t="shared" si="1"/>
        <v>5</v>
      </c>
      <c r="I18" s="269"/>
      <c r="J18" s="250"/>
      <c r="K18" s="251"/>
      <c r="L18" s="252"/>
    </row>
    <row r="19" spans="1:15" ht="14.95" customHeight="1" thickBot="1" x14ac:dyDescent="0.3">
      <c r="A19" s="28" t="s">
        <v>64</v>
      </c>
      <c r="B19" s="137">
        <v>3</v>
      </c>
      <c r="C19" s="152">
        <v>1</v>
      </c>
      <c r="D19" s="26">
        <f t="shared" si="0"/>
        <v>4</v>
      </c>
      <c r="E19" s="76" t="s">
        <v>64</v>
      </c>
      <c r="F19" s="139">
        <v>78</v>
      </c>
      <c r="G19" s="154">
        <v>29</v>
      </c>
      <c r="H19" s="157">
        <f t="shared" si="1"/>
        <v>107</v>
      </c>
      <c r="I19" s="172" t="s">
        <v>14</v>
      </c>
      <c r="J19" s="110" t="s">
        <v>21</v>
      </c>
      <c r="K19" s="110" t="s">
        <v>7</v>
      </c>
      <c r="L19" s="110" t="s">
        <v>8</v>
      </c>
      <c r="N19" s="3"/>
      <c r="O19" s="3"/>
    </row>
    <row r="20" spans="1:15" ht="14.95" customHeight="1" thickBot="1" x14ac:dyDescent="0.3">
      <c r="A20" s="28" t="s">
        <v>65</v>
      </c>
      <c r="B20" s="137">
        <v>0</v>
      </c>
      <c r="C20" s="152">
        <v>0</v>
      </c>
      <c r="D20" s="26">
        <f t="shared" si="0"/>
        <v>0</v>
      </c>
      <c r="E20" s="76" t="s">
        <v>65</v>
      </c>
      <c r="F20" s="139">
        <v>0</v>
      </c>
      <c r="G20" s="154">
        <v>0</v>
      </c>
      <c r="H20" s="157">
        <f t="shared" si="1"/>
        <v>0</v>
      </c>
      <c r="I20" s="55" t="s">
        <v>57</v>
      </c>
      <c r="J20" s="110">
        <v>1</v>
      </c>
      <c r="K20" s="110">
        <v>2</v>
      </c>
      <c r="L20" s="140">
        <f t="shared" ref="L20" si="11">SUM(J20/K20)*100</f>
        <v>50</v>
      </c>
      <c r="M20" s="3"/>
    </row>
    <row r="21" spans="1:15" ht="14.95" customHeight="1" thickBot="1" x14ac:dyDescent="0.3">
      <c r="A21" s="28" t="s">
        <v>66</v>
      </c>
      <c r="B21" s="137">
        <v>6</v>
      </c>
      <c r="C21" s="152">
        <v>0</v>
      </c>
      <c r="D21" s="26">
        <f t="shared" si="0"/>
        <v>6</v>
      </c>
      <c r="E21" s="76" t="s">
        <v>66</v>
      </c>
      <c r="F21" s="139">
        <v>30</v>
      </c>
      <c r="G21" s="154">
        <v>0</v>
      </c>
      <c r="H21" s="157">
        <f t="shared" si="1"/>
        <v>30</v>
      </c>
      <c r="I21" s="55" t="s">
        <v>64</v>
      </c>
      <c r="J21" s="110">
        <v>7</v>
      </c>
      <c r="K21" s="110">
        <v>10</v>
      </c>
      <c r="L21" s="140">
        <f t="shared" ref="L21" si="12">SUM(J21/K21)*100</f>
        <v>70</v>
      </c>
      <c r="M21" s="3"/>
    </row>
    <row r="22" spans="1:15" ht="14.95" customHeight="1" thickBot="1" x14ac:dyDescent="0.3">
      <c r="A22" s="28" t="s">
        <v>67</v>
      </c>
      <c r="B22" s="137">
        <v>0</v>
      </c>
      <c r="C22" s="152">
        <v>0</v>
      </c>
      <c r="D22" s="26">
        <f t="shared" si="0"/>
        <v>0</v>
      </c>
      <c r="E22" s="76" t="s">
        <v>67</v>
      </c>
      <c r="F22" s="139">
        <v>0</v>
      </c>
      <c r="G22" s="154">
        <v>0</v>
      </c>
      <c r="H22" s="157">
        <f t="shared" si="1"/>
        <v>0</v>
      </c>
      <c r="N22" s="3"/>
      <c r="O22" s="3"/>
    </row>
    <row r="23" spans="1:15" ht="14.95" customHeight="1" thickBot="1" x14ac:dyDescent="0.3">
      <c r="A23" s="28" t="s">
        <v>678</v>
      </c>
      <c r="B23" s="137">
        <v>4</v>
      </c>
      <c r="C23" s="152">
        <v>0</v>
      </c>
      <c r="D23" s="26">
        <f t="shared" si="0"/>
        <v>4</v>
      </c>
      <c r="E23" s="76" t="s">
        <v>678</v>
      </c>
      <c r="F23" s="139">
        <v>20</v>
      </c>
      <c r="G23" s="154">
        <v>0</v>
      </c>
      <c r="H23" s="157">
        <f t="shared" si="1"/>
        <v>20</v>
      </c>
      <c r="M23" s="3"/>
      <c r="N23" s="3"/>
    </row>
    <row r="24" spans="1:15" ht="14.95" customHeight="1" thickBot="1" x14ac:dyDescent="0.3">
      <c r="A24" s="28" t="s">
        <v>677</v>
      </c>
      <c r="B24" s="137">
        <v>4</v>
      </c>
      <c r="C24" s="152">
        <v>1</v>
      </c>
      <c r="D24" s="26">
        <f t="shared" si="0"/>
        <v>5</v>
      </c>
      <c r="E24" s="76" t="s">
        <v>677</v>
      </c>
      <c r="F24" s="139">
        <v>20</v>
      </c>
      <c r="G24" s="154">
        <v>5</v>
      </c>
      <c r="H24" s="157">
        <f t="shared" si="1"/>
        <v>25</v>
      </c>
    </row>
    <row r="25" spans="1:15" ht="14.95" customHeight="1" thickBot="1" x14ac:dyDescent="0.3">
      <c r="A25" s="28" t="s">
        <v>46</v>
      </c>
      <c r="B25" s="137">
        <v>1</v>
      </c>
      <c r="C25" s="152">
        <v>1</v>
      </c>
      <c r="D25" s="26">
        <f t="shared" si="0"/>
        <v>2</v>
      </c>
      <c r="E25" s="76" t="s">
        <v>46</v>
      </c>
      <c r="F25" s="139">
        <v>7</v>
      </c>
      <c r="G25" s="154">
        <v>5</v>
      </c>
      <c r="H25" s="157">
        <f t="shared" si="1"/>
        <v>12</v>
      </c>
    </row>
    <row r="26" spans="1:15" ht="14.95" customHeight="1" thickBot="1" x14ac:dyDescent="0.3">
      <c r="A26" s="28" t="s">
        <v>238</v>
      </c>
      <c r="B26" s="137">
        <v>0</v>
      </c>
      <c r="C26" s="152">
        <v>0</v>
      </c>
      <c r="D26" s="26">
        <f t="shared" si="0"/>
        <v>0</v>
      </c>
      <c r="E26" s="76" t="s">
        <v>238</v>
      </c>
      <c r="F26" s="139">
        <v>0</v>
      </c>
      <c r="G26" s="154">
        <v>0</v>
      </c>
      <c r="H26" s="157">
        <f t="shared" si="1"/>
        <v>0</v>
      </c>
    </row>
    <row r="27" spans="1:15" ht="14.95" customHeight="1" thickBot="1" x14ac:dyDescent="0.3">
      <c r="A27" s="28" t="s">
        <v>68</v>
      </c>
      <c r="B27" s="137">
        <v>0</v>
      </c>
      <c r="C27" s="152">
        <v>0</v>
      </c>
      <c r="D27" s="26">
        <f t="shared" si="0"/>
        <v>0</v>
      </c>
      <c r="E27" s="76" t="s">
        <v>68</v>
      </c>
      <c r="F27" s="139">
        <v>0</v>
      </c>
      <c r="G27" s="154">
        <v>0</v>
      </c>
      <c r="H27" s="157">
        <f t="shared" si="1"/>
        <v>0</v>
      </c>
    </row>
    <row r="28" spans="1:15" ht="14.95" customHeight="1" thickBot="1" x14ac:dyDescent="0.3">
      <c r="A28" s="28" t="s">
        <v>4</v>
      </c>
      <c r="B28" s="137">
        <v>0</v>
      </c>
      <c r="C28" s="152">
        <v>0</v>
      </c>
      <c r="D28" s="26">
        <f t="shared" si="0"/>
        <v>0</v>
      </c>
      <c r="E28" s="76" t="s">
        <v>4</v>
      </c>
      <c r="F28" s="139">
        <v>0</v>
      </c>
      <c r="G28" s="154">
        <v>0</v>
      </c>
      <c r="H28" s="157">
        <f t="shared" si="1"/>
        <v>0</v>
      </c>
    </row>
    <row r="29" spans="1:15" ht="14.95" customHeight="1" thickBot="1" x14ac:dyDescent="0.3">
      <c r="A29" s="28" t="s">
        <v>215</v>
      </c>
      <c r="B29" s="137">
        <v>0</v>
      </c>
      <c r="C29" s="152">
        <v>0</v>
      </c>
      <c r="D29" s="26">
        <f t="shared" si="0"/>
        <v>0</v>
      </c>
      <c r="E29" s="76" t="s">
        <v>215</v>
      </c>
      <c r="F29" s="139">
        <v>0</v>
      </c>
      <c r="G29" s="154">
        <v>0</v>
      </c>
      <c r="H29" s="157">
        <f t="shared" si="1"/>
        <v>0</v>
      </c>
    </row>
    <row r="30" spans="1:15" ht="14.95" customHeight="1" thickBot="1" x14ac:dyDescent="0.3">
      <c r="A30" s="28" t="s">
        <v>446</v>
      </c>
      <c r="B30" s="137">
        <v>3</v>
      </c>
      <c r="C30" s="152">
        <v>0</v>
      </c>
      <c r="D30" s="26">
        <f t="shared" si="0"/>
        <v>3</v>
      </c>
      <c r="E30" s="76" t="s">
        <v>446</v>
      </c>
      <c r="F30" s="139">
        <v>15</v>
      </c>
      <c r="G30" s="154">
        <v>0</v>
      </c>
      <c r="H30" s="157">
        <f t="shared" si="1"/>
        <v>15</v>
      </c>
    </row>
    <row r="31" spans="1:15" ht="14.95" customHeight="1" thickBot="1" x14ac:dyDescent="0.3">
      <c r="A31" s="28" t="s">
        <v>69</v>
      </c>
      <c r="B31" s="137">
        <v>0</v>
      </c>
      <c r="C31" s="152">
        <v>1</v>
      </c>
      <c r="D31" s="26">
        <f t="shared" si="0"/>
        <v>1</v>
      </c>
      <c r="E31" s="76" t="s">
        <v>69</v>
      </c>
      <c r="F31" s="139">
        <v>0</v>
      </c>
      <c r="G31" s="154">
        <v>5</v>
      </c>
      <c r="H31" s="157">
        <f t="shared" si="1"/>
        <v>5</v>
      </c>
    </row>
    <row r="32" spans="1:15" ht="14.95" customHeight="1" thickBot="1" x14ac:dyDescent="0.3">
      <c r="A32" s="28" t="s">
        <v>448</v>
      </c>
      <c r="B32" s="137">
        <v>0</v>
      </c>
      <c r="C32" s="152">
        <v>1</v>
      </c>
      <c r="D32" s="26">
        <f t="shared" si="0"/>
        <v>1</v>
      </c>
      <c r="E32" s="76" t="s">
        <v>448</v>
      </c>
      <c r="F32" s="139">
        <v>0</v>
      </c>
      <c r="G32" s="154">
        <v>5</v>
      </c>
      <c r="H32" s="157">
        <f t="shared" si="1"/>
        <v>5</v>
      </c>
    </row>
    <row r="33" spans="1:24" ht="14.95" customHeight="1" thickBot="1" x14ac:dyDescent="0.3">
      <c r="A33" s="28" t="s">
        <v>283</v>
      </c>
      <c r="B33" s="137">
        <v>2</v>
      </c>
      <c r="C33" s="152">
        <v>0</v>
      </c>
      <c r="D33" s="26">
        <f t="shared" si="0"/>
        <v>2</v>
      </c>
      <c r="E33" s="76" t="s">
        <v>283</v>
      </c>
      <c r="F33" s="139">
        <v>10</v>
      </c>
      <c r="G33" s="154">
        <v>0</v>
      </c>
      <c r="H33" s="157">
        <f t="shared" si="1"/>
        <v>10</v>
      </c>
    </row>
    <row r="34" spans="1:24" ht="14.95" customHeight="1" thickBot="1" x14ac:dyDescent="0.3">
      <c r="A34" s="28" t="s">
        <v>197</v>
      </c>
      <c r="B34" s="137">
        <v>4</v>
      </c>
      <c r="C34" s="152">
        <v>2</v>
      </c>
      <c r="D34" s="26">
        <f t="shared" si="0"/>
        <v>6</v>
      </c>
      <c r="E34" s="76" t="s">
        <v>197</v>
      </c>
      <c r="F34" s="139">
        <v>20</v>
      </c>
      <c r="G34" s="154">
        <v>10</v>
      </c>
      <c r="H34" s="157">
        <f t="shared" si="1"/>
        <v>30</v>
      </c>
    </row>
    <row r="35" spans="1:24" ht="14.95" customHeight="1" thickBot="1" x14ac:dyDescent="0.3">
      <c r="A35" s="28" t="s">
        <v>70</v>
      </c>
      <c r="B35" s="137">
        <v>5</v>
      </c>
      <c r="C35" s="152">
        <v>1</v>
      </c>
      <c r="D35" s="26">
        <f t="shared" si="0"/>
        <v>6</v>
      </c>
      <c r="E35" s="76" t="s">
        <v>70</v>
      </c>
      <c r="F35" s="139">
        <v>25</v>
      </c>
      <c r="G35" s="154">
        <v>5</v>
      </c>
      <c r="H35" s="157">
        <f t="shared" si="1"/>
        <v>30</v>
      </c>
      <c r="I35" s="94"/>
    </row>
    <row r="36" spans="1:24" ht="14.95" customHeight="1" thickBot="1" x14ac:dyDescent="0.3">
      <c r="A36" s="28" t="s">
        <v>674</v>
      </c>
      <c r="B36" s="137">
        <v>3</v>
      </c>
      <c r="C36" s="152">
        <v>0</v>
      </c>
      <c r="D36" s="26">
        <f t="shared" si="0"/>
        <v>3</v>
      </c>
      <c r="E36" s="76" t="s">
        <v>674</v>
      </c>
      <c r="F36" s="139">
        <v>15</v>
      </c>
      <c r="G36" s="154">
        <v>0</v>
      </c>
      <c r="H36" s="157">
        <f t="shared" si="1"/>
        <v>15</v>
      </c>
    </row>
    <row r="37" spans="1:24" ht="14.95" customHeight="1" thickBot="1" x14ac:dyDescent="0.3">
      <c r="A37" s="28" t="s">
        <v>212</v>
      </c>
      <c r="B37" s="137">
        <v>0</v>
      </c>
      <c r="C37" s="152">
        <v>0</v>
      </c>
      <c r="D37" s="26">
        <f t="shared" si="0"/>
        <v>0</v>
      </c>
      <c r="E37" s="76" t="s">
        <v>212</v>
      </c>
      <c r="F37" s="139">
        <v>0</v>
      </c>
      <c r="G37" s="154">
        <v>0</v>
      </c>
      <c r="H37" s="157">
        <f t="shared" si="1"/>
        <v>0</v>
      </c>
    </row>
    <row r="38" spans="1:24" ht="14.95" customHeight="1" thickBot="1" x14ac:dyDescent="0.3">
      <c r="A38" s="28" t="s">
        <v>450</v>
      </c>
      <c r="B38" s="137">
        <v>0</v>
      </c>
      <c r="C38" s="152">
        <v>0</v>
      </c>
      <c r="D38" s="26">
        <f t="shared" si="0"/>
        <v>0</v>
      </c>
      <c r="E38" s="76" t="s">
        <v>450</v>
      </c>
      <c r="F38" s="139">
        <v>0</v>
      </c>
      <c r="G38" s="154">
        <v>0</v>
      </c>
      <c r="H38" s="157">
        <f t="shared" si="1"/>
        <v>0</v>
      </c>
    </row>
    <row r="39" spans="1:24" ht="14.95" customHeight="1" thickBot="1" x14ac:dyDescent="0.3">
      <c r="A39" s="28" t="s">
        <v>71</v>
      </c>
      <c r="B39" s="137">
        <v>2</v>
      </c>
      <c r="C39" s="152">
        <v>0</v>
      </c>
      <c r="D39" s="26">
        <f t="shared" si="0"/>
        <v>2</v>
      </c>
      <c r="E39" s="76" t="s">
        <v>71</v>
      </c>
      <c r="F39" s="139">
        <v>10</v>
      </c>
      <c r="G39" s="154">
        <v>0</v>
      </c>
      <c r="H39" s="157">
        <f t="shared" si="1"/>
        <v>10</v>
      </c>
    </row>
    <row r="40" spans="1:24" ht="14.95" customHeight="1" thickBot="1" x14ac:dyDescent="0.3">
      <c r="A40" s="28" t="s">
        <v>680</v>
      </c>
      <c r="B40" s="137">
        <v>0</v>
      </c>
      <c r="C40" s="152">
        <v>2</v>
      </c>
      <c r="D40" s="26">
        <f t="shared" si="0"/>
        <v>2</v>
      </c>
      <c r="E40" s="76" t="s">
        <v>680</v>
      </c>
      <c r="F40" s="139">
        <v>0</v>
      </c>
      <c r="G40" s="154">
        <v>10</v>
      </c>
      <c r="H40" s="157">
        <f t="shared" si="1"/>
        <v>10</v>
      </c>
    </row>
    <row r="41" spans="1:24" ht="14.95" customHeight="1" thickBot="1" x14ac:dyDescent="0.3">
      <c r="A41" s="28" t="s">
        <v>49</v>
      </c>
      <c r="B41" s="137">
        <v>0</v>
      </c>
      <c r="C41" s="152">
        <v>0</v>
      </c>
      <c r="D41" s="26">
        <f t="shared" si="0"/>
        <v>0</v>
      </c>
      <c r="E41" s="76" t="s">
        <v>49</v>
      </c>
      <c r="F41" s="139">
        <v>0</v>
      </c>
      <c r="G41" s="154">
        <v>0</v>
      </c>
      <c r="H41" s="157">
        <f t="shared" si="1"/>
        <v>0</v>
      </c>
    </row>
    <row r="42" spans="1:24" ht="14.95" customHeight="1" thickBot="1" x14ac:dyDescent="0.3">
      <c r="A42" s="28" t="s">
        <v>452</v>
      </c>
      <c r="B42" s="137">
        <v>0</v>
      </c>
      <c r="C42" s="152">
        <v>1</v>
      </c>
      <c r="D42" s="26">
        <f t="shared" si="0"/>
        <v>1</v>
      </c>
      <c r="E42" s="76" t="s">
        <v>452</v>
      </c>
      <c r="F42" s="139">
        <v>0</v>
      </c>
      <c r="G42" s="154">
        <v>5</v>
      </c>
      <c r="H42" s="157">
        <f t="shared" si="1"/>
        <v>5</v>
      </c>
    </row>
    <row r="43" spans="1:24" ht="14.95" customHeight="1" thickBot="1" x14ac:dyDescent="0.3">
      <c r="A43" s="28" t="s">
        <v>247</v>
      </c>
      <c r="B43" s="137">
        <v>0</v>
      </c>
      <c r="C43" s="152">
        <v>0</v>
      </c>
      <c r="D43" s="26">
        <f t="shared" si="0"/>
        <v>0</v>
      </c>
      <c r="E43" s="76" t="s">
        <v>247</v>
      </c>
      <c r="F43" s="139">
        <v>0</v>
      </c>
      <c r="G43" s="154">
        <v>0</v>
      </c>
      <c r="H43" s="157">
        <f t="shared" si="1"/>
        <v>0</v>
      </c>
    </row>
    <row r="44" spans="1:24" ht="14.95" customHeight="1" thickBot="1" x14ac:dyDescent="0.3">
      <c r="A44" s="28" t="s">
        <v>301</v>
      </c>
      <c r="B44" s="137">
        <v>6</v>
      </c>
      <c r="C44" s="152">
        <v>0</v>
      </c>
      <c r="D44" s="26">
        <f t="shared" si="0"/>
        <v>6</v>
      </c>
      <c r="E44" s="76" t="s">
        <v>301</v>
      </c>
      <c r="F44" s="139">
        <v>30</v>
      </c>
      <c r="G44" s="154">
        <v>0</v>
      </c>
      <c r="H44" s="157">
        <f t="shared" si="1"/>
        <v>30</v>
      </c>
      <c r="X44" t="s">
        <v>14</v>
      </c>
    </row>
    <row r="45" spans="1:24" ht="14.95" customHeight="1" thickBot="1" x14ac:dyDescent="0.3">
      <c r="A45" s="28" t="s">
        <v>73</v>
      </c>
      <c r="B45" s="137">
        <v>2</v>
      </c>
      <c r="C45" s="152">
        <v>0</v>
      </c>
      <c r="D45" s="26">
        <f t="shared" si="0"/>
        <v>2</v>
      </c>
      <c r="E45" s="76" t="s">
        <v>73</v>
      </c>
      <c r="F45" s="139">
        <v>10</v>
      </c>
      <c r="G45" s="154">
        <v>0</v>
      </c>
      <c r="H45" s="157">
        <f t="shared" si="1"/>
        <v>10</v>
      </c>
    </row>
    <row r="46" spans="1:24" ht="14.95" customHeight="1" thickBot="1" x14ac:dyDescent="0.3">
      <c r="A46" s="28" t="s">
        <v>74</v>
      </c>
      <c r="B46" s="137">
        <v>1</v>
      </c>
      <c r="C46" s="152">
        <v>0</v>
      </c>
      <c r="D46" s="26">
        <f t="shared" si="0"/>
        <v>1</v>
      </c>
      <c r="E46" s="76" t="s">
        <v>74</v>
      </c>
      <c r="F46" s="139">
        <v>5</v>
      </c>
      <c r="G46" s="154">
        <v>0</v>
      </c>
      <c r="H46" s="157">
        <f t="shared" si="1"/>
        <v>5</v>
      </c>
    </row>
    <row r="47" spans="1:24" ht="14.95" customHeight="1" thickBot="1" x14ac:dyDescent="0.3">
      <c r="A47" s="28" t="s">
        <v>455</v>
      </c>
      <c r="B47" s="137">
        <v>2</v>
      </c>
      <c r="C47" s="152">
        <v>0</v>
      </c>
      <c r="D47" s="26">
        <f t="shared" si="0"/>
        <v>2</v>
      </c>
      <c r="E47" s="76" t="s">
        <v>455</v>
      </c>
      <c r="F47" s="139">
        <v>10</v>
      </c>
      <c r="G47" s="154">
        <v>0</v>
      </c>
      <c r="H47" s="157">
        <f t="shared" si="1"/>
        <v>10</v>
      </c>
    </row>
    <row r="48" spans="1:24" ht="14.95" customHeight="1" thickBot="1" x14ac:dyDescent="0.3">
      <c r="A48" s="28" t="s">
        <v>403</v>
      </c>
      <c r="B48" s="137">
        <v>0</v>
      </c>
      <c r="C48" s="152">
        <v>0</v>
      </c>
      <c r="D48" s="26">
        <f t="shared" si="0"/>
        <v>0</v>
      </c>
      <c r="E48" s="76" t="s">
        <v>403</v>
      </c>
      <c r="F48" s="139">
        <v>0</v>
      </c>
      <c r="G48" s="154">
        <v>0</v>
      </c>
      <c r="H48" s="157">
        <f t="shared" si="1"/>
        <v>0</v>
      </c>
    </row>
    <row r="49" spans="1:8" ht="14.95" customHeight="1" thickBot="1" x14ac:dyDescent="0.3">
      <c r="A49" s="28" t="s">
        <v>458</v>
      </c>
      <c r="B49" s="137">
        <v>0</v>
      </c>
      <c r="C49" s="152">
        <v>0</v>
      </c>
      <c r="D49" s="26">
        <f t="shared" si="0"/>
        <v>0</v>
      </c>
      <c r="E49" s="76" t="s">
        <v>458</v>
      </c>
      <c r="F49" s="139">
        <v>0</v>
      </c>
      <c r="G49" s="154">
        <v>0</v>
      </c>
      <c r="H49" s="157">
        <f t="shared" si="1"/>
        <v>0</v>
      </c>
    </row>
    <row r="50" spans="1:8" ht="14.95" customHeight="1" thickBot="1" x14ac:dyDescent="0.3">
      <c r="A50" s="28" t="s">
        <v>3</v>
      </c>
      <c r="B50" s="137">
        <f>SUM(B3:B49)</f>
        <v>65</v>
      </c>
      <c r="C50" s="152">
        <f>SUM(C3:C49)</f>
        <v>21</v>
      </c>
      <c r="D50" s="26">
        <f t="shared" si="0"/>
        <v>86</v>
      </c>
      <c r="E50" s="76" t="s">
        <v>3</v>
      </c>
      <c r="F50" s="139">
        <f>SUM(F3:F49)</f>
        <v>412</v>
      </c>
      <c r="G50" s="154">
        <f>SUM(G3:G49)</f>
        <v>129</v>
      </c>
      <c r="H50" s="157">
        <f t="shared" si="1"/>
        <v>541</v>
      </c>
    </row>
    <row r="51" spans="1:8" ht="14.95" customHeight="1" x14ac:dyDescent="0.25">
      <c r="A51" s="255"/>
      <c r="B51" s="256"/>
      <c r="C51" s="256"/>
      <c r="D51" s="256"/>
      <c r="E51" s="256"/>
      <c r="F51" s="256"/>
      <c r="G51" s="88"/>
      <c r="H51" s="25"/>
    </row>
    <row r="52" spans="1:8" ht="14.95" customHeight="1" thickBot="1" x14ac:dyDescent="0.3">
      <c r="A52" t="s">
        <v>9</v>
      </c>
      <c r="B52" s="56"/>
      <c r="C52" s="56"/>
      <c r="E52" s="43"/>
      <c r="F52" s="57"/>
      <c r="G52" s="57"/>
      <c r="H52" s="43"/>
    </row>
    <row r="53" spans="1:8" ht="14.95" customHeight="1" thickBot="1" x14ac:dyDescent="0.3">
      <c r="A53" s="52" t="s">
        <v>0</v>
      </c>
      <c r="B53" s="136" t="s">
        <v>161</v>
      </c>
      <c r="C53" s="151" t="s">
        <v>167</v>
      </c>
      <c r="D53" s="155" t="s">
        <v>1</v>
      </c>
      <c r="E53" s="75" t="s">
        <v>2</v>
      </c>
      <c r="F53" s="138" t="s">
        <v>161</v>
      </c>
      <c r="G53" s="153" t="s">
        <v>167</v>
      </c>
      <c r="H53" s="156" t="s">
        <v>1</v>
      </c>
    </row>
    <row r="54" spans="1:8" ht="14.95" customHeight="1" thickBot="1" x14ac:dyDescent="0.3">
      <c r="A54" s="28" t="s">
        <v>54</v>
      </c>
      <c r="B54" s="137">
        <v>8</v>
      </c>
      <c r="C54" s="152">
        <v>4</v>
      </c>
      <c r="D54" s="26">
        <f t="shared" ref="D54:D100" si="13">SUM(B54:C54)</f>
        <v>12</v>
      </c>
      <c r="E54" s="76" t="s">
        <v>64</v>
      </c>
      <c r="F54" s="139">
        <v>78</v>
      </c>
      <c r="G54" s="154">
        <v>29</v>
      </c>
      <c r="H54" s="157">
        <f t="shared" ref="H54:H100" si="14">SUM(F54:G54)</f>
        <v>107</v>
      </c>
    </row>
    <row r="55" spans="1:8" ht="14.95" thickBot="1" x14ac:dyDescent="0.3">
      <c r="A55" s="28" t="s">
        <v>66</v>
      </c>
      <c r="B55" s="137">
        <v>6</v>
      </c>
      <c r="C55" s="152">
        <v>0</v>
      </c>
      <c r="D55" s="26">
        <f t="shared" si="13"/>
        <v>6</v>
      </c>
      <c r="E55" s="76" t="s">
        <v>54</v>
      </c>
      <c r="F55" s="139">
        <v>40</v>
      </c>
      <c r="G55" s="154">
        <v>20</v>
      </c>
      <c r="H55" s="157">
        <f t="shared" si="14"/>
        <v>60</v>
      </c>
    </row>
    <row r="56" spans="1:8" ht="14.95" thickBot="1" x14ac:dyDescent="0.3">
      <c r="A56" s="28" t="s">
        <v>197</v>
      </c>
      <c r="B56" s="137">
        <v>4</v>
      </c>
      <c r="C56" s="152">
        <v>2</v>
      </c>
      <c r="D56" s="26">
        <f t="shared" si="13"/>
        <v>6</v>
      </c>
      <c r="E56" s="76" t="s">
        <v>66</v>
      </c>
      <c r="F56" s="139">
        <v>30</v>
      </c>
      <c r="G56" s="154">
        <v>0</v>
      </c>
      <c r="H56" s="157">
        <f t="shared" si="14"/>
        <v>30</v>
      </c>
    </row>
    <row r="57" spans="1:8" ht="14.95" thickBot="1" x14ac:dyDescent="0.3">
      <c r="A57" s="28" t="s">
        <v>70</v>
      </c>
      <c r="B57" s="137">
        <v>5</v>
      </c>
      <c r="C57" s="152">
        <v>1</v>
      </c>
      <c r="D57" s="26">
        <f t="shared" si="13"/>
        <v>6</v>
      </c>
      <c r="E57" s="76" t="s">
        <v>197</v>
      </c>
      <c r="F57" s="139">
        <v>20</v>
      </c>
      <c r="G57" s="154">
        <v>10</v>
      </c>
      <c r="H57" s="157">
        <f t="shared" si="14"/>
        <v>30</v>
      </c>
    </row>
    <row r="58" spans="1:8" ht="14.95" thickBot="1" x14ac:dyDescent="0.3">
      <c r="A58" s="28" t="s">
        <v>301</v>
      </c>
      <c r="B58" s="137">
        <v>6</v>
      </c>
      <c r="C58" s="152">
        <v>0</v>
      </c>
      <c r="D58" s="26">
        <f t="shared" si="13"/>
        <v>6</v>
      </c>
      <c r="E58" s="76" t="s">
        <v>70</v>
      </c>
      <c r="F58" s="139">
        <v>25</v>
      </c>
      <c r="G58" s="154">
        <v>5</v>
      </c>
      <c r="H58" s="157">
        <f t="shared" si="14"/>
        <v>30</v>
      </c>
    </row>
    <row r="59" spans="1:8" ht="14.95" thickBot="1" x14ac:dyDescent="0.3">
      <c r="A59" s="28" t="s">
        <v>677</v>
      </c>
      <c r="B59" s="137">
        <v>4</v>
      </c>
      <c r="C59" s="152">
        <v>1</v>
      </c>
      <c r="D59" s="26">
        <f t="shared" si="13"/>
        <v>5</v>
      </c>
      <c r="E59" s="76" t="s">
        <v>301</v>
      </c>
      <c r="F59" s="139">
        <v>30</v>
      </c>
      <c r="G59" s="154">
        <v>0</v>
      </c>
      <c r="H59" s="157">
        <f t="shared" si="14"/>
        <v>30</v>
      </c>
    </row>
    <row r="60" spans="1:8" ht="14.95" thickBot="1" x14ac:dyDescent="0.3">
      <c r="A60" s="28" t="s">
        <v>56</v>
      </c>
      <c r="B60" s="137">
        <v>2</v>
      </c>
      <c r="C60" s="152">
        <v>2</v>
      </c>
      <c r="D60" s="26">
        <f t="shared" si="13"/>
        <v>4</v>
      </c>
      <c r="E60" s="76" t="s">
        <v>677</v>
      </c>
      <c r="F60" s="139">
        <v>20</v>
      </c>
      <c r="G60" s="154">
        <v>5</v>
      </c>
      <c r="H60" s="157">
        <f t="shared" si="14"/>
        <v>25</v>
      </c>
    </row>
    <row r="61" spans="1:8" ht="14.95" thickBot="1" x14ac:dyDescent="0.3">
      <c r="A61" s="28" t="s">
        <v>64</v>
      </c>
      <c r="B61" s="137">
        <v>3</v>
      </c>
      <c r="C61" s="152">
        <v>1</v>
      </c>
      <c r="D61" s="26">
        <f t="shared" si="13"/>
        <v>4</v>
      </c>
      <c r="E61" s="76" t="s">
        <v>57</v>
      </c>
      <c r="F61" s="139">
        <v>22</v>
      </c>
      <c r="G61" s="154">
        <v>0</v>
      </c>
      <c r="H61" s="157">
        <f t="shared" si="14"/>
        <v>22</v>
      </c>
    </row>
    <row r="62" spans="1:8" ht="29.25" thickBot="1" x14ac:dyDescent="0.3">
      <c r="A62" s="28" t="s">
        <v>678</v>
      </c>
      <c r="B62" s="137">
        <v>4</v>
      </c>
      <c r="C62" s="152">
        <v>0</v>
      </c>
      <c r="D62" s="26">
        <f t="shared" si="13"/>
        <v>4</v>
      </c>
      <c r="E62" s="76" t="s">
        <v>56</v>
      </c>
      <c r="F62" s="139">
        <v>10</v>
      </c>
      <c r="G62" s="154">
        <v>10</v>
      </c>
      <c r="H62" s="157">
        <f t="shared" si="14"/>
        <v>20</v>
      </c>
    </row>
    <row r="63" spans="1:8" ht="29.25" thickBot="1" x14ac:dyDescent="0.3">
      <c r="A63" s="28" t="s">
        <v>358</v>
      </c>
      <c r="B63" s="137">
        <v>0</v>
      </c>
      <c r="C63" s="152">
        <v>3</v>
      </c>
      <c r="D63" s="26">
        <f t="shared" si="13"/>
        <v>3</v>
      </c>
      <c r="E63" s="76" t="s">
        <v>678</v>
      </c>
      <c r="F63" s="139">
        <v>20</v>
      </c>
      <c r="G63" s="154">
        <v>0</v>
      </c>
      <c r="H63" s="157">
        <f t="shared" si="14"/>
        <v>20</v>
      </c>
    </row>
    <row r="64" spans="1:8" ht="14.95" thickBot="1" x14ac:dyDescent="0.3">
      <c r="A64" s="28" t="s">
        <v>667</v>
      </c>
      <c r="B64" s="137">
        <v>2</v>
      </c>
      <c r="C64" s="152">
        <v>1</v>
      </c>
      <c r="D64" s="26">
        <f t="shared" si="13"/>
        <v>3</v>
      </c>
      <c r="E64" s="76" t="s">
        <v>358</v>
      </c>
      <c r="F64" s="139">
        <v>0</v>
      </c>
      <c r="G64" s="154">
        <v>15</v>
      </c>
      <c r="H64" s="157">
        <f t="shared" si="14"/>
        <v>15</v>
      </c>
    </row>
    <row r="65" spans="1:8" ht="14.95" thickBot="1" x14ac:dyDescent="0.3">
      <c r="A65" s="28" t="s">
        <v>446</v>
      </c>
      <c r="B65" s="137">
        <v>3</v>
      </c>
      <c r="C65" s="152">
        <v>0</v>
      </c>
      <c r="D65" s="26">
        <f t="shared" si="13"/>
        <v>3</v>
      </c>
      <c r="E65" s="76" t="s">
        <v>667</v>
      </c>
      <c r="F65" s="139">
        <v>10</v>
      </c>
      <c r="G65" s="154">
        <v>5</v>
      </c>
      <c r="H65" s="157">
        <f t="shared" si="14"/>
        <v>15</v>
      </c>
    </row>
    <row r="66" spans="1:8" ht="14.95" thickBot="1" x14ac:dyDescent="0.3">
      <c r="A66" s="28" t="s">
        <v>674</v>
      </c>
      <c r="B66" s="137">
        <v>3</v>
      </c>
      <c r="C66" s="152">
        <v>0</v>
      </c>
      <c r="D66" s="26">
        <f t="shared" si="13"/>
        <v>3</v>
      </c>
      <c r="E66" s="76" t="s">
        <v>446</v>
      </c>
      <c r="F66" s="139">
        <v>15</v>
      </c>
      <c r="G66" s="154">
        <v>0</v>
      </c>
      <c r="H66" s="157">
        <f t="shared" si="14"/>
        <v>15</v>
      </c>
    </row>
    <row r="67" spans="1:8" ht="14.95" thickBot="1" x14ac:dyDescent="0.3">
      <c r="A67" s="28" t="s">
        <v>669</v>
      </c>
      <c r="B67" s="137">
        <v>2</v>
      </c>
      <c r="C67" s="152">
        <v>0</v>
      </c>
      <c r="D67" s="26">
        <f t="shared" si="13"/>
        <v>2</v>
      </c>
      <c r="E67" s="76" t="s">
        <v>674</v>
      </c>
      <c r="F67" s="139">
        <v>15</v>
      </c>
      <c r="G67" s="154">
        <v>0</v>
      </c>
      <c r="H67" s="157">
        <f t="shared" si="14"/>
        <v>15</v>
      </c>
    </row>
    <row r="68" spans="1:8" ht="14.95" thickBot="1" x14ac:dyDescent="0.3">
      <c r="A68" s="28" t="s">
        <v>46</v>
      </c>
      <c r="B68" s="137">
        <v>1</v>
      </c>
      <c r="C68" s="152">
        <v>1</v>
      </c>
      <c r="D68" s="26">
        <f t="shared" si="13"/>
        <v>2</v>
      </c>
      <c r="E68" s="76" t="s">
        <v>46</v>
      </c>
      <c r="F68" s="139">
        <v>7</v>
      </c>
      <c r="G68" s="154">
        <v>5</v>
      </c>
      <c r="H68" s="157">
        <f t="shared" si="14"/>
        <v>12</v>
      </c>
    </row>
    <row r="69" spans="1:8" ht="14.95" thickBot="1" x14ac:dyDescent="0.3">
      <c r="A69" s="28" t="s">
        <v>283</v>
      </c>
      <c r="B69" s="137">
        <v>2</v>
      </c>
      <c r="C69" s="152">
        <v>0</v>
      </c>
      <c r="D69" s="26">
        <f t="shared" si="13"/>
        <v>2</v>
      </c>
      <c r="E69" s="76" t="s">
        <v>669</v>
      </c>
      <c r="F69" s="139">
        <v>10</v>
      </c>
      <c r="G69" s="154">
        <v>0</v>
      </c>
      <c r="H69" s="157">
        <f t="shared" si="14"/>
        <v>10</v>
      </c>
    </row>
    <row r="70" spans="1:8" ht="14.95" thickBot="1" x14ac:dyDescent="0.3">
      <c r="A70" s="28" t="s">
        <v>71</v>
      </c>
      <c r="B70" s="137">
        <v>2</v>
      </c>
      <c r="C70" s="152">
        <v>0</v>
      </c>
      <c r="D70" s="26">
        <f t="shared" si="13"/>
        <v>2</v>
      </c>
      <c r="E70" s="76" t="s">
        <v>283</v>
      </c>
      <c r="F70" s="139">
        <v>10</v>
      </c>
      <c r="G70" s="154">
        <v>0</v>
      </c>
      <c r="H70" s="157">
        <f t="shared" si="14"/>
        <v>10</v>
      </c>
    </row>
    <row r="71" spans="1:8" ht="14.95" thickBot="1" x14ac:dyDescent="0.3">
      <c r="A71" s="28" t="s">
        <v>680</v>
      </c>
      <c r="B71" s="137">
        <v>0</v>
      </c>
      <c r="C71" s="152">
        <v>2</v>
      </c>
      <c r="D71" s="26">
        <f t="shared" si="13"/>
        <v>2</v>
      </c>
      <c r="E71" s="76" t="s">
        <v>71</v>
      </c>
      <c r="F71" s="139">
        <v>10</v>
      </c>
      <c r="G71" s="154">
        <v>0</v>
      </c>
      <c r="H71" s="157">
        <f t="shared" si="14"/>
        <v>10</v>
      </c>
    </row>
    <row r="72" spans="1:8" ht="14.95" customHeight="1" thickBot="1" x14ac:dyDescent="0.3">
      <c r="A72" s="28" t="s">
        <v>73</v>
      </c>
      <c r="B72" s="137">
        <v>2</v>
      </c>
      <c r="C72" s="152">
        <v>0</v>
      </c>
      <c r="D72" s="26">
        <f t="shared" si="13"/>
        <v>2</v>
      </c>
      <c r="E72" s="76" t="s">
        <v>680</v>
      </c>
      <c r="F72" s="139">
        <v>0</v>
      </c>
      <c r="G72" s="154">
        <v>10</v>
      </c>
      <c r="H72" s="157">
        <f t="shared" si="14"/>
        <v>10</v>
      </c>
    </row>
    <row r="73" spans="1:8" ht="14.95" thickBot="1" x14ac:dyDescent="0.3">
      <c r="A73" s="28" t="s">
        <v>455</v>
      </c>
      <c r="B73" s="137">
        <v>2</v>
      </c>
      <c r="C73" s="152">
        <v>0</v>
      </c>
      <c r="D73" s="26">
        <f t="shared" si="13"/>
        <v>2</v>
      </c>
      <c r="E73" s="76" t="s">
        <v>73</v>
      </c>
      <c r="F73" s="139">
        <v>10</v>
      </c>
      <c r="G73" s="154">
        <v>0</v>
      </c>
      <c r="H73" s="157">
        <f t="shared" si="14"/>
        <v>10</v>
      </c>
    </row>
    <row r="74" spans="1:8" ht="14.95" customHeight="1" thickBot="1" x14ac:dyDescent="0.3">
      <c r="A74" s="28" t="s">
        <v>675</v>
      </c>
      <c r="B74" s="137">
        <v>1</v>
      </c>
      <c r="C74" s="152">
        <v>0</v>
      </c>
      <c r="D74" s="26">
        <f t="shared" si="13"/>
        <v>1</v>
      </c>
      <c r="E74" s="76" t="s">
        <v>455</v>
      </c>
      <c r="F74" s="139">
        <v>10</v>
      </c>
      <c r="G74" s="154">
        <v>0</v>
      </c>
      <c r="H74" s="157">
        <f t="shared" si="14"/>
        <v>10</v>
      </c>
    </row>
    <row r="75" spans="1:8" ht="14.95" thickBot="1" x14ac:dyDescent="0.3">
      <c r="A75" s="28" t="s">
        <v>739</v>
      </c>
      <c r="B75" s="137">
        <v>1</v>
      </c>
      <c r="C75" s="152">
        <v>0</v>
      </c>
      <c r="D75" s="26">
        <f t="shared" si="13"/>
        <v>1</v>
      </c>
      <c r="E75" s="76" t="s">
        <v>675</v>
      </c>
      <c r="F75" s="139">
        <v>5</v>
      </c>
      <c r="G75" s="154">
        <v>0</v>
      </c>
      <c r="H75" s="157">
        <f t="shared" si="14"/>
        <v>5</v>
      </c>
    </row>
    <row r="76" spans="1:8" ht="14.95" thickBot="1" x14ac:dyDescent="0.3">
      <c r="A76" s="28" t="s">
        <v>63</v>
      </c>
      <c r="B76" s="137">
        <v>1</v>
      </c>
      <c r="C76" s="152">
        <v>0</v>
      </c>
      <c r="D76" s="26">
        <f t="shared" si="13"/>
        <v>1</v>
      </c>
      <c r="E76" s="76" t="s">
        <v>739</v>
      </c>
      <c r="F76" s="139">
        <v>5</v>
      </c>
      <c r="G76" s="154">
        <v>0</v>
      </c>
      <c r="H76" s="157">
        <f t="shared" si="14"/>
        <v>5</v>
      </c>
    </row>
    <row r="77" spans="1:8" ht="14.95" thickBot="1" x14ac:dyDescent="0.3">
      <c r="A77" s="28" t="s">
        <v>69</v>
      </c>
      <c r="B77" s="137">
        <v>0</v>
      </c>
      <c r="C77" s="152">
        <v>1</v>
      </c>
      <c r="D77" s="26">
        <f t="shared" si="13"/>
        <v>1</v>
      </c>
      <c r="E77" s="76" t="s">
        <v>63</v>
      </c>
      <c r="F77" s="139">
        <v>5</v>
      </c>
      <c r="G77" s="154">
        <v>0</v>
      </c>
      <c r="H77" s="157">
        <f t="shared" si="14"/>
        <v>5</v>
      </c>
    </row>
    <row r="78" spans="1:8" ht="14.95" thickBot="1" x14ac:dyDescent="0.3">
      <c r="A78" s="28" t="s">
        <v>448</v>
      </c>
      <c r="B78" s="137">
        <v>0</v>
      </c>
      <c r="C78" s="152">
        <v>1</v>
      </c>
      <c r="D78" s="26">
        <f t="shared" si="13"/>
        <v>1</v>
      </c>
      <c r="E78" s="76" t="s">
        <v>69</v>
      </c>
      <c r="F78" s="139">
        <v>0</v>
      </c>
      <c r="G78" s="154">
        <v>5</v>
      </c>
      <c r="H78" s="157">
        <f t="shared" si="14"/>
        <v>5</v>
      </c>
    </row>
    <row r="79" spans="1:8" ht="14.95" thickBot="1" x14ac:dyDescent="0.3">
      <c r="A79" s="28" t="s">
        <v>452</v>
      </c>
      <c r="B79" s="137">
        <v>0</v>
      </c>
      <c r="C79" s="152">
        <v>1</v>
      </c>
      <c r="D79" s="26">
        <f t="shared" si="13"/>
        <v>1</v>
      </c>
      <c r="E79" s="76" t="s">
        <v>448</v>
      </c>
      <c r="F79" s="139">
        <v>0</v>
      </c>
      <c r="G79" s="154">
        <v>5</v>
      </c>
      <c r="H79" s="157">
        <f t="shared" si="14"/>
        <v>5</v>
      </c>
    </row>
    <row r="80" spans="1:8" ht="14.95" thickBot="1" x14ac:dyDescent="0.3">
      <c r="A80" s="28" t="s">
        <v>74</v>
      </c>
      <c r="B80" s="137">
        <v>1</v>
      </c>
      <c r="C80" s="152">
        <v>0</v>
      </c>
      <c r="D80" s="26">
        <f t="shared" si="13"/>
        <v>1</v>
      </c>
      <c r="E80" s="76" t="s">
        <v>452</v>
      </c>
      <c r="F80" s="139">
        <v>0</v>
      </c>
      <c r="G80" s="154">
        <v>5</v>
      </c>
      <c r="H80" s="157">
        <f t="shared" si="14"/>
        <v>5</v>
      </c>
    </row>
    <row r="81" spans="1:8" ht="14.95" thickBot="1" x14ac:dyDescent="0.3">
      <c r="A81" s="28" t="s">
        <v>672</v>
      </c>
      <c r="B81" s="137">
        <v>0</v>
      </c>
      <c r="C81" s="152">
        <v>0</v>
      </c>
      <c r="D81" s="26">
        <f t="shared" si="13"/>
        <v>0</v>
      </c>
      <c r="E81" s="76" t="s">
        <v>74</v>
      </c>
      <c r="F81" s="139">
        <v>5</v>
      </c>
      <c r="G81" s="154">
        <v>0</v>
      </c>
      <c r="H81" s="157">
        <f t="shared" si="14"/>
        <v>5</v>
      </c>
    </row>
    <row r="82" spans="1:8" ht="14.95" thickBot="1" x14ac:dyDescent="0.3">
      <c r="A82" s="28" t="s">
        <v>437</v>
      </c>
      <c r="B82" s="137">
        <v>0</v>
      </c>
      <c r="C82" s="152">
        <v>0</v>
      </c>
      <c r="D82" s="26">
        <f t="shared" si="13"/>
        <v>0</v>
      </c>
      <c r="E82" s="76" t="s">
        <v>672</v>
      </c>
      <c r="F82" s="139">
        <v>0</v>
      </c>
      <c r="G82" s="154">
        <v>0</v>
      </c>
      <c r="H82" s="157">
        <f t="shared" si="14"/>
        <v>0</v>
      </c>
    </row>
    <row r="83" spans="1:8" ht="14.95" thickBot="1" x14ac:dyDescent="0.3">
      <c r="A83" s="28" t="s">
        <v>57</v>
      </c>
      <c r="B83" s="137">
        <v>0</v>
      </c>
      <c r="C83" s="152">
        <v>0</v>
      </c>
      <c r="D83" s="26">
        <f t="shared" si="13"/>
        <v>0</v>
      </c>
      <c r="E83" s="76" t="s">
        <v>437</v>
      </c>
      <c r="F83" s="139">
        <v>0</v>
      </c>
      <c r="G83" s="154">
        <v>0</v>
      </c>
      <c r="H83" s="157">
        <f t="shared" si="14"/>
        <v>0</v>
      </c>
    </row>
    <row r="84" spans="1:8" ht="14.95" thickBot="1" x14ac:dyDescent="0.3">
      <c r="A84" s="28" t="s">
        <v>213</v>
      </c>
      <c r="B84" s="137">
        <v>0</v>
      </c>
      <c r="C84" s="152">
        <v>0</v>
      </c>
      <c r="D84" s="26">
        <f t="shared" si="13"/>
        <v>0</v>
      </c>
      <c r="E84" s="76" t="s">
        <v>213</v>
      </c>
      <c r="F84" s="139">
        <v>0</v>
      </c>
      <c r="G84" s="154">
        <v>0</v>
      </c>
      <c r="H84" s="157">
        <f t="shared" si="14"/>
        <v>0</v>
      </c>
    </row>
    <row r="85" spans="1:8" ht="14.95" thickBot="1" x14ac:dyDescent="0.3">
      <c r="A85" s="28" t="s">
        <v>670</v>
      </c>
      <c r="B85" s="137">
        <v>0</v>
      </c>
      <c r="C85" s="152">
        <v>0</v>
      </c>
      <c r="D85" s="26">
        <f t="shared" si="13"/>
        <v>0</v>
      </c>
      <c r="E85" s="76" t="s">
        <v>670</v>
      </c>
      <c r="F85" s="139">
        <v>0</v>
      </c>
      <c r="G85" s="154">
        <v>0</v>
      </c>
      <c r="H85" s="157">
        <f t="shared" si="14"/>
        <v>0</v>
      </c>
    </row>
    <row r="86" spans="1:8" ht="14.95" thickBot="1" x14ac:dyDescent="0.3">
      <c r="A86" s="28" t="s">
        <v>60</v>
      </c>
      <c r="B86" s="137">
        <v>0</v>
      </c>
      <c r="C86" s="152">
        <v>0</v>
      </c>
      <c r="D86" s="26">
        <f t="shared" si="13"/>
        <v>0</v>
      </c>
      <c r="E86" s="76" t="s">
        <v>60</v>
      </c>
      <c r="F86" s="139">
        <v>0</v>
      </c>
      <c r="G86" s="154">
        <v>0</v>
      </c>
      <c r="H86" s="157">
        <f t="shared" si="14"/>
        <v>0</v>
      </c>
    </row>
    <row r="87" spans="1:8" ht="14.95" thickBot="1" x14ac:dyDescent="0.3">
      <c r="A87" s="28" t="s">
        <v>364</v>
      </c>
      <c r="B87" s="137">
        <v>0</v>
      </c>
      <c r="C87" s="152">
        <v>0</v>
      </c>
      <c r="D87" s="26">
        <f t="shared" si="13"/>
        <v>0</v>
      </c>
      <c r="E87" s="76" t="s">
        <v>364</v>
      </c>
      <c r="F87" s="139">
        <v>0</v>
      </c>
      <c r="G87" s="154">
        <v>0</v>
      </c>
      <c r="H87" s="157">
        <f t="shared" si="14"/>
        <v>0</v>
      </c>
    </row>
    <row r="88" spans="1:8" ht="14.95" thickBot="1" x14ac:dyDescent="0.3">
      <c r="A88" s="28" t="s">
        <v>62</v>
      </c>
      <c r="B88" s="137">
        <v>0</v>
      </c>
      <c r="C88" s="152">
        <v>0</v>
      </c>
      <c r="D88" s="26">
        <f t="shared" si="13"/>
        <v>0</v>
      </c>
      <c r="E88" s="76" t="s">
        <v>62</v>
      </c>
      <c r="F88" s="139">
        <v>0</v>
      </c>
      <c r="G88" s="154">
        <v>0</v>
      </c>
      <c r="H88" s="157">
        <f t="shared" si="14"/>
        <v>0</v>
      </c>
    </row>
    <row r="89" spans="1:8" ht="14.95" thickBot="1" x14ac:dyDescent="0.3">
      <c r="A89" s="28" t="s">
        <v>65</v>
      </c>
      <c r="B89" s="137">
        <v>0</v>
      </c>
      <c r="C89" s="152">
        <v>0</v>
      </c>
      <c r="D89" s="26">
        <f t="shared" si="13"/>
        <v>0</v>
      </c>
      <c r="E89" s="76" t="s">
        <v>65</v>
      </c>
      <c r="F89" s="139">
        <v>0</v>
      </c>
      <c r="G89" s="154">
        <v>0</v>
      </c>
      <c r="H89" s="157">
        <f t="shared" si="14"/>
        <v>0</v>
      </c>
    </row>
    <row r="90" spans="1:8" ht="14.95" thickBot="1" x14ac:dyDescent="0.3">
      <c r="A90" s="28" t="s">
        <v>67</v>
      </c>
      <c r="B90" s="137">
        <v>0</v>
      </c>
      <c r="C90" s="152">
        <v>0</v>
      </c>
      <c r="D90" s="26">
        <f t="shared" si="13"/>
        <v>0</v>
      </c>
      <c r="E90" s="76" t="s">
        <v>67</v>
      </c>
      <c r="F90" s="139">
        <v>0</v>
      </c>
      <c r="G90" s="154">
        <v>0</v>
      </c>
      <c r="H90" s="157">
        <f t="shared" si="14"/>
        <v>0</v>
      </c>
    </row>
    <row r="91" spans="1:8" ht="14.95" thickBot="1" x14ac:dyDescent="0.3">
      <c r="A91" s="28" t="s">
        <v>238</v>
      </c>
      <c r="B91" s="137">
        <v>0</v>
      </c>
      <c r="C91" s="152">
        <v>0</v>
      </c>
      <c r="D91" s="26">
        <f t="shared" si="13"/>
        <v>0</v>
      </c>
      <c r="E91" s="76" t="s">
        <v>238</v>
      </c>
      <c r="F91" s="139">
        <v>0</v>
      </c>
      <c r="G91" s="154">
        <v>0</v>
      </c>
      <c r="H91" s="157">
        <f t="shared" si="14"/>
        <v>0</v>
      </c>
    </row>
    <row r="92" spans="1:8" ht="14.95" thickBot="1" x14ac:dyDescent="0.3">
      <c r="A92" s="28" t="s">
        <v>68</v>
      </c>
      <c r="B92" s="137">
        <v>0</v>
      </c>
      <c r="C92" s="152">
        <v>0</v>
      </c>
      <c r="D92" s="26">
        <f t="shared" si="13"/>
        <v>0</v>
      </c>
      <c r="E92" s="76" t="s">
        <v>68</v>
      </c>
      <c r="F92" s="139">
        <v>0</v>
      </c>
      <c r="G92" s="154">
        <v>0</v>
      </c>
      <c r="H92" s="157">
        <f t="shared" si="14"/>
        <v>0</v>
      </c>
    </row>
    <row r="93" spans="1:8" ht="14.95" thickBot="1" x14ac:dyDescent="0.3">
      <c r="A93" s="28" t="s">
        <v>4</v>
      </c>
      <c r="B93" s="137">
        <v>0</v>
      </c>
      <c r="C93" s="152">
        <v>0</v>
      </c>
      <c r="D93" s="26">
        <f t="shared" si="13"/>
        <v>0</v>
      </c>
      <c r="E93" s="76" t="s">
        <v>4</v>
      </c>
      <c r="F93" s="139">
        <v>0</v>
      </c>
      <c r="G93" s="154">
        <v>0</v>
      </c>
      <c r="H93" s="157">
        <f t="shared" si="14"/>
        <v>0</v>
      </c>
    </row>
    <row r="94" spans="1:8" ht="14.95" thickBot="1" x14ac:dyDescent="0.3">
      <c r="A94" s="28" t="s">
        <v>215</v>
      </c>
      <c r="B94" s="137">
        <v>0</v>
      </c>
      <c r="C94" s="152">
        <v>0</v>
      </c>
      <c r="D94" s="26">
        <f t="shared" si="13"/>
        <v>0</v>
      </c>
      <c r="E94" s="76" t="s">
        <v>215</v>
      </c>
      <c r="F94" s="139">
        <v>0</v>
      </c>
      <c r="G94" s="154">
        <v>0</v>
      </c>
      <c r="H94" s="157">
        <f t="shared" si="14"/>
        <v>0</v>
      </c>
    </row>
    <row r="95" spans="1:8" ht="14.95" thickBot="1" x14ac:dyDescent="0.3">
      <c r="A95" s="28" t="s">
        <v>212</v>
      </c>
      <c r="B95" s="137">
        <v>0</v>
      </c>
      <c r="C95" s="152">
        <v>0</v>
      </c>
      <c r="D95" s="26">
        <f t="shared" si="13"/>
        <v>0</v>
      </c>
      <c r="E95" s="76" t="s">
        <v>212</v>
      </c>
      <c r="F95" s="139">
        <v>0</v>
      </c>
      <c r="G95" s="154">
        <v>0</v>
      </c>
      <c r="H95" s="157">
        <f t="shared" si="14"/>
        <v>0</v>
      </c>
    </row>
    <row r="96" spans="1:8" ht="14.95" thickBot="1" x14ac:dyDescent="0.3">
      <c r="A96" s="28" t="s">
        <v>450</v>
      </c>
      <c r="B96" s="137">
        <v>0</v>
      </c>
      <c r="C96" s="152">
        <v>0</v>
      </c>
      <c r="D96" s="26">
        <f t="shared" si="13"/>
        <v>0</v>
      </c>
      <c r="E96" s="76" t="s">
        <v>450</v>
      </c>
      <c r="F96" s="139">
        <v>0</v>
      </c>
      <c r="G96" s="154">
        <v>0</v>
      </c>
      <c r="H96" s="157">
        <f t="shared" si="14"/>
        <v>0</v>
      </c>
    </row>
    <row r="97" spans="1:8" ht="14.95" thickBot="1" x14ac:dyDescent="0.3">
      <c r="A97" s="28" t="s">
        <v>49</v>
      </c>
      <c r="B97" s="137">
        <v>0</v>
      </c>
      <c r="C97" s="152">
        <v>0</v>
      </c>
      <c r="D97" s="26">
        <f t="shared" si="13"/>
        <v>0</v>
      </c>
      <c r="E97" s="76" t="s">
        <v>49</v>
      </c>
      <c r="F97" s="139">
        <v>0</v>
      </c>
      <c r="G97" s="154">
        <v>0</v>
      </c>
      <c r="H97" s="157">
        <f t="shared" si="14"/>
        <v>0</v>
      </c>
    </row>
    <row r="98" spans="1:8" ht="14.95" thickBot="1" x14ac:dyDescent="0.3">
      <c r="A98" s="28" t="s">
        <v>247</v>
      </c>
      <c r="B98" s="137">
        <v>0</v>
      </c>
      <c r="C98" s="152">
        <v>0</v>
      </c>
      <c r="D98" s="26">
        <f t="shared" si="13"/>
        <v>0</v>
      </c>
      <c r="E98" s="76" t="s">
        <v>247</v>
      </c>
      <c r="F98" s="139">
        <v>0</v>
      </c>
      <c r="G98" s="154">
        <v>0</v>
      </c>
      <c r="H98" s="157">
        <f t="shared" si="14"/>
        <v>0</v>
      </c>
    </row>
    <row r="99" spans="1:8" ht="14.95" thickBot="1" x14ac:dyDescent="0.3">
      <c r="A99" s="28" t="s">
        <v>403</v>
      </c>
      <c r="B99" s="137">
        <v>0</v>
      </c>
      <c r="C99" s="152">
        <v>0</v>
      </c>
      <c r="D99" s="26">
        <f t="shared" si="13"/>
        <v>0</v>
      </c>
      <c r="E99" s="76" t="s">
        <v>403</v>
      </c>
      <c r="F99" s="139">
        <v>0</v>
      </c>
      <c r="G99" s="154">
        <v>0</v>
      </c>
      <c r="H99" s="157">
        <f t="shared" si="14"/>
        <v>0</v>
      </c>
    </row>
    <row r="100" spans="1:8" ht="14.95" thickBot="1" x14ac:dyDescent="0.3">
      <c r="A100" s="28" t="s">
        <v>458</v>
      </c>
      <c r="B100" s="137">
        <v>0</v>
      </c>
      <c r="C100" s="152">
        <v>0</v>
      </c>
      <c r="D100" s="26">
        <f t="shared" si="13"/>
        <v>0</v>
      </c>
      <c r="E100" s="76" t="s">
        <v>458</v>
      </c>
      <c r="F100" s="139">
        <v>0</v>
      </c>
      <c r="G100" s="154">
        <v>0</v>
      </c>
      <c r="H100" s="157">
        <f t="shared" si="14"/>
        <v>0</v>
      </c>
    </row>
    <row r="101" spans="1:8" ht="14.95" thickBot="1" x14ac:dyDescent="0.3">
      <c r="A101" s="28" t="s">
        <v>3</v>
      </c>
      <c r="B101" s="137">
        <f>SUM(B54:B100)</f>
        <v>65</v>
      </c>
      <c r="C101" s="152">
        <f>SUM(C54:C100)</f>
        <v>21</v>
      </c>
      <c r="D101" s="26">
        <f t="shared" ref="D101" si="15">SUM(B101:C101)</f>
        <v>86</v>
      </c>
      <c r="E101" s="76" t="s">
        <v>3</v>
      </c>
      <c r="F101" s="139">
        <f>SUM(F54:F100)</f>
        <v>412</v>
      </c>
      <c r="G101" s="154">
        <f>SUM(G54:G100)</f>
        <v>129</v>
      </c>
      <c r="H101" s="157">
        <f t="shared" ref="H101" si="16">SUM(F101:G101)</f>
        <v>541</v>
      </c>
    </row>
    <row r="102" spans="1:8" ht="16.3" x14ac:dyDescent="0.3">
      <c r="A102" s="245" t="s">
        <v>17</v>
      </c>
      <c r="B102" s="246"/>
      <c r="C102" s="246"/>
      <c r="D102" s="246"/>
      <c r="E102" s="246"/>
      <c r="F102" s="246"/>
      <c r="G102" s="246"/>
      <c r="H102" s="246"/>
    </row>
  </sheetData>
  <sortState xmlns:xlrd2="http://schemas.microsoft.com/office/spreadsheetml/2017/richdata2" ref="E54:H100">
    <sortCondition descending="1" ref="H54:H100"/>
  </sortState>
  <mergeCells count="13">
    <mergeCell ref="A102:H102"/>
    <mergeCell ref="Z1:AB2"/>
    <mergeCell ref="U1:W2"/>
    <mergeCell ref="I12:I13"/>
    <mergeCell ref="J12:L13"/>
    <mergeCell ref="P1:Q2"/>
    <mergeCell ref="I1:I2"/>
    <mergeCell ref="J1:L2"/>
    <mergeCell ref="M1:O2"/>
    <mergeCell ref="A51:F51"/>
    <mergeCell ref="R1:T2"/>
    <mergeCell ref="I17:I18"/>
    <mergeCell ref="J17:L18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110"/>
  <sheetViews>
    <sheetView zoomScaleNormal="100" workbookViewId="0">
      <selection activeCell="R14" sqref="R14"/>
    </sheetView>
  </sheetViews>
  <sheetFormatPr defaultColWidth="8.875" defaultRowHeight="14.3" x14ac:dyDescent="0.25"/>
  <cols>
    <col min="1" max="1" width="16.375" customWidth="1"/>
    <col min="2" max="2" width="5" bestFit="1" customWidth="1"/>
    <col min="3" max="3" width="5" customWidth="1"/>
    <col min="4" max="4" width="4.75" customWidth="1"/>
    <col min="5" max="5" width="16.375" customWidth="1"/>
    <col min="6" max="8" width="5.25" customWidth="1"/>
    <col min="9" max="9" width="12.75" customWidth="1"/>
    <col min="10" max="16" width="5.375" customWidth="1"/>
    <col min="17" max="17" width="5.75" customWidth="1"/>
    <col min="18" max="23" width="5.375" customWidth="1"/>
    <col min="26" max="28" width="5.625" customWidth="1"/>
  </cols>
  <sheetData>
    <row r="1" spans="1:33" ht="14.95" customHeight="1" thickBot="1" x14ac:dyDescent="0.3">
      <c r="A1" s="270" t="s">
        <v>653</v>
      </c>
      <c r="B1" s="271"/>
      <c r="C1" s="271"/>
      <c r="D1" s="271"/>
      <c r="E1" s="271"/>
      <c r="F1" s="271"/>
      <c r="G1" s="271"/>
      <c r="H1" s="272"/>
      <c r="I1" s="264" t="s">
        <v>161</v>
      </c>
      <c r="J1" s="260" t="s">
        <v>12</v>
      </c>
      <c r="K1" s="266"/>
      <c r="L1" s="261"/>
      <c r="M1" s="260" t="s">
        <v>19</v>
      </c>
      <c r="N1" s="266"/>
      <c r="O1" s="261"/>
      <c r="P1" s="260" t="s">
        <v>31</v>
      </c>
      <c r="Q1" s="261"/>
      <c r="R1" s="247" t="s">
        <v>162</v>
      </c>
      <c r="S1" s="248"/>
      <c r="T1" s="249"/>
      <c r="U1" s="247" t="s">
        <v>661</v>
      </c>
      <c r="V1" s="248"/>
      <c r="W1" s="249"/>
      <c r="X1" s="63"/>
      <c r="Y1" s="87"/>
      <c r="Z1" s="247" t="s">
        <v>435</v>
      </c>
      <c r="AA1" s="248"/>
      <c r="AB1" s="249"/>
      <c r="AC1" s="3"/>
      <c r="AD1" s="3"/>
      <c r="AG1" s="3"/>
    </row>
    <row r="2" spans="1:33" ht="14.95" customHeight="1" thickBot="1" x14ac:dyDescent="0.3">
      <c r="A2" s="53" t="s">
        <v>0</v>
      </c>
      <c r="B2" s="141" t="s">
        <v>161</v>
      </c>
      <c r="C2" s="195" t="s">
        <v>167</v>
      </c>
      <c r="D2" s="54" t="s">
        <v>1</v>
      </c>
      <c r="E2" s="174" t="s">
        <v>2</v>
      </c>
      <c r="F2" s="173" t="s">
        <v>161</v>
      </c>
      <c r="G2" s="197" t="s">
        <v>167</v>
      </c>
      <c r="H2" s="175" t="s">
        <v>1</v>
      </c>
      <c r="I2" s="265"/>
      <c r="J2" s="262"/>
      <c r="K2" s="267"/>
      <c r="L2" s="263"/>
      <c r="M2" s="262"/>
      <c r="N2" s="267"/>
      <c r="O2" s="263"/>
      <c r="P2" s="262"/>
      <c r="Q2" s="263"/>
      <c r="R2" s="250"/>
      <c r="S2" s="251"/>
      <c r="T2" s="252"/>
      <c r="U2" s="250"/>
      <c r="V2" s="251"/>
      <c r="W2" s="252"/>
      <c r="X2" s="87"/>
      <c r="Y2" s="87"/>
      <c r="Z2" s="250"/>
      <c r="AA2" s="251"/>
      <c r="AB2" s="252"/>
    </row>
    <row r="3" spans="1:33" ht="14.95" customHeight="1" thickBot="1" x14ac:dyDescent="0.3">
      <c r="A3" s="29" t="s">
        <v>560</v>
      </c>
      <c r="B3" s="142">
        <v>0</v>
      </c>
      <c r="C3" s="196">
        <v>0</v>
      </c>
      <c r="D3" s="38">
        <f t="shared" ref="D3:D50" si="0">SUM(B3:C3)</f>
        <v>0</v>
      </c>
      <c r="E3" s="176" t="s">
        <v>560</v>
      </c>
      <c r="F3" s="177">
        <v>0</v>
      </c>
      <c r="G3" s="198">
        <v>0</v>
      </c>
      <c r="H3" s="178">
        <f t="shared" ref="H3:H50" si="1">SUM(F3:G3)</f>
        <v>0</v>
      </c>
      <c r="I3" s="105" t="s">
        <v>14</v>
      </c>
      <c r="J3" s="2" t="s">
        <v>21</v>
      </c>
      <c r="K3" s="2" t="s">
        <v>7</v>
      </c>
      <c r="L3" s="2" t="s">
        <v>8</v>
      </c>
      <c r="M3" s="64" t="s">
        <v>21</v>
      </c>
      <c r="N3" s="2" t="s">
        <v>7</v>
      </c>
      <c r="O3" s="2" t="s">
        <v>8</v>
      </c>
      <c r="P3" s="2" t="s">
        <v>161</v>
      </c>
      <c r="Q3" s="2" t="s">
        <v>22</v>
      </c>
      <c r="R3" s="110" t="s">
        <v>21</v>
      </c>
      <c r="S3" s="110" t="s">
        <v>7</v>
      </c>
      <c r="T3" s="110" t="s">
        <v>8</v>
      </c>
      <c r="U3" s="110" t="s">
        <v>21</v>
      </c>
      <c r="V3" s="110" t="s">
        <v>7</v>
      </c>
      <c r="W3" s="110" t="s">
        <v>8</v>
      </c>
      <c r="X3" s="50"/>
      <c r="Y3" s="50"/>
      <c r="Z3" s="194" t="s">
        <v>21</v>
      </c>
      <c r="AA3" s="110" t="s">
        <v>7</v>
      </c>
      <c r="AB3" s="110" t="s">
        <v>8</v>
      </c>
    </row>
    <row r="4" spans="1:33" ht="14.95" customHeight="1" thickBot="1" x14ac:dyDescent="0.3">
      <c r="A4" s="29" t="s">
        <v>77</v>
      </c>
      <c r="B4" s="142">
        <v>3</v>
      </c>
      <c r="C4" s="196">
        <v>0</v>
      </c>
      <c r="D4" s="38">
        <f t="shared" si="0"/>
        <v>3</v>
      </c>
      <c r="E4" s="179" t="s">
        <v>77</v>
      </c>
      <c r="F4" s="177">
        <v>15</v>
      </c>
      <c r="G4" s="198">
        <v>0</v>
      </c>
      <c r="H4" s="178">
        <f t="shared" si="1"/>
        <v>15</v>
      </c>
      <c r="I4" s="34" t="s">
        <v>32</v>
      </c>
      <c r="J4" s="9">
        <v>20</v>
      </c>
      <c r="K4" s="9">
        <v>35</v>
      </c>
      <c r="L4" s="61">
        <f t="shared" ref="L4" si="2">SUM(J4/K4)*100</f>
        <v>57.142857142857139</v>
      </c>
      <c r="M4" s="9" t="s">
        <v>13</v>
      </c>
      <c r="N4" s="9" t="s">
        <v>13</v>
      </c>
      <c r="O4" s="61" t="s">
        <v>13</v>
      </c>
      <c r="P4" s="9">
        <v>1</v>
      </c>
      <c r="Q4" s="9">
        <v>1</v>
      </c>
      <c r="R4" s="110">
        <v>5</v>
      </c>
      <c r="S4" s="110">
        <v>10</v>
      </c>
      <c r="T4" s="140">
        <v>50</v>
      </c>
      <c r="U4" s="110">
        <v>18</v>
      </c>
      <c r="V4" s="110">
        <v>25</v>
      </c>
      <c r="W4" s="140">
        <f t="shared" ref="W4" si="3">SUM(U4/V4)*100</f>
        <v>72</v>
      </c>
      <c r="X4" s="50"/>
      <c r="Y4" s="50"/>
      <c r="Z4" s="194">
        <v>22</v>
      </c>
      <c r="AA4" s="110">
        <v>42</v>
      </c>
      <c r="AB4" s="140">
        <f t="shared" ref="AB4:AB5" si="4">(Z4/AA4)*100</f>
        <v>52.380952380952387</v>
      </c>
    </row>
    <row r="5" spans="1:33" ht="14.95" customHeight="1" thickBot="1" x14ac:dyDescent="0.3">
      <c r="A5" s="29" t="s">
        <v>78</v>
      </c>
      <c r="B5" s="142">
        <v>1</v>
      </c>
      <c r="C5" s="196">
        <v>0</v>
      </c>
      <c r="D5" s="38">
        <f t="shared" si="0"/>
        <v>1</v>
      </c>
      <c r="E5" s="179" t="s">
        <v>78</v>
      </c>
      <c r="F5" s="177">
        <v>5</v>
      </c>
      <c r="G5" s="198">
        <v>0</v>
      </c>
      <c r="H5" s="178">
        <f t="shared" si="1"/>
        <v>5</v>
      </c>
      <c r="I5" s="34" t="s">
        <v>88</v>
      </c>
      <c r="J5" s="9">
        <v>1</v>
      </c>
      <c r="K5" s="9">
        <v>5</v>
      </c>
      <c r="L5" s="61">
        <f t="shared" ref="L5" si="5">SUM(J5/K5)*100</f>
        <v>20</v>
      </c>
      <c r="M5" s="9">
        <v>0</v>
      </c>
      <c r="N5" s="9">
        <v>4</v>
      </c>
      <c r="O5" s="61">
        <f t="shared" ref="O5" si="6">SUM(M5/N5)*100</f>
        <v>0</v>
      </c>
      <c r="P5" s="9">
        <v>-4</v>
      </c>
      <c r="Q5" s="9">
        <v>-4</v>
      </c>
      <c r="R5" s="110" t="s">
        <v>13</v>
      </c>
      <c r="S5" s="110" t="s">
        <v>13</v>
      </c>
      <c r="T5" s="140" t="s">
        <v>13</v>
      </c>
      <c r="U5" s="110">
        <v>1</v>
      </c>
      <c r="V5" s="110">
        <v>2</v>
      </c>
      <c r="W5" s="140">
        <v>71.428571428571431</v>
      </c>
      <c r="X5" s="50"/>
      <c r="Y5" s="50"/>
      <c r="Z5" s="194">
        <v>8</v>
      </c>
      <c r="AA5" s="110">
        <v>16</v>
      </c>
      <c r="AB5" s="140">
        <f t="shared" si="4"/>
        <v>50</v>
      </c>
    </row>
    <row r="6" spans="1:33" ht="14.95" customHeight="1" thickBot="1" x14ac:dyDescent="0.3">
      <c r="A6" s="29" t="s">
        <v>642</v>
      </c>
      <c r="B6" s="142">
        <v>0</v>
      </c>
      <c r="C6" s="196">
        <v>0</v>
      </c>
      <c r="D6" s="38">
        <f t="shared" si="0"/>
        <v>0</v>
      </c>
      <c r="E6" s="179" t="s">
        <v>642</v>
      </c>
      <c r="F6" s="177">
        <v>0</v>
      </c>
      <c r="G6" s="198">
        <v>0</v>
      </c>
      <c r="H6" s="178">
        <f t="shared" si="1"/>
        <v>0</v>
      </c>
      <c r="I6" s="34" t="s">
        <v>129</v>
      </c>
      <c r="J6" s="9" t="s">
        <v>13</v>
      </c>
      <c r="K6" s="9" t="s">
        <v>13</v>
      </c>
      <c r="L6" s="61" t="s">
        <v>13</v>
      </c>
      <c r="M6" s="9" t="s">
        <v>13</v>
      </c>
      <c r="N6" s="9" t="s">
        <v>13</v>
      </c>
      <c r="O6" s="61" t="s">
        <v>13</v>
      </c>
      <c r="P6" s="9">
        <v>2</v>
      </c>
      <c r="Q6" s="9">
        <v>-1</v>
      </c>
      <c r="R6" s="110">
        <v>2</v>
      </c>
      <c r="S6" s="110">
        <v>3</v>
      </c>
      <c r="T6" s="140">
        <v>66.666666666666657</v>
      </c>
      <c r="U6" s="110" t="s">
        <v>13</v>
      </c>
      <c r="V6" s="110" t="s">
        <v>13</v>
      </c>
      <c r="W6" s="140" t="s">
        <v>13</v>
      </c>
      <c r="X6" s="50"/>
      <c r="Y6" s="50"/>
      <c r="Z6" s="194" t="s">
        <v>13</v>
      </c>
      <c r="AA6" s="110" t="s">
        <v>13</v>
      </c>
      <c r="AB6" s="140" t="s">
        <v>13</v>
      </c>
    </row>
    <row r="7" spans="1:33" ht="14.95" customHeight="1" thickBot="1" x14ac:dyDescent="0.3">
      <c r="A7" s="29" t="s">
        <v>80</v>
      </c>
      <c r="B7" s="142">
        <v>2</v>
      </c>
      <c r="C7" s="196">
        <v>0</v>
      </c>
      <c r="D7" s="38">
        <f t="shared" si="0"/>
        <v>2</v>
      </c>
      <c r="E7" s="179" t="s">
        <v>80</v>
      </c>
      <c r="F7" s="177">
        <v>10</v>
      </c>
      <c r="G7" s="198">
        <v>0</v>
      </c>
      <c r="H7" s="178">
        <f t="shared" si="1"/>
        <v>10</v>
      </c>
      <c r="I7" s="34" t="s">
        <v>103</v>
      </c>
      <c r="J7" s="9" t="s">
        <v>13</v>
      </c>
      <c r="K7" s="9" t="s">
        <v>13</v>
      </c>
      <c r="L7" s="61" t="s">
        <v>13</v>
      </c>
      <c r="M7" s="9" t="s">
        <v>13</v>
      </c>
      <c r="N7" s="9" t="s">
        <v>13</v>
      </c>
      <c r="O7" s="61" t="s">
        <v>13</v>
      </c>
      <c r="P7" s="38">
        <v>-1</v>
      </c>
      <c r="Q7" s="38">
        <v>-1</v>
      </c>
      <c r="R7" s="110" t="s">
        <v>13</v>
      </c>
      <c r="S7" s="110" t="s">
        <v>13</v>
      </c>
      <c r="T7" s="140" t="s">
        <v>13</v>
      </c>
      <c r="U7" s="110" t="s">
        <v>13</v>
      </c>
      <c r="V7" s="110" t="s">
        <v>13</v>
      </c>
      <c r="W7" s="140" t="s">
        <v>13</v>
      </c>
      <c r="X7" s="50"/>
      <c r="Y7" s="50"/>
      <c r="Z7" s="194">
        <v>1</v>
      </c>
      <c r="AA7" s="110">
        <v>2</v>
      </c>
      <c r="AB7" s="140">
        <f t="shared" ref="AB7:AB8" si="7">(Z7/AA7)*100</f>
        <v>50</v>
      </c>
    </row>
    <row r="8" spans="1:33" ht="14.95" customHeight="1" thickBot="1" x14ac:dyDescent="0.3">
      <c r="A8" s="29" t="s">
        <v>81</v>
      </c>
      <c r="B8" s="142">
        <v>0</v>
      </c>
      <c r="C8" s="196">
        <v>1</v>
      </c>
      <c r="D8" s="38">
        <f t="shared" si="0"/>
        <v>1</v>
      </c>
      <c r="E8" s="176" t="s">
        <v>81</v>
      </c>
      <c r="F8" s="177">
        <v>0</v>
      </c>
      <c r="G8" s="198">
        <v>5</v>
      </c>
      <c r="H8" s="178">
        <f t="shared" si="1"/>
        <v>5</v>
      </c>
      <c r="I8" s="34" t="s">
        <v>105</v>
      </c>
      <c r="J8" s="9">
        <v>40</v>
      </c>
      <c r="K8" s="9">
        <v>50</v>
      </c>
      <c r="L8" s="61">
        <f t="shared" ref="L8" si="8">SUM(J8/K8)*100</f>
        <v>80</v>
      </c>
      <c r="M8" s="9">
        <v>3</v>
      </c>
      <c r="N8" s="9">
        <v>5</v>
      </c>
      <c r="O8" s="61">
        <f t="shared" ref="O8" si="9">SUM(M8/N8)*100</f>
        <v>60</v>
      </c>
      <c r="P8" s="9">
        <v>2</v>
      </c>
      <c r="Q8" s="9">
        <v>2</v>
      </c>
      <c r="R8" s="110">
        <v>57</v>
      </c>
      <c r="S8" s="110">
        <v>91</v>
      </c>
      <c r="T8" s="140">
        <v>62.637362637362635</v>
      </c>
      <c r="U8" s="110">
        <v>55</v>
      </c>
      <c r="V8" s="110">
        <v>78</v>
      </c>
      <c r="W8" s="140">
        <f t="shared" ref="W8" si="10">SUM(U8/V8)*100</f>
        <v>70.512820512820511</v>
      </c>
      <c r="X8" s="50"/>
      <c r="Y8" s="50"/>
      <c r="Z8" s="194">
        <v>39</v>
      </c>
      <c r="AA8" s="110">
        <v>64</v>
      </c>
      <c r="AB8" s="140">
        <f t="shared" si="7"/>
        <v>60.9375</v>
      </c>
    </row>
    <row r="9" spans="1:33" ht="14.95" customHeight="1" thickBot="1" x14ac:dyDescent="0.3">
      <c r="A9" s="29" t="s">
        <v>123</v>
      </c>
      <c r="B9" s="142">
        <v>0</v>
      </c>
      <c r="C9" s="196">
        <v>0</v>
      </c>
      <c r="D9" s="38">
        <f t="shared" si="0"/>
        <v>0</v>
      </c>
      <c r="E9" s="176" t="s">
        <v>123</v>
      </c>
      <c r="F9" s="177">
        <v>0</v>
      </c>
      <c r="G9" s="198">
        <v>0</v>
      </c>
      <c r="H9" s="178">
        <f t="shared" si="1"/>
        <v>0</v>
      </c>
      <c r="I9" s="32"/>
      <c r="J9" s="24"/>
      <c r="Q9" s="24"/>
      <c r="R9" s="50"/>
      <c r="S9" s="50"/>
      <c r="T9" s="50"/>
      <c r="U9" s="50"/>
      <c r="V9" s="50"/>
      <c r="W9" s="50"/>
    </row>
    <row r="10" spans="1:33" ht="14.95" customHeight="1" thickBot="1" x14ac:dyDescent="0.3">
      <c r="A10" s="29" t="s">
        <v>466</v>
      </c>
      <c r="B10" s="142">
        <v>0</v>
      </c>
      <c r="C10" s="196">
        <v>0</v>
      </c>
      <c r="D10" s="38">
        <f t="shared" si="0"/>
        <v>0</v>
      </c>
      <c r="E10" s="176" t="s">
        <v>466</v>
      </c>
      <c r="F10" s="177">
        <v>0</v>
      </c>
      <c r="G10" s="198">
        <v>0</v>
      </c>
      <c r="H10" s="178">
        <f t="shared" si="1"/>
        <v>0</v>
      </c>
      <c r="I10" s="253" t="s">
        <v>167</v>
      </c>
      <c r="J10" s="260" t="s">
        <v>12</v>
      </c>
      <c r="K10" s="266"/>
      <c r="L10" s="261"/>
      <c r="M10" s="247" t="s">
        <v>661</v>
      </c>
      <c r="N10" s="248"/>
      <c r="O10" s="249"/>
      <c r="R10" s="50"/>
      <c r="S10" s="50"/>
      <c r="T10" s="50"/>
    </row>
    <row r="11" spans="1:33" ht="14.95" customHeight="1" thickBot="1" x14ac:dyDescent="0.3">
      <c r="A11" s="29" t="s">
        <v>467</v>
      </c>
      <c r="B11" s="142">
        <v>0</v>
      </c>
      <c r="C11" s="196">
        <v>0</v>
      </c>
      <c r="D11" s="38">
        <f t="shared" si="0"/>
        <v>0</v>
      </c>
      <c r="E11" s="176" t="s">
        <v>467</v>
      </c>
      <c r="F11" s="177">
        <v>0</v>
      </c>
      <c r="G11" s="198">
        <v>0</v>
      </c>
      <c r="H11" s="178">
        <f t="shared" si="1"/>
        <v>0</v>
      </c>
      <c r="I11" s="254"/>
      <c r="J11" s="262"/>
      <c r="K11" s="267"/>
      <c r="L11" s="263"/>
      <c r="M11" s="250"/>
      <c r="N11" s="251"/>
      <c r="O11" s="252"/>
    </row>
    <row r="12" spans="1:33" ht="14.95" customHeight="1" thickBot="1" x14ac:dyDescent="0.3">
      <c r="A12" s="29" t="s">
        <v>83</v>
      </c>
      <c r="B12" s="142">
        <v>3</v>
      </c>
      <c r="C12" s="196">
        <v>1</v>
      </c>
      <c r="D12" s="38">
        <f t="shared" si="0"/>
        <v>4</v>
      </c>
      <c r="E12" s="176" t="s">
        <v>83</v>
      </c>
      <c r="F12" s="177">
        <v>15</v>
      </c>
      <c r="G12" s="198">
        <v>5</v>
      </c>
      <c r="H12" s="178">
        <f t="shared" si="1"/>
        <v>20</v>
      </c>
      <c r="I12" s="149" t="s">
        <v>14</v>
      </c>
      <c r="J12" s="2" t="s">
        <v>21</v>
      </c>
      <c r="K12" s="2" t="s">
        <v>7</v>
      </c>
      <c r="L12" s="2" t="s">
        <v>8</v>
      </c>
      <c r="M12" s="110" t="s">
        <v>21</v>
      </c>
      <c r="N12" s="110" t="s">
        <v>7</v>
      </c>
      <c r="O12" s="110" t="s">
        <v>8</v>
      </c>
    </row>
    <row r="13" spans="1:33" ht="14.95" customHeight="1" thickBot="1" x14ac:dyDescent="0.3">
      <c r="A13" s="29" t="s">
        <v>84</v>
      </c>
      <c r="B13" s="142">
        <v>0</v>
      </c>
      <c r="C13" s="196">
        <v>0</v>
      </c>
      <c r="D13" s="38">
        <f t="shared" si="0"/>
        <v>0</v>
      </c>
      <c r="E13" s="176" t="s">
        <v>84</v>
      </c>
      <c r="F13" s="177">
        <v>0</v>
      </c>
      <c r="G13" s="198">
        <v>0</v>
      </c>
      <c r="H13" s="178">
        <f t="shared" si="1"/>
        <v>0</v>
      </c>
      <c r="I13" s="160" t="s">
        <v>88</v>
      </c>
      <c r="J13" s="38">
        <v>2</v>
      </c>
      <c r="K13" s="38">
        <v>4</v>
      </c>
      <c r="L13" s="15">
        <f t="shared" ref="L13:L14" si="11">SUM(J13/K13)*100</f>
        <v>50</v>
      </c>
      <c r="M13" s="110">
        <v>11</v>
      </c>
      <c r="N13" s="110">
        <v>17</v>
      </c>
      <c r="O13" s="140">
        <f t="shared" ref="O13:O15" si="12">SUM(M13/N13)*100</f>
        <v>64.705882352941174</v>
      </c>
    </row>
    <row r="14" spans="1:33" ht="14.95" customHeight="1" thickBot="1" x14ac:dyDescent="0.3">
      <c r="A14" s="29" t="s">
        <v>85</v>
      </c>
      <c r="B14" s="142">
        <v>0</v>
      </c>
      <c r="C14" s="196">
        <v>1</v>
      </c>
      <c r="D14" s="38">
        <f t="shared" si="0"/>
        <v>1</v>
      </c>
      <c r="E14" s="176" t="s">
        <v>85</v>
      </c>
      <c r="F14" s="177">
        <v>0</v>
      </c>
      <c r="G14" s="198">
        <v>5</v>
      </c>
      <c r="H14" s="178">
        <f t="shared" si="1"/>
        <v>5</v>
      </c>
      <c r="I14" s="160" t="s">
        <v>129</v>
      </c>
      <c r="J14" s="38">
        <v>5</v>
      </c>
      <c r="K14" s="38">
        <v>7</v>
      </c>
      <c r="L14" s="15">
        <f t="shared" si="11"/>
        <v>71.428571428571431</v>
      </c>
      <c r="M14" s="110" t="s">
        <v>13</v>
      </c>
      <c r="N14" s="110" t="s">
        <v>13</v>
      </c>
      <c r="O14" s="140" t="s">
        <v>13</v>
      </c>
    </row>
    <row r="15" spans="1:33" ht="14.95" customHeight="1" thickBot="1" x14ac:dyDescent="0.3">
      <c r="A15" s="29" t="s">
        <v>705</v>
      </c>
      <c r="B15" s="142">
        <v>4</v>
      </c>
      <c r="C15" s="196">
        <v>0</v>
      </c>
      <c r="D15" s="38">
        <f t="shared" si="0"/>
        <v>4</v>
      </c>
      <c r="E15" s="176" t="s">
        <v>705</v>
      </c>
      <c r="F15" s="177">
        <v>20</v>
      </c>
      <c r="G15" s="198">
        <v>0</v>
      </c>
      <c r="H15" s="178">
        <f t="shared" si="1"/>
        <v>20</v>
      </c>
      <c r="I15" s="34" t="s">
        <v>105</v>
      </c>
      <c r="J15" s="9" t="s">
        <v>13</v>
      </c>
      <c r="K15" s="9" t="s">
        <v>13</v>
      </c>
      <c r="L15" s="61" t="s">
        <v>13</v>
      </c>
      <c r="M15" s="110">
        <v>2</v>
      </c>
      <c r="N15" s="110">
        <v>3</v>
      </c>
      <c r="O15" s="140">
        <f t="shared" si="12"/>
        <v>66.666666666666657</v>
      </c>
    </row>
    <row r="16" spans="1:33" ht="14.95" customHeight="1" thickBot="1" x14ac:dyDescent="0.3">
      <c r="A16" s="29" t="s">
        <v>640</v>
      </c>
      <c r="B16" s="142">
        <v>0</v>
      </c>
      <c r="C16" s="196">
        <v>0</v>
      </c>
      <c r="D16" s="38">
        <f t="shared" si="0"/>
        <v>0</v>
      </c>
      <c r="E16" s="176" t="s">
        <v>640</v>
      </c>
      <c r="F16" s="177">
        <v>0</v>
      </c>
      <c r="G16" s="198">
        <v>0</v>
      </c>
      <c r="H16" s="178">
        <f t="shared" si="1"/>
        <v>0</v>
      </c>
    </row>
    <row r="17" spans="1:12" ht="14.95" customHeight="1" thickBot="1" x14ac:dyDescent="0.3">
      <c r="A17" s="29" t="s">
        <v>87</v>
      </c>
      <c r="B17" s="142">
        <v>0</v>
      </c>
      <c r="C17" s="196">
        <v>2</v>
      </c>
      <c r="D17" s="38">
        <f t="shared" si="0"/>
        <v>2</v>
      </c>
      <c r="E17" s="176" t="s">
        <v>87</v>
      </c>
      <c r="F17" s="177">
        <v>0</v>
      </c>
      <c r="G17" s="198">
        <v>10</v>
      </c>
      <c r="H17" s="178">
        <f t="shared" si="1"/>
        <v>10</v>
      </c>
      <c r="I17" s="268" t="s">
        <v>436</v>
      </c>
      <c r="J17" s="247" t="s">
        <v>162</v>
      </c>
      <c r="K17" s="248"/>
      <c r="L17" s="249"/>
    </row>
    <row r="18" spans="1:12" ht="14.95" customHeight="1" thickBot="1" x14ac:dyDescent="0.3">
      <c r="A18" s="29" t="s">
        <v>32</v>
      </c>
      <c r="B18" s="142">
        <v>0</v>
      </c>
      <c r="C18" s="196">
        <v>0</v>
      </c>
      <c r="D18" s="38">
        <f t="shared" si="0"/>
        <v>0</v>
      </c>
      <c r="E18" s="176" t="s">
        <v>32</v>
      </c>
      <c r="F18" s="177">
        <v>40</v>
      </c>
      <c r="G18" s="198">
        <v>0</v>
      </c>
      <c r="H18" s="178">
        <f t="shared" si="1"/>
        <v>40</v>
      </c>
      <c r="I18" s="269"/>
      <c r="J18" s="250"/>
      <c r="K18" s="251"/>
      <c r="L18" s="252"/>
    </row>
    <row r="19" spans="1:12" ht="14.95" customHeight="1" thickBot="1" x14ac:dyDescent="0.3">
      <c r="A19" s="29" t="s">
        <v>88</v>
      </c>
      <c r="B19" s="142">
        <v>1</v>
      </c>
      <c r="C19" s="196">
        <v>1</v>
      </c>
      <c r="D19" s="38">
        <f t="shared" si="0"/>
        <v>2</v>
      </c>
      <c r="E19" s="176" t="s">
        <v>88</v>
      </c>
      <c r="F19" s="177">
        <v>7</v>
      </c>
      <c r="G19" s="198">
        <v>9</v>
      </c>
      <c r="H19" s="178">
        <f t="shared" si="1"/>
        <v>16</v>
      </c>
      <c r="I19" s="172" t="s">
        <v>14</v>
      </c>
      <c r="J19" s="110" t="s">
        <v>21</v>
      </c>
      <c r="K19" s="110" t="s">
        <v>7</v>
      </c>
      <c r="L19" s="110" t="s">
        <v>8</v>
      </c>
    </row>
    <row r="20" spans="1:12" ht="14.95" customHeight="1" thickBot="1" x14ac:dyDescent="0.3">
      <c r="A20" s="29" t="s">
        <v>129</v>
      </c>
      <c r="B20" s="142">
        <v>0</v>
      </c>
      <c r="C20" s="196">
        <v>0</v>
      </c>
      <c r="D20" s="38">
        <f t="shared" si="0"/>
        <v>0</v>
      </c>
      <c r="E20" s="176" t="s">
        <v>129</v>
      </c>
      <c r="F20" s="177">
        <v>0</v>
      </c>
      <c r="G20" s="198">
        <v>10</v>
      </c>
      <c r="H20" s="178">
        <f t="shared" si="1"/>
        <v>10</v>
      </c>
      <c r="I20" s="160" t="s">
        <v>88</v>
      </c>
      <c r="J20" s="110" t="s">
        <v>13</v>
      </c>
      <c r="K20" s="110" t="s">
        <v>13</v>
      </c>
      <c r="L20" s="140" t="s">
        <v>13</v>
      </c>
    </row>
    <row r="21" spans="1:12" ht="14.95" customHeight="1" thickBot="1" x14ac:dyDescent="0.3">
      <c r="A21" s="29" t="s">
        <v>89</v>
      </c>
      <c r="B21" s="142">
        <v>7</v>
      </c>
      <c r="C21" s="196">
        <v>0</v>
      </c>
      <c r="D21" s="38">
        <f t="shared" si="0"/>
        <v>7</v>
      </c>
      <c r="E21" s="176" t="s">
        <v>89</v>
      </c>
      <c r="F21" s="177">
        <v>35</v>
      </c>
      <c r="G21" s="198">
        <v>0</v>
      </c>
      <c r="H21" s="178">
        <f t="shared" si="1"/>
        <v>35</v>
      </c>
      <c r="I21" s="34" t="s">
        <v>105</v>
      </c>
      <c r="J21" s="110">
        <v>3</v>
      </c>
      <c r="K21" s="110">
        <v>3</v>
      </c>
      <c r="L21" s="140">
        <f t="shared" ref="L21" si="13">SUM(J21/K21)*100</f>
        <v>100</v>
      </c>
    </row>
    <row r="22" spans="1:12" ht="14.95" customHeight="1" thickBot="1" x14ac:dyDescent="0.3">
      <c r="A22" s="29" t="s">
        <v>90</v>
      </c>
      <c r="B22" s="142">
        <v>1</v>
      </c>
      <c r="C22" s="196">
        <v>0</v>
      </c>
      <c r="D22" s="38">
        <f t="shared" si="0"/>
        <v>1</v>
      </c>
      <c r="E22" s="176" t="s">
        <v>90</v>
      </c>
      <c r="F22" s="177">
        <v>5</v>
      </c>
      <c r="G22" s="198">
        <v>0</v>
      </c>
      <c r="H22" s="178">
        <f t="shared" si="1"/>
        <v>5</v>
      </c>
    </row>
    <row r="23" spans="1:12" ht="14.95" customHeight="1" thickBot="1" x14ac:dyDescent="0.3">
      <c r="A23" s="29" t="s">
        <v>570</v>
      </c>
      <c r="B23" s="142">
        <v>0</v>
      </c>
      <c r="C23" s="196">
        <v>0</v>
      </c>
      <c r="D23" s="38">
        <f t="shared" si="0"/>
        <v>0</v>
      </c>
      <c r="E23" s="176" t="s">
        <v>570</v>
      </c>
      <c r="F23" s="177">
        <v>0</v>
      </c>
      <c r="G23" s="198">
        <v>0</v>
      </c>
      <c r="H23" s="178">
        <f t="shared" si="1"/>
        <v>0</v>
      </c>
    </row>
    <row r="24" spans="1:12" ht="14.95" customHeight="1" thickBot="1" x14ac:dyDescent="0.3">
      <c r="A24" s="29" t="s">
        <v>91</v>
      </c>
      <c r="B24" s="142">
        <v>1</v>
      </c>
      <c r="C24" s="196">
        <v>0</v>
      </c>
      <c r="D24" s="38">
        <f t="shared" si="0"/>
        <v>1</v>
      </c>
      <c r="E24" s="176" t="s">
        <v>91</v>
      </c>
      <c r="F24" s="177">
        <v>5</v>
      </c>
      <c r="G24" s="198">
        <v>0</v>
      </c>
      <c r="H24" s="178">
        <f t="shared" si="1"/>
        <v>5</v>
      </c>
    </row>
    <row r="25" spans="1:12" ht="14.95" customHeight="1" thickBot="1" x14ac:dyDescent="0.3">
      <c r="A25" s="29" t="s">
        <v>386</v>
      </c>
      <c r="B25" s="142">
        <v>0</v>
      </c>
      <c r="C25" s="196">
        <v>0</v>
      </c>
      <c r="D25" s="38">
        <f t="shared" si="0"/>
        <v>0</v>
      </c>
      <c r="E25" s="176" t="s">
        <v>386</v>
      </c>
      <c r="F25" s="177">
        <v>0</v>
      </c>
      <c r="G25" s="198">
        <v>0</v>
      </c>
      <c r="H25" s="178">
        <f t="shared" si="1"/>
        <v>0</v>
      </c>
    </row>
    <row r="26" spans="1:12" ht="14.95" customHeight="1" thickBot="1" x14ac:dyDescent="0.3">
      <c r="A26" s="29" t="s">
        <v>93</v>
      </c>
      <c r="B26" s="142">
        <v>6</v>
      </c>
      <c r="C26" s="196">
        <v>0</v>
      </c>
      <c r="D26" s="38">
        <f t="shared" si="0"/>
        <v>6</v>
      </c>
      <c r="E26" s="176" t="s">
        <v>93</v>
      </c>
      <c r="F26" s="177">
        <v>30</v>
      </c>
      <c r="G26" s="198">
        <v>0</v>
      </c>
      <c r="H26" s="178">
        <f t="shared" si="1"/>
        <v>30</v>
      </c>
    </row>
    <row r="27" spans="1:12" ht="14.95" customHeight="1" thickBot="1" x14ac:dyDescent="0.3">
      <c r="A27" s="29" t="s">
        <v>94</v>
      </c>
      <c r="B27" s="142">
        <v>2</v>
      </c>
      <c r="C27" s="196">
        <v>0</v>
      </c>
      <c r="D27" s="38">
        <f t="shared" si="0"/>
        <v>2</v>
      </c>
      <c r="E27" s="176" t="s">
        <v>94</v>
      </c>
      <c r="F27" s="177">
        <v>10</v>
      </c>
      <c r="G27" s="198">
        <v>0</v>
      </c>
      <c r="H27" s="178">
        <f t="shared" si="1"/>
        <v>10</v>
      </c>
    </row>
    <row r="28" spans="1:12" ht="14.95" customHeight="1" thickBot="1" x14ac:dyDescent="0.3">
      <c r="A28" s="29" t="s">
        <v>469</v>
      </c>
      <c r="B28" s="142">
        <v>2</v>
      </c>
      <c r="C28" s="196">
        <v>0</v>
      </c>
      <c r="D28" s="38">
        <f t="shared" si="0"/>
        <v>2</v>
      </c>
      <c r="E28" s="176" t="s">
        <v>15</v>
      </c>
      <c r="F28" s="177">
        <v>10</v>
      </c>
      <c r="G28" s="198">
        <v>0</v>
      </c>
      <c r="H28" s="178">
        <f t="shared" si="1"/>
        <v>10</v>
      </c>
    </row>
    <row r="29" spans="1:12" ht="14.95" customHeight="1" thickBot="1" x14ac:dyDescent="0.3">
      <c r="A29" s="29" t="s">
        <v>96</v>
      </c>
      <c r="B29" s="142">
        <v>7</v>
      </c>
      <c r="C29" s="196">
        <v>0</v>
      </c>
      <c r="D29" s="38">
        <f t="shared" si="0"/>
        <v>7</v>
      </c>
      <c r="E29" s="176" t="s">
        <v>96</v>
      </c>
      <c r="F29" s="177">
        <v>35</v>
      </c>
      <c r="G29" s="198">
        <v>0</v>
      </c>
      <c r="H29" s="178">
        <f t="shared" si="1"/>
        <v>35</v>
      </c>
    </row>
    <row r="30" spans="1:12" ht="14.95" customHeight="1" thickBot="1" x14ac:dyDescent="0.3">
      <c r="A30" s="29" t="s">
        <v>97</v>
      </c>
      <c r="B30" s="142">
        <v>0</v>
      </c>
      <c r="C30" s="196">
        <v>0</v>
      </c>
      <c r="D30" s="38">
        <f t="shared" si="0"/>
        <v>0</v>
      </c>
      <c r="E30" s="176" t="s">
        <v>97</v>
      </c>
      <c r="F30" s="177">
        <v>0</v>
      </c>
      <c r="G30" s="198">
        <v>0</v>
      </c>
      <c r="H30" s="178">
        <f t="shared" si="1"/>
        <v>0</v>
      </c>
    </row>
    <row r="31" spans="1:12" ht="14.95" customHeight="1" thickBot="1" x14ac:dyDescent="0.3">
      <c r="A31" s="29" t="s">
        <v>98</v>
      </c>
      <c r="B31" s="142">
        <v>5</v>
      </c>
      <c r="C31" s="196">
        <v>0</v>
      </c>
      <c r="D31" s="38">
        <f t="shared" si="0"/>
        <v>5</v>
      </c>
      <c r="E31" s="176" t="s">
        <v>98</v>
      </c>
      <c r="F31" s="177">
        <v>25</v>
      </c>
      <c r="G31" s="198">
        <v>0</v>
      </c>
      <c r="H31" s="178">
        <f t="shared" si="1"/>
        <v>25</v>
      </c>
    </row>
    <row r="32" spans="1:12" ht="14.95" customHeight="1" thickBot="1" x14ac:dyDescent="0.3">
      <c r="A32" s="29" t="s">
        <v>388</v>
      </c>
      <c r="B32" s="142">
        <v>6</v>
      </c>
      <c r="C32" s="196">
        <v>0</v>
      </c>
      <c r="D32" s="38">
        <f t="shared" si="0"/>
        <v>6</v>
      </c>
      <c r="E32" s="176" t="s">
        <v>388</v>
      </c>
      <c r="F32" s="177">
        <v>30</v>
      </c>
      <c r="G32" s="198">
        <v>0</v>
      </c>
      <c r="H32" s="178">
        <f t="shared" si="1"/>
        <v>30</v>
      </c>
    </row>
    <row r="33" spans="1:8" ht="14.95" customHeight="1" thickBot="1" x14ac:dyDescent="0.3">
      <c r="A33" s="29" t="s">
        <v>99</v>
      </c>
      <c r="B33" s="142">
        <v>3</v>
      </c>
      <c r="C33" s="196">
        <v>0</v>
      </c>
      <c r="D33" s="38">
        <f t="shared" si="0"/>
        <v>3</v>
      </c>
      <c r="E33" s="176" t="s">
        <v>99</v>
      </c>
      <c r="F33" s="177">
        <v>15</v>
      </c>
      <c r="G33" s="198">
        <v>0</v>
      </c>
      <c r="H33" s="178">
        <f t="shared" si="1"/>
        <v>15</v>
      </c>
    </row>
    <row r="34" spans="1:8" ht="14.95" customHeight="1" thickBot="1" x14ac:dyDescent="0.3">
      <c r="A34" s="29" t="s">
        <v>100</v>
      </c>
      <c r="B34" s="142">
        <v>4</v>
      </c>
      <c r="C34" s="196">
        <v>0</v>
      </c>
      <c r="D34" s="38">
        <f t="shared" si="0"/>
        <v>4</v>
      </c>
      <c r="E34" s="176" t="s">
        <v>100</v>
      </c>
      <c r="F34" s="177">
        <v>20</v>
      </c>
      <c r="G34" s="198">
        <v>0</v>
      </c>
      <c r="H34" s="178">
        <f t="shared" si="1"/>
        <v>20</v>
      </c>
    </row>
    <row r="35" spans="1:8" ht="14.95" customHeight="1" thickBot="1" x14ac:dyDescent="0.3">
      <c r="A35" s="29" t="s">
        <v>4</v>
      </c>
      <c r="B35" s="142">
        <v>1</v>
      </c>
      <c r="C35" s="196">
        <v>0</v>
      </c>
      <c r="D35" s="38">
        <f t="shared" si="0"/>
        <v>1</v>
      </c>
      <c r="E35" s="176" t="s">
        <v>4</v>
      </c>
      <c r="F35" s="177">
        <v>7</v>
      </c>
      <c r="G35" s="198">
        <v>0</v>
      </c>
      <c r="H35" s="178">
        <f t="shared" si="1"/>
        <v>7</v>
      </c>
    </row>
    <row r="36" spans="1:8" ht="14.95" customHeight="1" thickBot="1" x14ac:dyDescent="0.3">
      <c r="A36" s="29" t="s">
        <v>215</v>
      </c>
      <c r="B36" s="142">
        <v>2</v>
      </c>
      <c r="C36" s="196">
        <v>0</v>
      </c>
      <c r="D36" s="38">
        <f t="shared" si="0"/>
        <v>2</v>
      </c>
      <c r="E36" s="176" t="s">
        <v>215</v>
      </c>
      <c r="F36" s="177">
        <v>10</v>
      </c>
      <c r="G36" s="198">
        <v>0</v>
      </c>
      <c r="H36" s="178">
        <f t="shared" si="1"/>
        <v>10</v>
      </c>
    </row>
    <row r="37" spans="1:8" ht="14.95" customHeight="1" thickBot="1" x14ac:dyDescent="0.3">
      <c r="A37" s="29" t="s">
        <v>781</v>
      </c>
      <c r="B37" s="142">
        <v>1</v>
      </c>
      <c r="C37" s="196">
        <v>0</v>
      </c>
      <c r="D37" s="38">
        <f t="shared" si="0"/>
        <v>1</v>
      </c>
      <c r="E37" s="176" t="s">
        <v>782</v>
      </c>
      <c r="F37" s="177">
        <v>5</v>
      </c>
      <c r="G37" s="198">
        <v>0</v>
      </c>
      <c r="H37" s="178">
        <f t="shared" si="1"/>
        <v>5</v>
      </c>
    </row>
    <row r="38" spans="1:8" ht="14.95" customHeight="1" thickBot="1" x14ac:dyDescent="0.3">
      <c r="A38" s="29" t="s">
        <v>533</v>
      </c>
      <c r="B38" s="142">
        <v>1</v>
      </c>
      <c r="C38" s="196">
        <v>0</v>
      </c>
      <c r="D38" s="38">
        <f t="shared" si="0"/>
        <v>1</v>
      </c>
      <c r="E38" s="176" t="s">
        <v>533</v>
      </c>
      <c r="F38" s="177">
        <v>5</v>
      </c>
      <c r="G38" s="198">
        <v>0</v>
      </c>
      <c r="H38" s="178">
        <f t="shared" si="1"/>
        <v>5</v>
      </c>
    </row>
    <row r="39" spans="1:8" ht="14.95" customHeight="1" thickBot="1" x14ac:dyDescent="0.3">
      <c r="A39" s="29" t="s">
        <v>102</v>
      </c>
      <c r="B39" s="142">
        <v>0</v>
      </c>
      <c r="C39" s="196">
        <v>0</v>
      </c>
      <c r="D39" s="38">
        <f t="shared" si="0"/>
        <v>0</v>
      </c>
      <c r="E39" s="176" t="s">
        <v>102</v>
      </c>
      <c r="F39" s="177">
        <v>0</v>
      </c>
      <c r="G39" s="198">
        <v>0</v>
      </c>
      <c r="H39" s="178">
        <f t="shared" si="1"/>
        <v>0</v>
      </c>
    </row>
    <row r="40" spans="1:8" ht="14.95" customHeight="1" thickBot="1" x14ac:dyDescent="0.3">
      <c r="A40" s="29" t="s">
        <v>470</v>
      </c>
      <c r="B40" s="142">
        <v>0</v>
      </c>
      <c r="C40" s="196">
        <v>0</v>
      </c>
      <c r="D40" s="38">
        <f t="shared" si="0"/>
        <v>0</v>
      </c>
      <c r="E40" s="176" t="s">
        <v>470</v>
      </c>
      <c r="F40" s="177">
        <v>0</v>
      </c>
      <c r="G40" s="198">
        <v>0</v>
      </c>
      <c r="H40" s="178">
        <f t="shared" si="1"/>
        <v>0</v>
      </c>
    </row>
    <row r="41" spans="1:8" ht="14.95" customHeight="1" thickBot="1" x14ac:dyDescent="0.3">
      <c r="A41" s="29" t="s">
        <v>103</v>
      </c>
      <c r="B41" s="142">
        <v>0</v>
      </c>
      <c r="C41" s="196">
        <v>0</v>
      </c>
      <c r="D41" s="38">
        <f t="shared" si="0"/>
        <v>0</v>
      </c>
      <c r="E41" s="176" t="s">
        <v>103</v>
      </c>
      <c r="F41" s="177">
        <v>0</v>
      </c>
      <c r="G41" s="198">
        <v>0</v>
      </c>
      <c r="H41" s="178">
        <f t="shared" si="1"/>
        <v>0</v>
      </c>
    </row>
    <row r="42" spans="1:8" ht="14.95" customHeight="1" thickBot="1" x14ac:dyDescent="0.3">
      <c r="A42" s="29" t="s">
        <v>104</v>
      </c>
      <c r="B42" s="142">
        <v>0</v>
      </c>
      <c r="C42" s="196">
        <v>0</v>
      </c>
      <c r="D42" s="38">
        <f t="shared" si="0"/>
        <v>0</v>
      </c>
      <c r="E42" s="176" t="s">
        <v>104</v>
      </c>
      <c r="F42" s="177">
        <v>0</v>
      </c>
      <c r="G42" s="198">
        <v>0</v>
      </c>
      <c r="H42" s="178">
        <f t="shared" si="1"/>
        <v>0</v>
      </c>
    </row>
    <row r="43" spans="1:8" ht="14.95" customHeight="1" thickBot="1" x14ac:dyDescent="0.3">
      <c r="A43" s="29" t="s">
        <v>568</v>
      </c>
      <c r="B43" s="142">
        <v>3</v>
      </c>
      <c r="C43" s="196">
        <v>0</v>
      </c>
      <c r="D43" s="38">
        <f t="shared" si="0"/>
        <v>3</v>
      </c>
      <c r="E43" s="176" t="s">
        <v>568</v>
      </c>
      <c r="F43" s="177">
        <v>15</v>
      </c>
      <c r="G43" s="198">
        <v>0</v>
      </c>
      <c r="H43" s="178">
        <f t="shared" si="1"/>
        <v>15</v>
      </c>
    </row>
    <row r="44" spans="1:8" ht="14.95" customHeight="1" thickBot="1" x14ac:dyDescent="0.3">
      <c r="A44" s="29" t="s">
        <v>629</v>
      </c>
      <c r="B44" s="142">
        <v>1</v>
      </c>
      <c r="C44" s="196">
        <v>0</v>
      </c>
      <c r="D44" s="38">
        <f t="shared" si="0"/>
        <v>1</v>
      </c>
      <c r="E44" s="176" t="s">
        <v>629</v>
      </c>
      <c r="F44" s="177">
        <v>5</v>
      </c>
      <c r="G44" s="198">
        <v>0</v>
      </c>
      <c r="H44" s="178">
        <f t="shared" si="1"/>
        <v>5</v>
      </c>
    </row>
    <row r="45" spans="1:8" ht="14.95" thickBot="1" x14ac:dyDescent="0.3">
      <c r="A45" s="29" t="s">
        <v>105</v>
      </c>
      <c r="B45" s="142">
        <v>5</v>
      </c>
      <c r="C45" s="196">
        <v>0</v>
      </c>
      <c r="D45" s="38">
        <f t="shared" si="0"/>
        <v>5</v>
      </c>
      <c r="E45" s="176" t="s">
        <v>105</v>
      </c>
      <c r="F45" s="177">
        <v>105</v>
      </c>
      <c r="G45" s="198">
        <v>0</v>
      </c>
      <c r="H45" s="178">
        <f t="shared" si="1"/>
        <v>105</v>
      </c>
    </row>
    <row r="46" spans="1:8" ht="14.95" thickBot="1" x14ac:dyDescent="0.3">
      <c r="A46" s="29" t="s">
        <v>703</v>
      </c>
      <c r="B46" s="142">
        <v>1</v>
      </c>
      <c r="C46" s="196">
        <v>0</v>
      </c>
      <c r="D46" s="38">
        <f t="shared" si="0"/>
        <v>1</v>
      </c>
      <c r="E46" s="176" t="s">
        <v>703</v>
      </c>
      <c r="F46" s="177">
        <v>5</v>
      </c>
      <c r="G46" s="198">
        <v>0</v>
      </c>
      <c r="H46" s="178">
        <f t="shared" si="1"/>
        <v>5</v>
      </c>
    </row>
    <row r="47" spans="1:8" ht="14.95" customHeight="1" thickBot="1" x14ac:dyDescent="0.3">
      <c r="A47" s="29" t="s">
        <v>220</v>
      </c>
      <c r="B47" s="142">
        <v>0</v>
      </c>
      <c r="C47" s="196">
        <v>0</v>
      </c>
      <c r="D47" s="38">
        <f t="shared" si="0"/>
        <v>0</v>
      </c>
      <c r="E47" s="176" t="s">
        <v>220</v>
      </c>
      <c r="F47" s="177">
        <v>0</v>
      </c>
      <c r="G47" s="198">
        <v>0</v>
      </c>
      <c r="H47" s="178">
        <f t="shared" si="1"/>
        <v>0</v>
      </c>
    </row>
    <row r="48" spans="1:8" ht="14.95" customHeight="1" thickBot="1" x14ac:dyDescent="0.3">
      <c r="A48" s="29" t="s">
        <v>106</v>
      </c>
      <c r="B48" s="142">
        <v>4</v>
      </c>
      <c r="C48" s="196">
        <v>0</v>
      </c>
      <c r="D48" s="38">
        <f t="shared" si="0"/>
        <v>4</v>
      </c>
      <c r="E48" s="176" t="s">
        <v>106</v>
      </c>
      <c r="F48" s="177">
        <v>20</v>
      </c>
      <c r="G48" s="198">
        <v>0</v>
      </c>
      <c r="H48" s="178">
        <f t="shared" si="1"/>
        <v>20</v>
      </c>
    </row>
    <row r="49" spans="1:8" ht="14.95" customHeight="1" thickBot="1" x14ac:dyDescent="0.3">
      <c r="A49" s="29" t="s">
        <v>107</v>
      </c>
      <c r="B49" s="142">
        <v>11</v>
      </c>
      <c r="C49" s="196">
        <v>4</v>
      </c>
      <c r="D49" s="38">
        <f t="shared" si="0"/>
        <v>15</v>
      </c>
      <c r="E49" s="176" t="s">
        <v>107</v>
      </c>
      <c r="F49" s="177">
        <v>55</v>
      </c>
      <c r="G49" s="198">
        <v>20</v>
      </c>
      <c r="H49" s="178">
        <f t="shared" si="1"/>
        <v>75</v>
      </c>
    </row>
    <row r="50" spans="1:8" ht="14.95" customHeight="1" thickBot="1" x14ac:dyDescent="0.3">
      <c r="A50" s="29" t="s">
        <v>403</v>
      </c>
      <c r="B50" s="142">
        <v>0</v>
      </c>
      <c r="C50" s="196">
        <v>0</v>
      </c>
      <c r="D50" s="38">
        <f t="shared" si="0"/>
        <v>0</v>
      </c>
      <c r="E50" s="176" t="s">
        <v>403</v>
      </c>
      <c r="F50" s="177">
        <v>0</v>
      </c>
      <c r="G50" s="198">
        <v>0</v>
      </c>
      <c r="H50" s="178">
        <f t="shared" si="1"/>
        <v>0</v>
      </c>
    </row>
    <row r="51" spans="1:8" ht="14.95" customHeight="1" thickBot="1" x14ac:dyDescent="0.3">
      <c r="A51" s="29" t="s">
        <v>5</v>
      </c>
      <c r="B51" s="142">
        <v>4</v>
      </c>
      <c r="C51" s="196">
        <v>0</v>
      </c>
      <c r="D51" s="38">
        <f t="shared" ref="D51:D53" si="14">SUM(B51:C51)</f>
        <v>4</v>
      </c>
      <c r="E51" s="176" t="s">
        <v>5</v>
      </c>
      <c r="F51" s="177">
        <v>20</v>
      </c>
      <c r="G51" s="198">
        <v>0</v>
      </c>
      <c r="H51" s="178">
        <f t="shared" ref="H51:H53" si="15">SUM(F51:G51)</f>
        <v>20</v>
      </c>
    </row>
    <row r="52" spans="1:8" ht="14.95" thickBot="1" x14ac:dyDescent="0.3">
      <c r="A52" s="29" t="s">
        <v>681</v>
      </c>
      <c r="B52" s="142">
        <v>0</v>
      </c>
      <c r="C52" s="196">
        <v>1</v>
      </c>
      <c r="D52" s="38">
        <f t="shared" si="14"/>
        <v>1</v>
      </c>
      <c r="E52" s="176" t="s">
        <v>681</v>
      </c>
      <c r="F52" s="177">
        <v>0</v>
      </c>
      <c r="G52" s="198">
        <v>5</v>
      </c>
      <c r="H52" s="178">
        <f t="shared" si="15"/>
        <v>5</v>
      </c>
    </row>
    <row r="53" spans="1:8" ht="14.95" thickBot="1" x14ac:dyDescent="0.3">
      <c r="A53" s="29" t="s">
        <v>566</v>
      </c>
      <c r="B53" s="142">
        <v>0</v>
      </c>
      <c r="C53" s="196">
        <v>0</v>
      </c>
      <c r="D53" s="38">
        <f t="shared" si="14"/>
        <v>0</v>
      </c>
      <c r="E53" s="176" t="s">
        <v>566</v>
      </c>
      <c r="F53" s="177">
        <v>0</v>
      </c>
      <c r="G53" s="198">
        <v>0</v>
      </c>
      <c r="H53" s="178">
        <f t="shared" si="15"/>
        <v>0</v>
      </c>
    </row>
    <row r="54" spans="1:8" ht="14.95" thickBot="1" x14ac:dyDescent="0.3">
      <c r="A54" s="29" t="s">
        <v>3</v>
      </c>
      <c r="B54" s="142">
        <f>SUM(B3:B53)</f>
        <v>92</v>
      </c>
      <c r="C54" s="196">
        <f>SUM(C3:C53)</f>
        <v>11</v>
      </c>
      <c r="D54" s="38">
        <f>SUM(D3:D53)</f>
        <v>103</v>
      </c>
      <c r="E54" s="176" t="s">
        <v>3</v>
      </c>
      <c r="F54" s="177">
        <f>SUM(F3:F53)</f>
        <v>584</v>
      </c>
      <c r="G54" s="198">
        <f>SUM(G3:G53)</f>
        <v>69</v>
      </c>
      <c r="H54" s="178">
        <f>SUM(H3:H53)</f>
        <v>653</v>
      </c>
    </row>
    <row r="55" spans="1:8" x14ac:dyDescent="0.25">
      <c r="A55" s="255"/>
      <c r="B55" s="256"/>
      <c r="C55" s="256"/>
      <c r="D55" s="256"/>
      <c r="E55" s="256"/>
      <c r="F55" s="256"/>
      <c r="G55" s="88"/>
      <c r="H55" s="23"/>
    </row>
    <row r="56" spans="1:8" ht="14.95" thickBot="1" x14ac:dyDescent="0.3">
      <c r="A56" t="s">
        <v>10</v>
      </c>
      <c r="B56" s="56"/>
      <c r="C56" s="56"/>
      <c r="D56" s="31"/>
      <c r="E56" s="19"/>
      <c r="F56" s="57"/>
      <c r="G56" s="57"/>
      <c r="H56" s="88"/>
    </row>
    <row r="57" spans="1:8" ht="14.95" thickBot="1" x14ac:dyDescent="0.3">
      <c r="A57" s="53" t="s">
        <v>0</v>
      </c>
      <c r="B57" s="141" t="s">
        <v>161</v>
      </c>
      <c r="C57" s="195" t="s">
        <v>167</v>
      </c>
      <c r="D57" s="54" t="s">
        <v>1</v>
      </c>
      <c r="E57" s="174" t="s">
        <v>2</v>
      </c>
      <c r="F57" s="173" t="s">
        <v>161</v>
      </c>
      <c r="G57" s="197" t="s">
        <v>167</v>
      </c>
      <c r="H57" s="175" t="s">
        <v>1</v>
      </c>
    </row>
    <row r="58" spans="1:8" ht="14.95" thickBot="1" x14ac:dyDescent="0.3">
      <c r="A58" s="29" t="s">
        <v>107</v>
      </c>
      <c r="B58" s="142">
        <v>11</v>
      </c>
      <c r="C58" s="196">
        <v>4</v>
      </c>
      <c r="D58" s="38">
        <f>SUM(B58:C58)</f>
        <v>15</v>
      </c>
      <c r="E58" s="176" t="s">
        <v>105</v>
      </c>
      <c r="F58" s="177">
        <v>105</v>
      </c>
      <c r="G58" s="198">
        <v>0</v>
      </c>
      <c r="H58" s="178">
        <f>SUM(F58:G58)</f>
        <v>105</v>
      </c>
    </row>
    <row r="59" spans="1:8" ht="14.95" thickBot="1" x14ac:dyDescent="0.3">
      <c r="A59" s="29" t="s">
        <v>89</v>
      </c>
      <c r="B59" s="142">
        <v>7</v>
      </c>
      <c r="C59" s="196">
        <v>0</v>
      </c>
      <c r="D59" s="38">
        <f>SUM(B59:C59)</f>
        <v>7</v>
      </c>
      <c r="E59" s="179" t="s">
        <v>107</v>
      </c>
      <c r="F59" s="177">
        <v>55</v>
      </c>
      <c r="G59" s="198">
        <v>20</v>
      </c>
      <c r="H59" s="178">
        <f>SUM(F59:G59)</f>
        <v>75</v>
      </c>
    </row>
    <row r="60" spans="1:8" ht="14.95" thickBot="1" x14ac:dyDescent="0.3">
      <c r="A60" s="29" t="s">
        <v>96</v>
      </c>
      <c r="B60" s="142">
        <v>7</v>
      </c>
      <c r="C60" s="196">
        <v>0</v>
      </c>
      <c r="D60" s="38">
        <f>SUM(B60:C60)</f>
        <v>7</v>
      </c>
      <c r="E60" s="179" t="s">
        <v>32</v>
      </c>
      <c r="F60" s="177">
        <v>40</v>
      </c>
      <c r="G60" s="198">
        <v>0</v>
      </c>
      <c r="H60" s="178">
        <f>SUM(F60:G60)</f>
        <v>40</v>
      </c>
    </row>
    <row r="61" spans="1:8" ht="14.95" thickBot="1" x14ac:dyDescent="0.3">
      <c r="A61" s="29" t="s">
        <v>93</v>
      </c>
      <c r="B61" s="142">
        <v>6</v>
      </c>
      <c r="C61" s="196">
        <v>0</v>
      </c>
      <c r="D61" s="38">
        <f>SUM(B61:C61)</f>
        <v>6</v>
      </c>
      <c r="E61" s="179" t="s">
        <v>89</v>
      </c>
      <c r="F61" s="177">
        <v>35</v>
      </c>
      <c r="G61" s="198">
        <v>0</v>
      </c>
      <c r="H61" s="178">
        <f>SUM(F61:G61)</f>
        <v>35</v>
      </c>
    </row>
    <row r="62" spans="1:8" ht="14.95" thickBot="1" x14ac:dyDescent="0.3">
      <c r="A62" s="29" t="s">
        <v>388</v>
      </c>
      <c r="B62" s="142">
        <v>6</v>
      </c>
      <c r="C62" s="196">
        <v>0</v>
      </c>
      <c r="D62" s="38">
        <f>SUM(B62:C62)</f>
        <v>6</v>
      </c>
      <c r="E62" s="179" t="s">
        <v>96</v>
      </c>
      <c r="F62" s="177">
        <v>35</v>
      </c>
      <c r="G62" s="198">
        <v>0</v>
      </c>
      <c r="H62" s="178">
        <f>SUM(F62:G62)</f>
        <v>35</v>
      </c>
    </row>
    <row r="63" spans="1:8" ht="14.95" thickBot="1" x14ac:dyDescent="0.3">
      <c r="A63" s="29" t="s">
        <v>98</v>
      </c>
      <c r="B63" s="142">
        <v>5</v>
      </c>
      <c r="C63" s="196">
        <v>0</v>
      </c>
      <c r="D63" s="38">
        <f>SUM(B63:C63)</f>
        <v>5</v>
      </c>
      <c r="E63" s="176" t="s">
        <v>93</v>
      </c>
      <c r="F63" s="177">
        <v>30</v>
      </c>
      <c r="G63" s="198">
        <v>0</v>
      </c>
      <c r="H63" s="178">
        <f>SUM(F63:G63)</f>
        <v>30</v>
      </c>
    </row>
    <row r="64" spans="1:8" ht="14.95" thickBot="1" x14ac:dyDescent="0.3">
      <c r="A64" s="29" t="s">
        <v>105</v>
      </c>
      <c r="B64" s="142">
        <v>5</v>
      </c>
      <c r="C64" s="196">
        <v>0</v>
      </c>
      <c r="D64" s="38">
        <f>SUM(B64:C64)</f>
        <v>5</v>
      </c>
      <c r="E64" s="176" t="s">
        <v>388</v>
      </c>
      <c r="F64" s="177">
        <v>30</v>
      </c>
      <c r="G64" s="198">
        <v>0</v>
      </c>
      <c r="H64" s="178">
        <f>SUM(F64:G64)</f>
        <v>30</v>
      </c>
    </row>
    <row r="65" spans="1:8" ht="14.95" thickBot="1" x14ac:dyDescent="0.3">
      <c r="A65" s="29" t="s">
        <v>83</v>
      </c>
      <c r="B65" s="142">
        <v>3</v>
      </c>
      <c r="C65" s="196">
        <v>1</v>
      </c>
      <c r="D65" s="38">
        <f>SUM(B65:C65)</f>
        <v>4</v>
      </c>
      <c r="E65" s="176" t="s">
        <v>98</v>
      </c>
      <c r="F65" s="177">
        <v>25</v>
      </c>
      <c r="G65" s="198">
        <v>0</v>
      </c>
      <c r="H65" s="178">
        <f>SUM(F65:G65)</f>
        <v>25</v>
      </c>
    </row>
    <row r="66" spans="1:8" ht="14.95" thickBot="1" x14ac:dyDescent="0.3">
      <c r="A66" s="29" t="s">
        <v>705</v>
      </c>
      <c r="B66" s="142">
        <v>4</v>
      </c>
      <c r="C66" s="196">
        <v>0</v>
      </c>
      <c r="D66" s="38">
        <f>SUM(B66:C66)</f>
        <v>4</v>
      </c>
      <c r="E66" s="176" t="s">
        <v>83</v>
      </c>
      <c r="F66" s="177">
        <v>15</v>
      </c>
      <c r="G66" s="198">
        <v>5</v>
      </c>
      <c r="H66" s="178">
        <f>SUM(F66:G66)</f>
        <v>20</v>
      </c>
    </row>
    <row r="67" spans="1:8" ht="14.95" thickBot="1" x14ac:dyDescent="0.3">
      <c r="A67" s="29" t="s">
        <v>100</v>
      </c>
      <c r="B67" s="142">
        <v>4</v>
      </c>
      <c r="C67" s="196">
        <v>0</v>
      </c>
      <c r="D67" s="38">
        <f>SUM(B67:C67)</f>
        <v>4</v>
      </c>
      <c r="E67" s="176" t="s">
        <v>705</v>
      </c>
      <c r="F67" s="177">
        <v>20</v>
      </c>
      <c r="G67" s="198">
        <v>0</v>
      </c>
      <c r="H67" s="178">
        <f>SUM(F67:G67)</f>
        <v>20</v>
      </c>
    </row>
    <row r="68" spans="1:8" ht="14.95" thickBot="1" x14ac:dyDescent="0.3">
      <c r="A68" s="29" t="s">
        <v>106</v>
      </c>
      <c r="B68" s="142">
        <v>4</v>
      </c>
      <c r="C68" s="196">
        <v>0</v>
      </c>
      <c r="D68" s="38">
        <f>SUM(B68:C68)</f>
        <v>4</v>
      </c>
      <c r="E68" s="176" t="s">
        <v>100</v>
      </c>
      <c r="F68" s="177">
        <v>20</v>
      </c>
      <c r="G68" s="198">
        <v>0</v>
      </c>
      <c r="H68" s="178">
        <f>SUM(F68:G68)</f>
        <v>20</v>
      </c>
    </row>
    <row r="69" spans="1:8" ht="14.95" thickBot="1" x14ac:dyDescent="0.3">
      <c r="A69" s="29" t="s">
        <v>5</v>
      </c>
      <c r="B69" s="142">
        <v>4</v>
      </c>
      <c r="C69" s="196">
        <v>0</v>
      </c>
      <c r="D69" s="38">
        <f>SUM(B69:C69)</f>
        <v>4</v>
      </c>
      <c r="E69" s="176" t="s">
        <v>106</v>
      </c>
      <c r="F69" s="177">
        <v>20</v>
      </c>
      <c r="G69" s="198">
        <v>0</v>
      </c>
      <c r="H69" s="178">
        <f>SUM(F69:G69)</f>
        <v>20</v>
      </c>
    </row>
    <row r="70" spans="1:8" ht="14.95" thickBot="1" x14ac:dyDescent="0.3">
      <c r="A70" s="29" t="s">
        <v>77</v>
      </c>
      <c r="B70" s="142">
        <v>3</v>
      </c>
      <c r="C70" s="196">
        <v>0</v>
      </c>
      <c r="D70" s="38">
        <f>SUM(B70:C70)</f>
        <v>3</v>
      </c>
      <c r="E70" s="176" t="s">
        <v>5</v>
      </c>
      <c r="F70" s="177">
        <v>20</v>
      </c>
      <c r="G70" s="198">
        <v>0</v>
      </c>
      <c r="H70" s="178">
        <f>SUM(F70:G70)</f>
        <v>20</v>
      </c>
    </row>
    <row r="71" spans="1:8" ht="14.95" thickBot="1" x14ac:dyDescent="0.3">
      <c r="A71" s="29" t="s">
        <v>99</v>
      </c>
      <c r="B71" s="142">
        <v>3</v>
      </c>
      <c r="C71" s="196">
        <v>0</v>
      </c>
      <c r="D71" s="38">
        <f>SUM(B71:C71)</f>
        <v>3</v>
      </c>
      <c r="E71" s="176" t="s">
        <v>88</v>
      </c>
      <c r="F71" s="177">
        <v>7</v>
      </c>
      <c r="G71" s="198">
        <v>9</v>
      </c>
      <c r="H71" s="178">
        <f>SUM(F71:G71)</f>
        <v>16</v>
      </c>
    </row>
    <row r="72" spans="1:8" ht="14.95" thickBot="1" x14ac:dyDescent="0.3">
      <c r="A72" s="29" t="s">
        <v>568</v>
      </c>
      <c r="B72" s="142">
        <v>3</v>
      </c>
      <c r="C72" s="196">
        <v>0</v>
      </c>
      <c r="D72" s="38">
        <f>SUM(B72:C72)</f>
        <v>3</v>
      </c>
      <c r="E72" s="176" t="s">
        <v>77</v>
      </c>
      <c r="F72" s="177">
        <v>15</v>
      </c>
      <c r="G72" s="198">
        <v>0</v>
      </c>
      <c r="H72" s="178">
        <f>SUM(F72:G72)</f>
        <v>15</v>
      </c>
    </row>
    <row r="73" spans="1:8" ht="14.95" thickBot="1" x14ac:dyDescent="0.3">
      <c r="A73" s="29" t="s">
        <v>80</v>
      </c>
      <c r="B73" s="142">
        <v>2</v>
      </c>
      <c r="C73" s="196">
        <v>0</v>
      </c>
      <c r="D73" s="38">
        <f>SUM(B73:C73)</f>
        <v>2</v>
      </c>
      <c r="E73" s="176" t="s">
        <v>99</v>
      </c>
      <c r="F73" s="177">
        <v>15</v>
      </c>
      <c r="G73" s="198">
        <v>0</v>
      </c>
      <c r="H73" s="178">
        <f>SUM(F73:G73)</f>
        <v>15</v>
      </c>
    </row>
    <row r="74" spans="1:8" ht="14.95" thickBot="1" x14ac:dyDescent="0.3">
      <c r="A74" s="29" t="s">
        <v>87</v>
      </c>
      <c r="B74" s="142">
        <v>0</v>
      </c>
      <c r="C74" s="196">
        <v>2</v>
      </c>
      <c r="D74" s="38">
        <f>SUM(B74:C74)</f>
        <v>2</v>
      </c>
      <c r="E74" s="176" t="s">
        <v>568</v>
      </c>
      <c r="F74" s="177">
        <v>15</v>
      </c>
      <c r="G74" s="198">
        <v>0</v>
      </c>
      <c r="H74" s="178">
        <f>SUM(F74:G74)</f>
        <v>15</v>
      </c>
    </row>
    <row r="75" spans="1:8" ht="14.95" thickBot="1" x14ac:dyDescent="0.3">
      <c r="A75" s="29" t="s">
        <v>88</v>
      </c>
      <c r="B75" s="142">
        <v>1</v>
      </c>
      <c r="C75" s="196">
        <v>1</v>
      </c>
      <c r="D75" s="38">
        <f>SUM(B75:C75)</f>
        <v>2</v>
      </c>
      <c r="E75" s="176" t="s">
        <v>80</v>
      </c>
      <c r="F75" s="177">
        <v>10</v>
      </c>
      <c r="G75" s="198">
        <v>0</v>
      </c>
      <c r="H75" s="178">
        <f>SUM(F75:G75)</f>
        <v>10</v>
      </c>
    </row>
    <row r="76" spans="1:8" ht="14.95" thickBot="1" x14ac:dyDescent="0.3">
      <c r="A76" s="29" t="s">
        <v>94</v>
      </c>
      <c r="B76" s="142">
        <v>2</v>
      </c>
      <c r="C76" s="196">
        <v>0</v>
      </c>
      <c r="D76" s="38">
        <f>SUM(B76:C76)</f>
        <v>2</v>
      </c>
      <c r="E76" s="176" t="s">
        <v>87</v>
      </c>
      <c r="F76" s="177">
        <v>0</v>
      </c>
      <c r="G76" s="198">
        <v>10</v>
      </c>
      <c r="H76" s="178">
        <f>SUM(F76:G76)</f>
        <v>10</v>
      </c>
    </row>
    <row r="77" spans="1:8" ht="14.95" thickBot="1" x14ac:dyDescent="0.3">
      <c r="A77" s="29" t="s">
        <v>469</v>
      </c>
      <c r="B77" s="142">
        <v>2</v>
      </c>
      <c r="C77" s="196">
        <v>0</v>
      </c>
      <c r="D77" s="38">
        <f>SUM(B77:C77)</f>
        <v>2</v>
      </c>
      <c r="E77" s="176" t="s">
        <v>129</v>
      </c>
      <c r="F77" s="177">
        <v>0</v>
      </c>
      <c r="G77" s="198">
        <v>10</v>
      </c>
      <c r="H77" s="178">
        <f>SUM(F77:G77)</f>
        <v>10</v>
      </c>
    </row>
    <row r="78" spans="1:8" ht="14.95" thickBot="1" x14ac:dyDescent="0.3">
      <c r="A78" s="29" t="s">
        <v>215</v>
      </c>
      <c r="B78" s="142">
        <v>2</v>
      </c>
      <c r="C78" s="196">
        <v>0</v>
      </c>
      <c r="D78" s="38">
        <f>SUM(B78:C78)</f>
        <v>2</v>
      </c>
      <c r="E78" s="176" t="s">
        <v>94</v>
      </c>
      <c r="F78" s="177">
        <v>10</v>
      </c>
      <c r="G78" s="198">
        <v>0</v>
      </c>
      <c r="H78" s="178">
        <f>SUM(F78:G78)</f>
        <v>10</v>
      </c>
    </row>
    <row r="79" spans="1:8" ht="14.95" thickBot="1" x14ac:dyDescent="0.3">
      <c r="A79" s="29" t="s">
        <v>78</v>
      </c>
      <c r="B79" s="142">
        <v>1</v>
      </c>
      <c r="C79" s="196">
        <v>0</v>
      </c>
      <c r="D79" s="38">
        <f>SUM(B79:C79)</f>
        <v>1</v>
      </c>
      <c r="E79" s="176" t="s">
        <v>15</v>
      </c>
      <c r="F79" s="177">
        <v>10</v>
      </c>
      <c r="G79" s="198">
        <v>0</v>
      </c>
      <c r="H79" s="178">
        <f>SUM(F79:G79)</f>
        <v>10</v>
      </c>
    </row>
    <row r="80" spans="1:8" ht="14.95" thickBot="1" x14ac:dyDescent="0.3">
      <c r="A80" s="29" t="s">
        <v>81</v>
      </c>
      <c r="B80" s="142">
        <v>0</v>
      </c>
      <c r="C80" s="196">
        <v>1</v>
      </c>
      <c r="D80" s="38">
        <f>SUM(B80:C80)</f>
        <v>1</v>
      </c>
      <c r="E80" s="176" t="s">
        <v>215</v>
      </c>
      <c r="F80" s="177">
        <v>10</v>
      </c>
      <c r="G80" s="198">
        <v>0</v>
      </c>
      <c r="H80" s="178">
        <f>SUM(F80:G80)</f>
        <v>10</v>
      </c>
    </row>
    <row r="81" spans="1:8" ht="14.95" thickBot="1" x14ac:dyDescent="0.3">
      <c r="A81" s="29" t="s">
        <v>85</v>
      </c>
      <c r="B81" s="142">
        <v>0</v>
      </c>
      <c r="C81" s="196">
        <v>1</v>
      </c>
      <c r="D81" s="38">
        <f>SUM(B81:C81)</f>
        <v>1</v>
      </c>
      <c r="E81" s="176" t="s">
        <v>4</v>
      </c>
      <c r="F81" s="177">
        <v>7</v>
      </c>
      <c r="G81" s="198">
        <v>0</v>
      </c>
      <c r="H81" s="178">
        <f>SUM(F81:G81)</f>
        <v>7</v>
      </c>
    </row>
    <row r="82" spans="1:8" ht="14.95" thickBot="1" x14ac:dyDescent="0.3">
      <c r="A82" s="29" t="s">
        <v>90</v>
      </c>
      <c r="B82" s="142">
        <v>1</v>
      </c>
      <c r="C82" s="196">
        <v>0</v>
      </c>
      <c r="D82" s="38">
        <f>SUM(B82:C82)</f>
        <v>1</v>
      </c>
      <c r="E82" s="176" t="s">
        <v>78</v>
      </c>
      <c r="F82" s="177">
        <v>5</v>
      </c>
      <c r="G82" s="198">
        <v>0</v>
      </c>
      <c r="H82" s="178">
        <f>SUM(F82:G82)</f>
        <v>5</v>
      </c>
    </row>
    <row r="83" spans="1:8" ht="14.95" thickBot="1" x14ac:dyDescent="0.3">
      <c r="A83" s="29" t="s">
        <v>91</v>
      </c>
      <c r="B83" s="142">
        <v>1</v>
      </c>
      <c r="C83" s="196">
        <v>0</v>
      </c>
      <c r="D83" s="38">
        <f>SUM(B83:C83)</f>
        <v>1</v>
      </c>
      <c r="E83" s="176" t="s">
        <v>81</v>
      </c>
      <c r="F83" s="177">
        <v>0</v>
      </c>
      <c r="G83" s="198">
        <v>5</v>
      </c>
      <c r="H83" s="178">
        <f>SUM(F83:G83)</f>
        <v>5</v>
      </c>
    </row>
    <row r="84" spans="1:8" ht="14.95" thickBot="1" x14ac:dyDescent="0.3">
      <c r="A84" s="29" t="s">
        <v>4</v>
      </c>
      <c r="B84" s="142">
        <v>1</v>
      </c>
      <c r="C84" s="196">
        <v>0</v>
      </c>
      <c r="D84" s="38">
        <f>SUM(B84:C84)</f>
        <v>1</v>
      </c>
      <c r="E84" s="176" t="s">
        <v>85</v>
      </c>
      <c r="F84" s="177">
        <v>0</v>
      </c>
      <c r="G84" s="198">
        <v>5</v>
      </c>
      <c r="H84" s="178">
        <f>SUM(F84:G84)</f>
        <v>5</v>
      </c>
    </row>
    <row r="85" spans="1:8" ht="14.95" thickBot="1" x14ac:dyDescent="0.3">
      <c r="A85" s="29" t="s">
        <v>781</v>
      </c>
      <c r="B85" s="142">
        <v>1</v>
      </c>
      <c r="C85" s="196">
        <v>0</v>
      </c>
      <c r="D85" s="38">
        <f>SUM(B85:C85)</f>
        <v>1</v>
      </c>
      <c r="E85" s="176" t="s">
        <v>90</v>
      </c>
      <c r="F85" s="177">
        <v>5</v>
      </c>
      <c r="G85" s="198">
        <v>0</v>
      </c>
      <c r="H85" s="178">
        <f>SUM(F85:G85)</f>
        <v>5</v>
      </c>
    </row>
    <row r="86" spans="1:8" ht="14.95" thickBot="1" x14ac:dyDescent="0.3">
      <c r="A86" s="29" t="s">
        <v>533</v>
      </c>
      <c r="B86" s="142">
        <v>1</v>
      </c>
      <c r="C86" s="196">
        <v>0</v>
      </c>
      <c r="D86" s="38">
        <f>SUM(B86:C86)</f>
        <v>1</v>
      </c>
      <c r="E86" s="176" t="s">
        <v>91</v>
      </c>
      <c r="F86" s="177">
        <v>5</v>
      </c>
      <c r="G86" s="198">
        <v>0</v>
      </c>
      <c r="H86" s="178">
        <f>SUM(F86:G86)</f>
        <v>5</v>
      </c>
    </row>
    <row r="87" spans="1:8" ht="14.95" thickBot="1" x14ac:dyDescent="0.3">
      <c r="A87" s="29" t="s">
        <v>629</v>
      </c>
      <c r="B87" s="142">
        <v>1</v>
      </c>
      <c r="C87" s="196">
        <v>0</v>
      </c>
      <c r="D87" s="38">
        <f>SUM(B87:C87)</f>
        <v>1</v>
      </c>
      <c r="E87" s="176" t="s">
        <v>782</v>
      </c>
      <c r="F87" s="177">
        <v>5</v>
      </c>
      <c r="G87" s="198">
        <v>0</v>
      </c>
      <c r="H87" s="178">
        <f>SUM(F87:G87)</f>
        <v>5</v>
      </c>
    </row>
    <row r="88" spans="1:8" ht="14.95" thickBot="1" x14ac:dyDescent="0.3">
      <c r="A88" s="29" t="s">
        <v>703</v>
      </c>
      <c r="B88" s="142">
        <v>1</v>
      </c>
      <c r="C88" s="196">
        <v>0</v>
      </c>
      <c r="D88" s="38">
        <f>SUM(B88:C88)</f>
        <v>1</v>
      </c>
      <c r="E88" s="176" t="s">
        <v>533</v>
      </c>
      <c r="F88" s="177">
        <v>5</v>
      </c>
      <c r="G88" s="198">
        <v>0</v>
      </c>
      <c r="H88" s="178">
        <f>SUM(F88:G88)</f>
        <v>5</v>
      </c>
    </row>
    <row r="89" spans="1:8" ht="14.95" thickBot="1" x14ac:dyDescent="0.3">
      <c r="A89" s="29" t="s">
        <v>681</v>
      </c>
      <c r="B89" s="142">
        <v>0</v>
      </c>
      <c r="C89" s="196">
        <v>1</v>
      </c>
      <c r="D89" s="38">
        <f>SUM(B89:C89)</f>
        <v>1</v>
      </c>
      <c r="E89" s="176" t="s">
        <v>629</v>
      </c>
      <c r="F89" s="177">
        <v>5</v>
      </c>
      <c r="G89" s="198">
        <v>0</v>
      </c>
      <c r="H89" s="178">
        <f>SUM(F89:G89)</f>
        <v>5</v>
      </c>
    </row>
    <row r="90" spans="1:8" ht="14.95" thickBot="1" x14ac:dyDescent="0.3">
      <c r="A90" s="29" t="s">
        <v>560</v>
      </c>
      <c r="B90" s="142">
        <v>0</v>
      </c>
      <c r="C90" s="196">
        <v>0</v>
      </c>
      <c r="D90" s="38">
        <f>SUM(B90:C90)</f>
        <v>0</v>
      </c>
      <c r="E90" s="176" t="s">
        <v>703</v>
      </c>
      <c r="F90" s="177">
        <v>5</v>
      </c>
      <c r="G90" s="198">
        <v>0</v>
      </c>
      <c r="H90" s="178">
        <f>SUM(F90:G90)</f>
        <v>5</v>
      </c>
    </row>
    <row r="91" spans="1:8" ht="14.95" thickBot="1" x14ac:dyDescent="0.3">
      <c r="A91" s="29" t="s">
        <v>642</v>
      </c>
      <c r="B91" s="142">
        <v>0</v>
      </c>
      <c r="C91" s="196">
        <v>0</v>
      </c>
      <c r="D91" s="38">
        <f>SUM(B91:C91)</f>
        <v>0</v>
      </c>
      <c r="E91" s="176" t="s">
        <v>681</v>
      </c>
      <c r="F91" s="177">
        <v>0</v>
      </c>
      <c r="G91" s="198">
        <v>5</v>
      </c>
      <c r="H91" s="178">
        <f>SUM(F91:G91)</f>
        <v>5</v>
      </c>
    </row>
    <row r="92" spans="1:8" ht="14.95" thickBot="1" x14ac:dyDescent="0.3">
      <c r="A92" s="29" t="s">
        <v>123</v>
      </c>
      <c r="B92" s="142">
        <v>0</v>
      </c>
      <c r="C92" s="196">
        <v>0</v>
      </c>
      <c r="D92" s="38">
        <f>SUM(B92:C92)</f>
        <v>0</v>
      </c>
      <c r="E92" s="176" t="s">
        <v>560</v>
      </c>
      <c r="F92" s="177">
        <v>0</v>
      </c>
      <c r="G92" s="198">
        <v>0</v>
      </c>
      <c r="H92" s="178">
        <f>SUM(F92:G92)</f>
        <v>0</v>
      </c>
    </row>
    <row r="93" spans="1:8" ht="14.95" thickBot="1" x14ac:dyDescent="0.3">
      <c r="A93" s="29" t="s">
        <v>466</v>
      </c>
      <c r="B93" s="142">
        <v>0</v>
      </c>
      <c r="C93" s="196">
        <v>0</v>
      </c>
      <c r="D93" s="38">
        <f>SUM(B93:C93)</f>
        <v>0</v>
      </c>
      <c r="E93" s="176" t="s">
        <v>642</v>
      </c>
      <c r="F93" s="177">
        <v>0</v>
      </c>
      <c r="G93" s="198">
        <v>0</v>
      </c>
      <c r="H93" s="178">
        <f>SUM(F93:G93)</f>
        <v>0</v>
      </c>
    </row>
    <row r="94" spans="1:8" ht="14.95" thickBot="1" x14ac:dyDescent="0.3">
      <c r="A94" s="29" t="s">
        <v>467</v>
      </c>
      <c r="B94" s="142">
        <v>0</v>
      </c>
      <c r="C94" s="196">
        <v>0</v>
      </c>
      <c r="D94" s="38">
        <f>SUM(B94:C94)</f>
        <v>0</v>
      </c>
      <c r="E94" s="176" t="s">
        <v>123</v>
      </c>
      <c r="F94" s="177">
        <v>0</v>
      </c>
      <c r="G94" s="198">
        <v>0</v>
      </c>
      <c r="H94" s="178">
        <f>SUM(F94:G94)</f>
        <v>0</v>
      </c>
    </row>
    <row r="95" spans="1:8" ht="14.95" thickBot="1" x14ac:dyDescent="0.3">
      <c r="A95" s="29" t="s">
        <v>84</v>
      </c>
      <c r="B95" s="142">
        <v>0</v>
      </c>
      <c r="C95" s="196">
        <v>0</v>
      </c>
      <c r="D95" s="38">
        <f>SUM(B95:C95)</f>
        <v>0</v>
      </c>
      <c r="E95" s="176" t="s">
        <v>466</v>
      </c>
      <c r="F95" s="177">
        <v>0</v>
      </c>
      <c r="G95" s="198">
        <v>0</v>
      </c>
      <c r="H95" s="178">
        <f>SUM(F95:G95)</f>
        <v>0</v>
      </c>
    </row>
    <row r="96" spans="1:8" ht="14.95" thickBot="1" x14ac:dyDescent="0.3">
      <c r="A96" s="29" t="s">
        <v>640</v>
      </c>
      <c r="B96" s="142">
        <v>0</v>
      </c>
      <c r="C96" s="196">
        <v>0</v>
      </c>
      <c r="D96" s="38">
        <f>SUM(B96:C96)</f>
        <v>0</v>
      </c>
      <c r="E96" s="176" t="s">
        <v>467</v>
      </c>
      <c r="F96" s="177">
        <v>0</v>
      </c>
      <c r="G96" s="198">
        <v>0</v>
      </c>
      <c r="H96" s="178">
        <f>SUM(F96:G96)</f>
        <v>0</v>
      </c>
    </row>
    <row r="97" spans="1:8" ht="14.95" thickBot="1" x14ac:dyDescent="0.3">
      <c r="A97" s="29" t="s">
        <v>32</v>
      </c>
      <c r="B97" s="142">
        <v>0</v>
      </c>
      <c r="C97" s="196">
        <v>0</v>
      </c>
      <c r="D97" s="38">
        <f>SUM(B97:C97)</f>
        <v>0</v>
      </c>
      <c r="E97" s="176" t="s">
        <v>84</v>
      </c>
      <c r="F97" s="177">
        <v>0</v>
      </c>
      <c r="G97" s="198">
        <v>0</v>
      </c>
      <c r="H97" s="178">
        <f>SUM(F97:G97)</f>
        <v>0</v>
      </c>
    </row>
    <row r="98" spans="1:8" ht="14.95" thickBot="1" x14ac:dyDescent="0.3">
      <c r="A98" s="29" t="s">
        <v>129</v>
      </c>
      <c r="B98" s="142">
        <v>0</v>
      </c>
      <c r="C98" s="196">
        <v>0</v>
      </c>
      <c r="D98" s="38">
        <f>SUM(B98:C98)</f>
        <v>0</v>
      </c>
      <c r="E98" s="176" t="s">
        <v>640</v>
      </c>
      <c r="F98" s="177">
        <v>0</v>
      </c>
      <c r="G98" s="198">
        <v>0</v>
      </c>
      <c r="H98" s="178">
        <f>SUM(F98:G98)</f>
        <v>0</v>
      </c>
    </row>
    <row r="99" spans="1:8" ht="14.95" thickBot="1" x14ac:dyDescent="0.3">
      <c r="A99" s="29" t="s">
        <v>570</v>
      </c>
      <c r="B99" s="142">
        <v>0</v>
      </c>
      <c r="C99" s="196">
        <v>0</v>
      </c>
      <c r="D99" s="38">
        <f>SUM(B99:C99)</f>
        <v>0</v>
      </c>
      <c r="E99" s="176" t="s">
        <v>570</v>
      </c>
      <c r="F99" s="177">
        <v>0</v>
      </c>
      <c r="G99" s="198">
        <v>0</v>
      </c>
      <c r="H99" s="178">
        <f>SUM(F99:G99)</f>
        <v>0</v>
      </c>
    </row>
    <row r="100" spans="1:8" ht="14.95" thickBot="1" x14ac:dyDescent="0.3">
      <c r="A100" s="29" t="s">
        <v>386</v>
      </c>
      <c r="B100" s="142">
        <v>0</v>
      </c>
      <c r="C100" s="196">
        <v>0</v>
      </c>
      <c r="D100" s="38">
        <f>SUM(B100:C100)</f>
        <v>0</v>
      </c>
      <c r="E100" s="176" t="s">
        <v>386</v>
      </c>
      <c r="F100" s="177">
        <v>0</v>
      </c>
      <c r="G100" s="198">
        <v>0</v>
      </c>
      <c r="H100" s="178">
        <f>SUM(F100:G100)</f>
        <v>0</v>
      </c>
    </row>
    <row r="101" spans="1:8" ht="14.95" thickBot="1" x14ac:dyDescent="0.3">
      <c r="A101" s="29" t="s">
        <v>97</v>
      </c>
      <c r="B101" s="142">
        <v>0</v>
      </c>
      <c r="C101" s="196">
        <v>0</v>
      </c>
      <c r="D101" s="38">
        <f>SUM(B101:C101)</f>
        <v>0</v>
      </c>
      <c r="E101" s="176" t="s">
        <v>97</v>
      </c>
      <c r="F101" s="177">
        <v>0</v>
      </c>
      <c r="G101" s="198">
        <v>0</v>
      </c>
      <c r="H101" s="178">
        <f>SUM(F101:G101)</f>
        <v>0</v>
      </c>
    </row>
    <row r="102" spans="1:8" ht="14.95" thickBot="1" x14ac:dyDescent="0.3">
      <c r="A102" s="29" t="s">
        <v>102</v>
      </c>
      <c r="B102" s="142">
        <v>0</v>
      </c>
      <c r="C102" s="196">
        <v>0</v>
      </c>
      <c r="D102" s="38">
        <f>SUM(B102:C102)</f>
        <v>0</v>
      </c>
      <c r="E102" s="176" t="s">
        <v>102</v>
      </c>
      <c r="F102" s="177">
        <v>0</v>
      </c>
      <c r="G102" s="198">
        <v>0</v>
      </c>
      <c r="H102" s="178">
        <f>SUM(F102:G102)</f>
        <v>0</v>
      </c>
    </row>
    <row r="103" spans="1:8" ht="14.95" thickBot="1" x14ac:dyDescent="0.3">
      <c r="A103" s="29" t="s">
        <v>470</v>
      </c>
      <c r="B103" s="142">
        <v>0</v>
      </c>
      <c r="C103" s="196">
        <v>0</v>
      </c>
      <c r="D103" s="38">
        <f>SUM(B103:C103)</f>
        <v>0</v>
      </c>
      <c r="E103" s="176" t="s">
        <v>470</v>
      </c>
      <c r="F103" s="177">
        <v>0</v>
      </c>
      <c r="G103" s="198">
        <v>0</v>
      </c>
      <c r="H103" s="178">
        <f>SUM(F103:G103)</f>
        <v>0</v>
      </c>
    </row>
    <row r="104" spans="1:8" ht="14.95" thickBot="1" x14ac:dyDescent="0.3">
      <c r="A104" s="29" t="s">
        <v>103</v>
      </c>
      <c r="B104" s="142">
        <v>0</v>
      </c>
      <c r="C104" s="196">
        <v>0</v>
      </c>
      <c r="D104" s="38">
        <f>SUM(B104:C104)</f>
        <v>0</v>
      </c>
      <c r="E104" s="176" t="s">
        <v>103</v>
      </c>
      <c r="F104" s="177">
        <v>0</v>
      </c>
      <c r="G104" s="198">
        <v>0</v>
      </c>
      <c r="H104" s="178">
        <f>SUM(F104:G104)</f>
        <v>0</v>
      </c>
    </row>
    <row r="105" spans="1:8" ht="14.95" thickBot="1" x14ac:dyDescent="0.3">
      <c r="A105" s="29" t="s">
        <v>104</v>
      </c>
      <c r="B105" s="142">
        <v>0</v>
      </c>
      <c r="C105" s="196">
        <v>0</v>
      </c>
      <c r="D105" s="38">
        <f>SUM(B105:C105)</f>
        <v>0</v>
      </c>
      <c r="E105" s="176" t="s">
        <v>104</v>
      </c>
      <c r="F105" s="177">
        <v>0</v>
      </c>
      <c r="G105" s="198">
        <v>0</v>
      </c>
      <c r="H105" s="178">
        <f>SUM(F105:G105)</f>
        <v>0</v>
      </c>
    </row>
    <row r="106" spans="1:8" ht="14.95" thickBot="1" x14ac:dyDescent="0.3">
      <c r="A106" s="29" t="s">
        <v>220</v>
      </c>
      <c r="B106" s="142">
        <v>0</v>
      </c>
      <c r="C106" s="196">
        <v>0</v>
      </c>
      <c r="D106" s="38">
        <f>SUM(B106:C106)</f>
        <v>0</v>
      </c>
      <c r="E106" s="176" t="s">
        <v>220</v>
      </c>
      <c r="F106" s="177">
        <v>0</v>
      </c>
      <c r="G106" s="198">
        <v>0</v>
      </c>
      <c r="H106" s="178">
        <f>SUM(F106:G106)</f>
        <v>0</v>
      </c>
    </row>
    <row r="107" spans="1:8" ht="16.3" customHeight="1" thickBot="1" x14ac:dyDescent="0.3">
      <c r="A107" s="29" t="s">
        <v>403</v>
      </c>
      <c r="B107" s="142">
        <v>0</v>
      </c>
      <c r="C107" s="196">
        <v>0</v>
      </c>
      <c r="D107" s="38">
        <f>SUM(B107:C107)</f>
        <v>0</v>
      </c>
      <c r="E107" s="176" t="s">
        <v>403</v>
      </c>
      <c r="F107" s="177">
        <v>0</v>
      </c>
      <c r="G107" s="198">
        <v>0</v>
      </c>
      <c r="H107" s="178">
        <f>SUM(F107:G107)</f>
        <v>0</v>
      </c>
    </row>
    <row r="108" spans="1:8" ht="14.95" thickBot="1" x14ac:dyDescent="0.3">
      <c r="A108" s="29" t="s">
        <v>566</v>
      </c>
      <c r="B108" s="142">
        <v>0</v>
      </c>
      <c r="C108" s="196">
        <v>0</v>
      </c>
      <c r="D108" s="38">
        <f>SUM(B108:C108)</f>
        <v>0</v>
      </c>
      <c r="E108" s="176" t="s">
        <v>566</v>
      </c>
      <c r="F108" s="177">
        <v>0</v>
      </c>
      <c r="G108" s="198">
        <v>0</v>
      </c>
      <c r="H108" s="178">
        <f>SUM(F108:G108)</f>
        <v>0</v>
      </c>
    </row>
    <row r="109" spans="1:8" ht="16.3" customHeight="1" thickBot="1" x14ac:dyDescent="0.3">
      <c r="A109" s="29" t="s">
        <v>3</v>
      </c>
      <c r="B109" s="142">
        <f>SUM(B58:B108)</f>
        <v>92</v>
      </c>
      <c r="C109" s="196">
        <f>SUM(C58:C108)</f>
        <v>11</v>
      </c>
      <c r="D109" s="38">
        <f>SUM(D58:D108)</f>
        <v>103</v>
      </c>
      <c r="E109" s="176" t="s">
        <v>3</v>
      </c>
      <c r="F109" s="177">
        <f>SUM(F58:F108)</f>
        <v>584</v>
      </c>
      <c r="G109" s="198">
        <f>SUM(G58:G108)</f>
        <v>69</v>
      </c>
      <c r="H109" s="178">
        <f>SUM(H58:H108)</f>
        <v>653</v>
      </c>
    </row>
    <row r="110" spans="1:8" ht="16.3" x14ac:dyDescent="0.3">
      <c r="A110" s="245" t="s">
        <v>17</v>
      </c>
      <c r="B110" s="246"/>
      <c r="C110" s="246"/>
      <c r="D110" s="246"/>
      <c r="E110" s="246"/>
      <c r="F110" s="246"/>
      <c r="G110" s="246"/>
      <c r="H110" s="246"/>
    </row>
  </sheetData>
  <sortState xmlns:xlrd2="http://schemas.microsoft.com/office/spreadsheetml/2017/richdata2" ref="E58:H108">
    <sortCondition descending="1" ref="H58:H108"/>
  </sortState>
  <mergeCells count="15">
    <mergeCell ref="A110:H110"/>
    <mergeCell ref="Z1:AB2"/>
    <mergeCell ref="M10:O11"/>
    <mergeCell ref="A55:F55"/>
    <mergeCell ref="I10:I11"/>
    <mergeCell ref="J10:L11"/>
    <mergeCell ref="U1:W2"/>
    <mergeCell ref="P1:Q2"/>
    <mergeCell ref="A1:H1"/>
    <mergeCell ref="I1:I2"/>
    <mergeCell ref="J1:L2"/>
    <mergeCell ref="M1:O2"/>
    <mergeCell ref="R1:T2"/>
    <mergeCell ref="I17:I18"/>
    <mergeCell ref="J17:L18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3E82D-F0AA-4F3C-BE72-EC1ECE4E3B1C}">
  <dimension ref="A1:AB126"/>
  <sheetViews>
    <sheetView workbookViewId="0">
      <selection activeCell="R17" sqref="R17"/>
    </sheetView>
  </sheetViews>
  <sheetFormatPr defaultRowHeight="14.3" x14ac:dyDescent="0.25"/>
  <cols>
    <col min="1" max="1" width="16.375" customWidth="1"/>
    <col min="2" max="2" width="5" bestFit="1" customWidth="1"/>
    <col min="3" max="3" width="5" customWidth="1"/>
    <col min="4" max="4" width="3.75" bestFit="1" customWidth="1"/>
    <col min="5" max="5" width="16.375" customWidth="1"/>
    <col min="6" max="6" width="5" bestFit="1" customWidth="1"/>
    <col min="7" max="7" width="5" customWidth="1"/>
    <col min="8" max="8" width="3.75" bestFit="1" customWidth="1"/>
    <col min="9" max="9" width="16.375" customWidth="1"/>
    <col min="10" max="23" width="5.625" customWidth="1"/>
    <col min="26" max="28" width="5.625" customWidth="1"/>
  </cols>
  <sheetData>
    <row r="1" spans="1:28" ht="17" customHeight="1" thickBot="1" x14ac:dyDescent="0.3">
      <c r="A1" s="273" t="s">
        <v>654</v>
      </c>
      <c r="B1" s="274"/>
      <c r="C1" s="274"/>
      <c r="D1" s="274"/>
      <c r="E1" s="274"/>
      <c r="F1" s="274"/>
      <c r="G1" s="274"/>
      <c r="H1" s="275"/>
      <c r="I1" s="264" t="s">
        <v>161</v>
      </c>
      <c r="J1" s="260" t="s">
        <v>12</v>
      </c>
      <c r="K1" s="266"/>
      <c r="L1" s="261"/>
      <c r="M1" s="260" t="s">
        <v>28</v>
      </c>
      <c r="N1" s="266"/>
      <c r="O1" s="261"/>
      <c r="P1" s="260" t="s">
        <v>31</v>
      </c>
      <c r="Q1" s="261"/>
      <c r="R1" s="247" t="s">
        <v>162</v>
      </c>
      <c r="S1" s="248"/>
      <c r="T1" s="249"/>
      <c r="U1" s="247" t="s">
        <v>661</v>
      </c>
      <c r="V1" s="248"/>
      <c r="W1" s="249"/>
      <c r="Z1" s="247" t="s">
        <v>435</v>
      </c>
      <c r="AA1" s="248"/>
      <c r="AB1" s="249"/>
    </row>
    <row r="2" spans="1:28" ht="14.95" customHeight="1" thickBot="1" x14ac:dyDescent="0.3">
      <c r="A2" s="115" t="s">
        <v>0</v>
      </c>
      <c r="B2" s="113" t="s">
        <v>161</v>
      </c>
      <c r="C2" s="204" t="s">
        <v>167</v>
      </c>
      <c r="D2" s="117" t="s">
        <v>1</v>
      </c>
      <c r="E2" s="127" t="s">
        <v>2</v>
      </c>
      <c r="F2" s="108" t="s">
        <v>161</v>
      </c>
      <c r="G2" s="201" t="s">
        <v>167</v>
      </c>
      <c r="H2" s="123" t="s">
        <v>1</v>
      </c>
      <c r="I2" s="265"/>
      <c r="J2" s="262"/>
      <c r="K2" s="267"/>
      <c r="L2" s="263"/>
      <c r="M2" s="262"/>
      <c r="N2" s="267"/>
      <c r="O2" s="263"/>
      <c r="P2" s="262"/>
      <c r="Q2" s="263"/>
      <c r="R2" s="250"/>
      <c r="S2" s="251"/>
      <c r="T2" s="252"/>
      <c r="U2" s="250"/>
      <c r="V2" s="251"/>
      <c r="W2" s="252"/>
      <c r="Z2" s="250"/>
      <c r="AA2" s="251"/>
      <c r="AB2" s="252"/>
    </row>
    <row r="3" spans="1:28" ht="14.95" customHeight="1" thickBot="1" x14ac:dyDescent="0.3">
      <c r="A3" s="116" t="s">
        <v>267</v>
      </c>
      <c r="B3" s="114">
        <v>4</v>
      </c>
      <c r="C3" s="205">
        <v>1</v>
      </c>
      <c r="D3" s="118">
        <f>SUM(B3:C3)</f>
        <v>5</v>
      </c>
      <c r="E3" s="126" t="s">
        <v>267</v>
      </c>
      <c r="F3" s="109">
        <v>20</v>
      </c>
      <c r="G3" s="202">
        <v>5</v>
      </c>
      <c r="H3" s="124">
        <f>SUM(F3:G3)</f>
        <v>25</v>
      </c>
      <c r="I3" s="105" t="s">
        <v>14</v>
      </c>
      <c r="J3" s="2" t="s">
        <v>21</v>
      </c>
      <c r="K3" s="2" t="s">
        <v>7</v>
      </c>
      <c r="L3" s="2" t="s">
        <v>8</v>
      </c>
      <c r="M3" s="62" t="s">
        <v>21</v>
      </c>
      <c r="N3" s="2" t="s">
        <v>7</v>
      </c>
      <c r="O3" s="2" t="s">
        <v>8</v>
      </c>
      <c r="P3" s="2" t="s">
        <v>161</v>
      </c>
      <c r="Q3" s="2" t="s">
        <v>22</v>
      </c>
      <c r="R3" s="110" t="s">
        <v>21</v>
      </c>
      <c r="S3" s="110" t="s">
        <v>7</v>
      </c>
      <c r="T3" s="110" t="s">
        <v>8</v>
      </c>
      <c r="U3" s="110" t="s">
        <v>21</v>
      </c>
      <c r="V3" s="110" t="s">
        <v>7</v>
      </c>
      <c r="W3" s="110" t="s">
        <v>8</v>
      </c>
      <c r="Z3" s="194" t="s">
        <v>21</v>
      </c>
      <c r="AA3" s="110" t="s">
        <v>7</v>
      </c>
      <c r="AB3" s="110" t="s">
        <v>8</v>
      </c>
    </row>
    <row r="4" spans="1:28" ht="14.95" customHeight="1" thickBot="1" x14ac:dyDescent="0.3">
      <c r="A4" s="116" t="s">
        <v>478</v>
      </c>
      <c r="B4" s="114">
        <v>0</v>
      </c>
      <c r="C4" s="205">
        <v>0</v>
      </c>
      <c r="D4" s="118">
        <f>SUM(B4:C4)</f>
        <v>0</v>
      </c>
      <c r="E4" s="126" t="s">
        <v>478</v>
      </c>
      <c r="F4" s="109">
        <v>0</v>
      </c>
      <c r="G4" s="202">
        <v>0</v>
      </c>
      <c r="H4" s="124">
        <f>SUM(F4:G4)</f>
        <v>0</v>
      </c>
      <c r="I4" s="115" t="s">
        <v>272</v>
      </c>
      <c r="J4" s="119">
        <v>24</v>
      </c>
      <c r="K4" s="117">
        <v>37</v>
      </c>
      <c r="L4" s="120">
        <f t="shared" ref="L4" si="0">SUM(J4/K4)*100</f>
        <v>64.86486486486487</v>
      </c>
      <c r="M4" s="119">
        <v>2</v>
      </c>
      <c r="N4" s="117">
        <v>2</v>
      </c>
      <c r="O4" s="120">
        <f t="shared" ref="O4" si="1">SUM(M4/N4)*100</f>
        <v>100</v>
      </c>
      <c r="P4" s="117">
        <v>2</v>
      </c>
      <c r="Q4" s="117">
        <v>2</v>
      </c>
      <c r="R4" s="4">
        <v>10</v>
      </c>
      <c r="S4" s="112">
        <v>17</v>
      </c>
      <c r="T4" s="111">
        <v>58.82352941176471</v>
      </c>
      <c r="U4" s="4">
        <v>21</v>
      </c>
      <c r="V4" s="112">
        <v>30</v>
      </c>
      <c r="W4" s="111">
        <f t="shared" ref="W4" si="2">SUM(U4/V4)*100</f>
        <v>70</v>
      </c>
      <c r="Z4" s="4" t="s">
        <v>13</v>
      </c>
      <c r="AA4" s="112" t="s">
        <v>13</v>
      </c>
      <c r="AB4" s="111" t="s">
        <v>13</v>
      </c>
    </row>
    <row r="5" spans="1:28" ht="14.95" customHeight="1" thickBot="1" x14ac:dyDescent="0.3">
      <c r="A5" s="116" t="s">
        <v>156</v>
      </c>
      <c r="B5" s="114">
        <v>0</v>
      </c>
      <c r="C5" s="205">
        <v>0</v>
      </c>
      <c r="D5" s="118">
        <f t="shared" ref="D5:D62" si="3">SUM(B5:C5)</f>
        <v>0</v>
      </c>
      <c r="E5" s="126" t="s">
        <v>156</v>
      </c>
      <c r="F5" s="109">
        <v>0</v>
      </c>
      <c r="G5" s="202">
        <v>0</v>
      </c>
      <c r="H5" s="124">
        <f t="shared" ref="H5:H62" si="4">SUM(F5:G5)</f>
        <v>0</v>
      </c>
      <c r="I5" s="121" t="s">
        <v>507</v>
      </c>
      <c r="J5" s="119" t="s">
        <v>13</v>
      </c>
      <c r="K5" s="117" t="s">
        <v>13</v>
      </c>
      <c r="L5" s="120" t="s">
        <v>13</v>
      </c>
      <c r="M5" s="119" t="s">
        <v>13</v>
      </c>
      <c r="N5" s="117" t="s">
        <v>13</v>
      </c>
      <c r="O5" s="120" t="s">
        <v>13</v>
      </c>
      <c r="P5" s="122">
        <v>-6</v>
      </c>
      <c r="Q5" s="122">
        <v>-6</v>
      </c>
      <c r="R5" s="4">
        <v>0</v>
      </c>
      <c r="S5" s="112">
        <v>6</v>
      </c>
      <c r="T5" s="111">
        <v>0</v>
      </c>
      <c r="U5" s="4" t="s">
        <v>13</v>
      </c>
      <c r="V5" s="112" t="s">
        <v>13</v>
      </c>
      <c r="W5" s="111" t="s">
        <v>13</v>
      </c>
      <c r="Z5" s="4" t="s">
        <v>13</v>
      </c>
      <c r="AA5" s="112" t="s">
        <v>13</v>
      </c>
      <c r="AB5" s="111" t="s">
        <v>13</v>
      </c>
    </row>
    <row r="6" spans="1:28" ht="14.95" customHeight="1" thickBot="1" x14ac:dyDescent="0.3">
      <c r="A6" s="116" t="s">
        <v>268</v>
      </c>
      <c r="B6" s="114">
        <v>0</v>
      </c>
      <c r="C6" s="205">
        <v>0</v>
      </c>
      <c r="D6" s="118">
        <f t="shared" si="3"/>
        <v>0</v>
      </c>
      <c r="E6" s="126" t="s">
        <v>268</v>
      </c>
      <c r="F6" s="109">
        <v>0</v>
      </c>
      <c r="G6" s="202">
        <v>0</v>
      </c>
      <c r="H6" s="124">
        <f t="shared" si="4"/>
        <v>0</v>
      </c>
      <c r="I6" s="121" t="s">
        <v>505</v>
      </c>
      <c r="J6" s="119">
        <v>16</v>
      </c>
      <c r="K6" s="117">
        <v>28</v>
      </c>
      <c r="L6" s="120">
        <f t="shared" ref="L6" si="5">SUM(J6/K6)*100</f>
        <v>57.142857142857139</v>
      </c>
      <c r="M6" s="119" t="s">
        <v>13</v>
      </c>
      <c r="N6" s="117" t="s">
        <v>13</v>
      </c>
      <c r="O6" s="120" t="s">
        <v>13</v>
      </c>
      <c r="P6" s="122">
        <v>1</v>
      </c>
      <c r="Q6" s="122">
        <v>1</v>
      </c>
      <c r="R6" s="4" t="s">
        <v>13</v>
      </c>
      <c r="S6" s="112" t="s">
        <v>13</v>
      </c>
      <c r="T6" s="111" t="s">
        <v>13</v>
      </c>
      <c r="U6" s="4" t="s">
        <v>13</v>
      </c>
      <c r="V6" s="112" t="s">
        <v>13</v>
      </c>
      <c r="W6" s="111" t="s">
        <v>13</v>
      </c>
      <c r="Z6" s="4" t="s">
        <v>13</v>
      </c>
      <c r="AA6" s="112" t="s">
        <v>13</v>
      </c>
      <c r="AB6" s="111" t="s">
        <v>13</v>
      </c>
    </row>
    <row r="7" spans="1:28" ht="14.95" customHeight="1" thickBot="1" x14ac:dyDescent="0.3">
      <c r="A7" s="116" t="s">
        <v>482</v>
      </c>
      <c r="B7" s="114">
        <v>0</v>
      </c>
      <c r="C7" s="205">
        <v>0</v>
      </c>
      <c r="D7" s="118">
        <f t="shared" si="3"/>
        <v>0</v>
      </c>
      <c r="E7" s="126" t="s">
        <v>482</v>
      </c>
      <c r="F7" s="109">
        <v>0</v>
      </c>
      <c r="G7" s="202">
        <v>0</v>
      </c>
      <c r="H7" s="124">
        <f t="shared" si="4"/>
        <v>0</v>
      </c>
      <c r="I7" s="121" t="s">
        <v>137</v>
      </c>
      <c r="J7" s="119" t="s">
        <v>13</v>
      </c>
      <c r="K7" s="119" t="s">
        <v>13</v>
      </c>
      <c r="L7" s="120" t="s">
        <v>13</v>
      </c>
      <c r="M7" s="119" t="s">
        <v>13</v>
      </c>
      <c r="N7" s="117" t="s">
        <v>13</v>
      </c>
      <c r="O7" s="120" t="s">
        <v>13</v>
      </c>
      <c r="P7" s="119">
        <v>1</v>
      </c>
      <c r="Q7" s="122">
        <v>1</v>
      </c>
      <c r="R7" s="4">
        <v>31</v>
      </c>
      <c r="S7" s="4">
        <v>58</v>
      </c>
      <c r="T7" s="111">
        <v>53.448275862068961</v>
      </c>
      <c r="U7" s="4">
        <v>25</v>
      </c>
      <c r="V7" s="4">
        <v>39</v>
      </c>
      <c r="W7" s="111">
        <f t="shared" ref="W7" si="6">SUM(U7/V7)*100</f>
        <v>64.102564102564102</v>
      </c>
      <c r="Z7" s="4">
        <v>30</v>
      </c>
      <c r="AA7" s="4">
        <v>45</v>
      </c>
      <c r="AB7" s="111">
        <v>67</v>
      </c>
    </row>
    <row r="8" spans="1:28" ht="14.95" customHeight="1" thickBot="1" x14ac:dyDescent="0.3">
      <c r="A8" s="116" t="s">
        <v>483</v>
      </c>
      <c r="B8" s="114">
        <v>0</v>
      </c>
      <c r="C8" s="205">
        <v>0</v>
      </c>
      <c r="D8" s="118">
        <f t="shared" si="3"/>
        <v>0</v>
      </c>
      <c r="E8" s="126" t="s">
        <v>483</v>
      </c>
      <c r="F8" s="109">
        <v>0</v>
      </c>
      <c r="G8" s="202">
        <v>0</v>
      </c>
      <c r="H8" s="124">
        <f t="shared" si="4"/>
        <v>0</v>
      </c>
      <c r="R8" s="50"/>
      <c r="S8" s="50"/>
      <c r="T8" s="50"/>
    </row>
    <row r="9" spans="1:28" ht="14.95" customHeight="1" thickBot="1" x14ac:dyDescent="0.3">
      <c r="A9" s="116" t="s">
        <v>269</v>
      </c>
      <c r="B9" s="114">
        <v>0</v>
      </c>
      <c r="C9" s="205">
        <v>0</v>
      </c>
      <c r="D9" s="118">
        <f t="shared" si="3"/>
        <v>0</v>
      </c>
      <c r="E9" s="126" t="s">
        <v>269</v>
      </c>
      <c r="F9" s="109">
        <v>0</v>
      </c>
      <c r="G9" s="202">
        <v>0</v>
      </c>
      <c r="H9" s="124">
        <f t="shared" si="4"/>
        <v>0</v>
      </c>
      <c r="I9" s="253" t="s">
        <v>167</v>
      </c>
      <c r="J9" s="260" t="s">
        <v>12</v>
      </c>
      <c r="K9" s="266"/>
      <c r="L9" s="261"/>
      <c r="M9" s="247" t="s">
        <v>661</v>
      </c>
      <c r="N9" s="248"/>
      <c r="O9" s="249"/>
    </row>
    <row r="10" spans="1:28" ht="14.95" customHeight="1" thickBot="1" x14ac:dyDescent="0.3">
      <c r="A10" s="116" t="s">
        <v>349</v>
      </c>
      <c r="B10" s="114">
        <v>0</v>
      </c>
      <c r="C10" s="205">
        <v>0</v>
      </c>
      <c r="D10" s="118">
        <f t="shared" si="3"/>
        <v>0</v>
      </c>
      <c r="E10" s="126" t="s">
        <v>349</v>
      </c>
      <c r="F10" s="109">
        <v>0</v>
      </c>
      <c r="G10" s="202">
        <v>0</v>
      </c>
      <c r="H10" s="124">
        <f t="shared" si="4"/>
        <v>0</v>
      </c>
      <c r="I10" s="254"/>
      <c r="J10" s="262"/>
      <c r="K10" s="267"/>
      <c r="L10" s="263"/>
      <c r="M10" s="250"/>
      <c r="N10" s="251"/>
      <c r="O10" s="252"/>
    </row>
    <row r="11" spans="1:28" ht="14.95" customHeight="1" thickBot="1" x14ac:dyDescent="0.3">
      <c r="A11" s="116" t="s">
        <v>485</v>
      </c>
      <c r="B11" s="114">
        <v>0</v>
      </c>
      <c r="C11" s="205">
        <v>0</v>
      </c>
      <c r="D11" s="118">
        <f t="shared" si="3"/>
        <v>0</v>
      </c>
      <c r="E11" s="126" t="s">
        <v>485</v>
      </c>
      <c r="F11" s="109">
        <v>0</v>
      </c>
      <c r="G11" s="202">
        <v>0</v>
      </c>
      <c r="H11" s="124">
        <f t="shared" si="4"/>
        <v>0</v>
      </c>
      <c r="I11" s="149" t="s">
        <v>14</v>
      </c>
      <c r="J11" s="2" t="s">
        <v>21</v>
      </c>
      <c r="K11" s="2" t="s">
        <v>7</v>
      </c>
      <c r="L11" s="2" t="s">
        <v>8</v>
      </c>
      <c r="M11" s="110" t="s">
        <v>21</v>
      </c>
      <c r="N11" s="110" t="s">
        <v>7</v>
      </c>
      <c r="O11" s="110" t="s">
        <v>8</v>
      </c>
    </row>
    <row r="12" spans="1:28" ht="14.95" customHeight="1" thickBot="1" x14ac:dyDescent="0.3">
      <c r="A12" s="116" t="s">
        <v>486</v>
      </c>
      <c r="B12" s="114">
        <v>1</v>
      </c>
      <c r="C12" s="205">
        <v>0</v>
      </c>
      <c r="D12" s="118">
        <f t="shared" si="3"/>
        <v>1</v>
      </c>
      <c r="E12" s="126" t="s">
        <v>486</v>
      </c>
      <c r="F12" s="109">
        <v>5</v>
      </c>
      <c r="G12" s="202">
        <v>0</v>
      </c>
      <c r="H12" s="124">
        <f t="shared" si="4"/>
        <v>5</v>
      </c>
      <c r="I12" s="115" t="s">
        <v>272</v>
      </c>
      <c r="J12" s="119">
        <v>22</v>
      </c>
      <c r="K12" s="117">
        <v>32</v>
      </c>
      <c r="L12" s="120">
        <f t="shared" ref="L12:L13" si="7">SUM(J12/K12)*100</f>
        <v>68.75</v>
      </c>
      <c r="M12" s="110">
        <v>11</v>
      </c>
      <c r="N12" s="110">
        <v>14</v>
      </c>
      <c r="O12" s="140">
        <f t="shared" ref="O12:O13" si="8">SUM(M12/N12)*100</f>
        <v>78.571428571428569</v>
      </c>
    </row>
    <row r="13" spans="1:28" ht="14.95" customHeight="1" thickBot="1" x14ac:dyDescent="0.3">
      <c r="A13" s="116" t="s">
        <v>270</v>
      </c>
      <c r="B13" s="114">
        <v>0</v>
      </c>
      <c r="C13" s="205">
        <v>0</v>
      </c>
      <c r="D13" s="118">
        <f t="shared" ref="D13:D19" si="9">SUM(B13:C13)</f>
        <v>0</v>
      </c>
      <c r="E13" s="126" t="s">
        <v>270</v>
      </c>
      <c r="F13" s="109">
        <v>0</v>
      </c>
      <c r="G13" s="202">
        <v>0</v>
      </c>
      <c r="H13" s="124">
        <f t="shared" ref="H13:H19" si="10">SUM(F13:G13)</f>
        <v>0</v>
      </c>
      <c r="I13" s="115" t="s">
        <v>137</v>
      </c>
      <c r="J13" s="119">
        <v>2</v>
      </c>
      <c r="K13" s="117">
        <v>2</v>
      </c>
      <c r="L13" s="120">
        <f t="shared" si="7"/>
        <v>100</v>
      </c>
      <c r="M13" s="4">
        <v>3</v>
      </c>
      <c r="N13" s="4">
        <v>7</v>
      </c>
      <c r="O13" s="140">
        <f t="shared" si="8"/>
        <v>42.857142857142854</v>
      </c>
    </row>
    <row r="14" spans="1:28" ht="14.95" customHeight="1" thickBot="1" x14ac:dyDescent="0.3">
      <c r="A14" s="116" t="s">
        <v>271</v>
      </c>
      <c r="B14" s="114">
        <v>0</v>
      </c>
      <c r="C14" s="205">
        <v>1</v>
      </c>
      <c r="D14" s="118">
        <f t="shared" si="9"/>
        <v>1</v>
      </c>
      <c r="E14" s="126" t="s">
        <v>271</v>
      </c>
      <c r="F14" s="109">
        <v>0</v>
      </c>
      <c r="G14" s="202">
        <v>5</v>
      </c>
      <c r="H14" s="124">
        <f t="shared" si="10"/>
        <v>5</v>
      </c>
    </row>
    <row r="15" spans="1:28" ht="14.95" customHeight="1" thickBot="1" x14ac:dyDescent="0.3">
      <c r="A15" s="116" t="s">
        <v>272</v>
      </c>
      <c r="B15" s="114">
        <v>4</v>
      </c>
      <c r="C15" s="205">
        <v>2</v>
      </c>
      <c r="D15" s="118">
        <f t="shared" si="9"/>
        <v>6</v>
      </c>
      <c r="E15" s="126" t="s">
        <v>272</v>
      </c>
      <c r="F15" s="109">
        <v>68</v>
      </c>
      <c r="G15" s="202">
        <v>55</v>
      </c>
      <c r="H15" s="124">
        <f t="shared" si="10"/>
        <v>123</v>
      </c>
      <c r="I15" s="268" t="s">
        <v>436</v>
      </c>
      <c r="J15" s="247" t="s">
        <v>162</v>
      </c>
      <c r="K15" s="248"/>
      <c r="L15" s="249"/>
    </row>
    <row r="16" spans="1:28" ht="14.95" customHeight="1" thickBot="1" x14ac:dyDescent="0.3">
      <c r="A16" s="116" t="s">
        <v>41</v>
      </c>
      <c r="B16" s="114">
        <v>0</v>
      </c>
      <c r="C16" s="205">
        <v>0</v>
      </c>
      <c r="D16" s="118">
        <f t="shared" si="9"/>
        <v>0</v>
      </c>
      <c r="E16" s="126" t="s">
        <v>41</v>
      </c>
      <c r="F16" s="109">
        <v>0</v>
      </c>
      <c r="G16" s="202">
        <v>0</v>
      </c>
      <c r="H16" s="124">
        <f t="shared" si="10"/>
        <v>0</v>
      </c>
      <c r="I16" s="269"/>
      <c r="J16" s="250"/>
      <c r="K16" s="251"/>
      <c r="L16" s="252"/>
      <c r="N16" s="44"/>
      <c r="O16" s="44"/>
    </row>
    <row r="17" spans="1:12" ht="14.95" customHeight="1" thickBot="1" x14ac:dyDescent="0.3">
      <c r="A17" s="116" t="s">
        <v>86</v>
      </c>
      <c r="B17" s="114">
        <v>0</v>
      </c>
      <c r="C17" s="205">
        <v>0</v>
      </c>
      <c r="D17" s="118">
        <f t="shared" si="9"/>
        <v>0</v>
      </c>
      <c r="E17" s="126" t="s">
        <v>86</v>
      </c>
      <c r="F17" s="109">
        <v>0</v>
      </c>
      <c r="G17" s="202">
        <v>0</v>
      </c>
      <c r="H17" s="124">
        <f t="shared" si="10"/>
        <v>0</v>
      </c>
      <c r="I17" s="172" t="s">
        <v>14</v>
      </c>
      <c r="J17" s="110" t="s">
        <v>21</v>
      </c>
      <c r="K17" s="110" t="s">
        <v>7</v>
      </c>
      <c r="L17" s="110" t="s">
        <v>8</v>
      </c>
    </row>
    <row r="18" spans="1:12" ht="14.95" customHeight="1" thickBot="1" x14ac:dyDescent="0.3">
      <c r="A18" s="116" t="s">
        <v>138</v>
      </c>
      <c r="B18" s="114">
        <v>0</v>
      </c>
      <c r="C18" s="205">
        <v>0</v>
      </c>
      <c r="D18" s="118">
        <f t="shared" si="9"/>
        <v>0</v>
      </c>
      <c r="E18" s="126" t="s">
        <v>138</v>
      </c>
      <c r="F18" s="109">
        <v>0</v>
      </c>
      <c r="G18" s="202">
        <v>0</v>
      </c>
      <c r="H18" s="124">
        <f t="shared" si="10"/>
        <v>0</v>
      </c>
      <c r="I18" s="115" t="s">
        <v>272</v>
      </c>
      <c r="J18" s="4">
        <v>6</v>
      </c>
      <c r="K18" s="112">
        <v>8</v>
      </c>
      <c r="L18" s="111">
        <f t="shared" ref="L18" si="11">SUM(J18/K18)*100</f>
        <v>75</v>
      </c>
    </row>
    <row r="19" spans="1:12" ht="14.95" customHeight="1" thickBot="1" x14ac:dyDescent="0.3">
      <c r="A19" s="116" t="s">
        <v>273</v>
      </c>
      <c r="B19" s="114">
        <v>0</v>
      </c>
      <c r="C19" s="205">
        <v>0</v>
      </c>
      <c r="D19" s="118">
        <f t="shared" si="9"/>
        <v>0</v>
      </c>
      <c r="E19" s="126" t="s">
        <v>273</v>
      </c>
      <c r="F19" s="109">
        <v>0</v>
      </c>
      <c r="G19" s="202">
        <v>0</v>
      </c>
      <c r="H19" s="124">
        <f t="shared" si="10"/>
        <v>0</v>
      </c>
      <c r="I19" s="115" t="s">
        <v>137</v>
      </c>
      <c r="J19" s="4" t="s">
        <v>13</v>
      </c>
      <c r="K19" s="112" t="s">
        <v>13</v>
      </c>
      <c r="L19" s="111" t="s">
        <v>13</v>
      </c>
    </row>
    <row r="20" spans="1:12" ht="14.95" customHeight="1" thickBot="1" x14ac:dyDescent="0.3">
      <c r="A20" s="116" t="s">
        <v>58</v>
      </c>
      <c r="B20" s="114">
        <v>1</v>
      </c>
      <c r="C20" s="205">
        <v>0</v>
      </c>
      <c r="D20" s="118">
        <f t="shared" si="3"/>
        <v>1</v>
      </c>
      <c r="E20" s="126" t="s">
        <v>58</v>
      </c>
      <c r="F20" s="109">
        <v>5</v>
      </c>
      <c r="G20" s="202">
        <v>0</v>
      </c>
      <c r="H20" s="124">
        <f t="shared" si="4"/>
        <v>5</v>
      </c>
    </row>
    <row r="21" spans="1:12" ht="14.95" customHeight="1" thickBot="1" x14ac:dyDescent="0.3">
      <c r="A21" s="116" t="s">
        <v>111</v>
      </c>
      <c r="B21" s="114">
        <v>0</v>
      </c>
      <c r="C21" s="205">
        <v>0</v>
      </c>
      <c r="D21" s="118">
        <f t="shared" si="3"/>
        <v>0</v>
      </c>
      <c r="E21" s="126" t="s">
        <v>111</v>
      </c>
      <c r="F21" s="109">
        <v>0</v>
      </c>
      <c r="G21" s="202">
        <v>0</v>
      </c>
      <c r="H21" s="124">
        <f t="shared" si="4"/>
        <v>0</v>
      </c>
    </row>
    <row r="22" spans="1:12" ht="14.95" customHeight="1" thickBot="1" x14ac:dyDescent="0.3">
      <c r="A22" s="116" t="s">
        <v>59</v>
      </c>
      <c r="B22" s="114">
        <v>0</v>
      </c>
      <c r="C22" s="205">
        <v>1</v>
      </c>
      <c r="D22" s="118">
        <f t="shared" si="3"/>
        <v>1</v>
      </c>
      <c r="E22" s="126" t="s">
        <v>59</v>
      </c>
      <c r="F22" s="109">
        <v>0</v>
      </c>
      <c r="G22" s="202">
        <v>5</v>
      </c>
      <c r="H22" s="124">
        <f t="shared" si="4"/>
        <v>5</v>
      </c>
    </row>
    <row r="23" spans="1:12" ht="14.95" customHeight="1" thickBot="1" x14ac:dyDescent="0.3">
      <c r="A23" s="116" t="s">
        <v>274</v>
      </c>
      <c r="B23" s="114">
        <v>0</v>
      </c>
      <c r="C23" s="205">
        <v>0</v>
      </c>
      <c r="D23" s="118">
        <f t="shared" ref="D23:D26" si="12">SUM(B23:C23)</f>
        <v>0</v>
      </c>
      <c r="E23" s="126" t="s">
        <v>274</v>
      </c>
      <c r="F23" s="109">
        <v>0</v>
      </c>
      <c r="G23" s="202">
        <v>0</v>
      </c>
      <c r="H23" s="124">
        <f t="shared" ref="H23:H26" si="13">SUM(F23:G23)</f>
        <v>0</v>
      </c>
    </row>
    <row r="24" spans="1:12" ht="14.95" customHeight="1" thickBot="1" x14ac:dyDescent="0.3">
      <c r="A24" s="116" t="s">
        <v>275</v>
      </c>
      <c r="B24" s="114">
        <v>0</v>
      </c>
      <c r="C24" s="205">
        <v>0</v>
      </c>
      <c r="D24" s="118">
        <f t="shared" si="12"/>
        <v>0</v>
      </c>
      <c r="E24" s="126" t="s">
        <v>275</v>
      </c>
      <c r="F24" s="109">
        <v>0</v>
      </c>
      <c r="G24" s="202">
        <v>0</v>
      </c>
      <c r="H24" s="124">
        <f t="shared" si="13"/>
        <v>0</v>
      </c>
    </row>
    <row r="25" spans="1:12" ht="14.95" customHeight="1" thickBot="1" x14ac:dyDescent="0.3">
      <c r="A25" s="116" t="s">
        <v>563</v>
      </c>
      <c r="B25" s="114">
        <v>0</v>
      </c>
      <c r="C25" s="205">
        <v>0</v>
      </c>
      <c r="D25" s="118">
        <f t="shared" si="12"/>
        <v>0</v>
      </c>
      <c r="E25" s="126" t="s">
        <v>563</v>
      </c>
      <c r="F25" s="109">
        <v>0</v>
      </c>
      <c r="G25" s="202">
        <v>0</v>
      </c>
      <c r="H25" s="124">
        <f t="shared" si="13"/>
        <v>0</v>
      </c>
    </row>
    <row r="26" spans="1:12" ht="14.95" customHeight="1" thickBot="1" x14ac:dyDescent="0.3">
      <c r="A26" s="116" t="s">
        <v>495</v>
      </c>
      <c r="B26" s="114">
        <v>0</v>
      </c>
      <c r="C26" s="205">
        <v>0</v>
      </c>
      <c r="D26" s="118">
        <f t="shared" si="12"/>
        <v>0</v>
      </c>
      <c r="E26" s="126" t="s">
        <v>495</v>
      </c>
      <c r="F26" s="109">
        <v>0</v>
      </c>
      <c r="G26" s="202">
        <v>0</v>
      </c>
      <c r="H26" s="124">
        <f t="shared" si="13"/>
        <v>0</v>
      </c>
    </row>
    <row r="27" spans="1:12" ht="14.95" customHeight="1" thickBot="1" x14ac:dyDescent="0.3">
      <c r="A27" s="116" t="s">
        <v>276</v>
      </c>
      <c r="B27" s="114">
        <v>0</v>
      </c>
      <c r="C27" s="205">
        <v>0</v>
      </c>
      <c r="D27" s="118">
        <f t="shared" si="3"/>
        <v>0</v>
      </c>
      <c r="E27" s="126" t="s">
        <v>276</v>
      </c>
      <c r="F27" s="109">
        <v>0</v>
      </c>
      <c r="G27" s="202">
        <v>0</v>
      </c>
      <c r="H27" s="124">
        <f t="shared" si="4"/>
        <v>0</v>
      </c>
    </row>
    <row r="28" spans="1:12" ht="14.95" customHeight="1" thickBot="1" x14ac:dyDescent="0.3">
      <c r="A28" s="116" t="s">
        <v>277</v>
      </c>
      <c r="B28" s="114">
        <v>0</v>
      </c>
      <c r="C28" s="205">
        <v>0</v>
      </c>
      <c r="D28" s="118">
        <f t="shared" si="3"/>
        <v>0</v>
      </c>
      <c r="E28" s="126" t="s">
        <v>277</v>
      </c>
      <c r="F28" s="109">
        <v>0</v>
      </c>
      <c r="G28" s="202">
        <v>0</v>
      </c>
      <c r="H28" s="124">
        <f t="shared" si="4"/>
        <v>0</v>
      </c>
    </row>
    <row r="29" spans="1:12" ht="14.95" customHeight="1" thickBot="1" x14ac:dyDescent="0.3">
      <c r="A29" s="116" t="s">
        <v>278</v>
      </c>
      <c r="B29" s="114">
        <v>7</v>
      </c>
      <c r="C29" s="205">
        <v>0</v>
      </c>
      <c r="D29" s="118">
        <f t="shared" si="3"/>
        <v>7</v>
      </c>
      <c r="E29" s="126" t="s">
        <v>278</v>
      </c>
      <c r="F29" s="109">
        <v>35</v>
      </c>
      <c r="G29" s="202">
        <v>0</v>
      </c>
      <c r="H29" s="124">
        <f t="shared" ref="H29" si="14">SUM(F29:G29)</f>
        <v>35</v>
      </c>
    </row>
    <row r="30" spans="1:12" ht="14.95" customHeight="1" thickBot="1" x14ac:dyDescent="0.3">
      <c r="A30" s="116" t="s">
        <v>290</v>
      </c>
      <c r="B30" s="114">
        <v>5</v>
      </c>
      <c r="C30" s="205">
        <v>0</v>
      </c>
      <c r="D30" s="118">
        <f t="shared" si="3"/>
        <v>5</v>
      </c>
      <c r="E30" s="126" t="s">
        <v>290</v>
      </c>
      <c r="F30" s="109">
        <v>25</v>
      </c>
      <c r="G30" s="202">
        <v>0</v>
      </c>
      <c r="H30" s="124">
        <f t="shared" si="4"/>
        <v>25</v>
      </c>
    </row>
    <row r="31" spans="1:12" ht="14.95" customHeight="1" thickBot="1" x14ac:dyDescent="0.3">
      <c r="A31" s="116" t="s">
        <v>291</v>
      </c>
      <c r="B31" s="114">
        <v>0</v>
      </c>
      <c r="C31" s="205">
        <v>0</v>
      </c>
      <c r="D31" s="118">
        <f t="shared" si="3"/>
        <v>0</v>
      </c>
      <c r="E31" s="126" t="s">
        <v>291</v>
      </c>
      <c r="F31" s="109">
        <v>0</v>
      </c>
      <c r="G31" s="202">
        <v>0</v>
      </c>
      <c r="H31" s="124">
        <f t="shared" si="4"/>
        <v>0</v>
      </c>
    </row>
    <row r="32" spans="1:12" ht="14.95" customHeight="1" thickBot="1" x14ac:dyDescent="0.3">
      <c r="A32" s="116" t="s">
        <v>279</v>
      </c>
      <c r="B32" s="114">
        <v>0</v>
      </c>
      <c r="C32" s="205">
        <v>0</v>
      </c>
      <c r="D32" s="118">
        <f t="shared" si="3"/>
        <v>0</v>
      </c>
      <c r="E32" s="126" t="s">
        <v>279</v>
      </c>
      <c r="F32" s="109">
        <v>0</v>
      </c>
      <c r="G32" s="202">
        <v>0</v>
      </c>
      <c r="H32" s="124">
        <f t="shared" si="4"/>
        <v>0</v>
      </c>
    </row>
    <row r="33" spans="1:20" ht="14.95" customHeight="1" thickBot="1" x14ac:dyDescent="0.3">
      <c r="A33" s="116" t="s">
        <v>280</v>
      </c>
      <c r="B33" s="114">
        <v>0</v>
      </c>
      <c r="C33" s="205">
        <v>0</v>
      </c>
      <c r="D33" s="118">
        <f t="shared" si="3"/>
        <v>0</v>
      </c>
      <c r="E33" s="126" t="s">
        <v>280</v>
      </c>
      <c r="F33" s="109">
        <v>0</v>
      </c>
      <c r="G33" s="202">
        <v>0</v>
      </c>
      <c r="H33" s="124">
        <f t="shared" si="4"/>
        <v>0</v>
      </c>
    </row>
    <row r="34" spans="1:20" ht="14.95" customHeight="1" thickBot="1" x14ac:dyDescent="0.3">
      <c r="A34" s="116" t="s">
        <v>281</v>
      </c>
      <c r="B34" s="114">
        <v>0</v>
      </c>
      <c r="C34" s="205">
        <v>0</v>
      </c>
      <c r="D34" s="118">
        <f t="shared" si="3"/>
        <v>0</v>
      </c>
      <c r="E34" s="126" t="s">
        <v>281</v>
      </c>
      <c r="F34" s="109">
        <v>0</v>
      </c>
      <c r="G34" s="202">
        <v>0</v>
      </c>
      <c r="H34" s="124">
        <f t="shared" ref="H34" si="15">SUM(F34:G34)</f>
        <v>0</v>
      </c>
    </row>
    <row r="35" spans="1:20" ht="14.95" customHeight="1" thickBot="1" x14ac:dyDescent="0.3">
      <c r="A35" s="116" t="s">
        <v>194</v>
      </c>
      <c r="B35" s="114">
        <v>0</v>
      </c>
      <c r="C35" s="205">
        <v>0</v>
      </c>
      <c r="D35" s="118">
        <f t="shared" si="3"/>
        <v>0</v>
      </c>
      <c r="E35" s="126" t="s">
        <v>194</v>
      </c>
      <c r="F35" s="109">
        <v>0</v>
      </c>
      <c r="G35" s="202">
        <v>0</v>
      </c>
      <c r="H35" s="124">
        <f t="shared" si="4"/>
        <v>0</v>
      </c>
    </row>
    <row r="36" spans="1:20" ht="14.95" customHeight="1" thickBot="1" x14ac:dyDescent="0.3">
      <c r="A36" s="116" t="s">
        <v>114</v>
      </c>
      <c r="B36" s="114">
        <v>0</v>
      </c>
      <c r="C36" s="205">
        <v>1</v>
      </c>
      <c r="D36" s="118">
        <f t="shared" si="3"/>
        <v>1</v>
      </c>
      <c r="E36" s="126" t="s">
        <v>114</v>
      </c>
      <c r="F36" s="109">
        <v>0</v>
      </c>
      <c r="G36" s="202">
        <v>5</v>
      </c>
      <c r="H36" s="124">
        <f t="shared" si="4"/>
        <v>5</v>
      </c>
    </row>
    <row r="37" spans="1:20" ht="14.95" customHeight="1" thickBot="1" x14ac:dyDescent="0.3">
      <c r="A37" s="116" t="s">
        <v>562</v>
      </c>
      <c r="B37" s="114">
        <v>0</v>
      </c>
      <c r="C37" s="205">
        <v>4</v>
      </c>
      <c r="D37" s="118">
        <f t="shared" si="3"/>
        <v>4</v>
      </c>
      <c r="E37" s="126" t="s">
        <v>562</v>
      </c>
      <c r="F37" s="109">
        <v>0</v>
      </c>
      <c r="G37" s="202">
        <v>20</v>
      </c>
      <c r="H37" s="124">
        <f t="shared" si="4"/>
        <v>20</v>
      </c>
      <c r="N37" s="88"/>
    </row>
    <row r="38" spans="1:20" ht="14.95" customHeight="1" thickBot="1" x14ac:dyDescent="0.3">
      <c r="A38" s="116" t="s">
        <v>723</v>
      </c>
      <c r="B38" s="114">
        <v>4</v>
      </c>
      <c r="C38" s="205">
        <v>0</v>
      </c>
      <c r="D38" s="118">
        <f t="shared" si="3"/>
        <v>4</v>
      </c>
      <c r="E38" s="126" t="s">
        <v>723</v>
      </c>
      <c r="F38" s="109">
        <v>20</v>
      </c>
      <c r="G38" s="202">
        <v>0</v>
      </c>
      <c r="H38" s="124">
        <f t="shared" si="4"/>
        <v>20</v>
      </c>
    </row>
    <row r="39" spans="1:20" ht="14.95" customHeight="1" thickBot="1" x14ac:dyDescent="0.3">
      <c r="A39" s="116" t="s">
        <v>500</v>
      </c>
      <c r="B39" s="114">
        <v>0</v>
      </c>
      <c r="C39" s="205">
        <v>0</v>
      </c>
      <c r="D39" s="118">
        <f t="shared" si="3"/>
        <v>0</v>
      </c>
      <c r="E39" s="126" t="s">
        <v>500</v>
      </c>
      <c r="F39" s="109">
        <v>0</v>
      </c>
      <c r="G39" s="203">
        <v>0</v>
      </c>
      <c r="H39" s="125">
        <f t="shared" si="4"/>
        <v>0</v>
      </c>
    </row>
    <row r="40" spans="1:20" ht="14.95" customHeight="1" thickBot="1" x14ac:dyDescent="0.3">
      <c r="A40" s="116" t="s">
        <v>282</v>
      </c>
      <c r="B40" s="114">
        <v>0</v>
      </c>
      <c r="C40" s="205">
        <v>0</v>
      </c>
      <c r="D40" s="118">
        <f t="shared" si="3"/>
        <v>0</v>
      </c>
      <c r="E40" s="126" t="s">
        <v>282</v>
      </c>
      <c r="F40" s="109">
        <v>0</v>
      </c>
      <c r="G40" s="203">
        <v>0</v>
      </c>
      <c r="H40" s="125">
        <f t="shared" si="4"/>
        <v>0</v>
      </c>
      <c r="R40" s="88"/>
      <c r="S40" s="88"/>
      <c r="T40" s="88"/>
    </row>
    <row r="41" spans="1:20" ht="14.95" customHeight="1" thickBot="1" x14ac:dyDescent="0.3">
      <c r="A41" s="116" t="s">
        <v>502</v>
      </c>
      <c r="B41" s="114">
        <v>0</v>
      </c>
      <c r="C41" s="205">
        <v>0</v>
      </c>
      <c r="D41" s="118">
        <f t="shared" si="3"/>
        <v>0</v>
      </c>
      <c r="E41" s="126" t="s">
        <v>502</v>
      </c>
      <c r="F41" s="109">
        <v>0</v>
      </c>
      <c r="G41" s="203">
        <v>0</v>
      </c>
      <c r="H41" s="125">
        <f t="shared" si="4"/>
        <v>0</v>
      </c>
    </row>
    <row r="42" spans="1:20" ht="14.95" customHeight="1" thickBot="1" x14ac:dyDescent="0.3">
      <c r="A42" s="116" t="s">
        <v>101</v>
      </c>
      <c r="B42" s="114">
        <v>0</v>
      </c>
      <c r="C42" s="205">
        <v>0</v>
      </c>
      <c r="D42" s="118">
        <f t="shared" si="3"/>
        <v>0</v>
      </c>
      <c r="E42" s="126" t="s">
        <v>101</v>
      </c>
      <c r="F42" s="109">
        <v>0</v>
      </c>
      <c r="G42" s="203">
        <v>0</v>
      </c>
      <c r="H42" s="125">
        <f t="shared" si="4"/>
        <v>0</v>
      </c>
    </row>
    <row r="43" spans="1:20" ht="14.95" customHeight="1" thickBot="1" x14ac:dyDescent="0.3">
      <c r="A43" s="116" t="s">
        <v>124</v>
      </c>
      <c r="B43" s="114">
        <v>0</v>
      </c>
      <c r="C43" s="205">
        <v>0</v>
      </c>
      <c r="D43" s="118">
        <f t="shared" si="3"/>
        <v>0</v>
      </c>
      <c r="E43" s="126" t="s">
        <v>124</v>
      </c>
      <c r="F43" s="109">
        <v>0</v>
      </c>
      <c r="G43" s="203">
        <v>0</v>
      </c>
      <c r="H43" s="125">
        <f t="shared" si="4"/>
        <v>0</v>
      </c>
    </row>
    <row r="44" spans="1:20" ht="14.95" customHeight="1" thickBot="1" x14ac:dyDescent="0.3">
      <c r="A44" s="116" t="s">
        <v>564</v>
      </c>
      <c r="B44" s="114">
        <v>5</v>
      </c>
      <c r="C44" s="205">
        <v>4</v>
      </c>
      <c r="D44" s="118">
        <f t="shared" si="3"/>
        <v>9</v>
      </c>
      <c r="E44" s="126" t="s">
        <v>564</v>
      </c>
      <c r="F44" s="109">
        <v>25</v>
      </c>
      <c r="G44" s="203">
        <v>20</v>
      </c>
      <c r="H44" s="125">
        <f t="shared" si="4"/>
        <v>45</v>
      </c>
    </row>
    <row r="45" spans="1:20" ht="14.95" customHeight="1" thickBot="1" x14ac:dyDescent="0.3">
      <c r="A45" s="116" t="s">
        <v>505</v>
      </c>
      <c r="B45" s="114">
        <v>3</v>
      </c>
      <c r="C45" s="205">
        <v>0</v>
      </c>
      <c r="D45" s="118">
        <f t="shared" si="3"/>
        <v>3</v>
      </c>
      <c r="E45" s="126" t="s">
        <v>505</v>
      </c>
      <c r="F45" s="109">
        <v>47</v>
      </c>
      <c r="G45" s="203">
        <v>0</v>
      </c>
      <c r="H45" s="125">
        <f t="shared" si="4"/>
        <v>47</v>
      </c>
    </row>
    <row r="46" spans="1:20" ht="14.95" customHeight="1" thickBot="1" x14ac:dyDescent="0.3">
      <c r="A46" s="116" t="s">
        <v>4</v>
      </c>
      <c r="B46" s="114">
        <v>1</v>
      </c>
      <c r="C46" s="205">
        <v>0</v>
      </c>
      <c r="D46" s="118">
        <f t="shared" si="3"/>
        <v>1</v>
      </c>
      <c r="E46" s="126" t="s">
        <v>4</v>
      </c>
      <c r="F46" s="109">
        <v>7</v>
      </c>
      <c r="G46" s="203">
        <v>0</v>
      </c>
      <c r="H46" s="125">
        <f t="shared" si="4"/>
        <v>7</v>
      </c>
    </row>
    <row r="47" spans="1:20" ht="14.95" customHeight="1" thickBot="1" x14ac:dyDescent="0.3">
      <c r="A47" s="116" t="s">
        <v>48</v>
      </c>
      <c r="B47" s="114">
        <v>4</v>
      </c>
      <c r="C47" s="205">
        <v>0</v>
      </c>
      <c r="D47" s="118">
        <f t="shared" si="3"/>
        <v>4</v>
      </c>
      <c r="E47" s="126" t="s">
        <v>48</v>
      </c>
      <c r="F47" s="109">
        <v>20</v>
      </c>
      <c r="G47" s="203">
        <v>0</v>
      </c>
      <c r="H47" s="125">
        <f t="shared" si="4"/>
        <v>20</v>
      </c>
    </row>
    <row r="48" spans="1:20" ht="14.95" customHeight="1" thickBot="1" x14ac:dyDescent="0.3">
      <c r="A48" s="116" t="s">
        <v>378</v>
      </c>
      <c r="B48" s="114">
        <v>4</v>
      </c>
      <c r="C48" s="205">
        <v>4</v>
      </c>
      <c r="D48" s="118">
        <f t="shared" si="3"/>
        <v>8</v>
      </c>
      <c r="E48" s="126" t="s">
        <v>378</v>
      </c>
      <c r="F48" s="109">
        <v>20</v>
      </c>
      <c r="G48" s="203">
        <v>20</v>
      </c>
      <c r="H48" s="125">
        <f t="shared" si="4"/>
        <v>40</v>
      </c>
    </row>
    <row r="49" spans="1:8" ht="14.95" customHeight="1" thickBot="1" x14ac:dyDescent="0.3">
      <c r="A49" s="116" t="s">
        <v>507</v>
      </c>
      <c r="B49" s="114">
        <v>0</v>
      </c>
      <c r="C49" s="205">
        <v>0</v>
      </c>
      <c r="D49" s="118">
        <f t="shared" si="3"/>
        <v>0</v>
      </c>
      <c r="E49" s="126" t="s">
        <v>507</v>
      </c>
      <c r="F49" s="109">
        <v>0</v>
      </c>
      <c r="G49" s="203">
        <v>0</v>
      </c>
      <c r="H49" s="125">
        <f t="shared" si="4"/>
        <v>0</v>
      </c>
    </row>
    <row r="50" spans="1:8" ht="14.95" customHeight="1" thickBot="1" x14ac:dyDescent="0.3">
      <c r="A50" s="116" t="s">
        <v>284</v>
      </c>
      <c r="B50" s="114">
        <v>1</v>
      </c>
      <c r="C50" s="205">
        <v>3</v>
      </c>
      <c r="D50" s="118">
        <f t="shared" si="3"/>
        <v>4</v>
      </c>
      <c r="E50" s="126" t="s">
        <v>284</v>
      </c>
      <c r="F50" s="109">
        <v>5</v>
      </c>
      <c r="G50" s="202">
        <v>15</v>
      </c>
      <c r="H50" s="124">
        <f t="shared" si="4"/>
        <v>20</v>
      </c>
    </row>
    <row r="51" spans="1:8" ht="14.95" customHeight="1" thickBot="1" x14ac:dyDescent="0.3">
      <c r="A51" s="116" t="s">
        <v>285</v>
      </c>
      <c r="B51" s="114">
        <v>0</v>
      </c>
      <c r="C51" s="205">
        <v>0</v>
      </c>
      <c r="D51" s="118">
        <f t="shared" si="3"/>
        <v>0</v>
      </c>
      <c r="E51" s="126" t="s">
        <v>285</v>
      </c>
      <c r="F51" s="109">
        <v>0</v>
      </c>
      <c r="G51" s="202">
        <v>0</v>
      </c>
      <c r="H51" s="124">
        <f t="shared" si="4"/>
        <v>0</v>
      </c>
    </row>
    <row r="52" spans="1:8" ht="14.95" customHeight="1" thickBot="1" x14ac:dyDescent="0.3">
      <c r="A52" s="116" t="s">
        <v>134</v>
      </c>
      <c r="B52" s="114">
        <v>1</v>
      </c>
      <c r="C52" s="205">
        <v>2</v>
      </c>
      <c r="D52" s="118">
        <f t="shared" si="3"/>
        <v>3</v>
      </c>
      <c r="E52" s="126" t="s">
        <v>134</v>
      </c>
      <c r="F52" s="109">
        <v>5</v>
      </c>
      <c r="G52" s="202">
        <v>10</v>
      </c>
      <c r="H52" s="124">
        <f t="shared" si="4"/>
        <v>15</v>
      </c>
    </row>
    <row r="53" spans="1:8" ht="14.95" customHeight="1" thickBot="1" x14ac:dyDescent="0.3">
      <c r="A53" s="116" t="s">
        <v>286</v>
      </c>
      <c r="B53" s="114">
        <v>0</v>
      </c>
      <c r="C53" s="205">
        <v>0</v>
      </c>
      <c r="D53" s="118">
        <f t="shared" ref="D53:D56" si="16">SUM(B53:C53)</f>
        <v>0</v>
      </c>
      <c r="E53" s="126" t="s">
        <v>286</v>
      </c>
      <c r="F53" s="109">
        <v>0</v>
      </c>
      <c r="G53" s="202">
        <v>0</v>
      </c>
      <c r="H53" s="124">
        <f t="shared" ref="H53:H56" si="17">SUM(F53:G53)</f>
        <v>0</v>
      </c>
    </row>
    <row r="54" spans="1:8" ht="14.95" thickBot="1" x14ac:dyDescent="0.3">
      <c r="A54" s="116" t="s">
        <v>682</v>
      </c>
      <c r="B54" s="114">
        <v>1</v>
      </c>
      <c r="C54" s="205">
        <v>3</v>
      </c>
      <c r="D54" s="118">
        <f t="shared" si="16"/>
        <v>4</v>
      </c>
      <c r="E54" s="126" t="s">
        <v>682</v>
      </c>
      <c r="F54" s="109">
        <v>5</v>
      </c>
      <c r="G54" s="202">
        <v>15</v>
      </c>
      <c r="H54" s="124">
        <f t="shared" si="17"/>
        <v>20</v>
      </c>
    </row>
    <row r="55" spans="1:8" ht="14.95" thickBot="1" x14ac:dyDescent="0.3">
      <c r="A55" s="116" t="s">
        <v>338</v>
      </c>
      <c r="B55" s="114">
        <v>0</v>
      </c>
      <c r="C55" s="205">
        <v>0</v>
      </c>
      <c r="D55" s="118">
        <f t="shared" si="16"/>
        <v>0</v>
      </c>
      <c r="E55" s="126" t="s">
        <v>338</v>
      </c>
      <c r="F55" s="109">
        <v>0</v>
      </c>
      <c r="G55" s="202">
        <v>0</v>
      </c>
      <c r="H55" s="124">
        <f t="shared" si="17"/>
        <v>0</v>
      </c>
    </row>
    <row r="56" spans="1:8" ht="14.95" thickBot="1" x14ac:dyDescent="0.3">
      <c r="A56" s="116" t="s">
        <v>287</v>
      </c>
      <c r="B56" s="114">
        <v>4</v>
      </c>
      <c r="C56" s="205">
        <v>3</v>
      </c>
      <c r="D56" s="118">
        <f t="shared" si="16"/>
        <v>7</v>
      </c>
      <c r="E56" s="126" t="s">
        <v>287</v>
      </c>
      <c r="F56" s="109">
        <v>20</v>
      </c>
      <c r="G56" s="202">
        <v>15</v>
      </c>
      <c r="H56" s="124">
        <f t="shared" si="17"/>
        <v>35</v>
      </c>
    </row>
    <row r="57" spans="1:8" ht="14.95" thickBot="1" x14ac:dyDescent="0.3">
      <c r="A57" s="116" t="s">
        <v>137</v>
      </c>
      <c r="B57" s="114">
        <v>2</v>
      </c>
      <c r="C57" s="205">
        <v>0</v>
      </c>
      <c r="D57" s="118">
        <f t="shared" si="3"/>
        <v>2</v>
      </c>
      <c r="E57" s="126" t="s">
        <v>137</v>
      </c>
      <c r="F57" s="109">
        <v>10</v>
      </c>
      <c r="G57" s="202">
        <v>4</v>
      </c>
      <c r="H57" s="124">
        <f t="shared" si="4"/>
        <v>14</v>
      </c>
    </row>
    <row r="58" spans="1:8" ht="14.95" thickBot="1" x14ac:dyDescent="0.3">
      <c r="A58" s="116" t="s">
        <v>72</v>
      </c>
      <c r="B58" s="114">
        <v>1</v>
      </c>
      <c r="C58" s="205">
        <v>0</v>
      </c>
      <c r="D58" s="118">
        <f t="shared" si="3"/>
        <v>1</v>
      </c>
      <c r="E58" s="126" t="s">
        <v>72</v>
      </c>
      <c r="F58" s="109">
        <v>5</v>
      </c>
      <c r="G58" s="202">
        <v>0</v>
      </c>
      <c r="H58" s="124">
        <f t="shared" si="4"/>
        <v>5</v>
      </c>
    </row>
    <row r="59" spans="1:8" ht="14.95" thickBot="1" x14ac:dyDescent="0.3">
      <c r="A59" s="116" t="s">
        <v>759</v>
      </c>
      <c r="B59" s="114">
        <v>7</v>
      </c>
      <c r="C59" s="205">
        <v>0</v>
      </c>
      <c r="D59" s="118">
        <f t="shared" si="3"/>
        <v>7</v>
      </c>
      <c r="E59" s="126" t="s">
        <v>759</v>
      </c>
      <c r="F59" s="109">
        <v>35</v>
      </c>
      <c r="G59" s="202">
        <v>0</v>
      </c>
      <c r="H59" s="124">
        <f t="shared" si="4"/>
        <v>35</v>
      </c>
    </row>
    <row r="60" spans="1:8" ht="14.95" thickBot="1" x14ac:dyDescent="0.3">
      <c r="A60" s="116" t="s">
        <v>288</v>
      </c>
      <c r="B60" s="114">
        <v>4</v>
      </c>
      <c r="C60" s="205">
        <v>1</v>
      </c>
      <c r="D60" s="118">
        <f t="shared" si="3"/>
        <v>5</v>
      </c>
      <c r="E60" s="126" t="s">
        <v>288</v>
      </c>
      <c r="F60" s="109">
        <v>20</v>
      </c>
      <c r="G60" s="202">
        <v>5</v>
      </c>
      <c r="H60" s="124">
        <f t="shared" si="4"/>
        <v>25</v>
      </c>
    </row>
    <row r="61" spans="1:8" ht="14.95" thickBot="1" x14ac:dyDescent="0.3">
      <c r="A61" s="116" t="s">
        <v>289</v>
      </c>
      <c r="B61" s="114">
        <v>2</v>
      </c>
      <c r="C61" s="205">
        <v>3</v>
      </c>
      <c r="D61" s="118">
        <f t="shared" si="3"/>
        <v>5</v>
      </c>
      <c r="E61" s="126" t="s">
        <v>289</v>
      </c>
      <c r="F61" s="109">
        <v>10</v>
      </c>
      <c r="G61" s="202">
        <v>15</v>
      </c>
      <c r="H61" s="124">
        <f t="shared" si="4"/>
        <v>25</v>
      </c>
    </row>
    <row r="62" spans="1:8" ht="14.95" thickBot="1" x14ac:dyDescent="0.3">
      <c r="A62" s="116" t="s">
        <v>3</v>
      </c>
      <c r="B62" s="114">
        <f>SUM(B3:B61)</f>
        <v>66</v>
      </c>
      <c r="C62" s="205">
        <f>SUM(C3:C61)</f>
        <v>33</v>
      </c>
      <c r="D62" s="118">
        <f t="shared" si="3"/>
        <v>99</v>
      </c>
      <c r="E62" s="126" t="s">
        <v>3</v>
      </c>
      <c r="F62" s="109">
        <f>SUM(F3:F61)</f>
        <v>412</v>
      </c>
      <c r="G62" s="202">
        <f>SUM(G3:G61)</f>
        <v>214</v>
      </c>
      <c r="H62" s="124">
        <f t="shared" si="4"/>
        <v>626</v>
      </c>
    </row>
    <row r="63" spans="1:8" x14ac:dyDescent="0.25">
      <c r="A63" s="255"/>
      <c r="B63" s="256"/>
      <c r="C63" s="256"/>
      <c r="D63" s="256"/>
      <c r="E63" s="256"/>
      <c r="F63" s="256"/>
      <c r="G63" s="88"/>
      <c r="H63" s="20"/>
    </row>
    <row r="64" spans="1:8" ht="14.95" thickBot="1" x14ac:dyDescent="0.3">
      <c r="A64" t="s">
        <v>9</v>
      </c>
      <c r="B64" s="56"/>
      <c r="C64" s="56"/>
      <c r="E64" s="19"/>
      <c r="F64" s="57"/>
      <c r="G64" s="57"/>
      <c r="H64" s="22"/>
    </row>
    <row r="65" spans="1:8" ht="14.95" thickBot="1" x14ac:dyDescent="0.3">
      <c r="A65" s="115" t="s">
        <v>0</v>
      </c>
      <c r="B65" s="113" t="s">
        <v>161</v>
      </c>
      <c r="C65" s="204" t="s">
        <v>167</v>
      </c>
      <c r="D65" s="117" t="s">
        <v>1</v>
      </c>
      <c r="E65" s="127" t="s">
        <v>2</v>
      </c>
      <c r="F65" s="108" t="s">
        <v>161</v>
      </c>
      <c r="G65" s="201" t="s">
        <v>167</v>
      </c>
      <c r="H65" s="123" t="s">
        <v>1</v>
      </c>
    </row>
    <row r="66" spans="1:8" ht="14.95" thickBot="1" x14ac:dyDescent="0.3">
      <c r="A66" s="116" t="s">
        <v>564</v>
      </c>
      <c r="B66" s="114">
        <v>5</v>
      </c>
      <c r="C66" s="205">
        <v>4</v>
      </c>
      <c r="D66" s="118">
        <f>SUM(B66:C66)</f>
        <v>9</v>
      </c>
      <c r="E66" s="126" t="s">
        <v>272</v>
      </c>
      <c r="F66" s="109">
        <v>68</v>
      </c>
      <c r="G66" s="202">
        <v>55</v>
      </c>
      <c r="H66" s="124">
        <f>SUM(F66:G66)</f>
        <v>123</v>
      </c>
    </row>
    <row r="67" spans="1:8" ht="14.95" thickBot="1" x14ac:dyDescent="0.3">
      <c r="A67" s="116" t="s">
        <v>378</v>
      </c>
      <c r="B67" s="114">
        <v>4</v>
      </c>
      <c r="C67" s="205">
        <v>4</v>
      </c>
      <c r="D67" s="118">
        <f>SUM(B67:C67)</f>
        <v>8</v>
      </c>
      <c r="E67" s="126" t="s">
        <v>505</v>
      </c>
      <c r="F67" s="109">
        <v>47</v>
      </c>
      <c r="G67" s="202">
        <v>0</v>
      </c>
      <c r="H67" s="124">
        <f>SUM(F67:G67)</f>
        <v>47</v>
      </c>
    </row>
    <row r="68" spans="1:8" ht="14.95" thickBot="1" x14ac:dyDescent="0.3">
      <c r="A68" s="116" t="s">
        <v>278</v>
      </c>
      <c r="B68" s="114">
        <v>7</v>
      </c>
      <c r="C68" s="205">
        <v>0</v>
      </c>
      <c r="D68" s="118">
        <f>SUM(B68:C68)</f>
        <v>7</v>
      </c>
      <c r="E68" s="126" t="s">
        <v>564</v>
      </c>
      <c r="F68" s="109">
        <v>25</v>
      </c>
      <c r="G68" s="202">
        <v>20</v>
      </c>
      <c r="H68" s="124">
        <f>SUM(F68:G68)</f>
        <v>45</v>
      </c>
    </row>
    <row r="69" spans="1:8" ht="14.95" thickBot="1" x14ac:dyDescent="0.3">
      <c r="A69" s="116" t="s">
        <v>287</v>
      </c>
      <c r="B69" s="114">
        <v>4</v>
      </c>
      <c r="C69" s="205">
        <v>3</v>
      </c>
      <c r="D69" s="118">
        <f>SUM(B69:C69)</f>
        <v>7</v>
      </c>
      <c r="E69" s="126" t="s">
        <v>378</v>
      </c>
      <c r="F69" s="109">
        <v>20</v>
      </c>
      <c r="G69" s="202">
        <v>20</v>
      </c>
      <c r="H69" s="124">
        <f>SUM(F69:G69)</f>
        <v>40</v>
      </c>
    </row>
    <row r="70" spans="1:8" ht="14.95" thickBot="1" x14ac:dyDescent="0.3">
      <c r="A70" s="116" t="s">
        <v>759</v>
      </c>
      <c r="B70" s="114">
        <v>7</v>
      </c>
      <c r="C70" s="205">
        <v>0</v>
      </c>
      <c r="D70" s="118">
        <f>SUM(B70:C70)</f>
        <v>7</v>
      </c>
      <c r="E70" s="126" t="s">
        <v>278</v>
      </c>
      <c r="F70" s="109">
        <v>35</v>
      </c>
      <c r="G70" s="202">
        <v>0</v>
      </c>
      <c r="H70" s="124">
        <f>SUM(F70:G70)</f>
        <v>35</v>
      </c>
    </row>
    <row r="71" spans="1:8" ht="14.95" thickBot="1" x14ac:dyDescent="0.3">
      <c r="A71" s="116" t="s">
        <v>272</v>
      </c>
      <c r="B71" s="114">
        <v>4</v>
      </c>
      <c r="C71" s="205">
        <v>2</v>
      </c>
      <c r="D71" s="118">
        <f>SUM(B71:C71)</f>
        <v>6</v>
      </c>
      <c r="E71" s="126" t="s">
        <v>287</v>
      </c>
      <c r="F71" s="109">
        <v>20</v>
      </c>
      <c r="G71" s="202">
        <v>15</v>
      </c>
      <c r="H71" s="124">
        <f>SUM(F71:G71)</f>
        <v>35</v>
      </c>
    </row>
    <row r="72" spans="1:8" ht="14.95" thickBot="1" x14ac:dyDescent="0.3">
      <c r="A72" s="116" t="s">
        <v>267</v>
      </c>
      <c r="B72" s="114">
        <v>4</v>
      </c>
      <c r="C72" s="205">
        <v>1</v>
      </c>
      <c r="D72" s="118">
        <f>SUM(B72:C72)</f>
        <v>5</v>
      </c>
      <c r="E72" s="126" t="s">
        <v>759</v>
      </c>
      <c r="F72" s="109">
        <v>35</v>
      </c>
      <c r="G72" s="202">
        <v>0</v>
      </c>
      <c r="H72" s="124">
        <f>SUM(F72:G72)</f>
        <v>35</v>
      </c>
    </row>
    <row r="73" spans="1:8" ht="14.95" thickBot="1" x14ac:dyDescent="0.3">
      <c r="A73" s="116" t="s">
        <v>290</v>
      </c>
      <c r="B73" s="114">
        <v>5</v>
      </c>
      <c r="C73" s="205">
        <v>0</v>
      </c>
      <c r="D73" s="118">
        <f>SUM(B73:C73)</f>
        <v>5</v>
      </c>
      <c r="E73" s="126" t="s">
        <v>267</v>
      </c>
      <c r="F73" s="109">
        <v>20</v>
      </c>
      <c r="G73" s="202">
        <v>5</v>
      </c>
      <c r="H73" s="124">
        <f>SUM(F73:G73)</f>
        <v>25</v>
      </c>
    </row>
    <row r="74" spans="1:8" ht="14.95" thickBot="1" x14ac:dyDescent="0.3">
      <c r="A74" s="116" t="s">
        <v>288</v>
      </c>
      <c r="B74" s="114">
        <v>4</v>
      </c>
      <c r="C74" s="205">
        <v>1</v>
      </c>
      <c r="D74" s="118">
        <f>SUM(B74:C74)</f>
        <v>5</v>
      </c>
      <c r="E74" s="126" t="s">
        <v>290</v>
      </c>
      <c r="F74" s="109">
        <v>25</v>
      </c>
      <c r="G74" s="202">
        <v>0</v>
      </c>
      <c r="H74" s="124">
        <f>SUM(F74:G74)</f>
        <v>25</v>
      </c>
    </row>
    <row r="75" spans="1:8" ht="14.95" thickBot="1" x14ac:dyDescent="0.3">
      <c r="A75" s="116" t="s">
        <v>289</v>
      </c>
      <c r="B75" s="114">
        <v>2</v>
      </c>
      <c r="C75" s="205">
        <v>3</v>
      </c>
      <c r="D75" s="118">
        <f>SUM(B75:C75)</f>
        <v>5</v>
      </c>
      <c r="E75" s="126" t="s">
        <v>288</v>
      </c>
      <c r="F75" s="109">
        <v>20</v>
      </c>
      <c r="G75" s="202">
        <v>5</v>
      </c>
      <c r="H75" s="124">
        <f>SUM(F75:G75)</f>
        <v>25</v>
      </c>
    </row>
    <row r="76" spans="1:8" ht="14.95" thickBot="1" x14ac:dyDescent="0.3">
      <c r="A76" s="116" t="s">
        <v>562</v>
      </c>
      <c r="B76" s="114">
        <v>0</v>
      </c>
      <c r="C76" s="205">
        <v>4</v>
      </c>
      <c r="D76" s="118">
        <f>SUM(B76:C76)</f>
        <v>4</v>
      </c>
      <c r="E76" s="126" t="s">
        <v>289</v>
      </c>
      <c r="F76" s="109">
        <v>10</v>
      </c>
      <c r="G76" s="202">
        <v>15</v>
      </c>
      <c r="H76" s="124">
        <f>SUM(F76:G76)</f>
        <v>25</v>
      </c>
    </row>
    <row r="77" spans="1:8" ht="14.95" thickBot="1" x14ac:dyDescent="0.3">
      <c r="A77" s="116" t="s">
        <v>723</v>
      </c>
      <c r="B77" s="114">
        <v>4</v>
      </c>
      <c r="C77" s="205">
        <v>0</v>
      </c>
      <c r="D77" s="118">
        <f>SUM(B77:C77)</f>
        <v>4</v>
      </c>
      <c r="E77" s="126" t="s">
        <v>562</v>
      </c>
      <c r="F77" s="109">
        <v>0</v>
      </c>
      <c r="G77" s="202">
        <v>20</v>
      </c>
      <c r="H77" s="124">
        <f>SUM(F77:G77)</f>
        <v>20</v>
      </c>
    </row>
    <row r="78" spans="1:8" ht="14.95" thickBot="1" x14ac:dyDescent="0.3">
      <c r="A78" s="116" t="s">
        <v>48</v>
      </c>
      <c r="B78" s="114">
        <v>4</v>
      </c>
      <c r="C78" s="205">
        <v>0</v>
      </c>
      <c r="D78" s="118">
        <f>SUM(B78:C78)</f>
        <v>4</v>
      </c>
      <c r="E78" s="126" t="s">
        <v>723</v>
      </c>
      <c r="F78" s="109">
        <v>20</v>
      </c>
      <c r="G78" s="202">
        <v>0</v>
      </c>
      <c r="H78" s="124">
        <f>SUM(F78:G78)</f>
        <v>20</v>
      </c>
    </row>
    <row r="79" spans="1:8" ht="14.95" thickBot="1" x14ac:dyDescent="0.3">
      <c r="A79" s="116" t="s">
        <v>284</v>
      </c>
      <c r="B79" s="114">
        <v>1</v>
      </c>
      <c r="C79" s="205">
        <v>3</v>
      </c>
      <c r="D79" s="118">
        <f>SUM(B79:C79)</f>
        <v>4</v>
      </c>
      <c r="E79" s="126" t="s">
        <v>48</v>
      </c>
      <c r="F79" s="109">
        <v>20</v>
      </c>
      <c r="G79" s="202">
        <v>0</v>
      </c>
      <c r="H79" s="124">
        <f>SUM(F79:G79)</f>
        <v>20</v>
      </c>
    </row>
    <row r="80" spans="1:8" ht="14.95" thickBot="1" x14ac:dyDescent="0.3">
      <c r="A80" s="116" t="s">
        <v>682</v>
      </c>
      <c r="B80" s="114">
        <v>1</v>
      </c>
      <c r="C80" s="205">
        <v>3</v>
      </c>
      <c r="D80" s="118">
        <f>SUM(B80:C80)</f>
        <v>4</v>
      </c>
      <c r="E80" s="126" t="s">
        <v>284</v>
      </c>
      <c r="F80" s="109">
        <v>5</v>
      </c>
      <c r="G80" s="202">
        <v>15</v>
      </c>
      <c r="H80" s="124">
        <f>SUM(F80:G80)</f>
        <v>20</v>
      </c>
    </row>
    <row r="81" spans="1:8" ht="14.95" thickBot="1" x14ac:dyDescent="0.3">
      <c r="A81" s="116" t="s">
        <v>505</v>
      </c>
      <c r="B81" s="114">
        <v>3</v>
      </c>
      <c r="C81" s="205">
        <v>0</v>
      </c>
      <c r="D81" s="118">
        <f>SUM(B81:C81)</f>
        <v>3</v>
      </c>
      <c r="E81" s="126" t="s">
        <v>682</v>
      </c>
      <c r="F81" s="109">
        <v>5</v>
      </c>
      <c r="G81" s="202">
        <v>15</v>
      </c>
      <c r="H81" s="124">
        <f>SUM(F81:G81)</f>
        <v>20</v>
      </c>
    </row>
    <row r="82" spans="1:8" ht="14.95" thickBot="1" x14ac:dyDescent="0.3">
      <c r="A82" s="116" t="s">
        <v>134</v>
      </c>
      <c r="B82" s="114">
        <v>1</v>
      </c>
      <c r="C82" s="205">
        <v>2</v>
      </c>
      <c r="D82" s="118">
        <f>SUM(B82:C82)</f>
        <v>3</v>
      </c>
      <c r="E82" s="126" t="s">
        <v>134</v>
      </c>
      <c r="F82" s="109">
        <v>5</v>
      </c>
      <c r="G82" s="202">
        <v>10</v>
      </c>
      <c r="H82" s="124">
        <f>SUM(F82:G82)</f>
        <v>15</v>
      </c>
    </row>
    <row r="83" spans="1:8" ht="14.95" thickBot="1" x14ac:dyDescent="0.3">
      <c r="A83" s="116" t="s">
        <v>137</v>
      </c>
      <c r="B83" s="114">
        <v>2</v>
      </c>
      <c r="C83" s="205">
        <v>0</v>
      </c>
      <c r="D83" s="118">
        <f>SUM(B83:C83)</f>
        <v>2</v>
      </c>
      <c r="E83" s="126" t="s">
        <v>137</v>
      </c>
      <c r="F83" s="109">
        <v>10</v>
      </c>
      <c r="G83" s="202">
        <v>4</v>
      </c>
      <c r="H83" s="124">
        <f>SUM(F83:G83)</f>
        <v>14</v>
      </c>
    </row>
    <row r="84" spans="1:8" ht="14.95" thickBot="1" x14ac:dyDescent="0.3">
      <c r="A84" s="116" t="s">
        <v>486</v>
      </c>
      <c r="B84" s="114">
        <v>1</v>
      </c>
      <c r="C84" s="205">
        <v>0</v>
      </c>
      <c r="D84" s="118">
        <f>SUM(B84:C84)</f>
        <v>1</v>
      </c>
      <c r="E84" s="126" t="s">
        <v>4</v>
      </c>
      <c r="F84" s="109">
        <v>7</v>
      </c>
      <c r="G84" s="202">
        <v>0</v>
      </c>
      <c r="H84" s="124">
        <f>SUM(F84:G84)</f>
        <v>7</v>
      </c>
    </row>
    <row r="85" spans="1:8" ht="14.95" thickBot="1" x14ac:dyDescent="0.3">
      <c r="A85" s="116" t="s">
        <v>271</v>
      </c>
      <c r="B85" s="114">
        <v>0</v>
      </c>
      <c r="C85" s="205">
        <v>1</v>
      </c>
      <c r="D85" s="118">
        <f>SUM(B85:C85)</f>
        <v>1</v>
      </c>
      <c r="E85" s="126" t="s">
        <v>486</v>
      </c>
      <c r="F85" s="109">
        <v>5</v>
      </c>
      <c r="G85" s="202">
        <v>0</v>
      </c>
      <c r="H85" s="124">
        <f>SUM(F85:G85)</f>
        <v>5</v>
      </c>
    </row>
    <row r="86" spans="1:8" ht="14.95" thickBot="1" x14ac:dyDescent="0.3">
      <c r="A86" s="116" t="s">
        <v>58</v>
      </c>
      <c r="B86" s="114">
        <v>1</v>
      </c>
      <c r="C86" s="205">
        <v>0</v>
      </c>
      <c r="D86" s="118">
        <f>SUM(B86:C86)</f>
        <v>1</v>
      </c>
      <c r="E86" s="126" t="s">
        <v>271</v>
      </c>
      <c r="F86" s="109">
        <v>0</v>
      </c>
      <c r="G86" s="202">
        <v>5</v>
      </c>
      <c r="H86" s="124">
        <f>SUM(F86:G86)</f>
        <v>5</v>
      </c>
    </row>
    <row r="87" spans="1:8" ht="14.95" thickBot="1" x14ac:dyDescent="0.3">
      <c r="A87" s="116" t="s">
        <v>59</v>
      </c>
      <c r="B87" s="114">
        <v>0</v>
      </c>
      <c r="C87" s="205">
        <v>1</v>
      </c>
      <c r="D87" s="118">
        <f>SUM(B87:C87)</f>
        <v>1</v>
      </c>
      <c r="E87" s="126" t="s">
        <v>58</v>
      </c>
      <c r="F87" s="109">
        <v>5</v>
      </c>
      <c r="G87" s="202">
        <v>0</v>
      </c>
      <c r="H87" s="124">
        <f>SUM(F87:G87)</f>
        <v>5</v>
      </c>
    </row>
    <row r="88" spans="1:8" ht="14.95" thickBot="1" x14ac:dyDescent="0.3">
      <c r="A88" s="116" t="s">
        <v>114</v>
      </c>
      <c r="B88" s="114">
        <v>0</v>
      </c>
      <c r="C88" s="205">
        <v>1</v>
      </c>
      <c r="D88" s="118">
        <f>SUM(B88:C88)</f>
        <v>1</v>
      </c>
      <c r="E88" s="126" t="s">
        <v>59</v>
      </c>
      <c r="F88" s="109">
        <v>0</v>
      </c>
      <c r="G88" s="202">
        <v>5</v>
      </c>
      <c r="H88" s="124">
        <f>SUM(F88:G88)</f>
        <v>5</v>
      </c>
    </row>
    <row r="89" spans="1:8" ht="14.95" thickBot="1" x14ac:dyDescent="0.3">
      <c r="A89" s="116" t="s">
        <v>4</v>
      </c>
      <c r="B89" s="114">
        <v>1</v>
      </c>
      <c r="C89" s="205">
        <v>0</v>
      </c>
      <c r="D89" s="118">
        <f>SUM(B89:C89)</f>
        <v>1</v>
      </c>
      <c r="E89" s="126" t="s">
        <v>114</v>
      </c>
      <c r="F89" s="109">
        <v>0</v>
      </c>
      <c r="G89" s="202">
        <v>5</v>
      </c>
      <c r="H89" s="124">
        <f>SUM(F89:G89)</f>
        <v>5</v>
      </c>
    </row>
    <row r="90" spans="1:8" ht="14.95" thickBot="1" x14ac:dyDescent="0.3">
      <c r="A90" s="116" t="s">
        <v>72</v>
      </c>
      <c r="B90" s="114">
        <v>1</v>
      </c>
      <c r="C90" s="205">
        <v>0</v>
      </c>
      <c r="D90" s="118">
        <f>SUM(B90:C90)</f>
        <v>1</v>
      </c>
      <c r="E90" s="126" t="s">
        <v>72</v>
      </c>
      <c r="F90" s="109">
        <v>5</v>
      </c>
      <c r="G90" s="202">
        <v>0</v>
      </c>
      <c r="H90" s="124">
        <f>SUM(F90:G90)</f>
        <v>5</v>
      </c>
    </row>
    <row r="91" spans="1:8" ht="14.95" thickBot="1" x14ac:dyDescent="0.3">
      <c r="A91" s="116" t="s">
        <v>478</v>
      </c>
      <c r="B91" s="114">
        <v>0</v>
      </c>
      <c r="C91" s="205">
        <v>0</v>
      </c>
      <c r="D91" s="118">
        <f>SUM(B91:C91)</f>
        <v>0</v>
      </c>
      <c r="E91" s="126" t="s">
        <v>478</v>
      </c>
      <c r="F91" s="109">
        <v>0</v>
      </c>
      <c r="G91" s="202">
        <v>0</v>
      </c>
      <c r="H91" s="124">
        <f>SUM(F91:G91)</f>
        <v>0</v>
      </c>
    </row>
    <row r="92" spans="1:8" ht="14.95" thickBot="1" x14ac:dyDescent="0.3">
      <c r="A92" s="116" t="s">
        <v>156</v>
      </c>
      <c r="B92" s="114">
        <v>0</v>
      </c>
      <c r="C92" s="205">
        <v>0</v>
      </c>
      <c r="D92" s="118">
        <f>SUM(B92:C92)</f>
        <v>0</v>
      </c>
      <c r="E92" s="126" t="s">
        <v>156</v>
      </c>
      <c r="F92" s="109">
        <v>0</v>
      </c>
      <c r="G92" s="202">
        <v>0</v>
      </c>
      <c r="H92" s="124">
        <f>SUM(F92:G92)</f>
        <v>0</v>
      </c>
    </row>
    <row r="93" spans="1:8" ht="14.95" thickBot="1" x14ac:dyDescent="0.3">
      <c r="A93" s="116" t="s">
        <v>268</v>
      </c>
      <c r="B93" s="114">
        <v>0</v>
      </c>
      <c r="C93" s="205">
        <v>0</v>
      </c>
      <c r="D93" s="118">
        <f>SUM(B93:C93)</f>
        <v>0</v>
      </c>
      <c r="E93" s="126" t="s">
        <v>268</v>
      </c>
      <c r="F93" s="109">
        <v>0</v>
      </c>
      <c r="G93" s="202">
        <v>0</v>
      </c>
      <c r="H93" s="124">
        <f>SUM(F93:G93)</f>
        <v>0</v>
      </c>
    </row>
    <row r="94" spans="1:8" ht="14.95" thickBot="1" x14ac:dyDescent="0.3">
      <c r="A94" s="116" t="s">
        <v>482</v>
      </c>
      <c r="B94" s="114">
        <v>0</v>
      </c>
      <c r="C94" s="205">
        <v>0</v>
      </c>
      <c r="D94" s="118">
        <f>SUM(B94:C94)</f>
        <v>0</v>
      </c>
      <c r="E94" s="126" t="s">
        <v>482</v>
      </c>
      <c r="F94" s="109">
        <v>0</v>
      </c>
      <c r="G94" s="202">
        <v>0</v>
      </c>
      <c r="H94" s="124">
        <f>SUM(F94:G94)</f>
        <v>0</v>
      </c>
    </row>
    <row r="95" spans="1:8" ht="14.95" thickBot="1" x14ac:dyDescent="0.3">
      <c r="A95" s="116" t="s">
        <v>483</v>
      </c>
      <c r="B95" s="114">
        <v>0</v>
      </c>
      <c r="C95" s="205">
        <v>0</v>
      </c>
      <c r="D95" s="118">
        <f>SUM(B95:C95)</f>
        <v>0</v>
      </c>
      <c r="E95" s="126" t="s">
        <v>483</v>
      </c>
      <c r="F95" s="109">
        <v>0</v>
      </c>
      <c r="G95" s="202">
        <v>0</v>
      </c>
      <c r="H95" s="124">
        <f>SUM(F95:G95)</f>
        <v>0</v>
      </c>
    </row>
    <row r="96" spans="1:8" ht="14.95" thickBot="1" x14ac:dyDescent="0.3">
      <c r="A96" s="116" t="s">
        <v>269</v>
      </c>
      <c r="B96" s="114">
        <v>0</v>
      </c>
      <c r="C96" s="205">
        <v>0</v>
      </c>
      <c r="D96" s="118">
        <f>SUM(B96:C96)</f>
        <v>0</v>
      </c>
      <c r="E96" s="126" t="s">
        <v>269</v>
      </c>
      <c r="F96" s="109">
        <v>0</v>
      </c>
      <c r="G96" s="202">
        <v>0</v>
      </c>
      <c r="H96" s="124">
        <f>SUM(F96:G96)</f>
        <v>0</v>
      </c>
    </row>
    <row r="97" spans="1:8" ht="14.95" thickBot="1" x14ac:dyDescent="0.3">
      <c r="A97" s="116" t="s">
        <v>349</v>
      </c>
      <c r="B97" s="114">
        <v>0</v>
      </c>
      <c r="C97" s="205">
        <v>0</v>
      </c>
      <c r="D97" s="118">
        <f>SUM(B97:C97)</f>
        <v>0</v>
      </c>
      <c r="E97" s="126" t="s">
        <v>349</v>
      </c>
      <c r="F97" s="109">
        <v>0</v>
      </c>
      <c r="G97" s="202">
        <v>0</v>
      </c>
      <c r="H97" s="124">
        <f>SUM(F97:G97)</f>
        <v>0</v>
      </c>
    </row>
    <row r="98" spans="1:8" ht="14.95" thickBot="1" x14ac:dyDescent="0.3">
      <c r="A98" s="116" t="s">
        <v>485</v>
      </c>
      <c r="B98" s="114">
        <v>0</v>
      </c>
      <c r="C98" s="205">
        <v>0</v>
      </c>
      <c r="D98" s="118">
        <f>SUM(B98:C98)</f>
        <v>0</v>
      </c>
      <c r="E98" s="126" t="s">
        <v>485</v>
      </c>
      <c r="F98" s="109">
        <v>0</v>
      </c>
      <c r="G98" s="202">
        <v>0</v>
      </c>
      <c r="H98" s="124">
        <f>SUM(F98:G98)</f>
        <v>0</v>
      </c>
    </row>
    <row r="99" spans="1:8" ht="14.95" thickBot="1" x14ac:dyDescent="0.3">
      <c r="A99" s="116" t="s">
        <v>270</v>
      </c>
      <c r="B99" s="114">
        <v>0</v>
      </c>
      <c r="C99" s="205">
        <v>0</v>
      </c>
      <c r="D99" s="118">
        <f>SUM(B99:C99)</f>
        <v>0</v>
      </c>
      <c r="E99" s="126" t="s">
        <v>270</v>
      </c>
      <c r="F99" s="109">
        <v>0</v>
      </c>
      <c r="G99" s="202">
        <v>0</v>
      </c>
      <c r="H99" s="124">
        <f>SUM(F99:G99)</f>
        <v>0</v>
      </c>
    </row>
    <row r="100" spans="1:8" ht="14.95" thickBot="1" x14ac:dyDescent="0.3">
      <c r="A100" s="116" t="s">
        <v>41</v>
      </c>
      <c r="B100" s="114">
        <v>0</v>
      </c>
      <c r="C100" s="205">
        <v>0</v>
      </c>
      <c r="D100" s="118">
        <f>SUM(B100:C100)</f>
        <v>0</v>
      </c>
      <c r="E100" s="126" t="s">
        <v>41</v>
      </c>
      <c r="F100" s="109">
        <v>0</v>
      </c>
      <c r="G100" s="202">
        <v>0</v>
      </c>
      <c r="H100" s="124">
        <f>SUM(F100:G100)</f>
        <v>0</v>
      </c>
    </row>
    <row r="101" spans="1:8" ht="14.95" thickBot="1" x14ac:dyDescent="0.3">
      <c r="A101" s="116" t="s">
        <v>86</v>
      </c>
      <c r="B101" s="114">
        <v>0</v>
      </c>
      <c r="C101" s="205">
        <v>0</v>
      </c>
      <c r="D101" s="118">
        <f>SUM(B101:C101)</f>
        <v>0</v>
      </c>
      <c r="E101" s="126" t="s">
        <v>86</v>
      </c>
      <c r="F101" s="109">
        <v>0</v>
      </c>
      <c r="G101" s="202">
        <v>0</v>
      </c>
      <c r="H101" s="124">
        <f>SUM(F101:G101)</f>
        <v>0</v>
      </c>
    </row>
    <row r="102" spans="1:8" ht="14.95" thickBot="1" x14ac:dyDescent="0.3">
      <c r="A102" s="116" t="s">
        <v>138</v>
      </c>
      <c r="B102" s="114">
        <v>0</v>
      </c>
      <c r="C102" s="205">
        <v>0</v>
      </c>
      <c r="D102" s="118">
        <f>SUM(B102:C102)</f>
        <v>0</v>
      </c>
      <c r="E102" s="126" t="s">
        <v>138</v>
      </c>
      <c r="F102" s="109">
        <v>0</v>
      </c>
      <c r="G102" s="203">
        <v>0</v>
      </c>
      <c r="H102" s="125">
        <f>SUM(F102:G102)</f>
        <v>0</v>
      </c>
    </row>
    <row r="103" spans="1:8" ht="14.95" thickBot="1" x14ac:dyDescent="0.3">
      <c r="A103" s="116" t="s">
        <v>273</v>
      </c>
      <c r="B103" s="114">
        <v>0</v>
      </c>
      <c r="C103" s="205">
        <v>0</v>
      </c>
      <c r="D103" s="118">
        <f>SUM(B103:C103)</f>
        <v>0</v>
      </c>
      <c r="E103" s="126" t="s">
        <v>273</v>
      </c>
      <c r="F103" s="109">
        <v>0</v>
      </c>
      <c r="G103" s="203">
        <v>0</v>
      </c>
      <c r="H103" s="125">
        <f>SUM(F103:G103)</f>
        <v>0</v>
      </c>
    </row>
    <row r="104" spans="1:8" ht="14.95" thickBot="1" x14ac:dyDescent="0.3">
      <c r="A104" s="116" t="s">
        <v>111</v>
      </c>
      <c r="B104" s="114">
        <v>0</v>
      </c>
      <c r="C104" s="205">
        <v>0</v>
      </c>
      <c r="D104" s="118">
        <f>SUM(B104:C104)</f>
        <v>0</v>
      </c>
      <c r="E104" s="126" t="s">
        <v>111</v>
      </c>
      <c r="F104" s="109">
        <v>0</v>
      </c>
      <c r="G104" s="203">
        <v>0</v>
      </c>
      <c r="H104" s="125">
        <f>SUM(F104:G104)</f>
        <v>0</v>
      </c>
    </row>
    <row r="105" spans="1:8" ht="14.95" thickBot="1" x14ac:dyDescent="0.3">
      <c r="A105" s="116" t="s">
        <v>274</v>
      </c>
      <c r="B105" s="114">
        <v>0</v>
      </c>
      <c r="C105" s="205">
        <v>0</v>
      </c>
      <c r="D105" s="118">
        <f>SUM(B105:C105)</f>
        <v>0</v>
      </c>
      <c r="E105" s="126" t="s">
        <v>274</v>
      </c>
      <c r="F105" s="109">
        <v>0</v>
      </c>
      <c r="G105" s="203">
        <v>0</v>
      </c>
      <c r="H105" s="125">
        <f>SUM(F105:G105)</f>
        <v>0</v>
      </c>
    </row>
    <row r="106" spans="1:8" ht="14.95" thickBot="1" x14ac:dyDescent="0.3">
      <c r="A106" s="116" t="s">
        <v>275</v>
      </c>
      <c r="B106" s="114">
        <v>0</v>
      </c>
      <c r="C106" s="205">
        <v>0</v>
      </c>
      <c r="D106" s="118">
        <f>SUM(B106:C106)</f>
        <v>0</v>
      </c>
      <c r="E106" s="126" t="s">
        <v>275</v>
      </c>
      <c r="F106" s="109">
        <v>0</v>
      </c>
      <c r="G106" s="203">
        <v>0</v>
      </c>
      <c r="H106" s="125">
        <f>SUM(F106:G106)</f>
        <v>0</v>
      </c>
    </row>
    <row r="107" spans="1:8" ht="14.95" thickBot="1" x14ac:dyDescent="0.3">
      <c r="A107" s="116" t="s">
        <v>563</v>
      </c>
      <c r="B107" s="114">
        <v>0</v>
      </c>
      <c r="C107" s="205">
        <v>0</v>
      </c>
      <c r="D107" s="118">
        <f>SUM(B107:C107)</f>
        <v>0</v>
      </c>
      <c r="E107" s="126" t="s">
        <v>563</v>
      </c>
      <c r="F107" s="109">
        <v>0</v>
      </c>
      <c r="G107" s="203">
        <v>0</v>
      </c>
      <c r="H107" s="125">
        <f>SUM(F107:G107)</f>
        <v>0</v>
      </c>
    </row>
    <row r="108" spans="1:8" ht="14.95" thickBot="1" x14ac:dyDescent="0.3">
      <c r="A108" s="116" t="s">
        <v>495</v>
      </c>
      <c r="B108" s="114">
        <v>0</v>
      </c>
      <c r="C108" s="205">
        <v>0</v>
      </c>
      <c r="D108" s="118">
        <f>SUM(B108:C108)</f>
        <v>0</v>
      </c>
      <c r="E108" s="126" t="s">
        <v>495</v>
      </c>
      <c r="F108" s="109">
        <v>0</v>
      </c>
      <c r="G108" s="203">
        <v>0</v>
      </c>
      <c r="H108" s="125">
        <f>SUM(F108:G108)</f>
        <v>0</v>
      </c>
    </row>
    <row r="109" spans="1:8" ht="14.95" thickBot="1" x14ac:dyDescent="0.3">
      <c r="A109" s="116" t="s">
        <v>276</v>
      </c>
      <c r="B109" s="114">
        <v>0</v>
      </c>
      <c r="C109" s="205">
        <v>0</v>
      </c>
      <c r="D109" s="118">
        <f>SUM(B109:C109)</f>
        <v>0</v>
      </c>
      <c r="E109" s="126" t="s">
        <v>276</v>
      </c>
      <c r="F109" s="109">
        <v>0</v>
      </c>
      <c r="G109" s="203">
        <v>0</v>
      </c>
      <c r="H109" s="125">
        <f>SUM(F109:G109)</f>
        <v>0</v>
      </c>
    </row>
    <row r="110" spans="1:8" ht="14.95" thickBot="1" x14ac:dyDescent="0.3">
      <c r="A110" s="116" t="s">
        <v>277</v>
      </c>
      <c r="B110" s="114">
        <v>0</v>
      </c>
      <c r="C110" s="205">
        <v>0</v>
      </c>
      <c r="D110" s="118">
        <f>SUM(B110:C110)</f>
        <v>0</v>
      </c>
      <c r="E110" s="126" t="s">
        <v>277</v>
      </c>
      <c r="F110" s="109">
        <v>0</v>
      </c>
      <c r="G110" s="203">
        <v>0</v>
      </c>
      <c r="H110" s="125">
        <f>SUM(F110:G110)</f>
        <v>0</v>
      </c>
    </row>
    <row r="111" spans="1:8" ht="14.95" thickBot="1" x14ac:dyDescent="0.3">
      <c r="A111" s="116" t="s">
        <v>291</v>
      </c>
      <c r="B111" s="114">
        <v>0</v>
      </c>
      <c r="C111" s="205">
        <v>0</v>
      </c>
      <c r="D111" s="118">
        <f>SUM(B111:C111)</f>
        <v>0</v>
      </c>
      <c r="E111" s="126" t="s">
        <v>291</v>
      </c>
      <c r="F111" s="109">
        <v>0</v>
      </c>
      <c r="G111" s="203">
        <v>0</v>
      </c>
      <c r="H111" s="125">
        <f>SUM(F111:G111)</f>
        <v>0</v>
      </c>
    </row>
    <row r="112" spans="1:8" ht="14.95" thickBot="1" x14ac:dyDescent="0.3">
      <c r="A112" s="116" t="s">
        <v>279</v>
      </c>
      <c r="B112" s="114">
        <v>0</v>
      </c>
      <c r="C112" s="205">
        <v>0</v>
      </c>
      <c r="D112" s="118">
        <f>SUM(B112:C112)</f>
        <v>0</v>
      </c>
      <c r="E112" s="126" t="s">
        <v>279</v>
      </c>
      <c r="F112" s="109">
        <v>0</v>
      </c>
      <c r="G112" s="203">
        <v>0</v>
      </c>
      <c r="H112" s="125">
        <f>SUM(F112:G112)</f>
        <v>0</v>
      </c>
    </row>
    <row r="113" spans="1:8" ht="14.95" thickBot="1" x14ac:dyDescent="0.3">
      <c r="A113" s="116" t="s">
        <v>280</v>
      </c>
      <c r="B113" s="114">
        <v>0</v>
      </c>
      <c r="C113" s="205">
        <v>0</v>
      </c>
      <c r="D113" s="118">
        <f>SUM(B113:C113)</f>
        <v>0</v>
      </c>
      <c r="E113" s="126" t="s">
        <v>280</v>
      </c>
      <c r="F113" s="109">
        <v>0</v>
      </c>
      <c r="G113" s="202">
        <v>0</v>
      </c>
      <c r="H113" s="124">
        <f>SUM(F113:G113)</f>
        <v>0</v>
      </c>
    </row>
    <row r="114" spans="1:8" ht="14.95" thickBot="1" x14ac:dyDescent="0.3">
      <c r="A114" s="116" t="s">
        <v>281</v>
      </c>
      <c r="B114" s="114">
        <v>0</v>
      </c>
      <c r="C114" s="205">
        <v>0</v>
      </c>
      <c r="D114" s="118">
        <f>SUM(B114:C114)</f>
        <v>0</v>
      </c>
      <c r="E114" s="126" t="s">
        <v>281</v>
      </c>
      <c r="F114" s="109">
        <v>0</v>
      </c>
      <c r="G114" s="202">
        <v>0</v>
      </c>
      <c r="H114" s="124">
        <f>SUM(F114:G114)</f>
        <v>0</v>
      </c>
    </row>
    <row r="115" spans="1:8" ht="14.95" thickBot="1" x14ac:dyDescent="0.3">
      <c r="A115" s="116" t="s">
        <v>194</v>
      </c>
      <c r="B115" s="114">
        <v>0</v>
      </c>
      <c r="C115" s="205">
        <v>0</v>
      </c>
      <c r="D115" s="118">
        <f>SUM(B115:C115)</f>
        <v>0</v>
      </c>
      <c r="E115" s="126" t="s">
        <v>194</v>
      </c>
      <c r="F115" s="109">
        <v>0</v>
      </c>
      <c r="G115" s="202">
        <v>0</v>
      </c>
      <c r="H115" s="124">
        <f>SUM(F115:G115)</f>
        <v>0</v>
      </c>
    </row>
    <row r="116" spans="1:8" ht="14.95" thickBot="1" x14ac:dyDescent="0.3">
      <c r="A116" s="116" t="s">
        <v>500</v>
      </c>
      <c r="B116" s="114">
        <v>0</v>
      </c>
      <c r="C116" s="205">
        <v>0</v>
      </c>
      <c r="D116" s="118">
        <f>SUM(B116:C116)</f>
        <v>0</v>
      </c>
      <c r="E116" s="126" t="s">
        <v>500</v>
      </c>
      <c r="F116" s="109">
        <v>0</v>
      </c>
      <c r="G116" s="202">
        <v>0</v>
      </c>
      <c r="H116" s="124">
        <f>SUM(F116:G116)</f>
        <v>0</v>
      </c>
    </row>
    <row r="117" spans="1:8" ht="14.95" thickBot="1" x14ac:dyDescent="0.3">
      <c r="A117" s="116" t="s">
        <v>282</v>
      </c>
      <c r="B117" s="114">
        <v>0</v>
      </c>
      <c r="C117" s="205">
        <v>0</v>
      </c>
      <c r="D117" s="118">
        <f>SUM(B117:C117)</f>
        <v>0</v>
      </c>
      <c r="E117" s="126" t="s">
        <v>282</v>
      </c>
      <c r="F117" s="109">
        <v>0</v>
      </c>
      <c r="G117" s="202">
        <v>0</v>
      </c>
      <c r="H117" s="124">
        <f>SUM(F117:G117)</f>
        <v>0</v>
      </c>
    </row>
    <row r="118" spans="1:8" ht="14.95" thickBot="1" x14ac:dyDescent="0.3">
      <c r="A118" s="116" t="s">
        <v>502</v>
      </c>
      <c r="B118" s="114">
        <v>0</v>
      </c>
      <c r="C118" s="205">
        <v>0</v>
      </c>
      <c r="D118" s="118">
        <f>SUM(B118:C118)</f>
        <v>0</v>
      </c>
      <c r="E118" s="126" t="s">
        <v>502</v>
      </c>
      <c r="F118" s="109">
        <v>0</v>
      </c>
      <c r="G118" s="202">
        <v>0</v>
      </c>
      <c r="H118" s="124">
        <f>SUM(F118:G118)</f>
        <v>0</v>
      </c>
    </row>
    <row r="119" spans="1:8" ht="14.95" thickBot="1" x14ac:dyDescent="0.3">
      <c r="A119" s="116" t="s">
        <v>101</v>
      </c>
      <c r="B119" s="114">
        <v>0</v>
      </c>
      <c r="C119" s="205">
        <v>0</v>
      </c>
      <c r="D119" s="118">
        <f>SUM(B119:C119)</f>
        <v>0</v>
      </c>
      <c r="E119" s="126" t="s">
        <v>101</v>
      </c>
      <c r="F119" s="109">
        <v>0</v>
      </c>
      <c r="G119" s="202">
        <v>0</v>
      </c>
      <c r="H119" s="124">
        <f>SUM(F119:G119)</f>
        <v>0</v>
      </c>
    </row>
    <row r="120" spans="1:8" ht="14.95" thickBot="1" x14ac:dyDescent="0.3">
      <c r="A120" s="116" t="s">
        <v>124</v>
      </c>
      <c r="B120" s="114">
        <v>0</v>
      </c>
      <c r="C120" s="205">
        <v>0</v>
      </c>
      <c r="D120" s="118">
        <f>SUM(B120:C120)</f>
        <v>0</v>
      </c>
      <c r="E120" s="126" t="s">
        <v>124</v>
      </c>
      <c r="F120" s="109">
        <v>0</v>
      </c>
      <c r="G120" s="202">
        <v>0</v>
      </c>
      <c r="H120" s="124">
        <f>SUM(F120:G120)</f>
        <v>0</v>
      </c>
    </row>
    <row r="121" spans="1:8" ht="14.95" thickBot="1" x14ac:dyDescent="0.3">
      <c r="A121" s="116" t="s">
        <v>507</v>
      </c>
      <c r="B121" s="114">
        <v>0</v>
      </c>
      <c r="C121" s="205">
        <v>0</v>
      </c>
      <c r="D121" s="118">
        <f>SUM(B121:C121)</f>
        <v>0</v>
      </c>
      <c r="E121" s="126" t="s">
        <v>507</v>
      </c>
      <c r="F121" s="109">
        <v>0</v>
      </c>
      <c r="G121" s="202">
        <v>0</v>
      </c>
      <c r="H121" s="124">
        <f>SUM(F121:G121)</f>
        <v>0</v>
      </c>
    </row>
    <row r="122" spans="1:8" ht="14.95" thickBot="1" x14ac:dyDescent="0.3">
      <c r="A122" s="116" t="s">
        <v>285</v>
      </c>
      <c r="B122" s="114">
        <v>0</v>
      </c>
      <c r="C122" s="205">
        <v>0</v>
      </c>
      <c r="D122" s="118">
        <f>SUM(B122:C122)</f>
        <v>0</v>
      </c>
      <c r="E122" s="126" t="s">
        <v>285</v>
      </c>
      <c r="F122" s="109">
        <v>0</v>
      </c>
      <c r="G122" s="202">
        <v>0</v>
      </c>
      <c r="H122" s="124">
        <f>SUM(F122:G122)</f>
        <v>0</v>
      </c>
    </row>
    <row r="123" spans="1:8" ht="14.95" thickBot="1" x14ac:dyDescent="0.3">
      <c r="A123" s="116" t="s">
        <v>286</v>
      </c>
      <c r="B123" s="114">
        <v>0</v>
      </c>
      <c r="C123" s="205">
        <v>0</v>
      </c>
      <c r="D123" s="118">
        <f>SUM(B123:C123)</f>
        <v>0</v>
      </c>
      <c r="E123" s="126" t="s">
        <v>286</v>
      </c>
      <c r="F123" s="109">
        <v>0</v>
      </c>
      <c r="G123" s="202">
        <v>0</v>
      </c>
      <c r="H123" s="124">
        <f>SUM(F123:G123)</f>
        <v>0</v>
      </c>
    </row>
    <row r="124" spans="1:8" ht="14.95" thickBot="1" x14ac:dyDescent="0.3">
      <c r="A124" s="116" t="s">
        <v>338</v>
      </c>
      <c r="B124" s="114">
        <v>0</v>
      </c>
      <c r="C124" s="205">
        <v>0</v>
      </c>
      <c r="D124" s="118">
        <f>SUM(B124:C124)</f>
        <v>0</v>
      </c>
      <c r="E124" s="126" t="s">
        <v>338</v>
      </c>
      <c r="F124" s="109">
        <v>0</v>
      </c>
      <c r="G124" s="202">
        <v>0</v>
      </c>
      <c r="H124" s="124">
        <f>SUM(F124:G124)</f>
        <v>0</v>
      </c>
    </row>
    <row r="125" spans="1:8" ht="14.95" thickBot="1" x14ac:dyDescent="0.3">
      <c r="A125" s="116" t="s">
        <v>3</v>
      </c>
      <c r="B125" s="114">
        <f>SUM(B66:B124)</f>
        <v>66</v>
      </c>
      <c r="C125" s="205">
        <f>SUM(C66:C124)</f>
        <v>33</v>
      </c>
      <c r="D125" s="118">
        <f t="shared" ref="D68:D125" si="18">SUM(B125:C125)</f>
        <v>99</v>
      </c>
      <c r="E125" s="126" t="s">
        <v>3</v>
      </c>
      <c r="F125" s="109">
        <f>SUM(F66:F124)</f>
        <v>412</v>
      </c>
      <c r="G125" s="202">
        <f>SUM(G66:G124)</f>
        <v>214</v>
      </c>
      <c r="H125" s="124">
        <f t="shared" ref="H68:H125" si="19">SUM(F125:G125)</f>
        <v>626</v>
      </c>
    </row>
    <row r="126" spans="1:8" ht="16.3" x14ac:dyDescent="0.3">
      <c r="A126" s="245" t="s">
        <v>17</v>
      </c>
      <c r="B126" s="246"/>
      <c r="C126" s="246"/>
      <c r="D126" s="246"/>
      <c r="E126" s="246"/>
      <c r="F126" s="246"/>
      <c r="G126" s="246"/>
      <c r="H126" s="246"/>
    </row>
  </sheetData>
  <sortState xmlns:xlrd2="http://schemas.microsoft.com/office/spreadsheetml/2017/richdata2" ref="E66:H124">
    <sortCondition descending="1" ref="H66:H124"/>
  </sortState>
  <mergeCells count="15">
    <mergeCell ref="Z1:AB2"/>
    <mergeCell ref="M9:O10"/>
    <mergeCell ref="A126:H126"/>
    <mergeCell ref="M1:O2"/>
    <mergeCell ref="P1:Q2"/>
    <mergeCell ref="U1:W2"/>
    <mergeCell ref="A63:F63"/>
    <mergeCell ref="A1:H1"/>
    <mergeCell ref="I1:I2"/>
    <mergeCell ref="J1:L2"/>
    <mergeCell ref="I9:I10"/>
    <mergeCell ref="J9:L10"/>
    <mergeCell ref="R1:T2"/>
    <mergeCell ref="I15:I16"/>
    <mergeCell ref="J15:L1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B1E73-A120-48E3-B617-BE08DD50E3F6}">
  <dimension ref="A1:AB86"/>
  <sheetViews>
    <sheetView zoomScaleNormal="100" workbookViewId="0">
      <selection activeCell="L8" sqref="L8"/>
    </sheetView>
  </sheetViews>
  <sheetFormatPr defaultRowHeight="14.3" x14ac:dyDescent="0.25"/>
  <cols>
    <col min="1" max="1" width="16.375" customWidth="1"/>
    <col min="2" max="2" width="5" bestFit="1" customWidth="1"/>
    <col min="3" max="3" width="5" customWidth="1"/>
    <col min="4" max="4" width="3.75" bestFit="1" customWidth="1"/>
    <col min="5" max="5" width="16.375" customWidth="1"/>
    <col min="6" max="6" width="5" bestFit="1" customWidth="1"/>
    <col min="7" max="7" width="5" customWidth="1"/>
    <col min="8" max="8" width="3.75" bestFit="1" customWidth="1"/>
    <col min="9" max="9" width="16.375" customWidth="1"/>
    <col min="10" max="23" width="5.625" customWidth="1"/>
    <col min="26" max="28" width="5.625" customWidth="1"/>
  </cols>
  <sheetData>
    <row r="1" spans="1:28" ht="17" customHeight="1" thickBot="1" x14ac:dyDescent="0.3">
      <c r="A1" s="276" t="s">
        <v>655</v>
      </c>
      <c r="B1" s="277"/>
      <c r="C1" s="277"/>
      <c r="D1" s="277"/>
      <c r="E1" s="277"/>
      <c r="F1" s="277"/>
      <c r="G1" s="277"/>
      <c r="H1" s="278"/>
      <c r="I1" s="264" t="s">
        <v>161</v>
      </c>
      <c r="J1" s="260" t="s">
        <v>12</v>
      </c>
      <c r="K1" s="266"/>
      <c r="L1" s="261"/>
      <c r="M1" s="260" t="s">
        <v>28</v>
      </c>
      <c r="N1" s="266"/>
      <c r="O1" s="261"/>
      <c r="P1" s="260" t="s">
        <v>31</v>
      </c>
      <c r="Q1" s="261"/>
      <c r="R1" s="247" t="s">
        <v>162</v>
      </c>
      <c r="S1" s="248"/>
      <c r="T1" s="249"/>
      <c r="U1" s="247" t="s">
        <v>661</v>
      </c>
      <c r="V1" s="248"/>
      <c r="W1" s="249"/>
      <c r="Z1" s="247" t="s">
        <v>435</v>
      </c>
      <c r="AA1" s="248"/>
      <c r="AB1" s="249"/>
    </row>
    <row r="2" spans="1:28" ht="14.95" customHeight="1" thickBot="1" x14ac:dyDescent="0.3">
      <c r="A2" s="128" t="s">
        <v>0</v>
      </c>
      <c r="B2" s="180" t="s">
        <v>161</v>
      </c>
      <c r="C2" s="182" t="s">
        <v>167</v>
      </c>
      <c r="D2" s="130" t="s">
        <v>1</v>
      </c>
      <c r="E2" s="85" t="s">
        <v>2</v>
      </c>
      <c r="F2" s="108" t="s">
        <v>161</v>
      </c>
      <c r="G2" s="184" t="s">
        <v>167</v>
      </c>
      <c r="H2" s="59" t="s">
        <v>1</v>
      </c>
      <c r="I2" s="265"/>
      <c r="J2" s="262"/>
      <c r="K2" s="267"/>
      <c r="L2" s="263"/>
      <c r="M2" s="262"/>
      <c r="N2" s="267"/>
      <c r="O2" s="263"/>
      <c r="P2" s="262"/>
      <c r="Q2" s="263"/>
      <c r="R2" s="250"/>
      <c r="S2" s="251"/>
      <c r="T2" s="252"/>
      <c r="U2" s="250"/>
      <c r="V2" s="251"/>
      <c r="W2" s="252"/>
      <c r="Z2" s="250"/>
      <c r="AA2" s="251"/>
      <c r="AB2" s="252"/>
    </row>
    <row r="3" spans="1:28" ht="14.95" thickBot="1" x14ac:dyDescent="0.3">
      <c r="A3" s="129" t="s">
        <v>574</v>
      </c>
      <c r="B3" s="181">
        <v>0</v>
      </c>
      <c r="C3" s="183">
        <v>0</v>
      </c>
      <c r="D3" s="131">
        <f>SUM(B3:C3)</f>
        <v>0</v>
      </c>
      <c r="E3" s="86" t="s">
        <v>574</v>
      </c>
      <c r="F3" s="109">
        <v>0</v>
      </c>
      <c r="G3" s="185">
        <v>0</v>
      </c>
      <c r="H3" s="58">
        <f>SUM(F3:G3)</f>
        <v>0</v>
      </c>
      <c r="I3" s="105" t="s">
        <v>14</v>
      </c>
      <c r="J3" s="2" t="s">
        <v>21</v>
      </c>
      <c r="K3" s="2" t="s">
        <v>7</v>
      </c>
      <c r="L3" s="2" t="s">
        <v>8</v>
      </c>
      <c r="M3" s="62" t="s">
        <v>21</v>
      </c>
      <c r="N3" s="2" t="s">
        <v>7</v>
      </c>
      <c r="O3" s="2" t="s">
        <v>8</v>
      </c>
      <c r="P3" s="2" t="s">
        <v>161</v>
      </c>
      <c r="Q3" s="2" t="s">
        <v>22</v>
      </c>
      <c r="R3" s="110" t="s">
        <v>21</v>
      </c>
      <c r="S3" s="110" t="s">
        <v>7</v>
      </c>
      <c r="T3" s="110" t="s">
        <v>8</v>
      </c>
      <c r="U3" s="110" t="s">
        <v>21</v>
      </c>
      <c r="V3" s="110" t="s">
        <v>7</v>
      </c>
      <c r="W3" s="110" t="s">
        <v>8</v>
      </c>
      <c r="Z3" s="4" t="s">
        <v>21</v>
      </c>
      <c r="AA3" s="110" t="s">
        <v>7</v>
      </c>
      <c r="AB3" s="110" t="s">
        <v>8</v>
      </c>
    </row>
    <row r="4" spans="1:28" ht="14.95" thickBot="1" x14ac:dyDescent="0.3">
      <c r="A4" s="129" t="s">
        <v>242</v>
      </c>
      <c r="B4" s="181">
        <v>0</v>
      </c>
      <c r="C4" s="183">
        <v>0</v>
      </c>
      <c r="D4" s="131">
        <f>SUM(B4:C4)</f>
        <v>0</v>
      </c>
      <c r="E4" s="86" t="s">
        <v>242</v>
      </c>
      <c r="F4" s="109">
        <v>0</v>
      </c>
      <c r="G4" s="185">
        <v>0</v>
      </c>
      <c r="H4" s="58">
        <f>SUM(F4:G4)</f>
        <v>0</v>
      </c>
      <c r="I4" s="187" t="s">
        <v>701</v>
      </c>
      <c r="J4" s="132">
        <v>4</v>
      </c>
      <c r="K4" s="132">
        <v>11</v>
      </c>
      <c r="L4" s="133">
        <f t="shared" ref="L4:L5" si="0">SUM(J4/K4)*100</f>
        <v>36.363636363636367</v>
      </c>
      <c r="M4" s="132" t="s">
        <v>13</v>
      </c>
      <c r="N4" s="132" t="s">
        <v>13</v>
      </c>
      <c r="O4" s="133" t="s">
        <v>13</v>
      </c>
      <c r="P4" s="130">
        <v>-4</v>
      </c>
      <c r="Q4" s="135">
        <v>-4</v>
      </c>
      <c r="R4" s="4" t="s">
        <v>13</v>
      </c>
      <c r="S4" s="4" t="s">
        <v>13</v>
      </c>
      <c r="T4" s="111" t="s">
        <v>13</v>
      </c>
      <c r="U4" s="4" t="s">
        <v>13</v>
      </c>
      <c r="V4" s="4" t="s">
        <v>13</v>
      </c>
      <c r="W4" s="111" t="s">
        <v>13</v>
      </c>
      <c r="Z4" s="4" t="s">
        <v>13</v>
      </c>
      <c r="AA4" s="4" t="s">
        <v>13</v>
      </c>
      <c r="AB4" s="111" t="s">
        <v>13</v>
      </c>
    </row>
    <row r="5" spans="1:28" ht="14.95" thickBot="1" x14ac:dyDescent="0.3">
      <c r="A5" s="129" t="s">
        <v>240</v>
      </c>
      <c r="B5" s="181">
        <v>0</v>
      </c>
      <c r="C5" s="183">
        <v>0</v>
      </c>
      <c r="D5" s="131">
        <f t="shared" ref="D5:D42" si="1">SUM(B5:C5)</f>
        <v>0</v>
      </c>
      <c r="E5" s="86" t="s">
        <v>240</v>
      </c>
      <c r="F5" s="109">
        <v>0</v>
      </c>
      <c r="G5" s="185">
        <v>0</v>
      </c>
      <c r="H5" s="58">
        <f t="shared" ref="H5:H42" si="2">SUM(F5:G5)</f>
        <v>0</v>
      </c>
      <c r="I5" s="187" t="s">
        <v>216</v>
      </c>
      <c r="J5" s="132">
        <v>5</v>
      </c>
      <c r="K5" s="132">
        <v>8</v>
      </c>
      <c r="L5" s="133">
        <f t="shared" si="0"/>
        <v>62.5</v>
      </c>
      <c r="M5" s="132">
        <v>2</v>
      </c>
      <c r="N5" s="132">
        <v>2</v>
      </c>
      <c r="O5" s="133">
        <f t="shared" ref="O5" si="3">SUM(M5/N5)*100</f>
        <v>100</v>
      </c>
      <c r="P5" s="130">
        <v>3</v>
      </c>
      <c r="Q5" s="135">
        <v>3</v>
      </c>
      <c r="R5" s="4">
        <v>6</v>
      </c>
      <c r="S5" s="4">
        <v>12</v>
      </c>
      <c r="T5" s="111">
        <v>50</v>
      </c>
      <c r="U5" s="4">
        <v>6</v>
      </c>
      <c r="V5" s="4">
        <v>8</v>
      </c>
      <c r="W5" s="111">
        <f t="shared" ref="W5" si="4">SUM(U5/V5)*100</f>
        <v>75</v>
      </c>
      <c r="Z5" s="4" t="s">
        <v>13</v>
      </c>
      <c r="AA5" s="4" t="s">
        <v>13</v>
      </c>
      <c r="AB5" s="111" t="s">
        <v>13</v>
      </c>
    </row>
    <row r="6" spans="1:28" ht="14.95" thickBot="1" x14ac:dyDescent="0.3">
      <c r="A6" s="129" t="s">
        <v>701</v>
      </c>
      <c r="B6" s="181">
        <v>1</v>
      </c>
      <c r="C6" s="183">
        <v>0</v>
      </c>
      <c r="D6" s="131">
        <f t="shared" ref="D6:D7" si="5">SUM(B6:C6)</f>
        <v>1</v>
      </c>
      <c r="E6" s="86" t="s">
        <v>701</v>
      </c>
      <c r="F6" s="109">
        <v>13</v>
      </c>
      <c r="G6" s="185">
        <v>0</v>
      </c>
      <c r="H6" s="58">
        <f t="shared" ref="H6:H7" si="6">SUM(F6:G6)</f>
        <v>13</v>
      </c>
      <c r="I6" s="134" t="s">
        <v>237</v>
      </c>
      <c r="J6" s="132" t="s">
        <v>13</v>
      </c>
      <c r="K6" s="132" t="s">
        <v>13</v>
      </c>
      <c r="L6" s="133" t="s">
        <v>13</v>
      </c>
      <c r="M6" s="132" t="s">
        <v>13</v>
      </c>
      <c r="N6" s="132" t="s">
        <v>13</v>
      </c>
      <c r="O6" s="133" t="s">
        <v>13</v>
      </c>
      <c r="P6" s="132">
        <v>2</v>
      </c>
      <c r="Q6" s="135">
        <v>2</v>
      </c>
      <c r="R6" s="4">
        <v>1</v>
      </c>
      <c r="S6" s="4">
        <v>4</v>
      </c>
      <c r="T6" s="111">
        <v>25</v>
      </c>
      <c r="U6" s="4">
        <v>3</v>
      </c>
      <c r="V6" s="4">
        <v>6</v>
      </c>
      <c r="W6" s="111">
        <f t="shared" ref="W6" si="7">SUM(U6/V6)*100</f>
        <v>50</v>
      </c>
      <c r="Z6" s="4" t="s">
        <v>13</v>
      </c>
      <c r="AA6" s="112" t="s">
        <v>13</v>
      </c>
      <c r="AB6" s="111" t="s">
        <v>13</v>
      </c>
    </row>
    <row r="7" spans="1:28" ht="14.95" thickBot="1" x14ac:dyDescent="0.3">
      <c r="A7" s="129" t="s">
        <v>511</v>
      </c>
      <c r="B7" s="181">
        <v>0</v>
      </c>
      <c r="C7" s="183">
        <v>0</v>
      </c>
      <c r="D7" s="131">
        <f t="shared" si="5"/>
        <v>0</v>
      </c>
      <c r="E7" s="86" t="s">
        <v>511</v>
      </c>
      <c r="F7" s="109">
        <v>0</v>
      </c>
      <c r="G7" s="185">
        <v>0</v>
      </c>
      <c r="H7" s="58">
        <f t="shared" si="6"/>
        <v>0</v>
      </c>
      <c r="I7" s="187" t="s">
        <v>685</v>
      </c>
      <c r="J7" s="132">
        <v>0</v>
      </c>
      <c r="K7" s="132">
        <v>1</v>
      </c>
      <c r="L7" s="133">
        <f t="shared" ref="L7" si="8">SUM(J7/K7)*100</f>
        <v>0</v>
      </c>
      <c r="M7" s="132" t="s">
        <v>13</v>
      </c>
      <c r="N7" s="132" t="s">
        <v>13</v>
      </c>
      <c r="O7" s="133" t="s">
        <v>13</v>
      </c>
      <c r="P7" s="130">
        <v>-1</v>
      </c>
      <c r="Q7" s="135">
        <v>-2</v>
      </c>
      <c r="R7" s="4" t="s">
        <v>13</v>
      </c>
      <c r="S7" s="4" t="s">
        <v>13</v>
      </c>
      <c r="T7" s="111" t="s">
        <v>13</v>
      </c>
      <c r="U7" s="4" t="s">
        <v>13</v>
      </c>
      <c r="V7" s="4" t="s">
        <v>13</v>
      </c>
      <c r="W7" s="111" t="s">
        <v>13</v>
      </c>
      <c r="Z7" s="4" t="s">
        <v>13</v>
      </c>
      <c r="AA7" s="4" t="s">
        <v>13</v>
      </c>
      <c r="AB7" s="111" t="s">
        <v>13</v>
      </c>
    </row>
    <row r="8" spans="1:28" ht="14.95" thickBot="1" x14ac:dyDescent="0.3">
      <c r="A8" s="129" t="s">
        <v>233</v>
      </c>
      <c r="B8" s="181">
        <v>0</v>
      </c>
      <c r="C8" s="183">
        <v>0</v>
      </c>
      <c r="D8" s="131">
        <f t="shared" si="1"/>
        <v>0</v>
      </c>
      <c r="E8" s="86" t="s">
        <v>233</v>
      </c>
      <c r="F8" s="109">
        <v>0</v>
      </c>
      <c r="G8" s="185">
        <v>0</v>
      </c>
      <c r="H8" s="58">
        <f t="shared" si="2"/>
        <v>0</v>
      </c>
      <c r="R8" s="50"/>
      <c r="S8" s="50"/>
      <c r="T8" s="50"/>
    </row>
    <row r="9" spans="1:28" ht="14.95" thickBot="1" x14ac:dyDescent="0.3">
      <c r="A9" s="129" t="s">
        <v>512</v>
      </c>
      <c r="B9" s="181">
        <v>0</v>
      </c>
      <c r="C9" s="183">
        <v>0</v>
      </c>
      <c r="D9" s="131">
        <f t="shared" si="1"/>
        <v>0</v>
      </c>
      <c r="E9" s="86" t="s">
        <v>512</v>
      </c>
      <c r="F9" s="109">
        <v>0</v>
      </c>
      <c r="G9" s="185">
        <v>0</v>
      </c>
      <c r="H9" s="58">
        <f t="shared" si="2"/>
        <v>0</v>
      </c>
      <c r="I9" s="253" t="s">
        <v>167</v>
      </c>
      <c r="J9" s="260" t="s">
        <v>12</v>
      </c>
      <c r="K9" s="266"/>
      <c r="L9" s="261"/>
      <c r="M9" s="247" t="s">
        <v>661</v>
      </c>
      <c r="N9" s="248"/>
      <c r="O9" s="249"/>
    </row>
    <row r="10" spans="1:28" ht="14.95" thickBot="1" x14ac:dyDescent="0.3">
      <c r="A10" s="129" t="s">
        <v>230</v>
      </c>
      <c r="B10" s="181">
        <v>1</v>
      </c>
      <c r="C10" s="183">
        <v>0</v>
      </c>
      <c r="D10" s="131">
        <f t="shared" si="1"/>
        <v>1</v>
      </c>
      <c r="E10" s="86" t="s">
        <v>230</v>
      </c>
      <c r="F10" s="109">
        <v>5</v>
      </c>
      <c r="G10" s="185">
        <v>0</v>
      </c>
      <c r="H10" s="58">
        <f t="shared" si="2"/>
        <v>5</v>
      </c>
      <c r="I10" s="254"/>
      <c r="J10" s="262"/>
      <c r="K10" s="267"/>
      <c r="L10" s="263"/>
      <c r="M10" s="250"/>
      <c r="N10" s="251"/>
      <c r="O10" s="252"/>
    </row>
    <row r="11" spans="1:28" ht="14.95" thickBot="1" x14ac:dyDescent="0.3">
      <c r="A11" s="129" t="s">
        <v>519</v>
      </c>
      <c r="B11" s="181">
        <v>0</v>
      </c>
      <c r="C11" s="183">
        <v>1</v>
      </c>
      <c r="D11" s="131">
        <f t="shared" si="1"/>
        <v>1</v>
      </c>
      <c r="E11" s="86" t="s">
        <v>519</v>
      </c>
      <c r="F11" s="109">
        <v>0</v>
      </c>
      <c r="G11" s="185">
        <v>5</v>
      </c>
      <c r="H11" s="58">
        <f t="shared" si="2"/>
        <v>5</v>
      </c>
      <c r="I11" s="149" t="s">
        <v>14</v>
      </c>
      <c r="J11" s="2" t="s">
        <v>21</v>
      </c>
      <c r="K11" s="2" t="s">
        <v>7</v>
      </c>
      <c r="L11" s="2" t="s">
        <v>8</v>
      </c>
      <c r="M11" s="110" t="s">
        <v>21</v>
      </c>
      <c r="N11" s="110" t="s">
        <v>7</v>
      </c>
      <c r="O11" s="110" t="s">
        <v>8</v>
      </c>
    </row>
    <row r="12" spans="1:28" ht="14.95" customHeight="1" thickBot="1" x14ac:dyDescent="0.3">
      <c r="A12" s="129" t="s">
        <v>200</v>
      </c>
      <c r="B12" s="181">
        <v>0</v>
      </c>
      <c r="C12" s="183">
        <v>0</v>
      </c>
      <c r="D12" s="131">
        <f t="shared" si="1"/>
        <v>0</v>
      </c>
      <c r="E12" s="86" t="s">
        <v>200</v>
      </c>
      <c r="F12" s="109">
        <v>0</v>
      </c>
      <c r="G12" s="185">
        <v>0</v>
      </c>
      <c r="H12" s="58">
        <f t="shared" si="2"/>
        <v>0</v>
      </c>
      <c r="I12" s="187" t="s">
        <v>216</v>
      </c>
      <c r="J12" s="132">
        <v>2</v>
      </c>
      <c r="K12" s="131">
        <v>2</v>
      </c>
      <c r="L12" s="206">
        <f t="shared" ref="L12" si="9">SUM(J12/K12)*100</f>
        <v>100</v>
      </c>
      <c r="M12" s="4">
        <v>2</v>
      </c>
      <c r="N12" s="110">
        <v>3</v>
      </c>
      <c r="O12" s="140">
        <f t="shared" ref="O12:O13" si="10">SUM(M12/N12)*100</f>
        <v>66.666666666666657</v>
      </c>
    </row>
    <row r="13" spans="1:28" ht="14.95" customHeight="1" thickBot="1" x14ac:dyDescent="0.3">
      <c r="A13" s="129" t="s">
        <v>232</v>
      </c>
      <c r="B13" s="181">
        <v>0</v>
      </c>
      <c r="C13" s="183">
        <v>0</v>
      </c>
      <c r="D13" s="131">
        <f t="shared" si="1"/>
        <v>0</v>
      </c>
      <c r="E13" s="86" t="s">
        <v>232</v>
      </c>
      <c r="F13" s="109">
        <v>0</v>
      </c>
      <c r="G13" s="185">
        <v>0</v>
      </c>
      <c r="H13" s="58">
        <f t="shared" si="2"/>
        <v>0</v>
      </c>
      <c r="I13" s="134" t="s">
        <v>237</v>
      </c>
      <c r="J13" s="132" t="s">
        <v>13</v>
      </c>
      <c r="K13" s="132" t="s">
        <v>13</v>
      </c>
      <c r="L13" s="133" t="s">
        <v>13</v>
      </c>
      <c r="M13" s="4">
        <v>0</v>
      </c>
      <c r="N13" s="4">
        <v>1</v>
      </c>
      <c r="O13" s="111">
        <f t="shared" si="10"/>
        <v>0</v>
      </c>
    </row>
    <row r="14" spans="1:28" ht="14.95" thickBot="1" x14ac:dyDescent="0.3">
      <c r="A14" s="129" t="s">
        <v>683</v>
      </c>
      <c r="B14" s="181">
        <v>0</v>
      </c>
      <c r="C14" s="183">
        <v>1</v>
      </c>
      <c r="D14" s="131">
        <f t="shared" si="1"/>
        <v>1</v>
      </c>
      <c r="E14" s="86" t="s">
        <v>683</v>
      </c>
      <c r="F14" s="109">
        <v>0</v>
      </c>
      <c r="G14" s="185">
        <v>5</v>
      </c>
      <c r="H14" s="58">
        <f t="shared" si="2"/>
        <v>5</v>
      </c>
      <c r="I14" s="134" t="s">
        <v>685</v>
      </c>
      <c r="J14" s="132">
        <v>1</v>
      </c>
      <c r="K14" s="132">
        <v>2</v>
      </c>
      <c r="L14" s="133">
        <f t="shared" ref="L14" si="11">SUM(J14/K14)*100</f>
        <v>50</v>
      </c>
      <c r="M14" s="4" t="s">
        <v>13</v>
      </c>
      <c r="N14" s="4" t="s">
        <v>13</v>
      </c>
      <c r="O14" s="111" t="s">
        <v>13</v>
      </c>
    </row>
    <row r="15" spans="1:28" ht="14.95" thickBot="1" x14ac:dyDescent="0.3">
      <c r="A15" s="129" t="s">
        <v>216</v>
      </c>
      <c r="B15" s="181">
        <v>3</v>
      </c>
      <c r="C15" s="183">
        <v>0</v>
      </c>
      <c r="D15" s="131">
        <f t="shared" si="1"/>
        <v>3</v>
      </c>
      <c r="E15" s="86" t="s">
        <v>216</v>
      </c>
      <c r="F15" s="109">
        <v>26</v>
      </c>
      <c r="G15" s="185">
        <v>4</v>
      </c>
      <c r="H15" s="58">
        <f t="shared" si="2"/>
        <v>30</v>
      </c>
    </row>
    <row r="16" spans="1:28" ht="14.95" thickBot="1" x14ac:dyDescent="0.3">
      <c r="A16" s="129" t="s">
        <v>244</v>
      </c>
      <c r="B16" s="181">
        <v>0</v>
      </c>
      <c r="C16" s="183">
        <v>0</v>
      </c>
      <c r="D16" s="131">
        <f t="shared" si="1"/>
        <v>0</v>
      </c>
      <c r="E16" s="86" t="s">
        <v>244</v>
      </c>
      <c r="F16" s="109">
        <v>0</v>
      </c>
      <c r="G16" s="185">
        <v>0</v>
      </c>
      <c r="H16" s="58">
        <f t="shared" si="2"/>
        <v>0</v>
      </c>
    </row>
    <row r="17" spans="1:15" ht="14.95" customHeight="1" thickBot="1" x14ac:dyDescent="0.3">
      <c r="A17" s="129" t="s">
        <v>361</v>
      </c>
      <c r="B17" s="181">
        <v>0</v>
      </c>
      <c r="C17" s="183">
        <v>0</v>
      </c>
      <c r="D17" s="131">
        <f t="shared" si="1"/>
        <v>0</v>
      </c>
      <c r="E17" s="86" t="s">
        <v>361</v>
      </c>
      <c r="F17" s="109">
        <v>0</v>
      </c>
      <c r="G17" s="185">
        <v>0</v>
      </c>
      <c r="H17" s="58">
        <f t="shared" si="2"/>
        <v>0</v>
      </c>
      <c r="N17" s="44"/>
      <c r="O17" s="44"/>
    </row>
    <row r="18" spans="1:15" ht="14.95" customHeight="1" thickBot="1" x14ac:dyDescent="0.3">
      <c r="A18" s="129" t="s">
        <v>513</v>
      </c>
      <c r="B18" s="181">
        <v>0</v>
      </c>
      <c r="C18" s="183">
        <v>0</v>
      </c>
      <c r="D18" s="131">
        <f t="shared" si="1"/>
        <v>0</v>
      </c>
      <c r="E18" s="86" t="s">
        <v>513</v>
      </c>
      <c r="F18" s="109">
        <v>0</v>
      </c>
      <c r="G18" s="185">
        <v>0</v>
      </c>
      <c r="H18" s="58">
        <f t="shared" si="2"/>
        <v>0</v>
      </c>
    </row>
    <row r="19" spans="1:15" ht="14.95" thickBot="1" x14ac:dyDescent="0.3">
      <c r="A19" s="129" t="s">
        <v>742</v>
      </c>
      <c r="B19" s="181">
        <v>2</v>
      </c>
      <c r="C19" s="183">
        <v>0</v>
      </c>
      <c r="D19" s="131">
        <f t="shared" si="1"/>
        <v>2</v>
      </c>
      <c r="E19" s="86" t="s">
        <v>742</v>
      </c>
      <c r="F19" s="109">
        <v>10</v>
      </c>
      <c r="G19" s="185">
        <v>0</v>
      </c>
      <c r="H19" s="58">
        <f t="shared" si="2"/>
        <v>10</v>
      </c>
    </row>
    <row r="20" spans="1:15" ht="14.95" thickBot="1" x14ac:dyDescent="0.3">
      <c r="A20" s="129" t="s">
        <v>514</v>
      </c>
      <c r="B20" s="181">
        <v>0</v>
      </c>
      <c r="C20" s="183">
        <v>0</v>
      </c>
      <c r="D20" s="131">
        <f t="shared" si="1"/>
        <v>0</v>
      </c>
      <c r="E20" s="86" t="s">
        <v>514</v>
      </c>
      <c r="F20" s="109">
        <v>0</v>
      </c>
      <c r="G20" s="185">
        <v>0</v>
      </c>
      <c r="H20" s="58">
        <f t="shared" si="2"/>
        <v>0</v>
      </c>
    </row>
    <row r="21" spans="1:15" ht="14.95" thickBot="1" x14ac:dyDescent="0.3">
      <c r="A21" s="129" t="s">
        <v>515</v>
      </c>
      <c r="B21" s="181">
        <v>1</v>
      </c>
      <c r="C21" s="183">
        <v>0</v>
      </c>
      <c r="D21" s="131">
        <f t="shared" si="1"/>
        <v>1</v>
      </c>
      <c r="E21" s="86" t="s">
        <v>515</v>
      </c>
      <c r="F21" s="109">
        <v>5</v>
      </c>
      <c r="G21" s="185">
        <v>0</v>
      </c>
      <c r="H21" s="58">
        <f t="shared" si="2"/>
        <v>5</v>
      </c>
    </row>
    <row r="22" spans="1:15" ht="14.95" thickBot="1" x14ac:dyDescent="0.3">
      <c r="A22" s="129" t="s">
        <v>108</v>
      </c>
      <c r="B22" s="181">
        <v>0</v>
      </c>
      <c r="C22" s="183">
        <v>0</v>
      </c>
      <c r="D22" s="131">
        <f t="shared" si="1"/>
        <v>0</v>
      </c>
      <c r="E22" s="86" t="s">
        <v>108</v>
      </c>
      <c r="F22" s="109">
        <v>0</v>
      </c>
      <c r="G22" s="185">
        <v>0</v>
      </c>
      <c r="H22" s="58">
        <f t="shared" si="2"/>
        <v>0</v>
      </c>
    </row>
    <row r="23" spans="1:15" ht="14.95" thickBot="1" x14ac:dyDescent="0.3">
      <c r="A23" s="129" t="s">
        <v>714</v>
      </c>
      <c r="B23" s="181">
        <v>1</v>
      </c>
      <c r="C23" s="183">
        <v>1</v>
      </c>
      <c r="D23" s="131">
        <f t="shared" si="1"/>
        <v>2</v>
      </c>
      <c r="E23" s="86" t="s">
        <v>714</v>
      </c>
      <c r="F23" s="109">
        <v>5</v>
      </c>
      <c r="G23" s="185">
        <v>5</v>
      </c>
      <c r="H23" s="58">
        <f t="shared" si="2"/>
        <v>10</v>
      </c>
    </row>
    <row r="24" spans="1:15" ht="14.95" thickBot="1" x14ac:dyDescent="0.3">
      <c r="A24" s="129" t="s">
        <v>716</v>
      </c>
      <c r="B24" s="181">
        <v>2</v>
      </c>
      <c r="C24" s="183">
        <v>0</v>
      </c>
      <c r="D24" s="131">
        <f t="shared" si="1"/>
        <v>2</v>
      </c>
      <c r="E24" s="86" t="s">
        <v>716</v>
      </c>
      <c r="F24" s="109">
        <v>10</v>
      </c>
      <c r="G24" s="185">
        <v>0</v>
      </c>
      <c r="H24" s="58">
        <f t="shared" si="2"/>
        <v>10</v>
      </c>
    </row>
    <row r="25" spans="1:15" ht="14.95" thickBot="1" x14ac:dyDescent="0.3">
      <c r="A25" s="129" t="s">
        <v>139</v>
      </c>
      <c r="B25" s="181">
        <v>3</v>
      </c>
      <c r="C25" s="183">
        <v>1</v>
      </c>
      <c r="D25" s="131">
        <f t="shared" si="1"/>
        <v>4</v>
      </c>
      <c r="E25" s="86" t="s">
        <v>139</v>
      </c>
      <c r="F25" s="109">
        <v>15</v>
      </c>
      <c r="G25" s="185">
        <v>5</v>
      </c>
      <c r="H25" s="58">
        <f t="shared" si="2"/>
        <v>20</v>
      </c>
    </row>
    <row r="26" spans="1:15" ht="14.95" thickBot="1" x14ac:dyDescent="0.3">
      <c r="A26" s="129" t="s">
        <v>254</v>
      </c>
      <c r="B26" s="181">
        <v>0</v>
      </c>
      <c r="C26" s="183">
        <v>0</v>
      </c>
      <c r="D26" s="131">
        <f t="shared" si="1"/>
        <v>0</v>
      </c>
      <c r="E26" s="86" t="s">
        <v>254</v>
      </c>
      <c r="F26" s="109">
        <v>0</v>
      </c>
      <c r="G26" s="185">
        <v>0</v>
      </c>
      <c r="H26" s="58">
        <f t="shared" si="2"/>
        <v>0</v>
      </c>
    </row>
    <row r="27" spans="1:15" ht="14.95" thickBot="1" x14ac:dyDescent="0.3">
      <c r="A27" s="129" t="s">
        <v>229</v>
      </c>
      <c r="B27" s="181">
        <v>0</v>
      </c>
      <c r="C27" s="183">
        <v>0</v>
      </c>
      <c r="D27" s="131">
        <f t="shared" si="1"/>
        <v>0</v>
      </c>
      <c r="E27" s="86" t="s">
        <v>229</v>
      </c>
      <c r="F27" s="109">
        <v>0</v>
      </c>
      <c r="G27" s="185">
        <v>0</v>
      </c>
      <c r="H27" s="58">
        <f t="shared" si="2"/>
        <v>0</v>
      </c>
    </row>
    <row r="28" spans="1:15" ht="14.95" thickBot="1" x14ac:dyDescent="0.3">
      <c r="A28" s="129" t="s">
        <v>770</v>
      </c>
      <c r="B28" s="181">
        <v>2</v>
      </c>
      <c r="C28" s="183">
        <v>0</v>
      </c>
      <c r="D28" s="131">
        <f t="shared" si="1"/>
        <v>2</v>
      </c>
      <c r="E28" s="86" t="s">
        <v>770</v>
      </c>
      <c r="F28" s="109">
        <v>10</v>
      </c>
      <c r="G28" s="186">
        <v>0</v>
      </c>
      <c r="H28" s="60">
        <f t="shared" si="2"/>
        <v>10</v>
      </c>
    </row>
    <row r="29" spans="1:15" ht="14.95" thickBot="1" x14ac:dyDescent="0.3">
      <c r="A29" s="129" t="s">
        <v>237</v>
      </c>
      <c r="B29" s="181">
        <v>0</v>
      </c>
      <c r="C29" s="183">
        <v>0</v>
      </c>
      <c r="D29" s="131">
        <f t="shared" si="1"/>
        <v>0</v>
      </c>
      <c r="E29" s="86" t="s">
        <v>237</v>
      </c>
      <c r="F29" s="109">
        <v>0</v>
      </c>
      <c r="G29" s="186">
        <v>0</v>
      </c>
      <c r="H29" s="60">
        <f t="shared" si="2"/>
        <v>0</v>
      </c>
    </row>
    <row r="30" spans="1:15" ht="14.95" thickBot="1" x14ac:dyDescent="0.3">
      <c r="A30" s="129" t="s">
        <v>4</v>
      </c>
      <c r="B30" s="181">
        <v>2</v>
      </c>
      <c r="C30" s="183">
        <v>0</v>
      </c>
      <c r="D30" s="131">
        <f t="shared" si="1"/>
        <v>2</v>
      </c>
      <c r="E30" s="86" t="s">
        <v>4</v>
      </c>
      <c r="F30" s="109">
        <v>14</v>
      </c>
      <c r="G30" s="186">
        <v>0</v>
      </c>
      <c r="H30" s="60">
        <f t="shared" si="2"/>
        <v>14</v>
      </c>
    </row>
    <row r="31" spans="1:15" ht="14.95" thickBot="1" x14ac:dyDescent="0.3">
      <c r="A31" s="129" t="s">
        <v>685</v>
      </c>
      <c r="B31" s="181">
        <v>0</v>
      </c>
      <c r="C31" s="183">
        <v>0</v>
      </c>
      <c r="D31" s="131">
        <f t="shared" si="1"/>
        <v>0</v>
      </c>
      <c r="E31" s="86" t="s">
        <v>685</v>
      </c>
      <c r="F31" s="109">
        <v>0</v>
      </c>
      <c r="G31" s="186">
        <v>2</v>
      </c>
      <c r="H31" s="60">
        <f t="shared" si="2"/>
        <v>2</v>
      </c>
    </row>
    <row r="32" spans="1:15" ht="14.95" thickBot="1" x14ac:dyDescent="0.3">
      <c r="A32" s="129" t="s">
        <v>235</v>
      </c>
      <c r="B32" s="181">
        <v>0</v>
      </c>
      <c r="C32" s="183">
        <v>0</v>
      </c>
      <c r="D32" s="131">
        <f t="shared" si="1"/>
        <v>0</v>
      </c>
      <c r="E32" s="86" t="s">
        <v>235</v>
      </c>
      <c r="F32" s="109">
        <v>0</v>
      </c>
      <c r="G32" s="186">
        <v>0</v>
      </c>
      <c r="H32" s="60">
        <f t="shared" si="2"/>
        <v>0</v>
      </c>
    </row>
    <row r="33" spans="1:20" ht="14.95" thickBot="1" x14ac:dyDescent="0.3">
      <c r="A33" s="129" t="s">
        <v>239</v>
      </c>
      <c r="B33" s="181">
        <v>0</v>
      </c>
      <c r="C33" s="183">
        <v>0</v>
      </c>
      <c r="D33" s="131">
        <f t="shared" si="1"/>
        <v>0</v>
      </c>
      <c r="E33" s="86" t="s">
        <v>239</v>
      </c>
      <c r="F33" s="109">
        <v>0</v>
      </c>
      <c r="G33" s="186">
        <v>0</v>
      </c>
      <c r="H33" s="60">
        <f t="shared" si="2"/>
        <v>0</v>
      </c>
    </row>
    <row r="34" spans="1:20" ht="14.95" thickBot="1" x14ac:dyDescent="0.3">
      <c r="A34" s="129" t="s">
        <v>246</v>
      </c>
      <c r="B34" s="181">
        <v>0</v>
      </c>
      <c r="C34" s="183">
        <v>0</v>
      </c>
      <c r="D34" s="131">
        <f t="shared" si="1"/>
        <v>0</v>
      </c>
      <c r="E34" s="86" t="s">
        <v>246</v>
      </c>
      <c r="F34" s="109">
        <v>0</v>
      </c>
      <c r="G34" s="186">
        <v>0</v>
      </c>
      <c r="H34" s="60">
        <f t="shared" si="2"/>
        <v>0</v>
      </c>
    </row>
    <row r="35" spans="1:20" ht="14.95" thickBot="1" x14ac:dyDescent="0.3">
      <c r="A35" s="129" t="s">
        <v>517</v>
      </c>
      <c r="B35" s="181">
        <v>1</v>
      </c>
      <c r="C35" s="183">
        <v>0</v>
      </c>
      <c r="D35" s="131">
        <f t="shared" si="1"/>
        <v>1</v>
      </c>
      <c r="E35" s="86" t="s">
        <v>517</v>
      </c>
      <c r="F35" s="109">
        <v>5</v>
      </c>
      <c r="G35" s="186">
        <v>0</v>
      </c>
      <c r="H35" s="60">
        <f t="shared" si="2"/>
        <v>5</v>
      </c>
    </row>
    <row r="36" spans="1:20" ht="14.95" thickBot="1" x14ac:dyDescent="0.3">
      <c r="A36" s="129" t="s">
        <v>241</v>
      </c>
      <c r="B36" s="181">
        <v>0</v>
      </c>
      <c r="C36" s="183">
        <v>0</v>
      </c>
      <c r="D36" s="131">
        <f t="shared" si="1"/>
        <v>0</v>
      </c>
      <c r="E36" s="86" t="s">
        <v>241</v>
      </c>
      <c r="F36" s="109">
        <v>0</v>
      </c>
      <c r="G36" s="186">
        <v>0</v>
      </c>
      <c r="H36" s="60">
        <f t="shared" si="2"/>
        <v>0</v>
      </c>
      <c r="N36" s="88"/>
    </row>
    <row r="37" spans="1:20" ht="14.95" thickBot="1" x14ac:dyDescent="0.3">
      <c r="A37" s="129" t="s">
        <v>49</v>
      </c>
      <c r="B37" s="181">
        <v>0</v>
      </c>
      <c r="C37" s="183">
        <v>0</v>
      </c>
      <c r="D37" s="131">
        <f t="shared" si="1"/>
        <v>0</v>
      </c>
      <c r="E37" s="86" t="s">
        <v>49</v>
      </c>
      <c r="F37" s="109">
        <v>0</v>
      </c>
      <c r="G37" s="186">
        <v>0</v>
      </c>
      <c r="H37" s="60">
        <f t="shared" si="2"/>
        <v>0</v>
      </c>
    </row>
    <row r="38" spans="1:20" ht="14.95" thickBot="1" x14ac:dyDescent="0.3">
      <c r="A38" s="129" t="s">
        <v>236</v>
      </c>
      <c r="B38" s="181">
        <v>0</v>
      </c>
      <c r="C38" s="183">
        <v>0</v>
      </c>
      <c r="D38" s="131">
        <f t="shared" si="1"/>
        <v>0</v>
      </c>
      <c r="E38" s="86" t="s">
        <v>236</v>
      </c>
      <c r="F38" s="109">
        <v>0</v>
      </c>
      <c r="G38" s="186">
        <v>0</v>
      </c>
      <c r="H38" s="60">
        <f t="shared" si="2"/>
        <v>0</v>
      </c>
    </row>
    <row r="39" spans="1:20" ht="14.95" thickBot="1" x14ac:dyDescent="0.3">
      <c r="A39" s="129" t="s">
        <v>231</v>
      </c>
      <c r="B39" s="181">
        <v>0</v>
      </c>
      <c r="C39" s="183">
        <v>0</v>
      </c>
      <c r="D39" s="131">
        <f t="shared" si="1"/>
        <v>0</v>
      </c>
      <c r="E39" s="86" t="s">
        <v>231</v>
      </c>
      <c r="F39" s="109">
        <v>0</v>
      </c>
      <c r="G39" s="185">
        <v>0</v>
      </c>
      <c r="H39" s="58">
        <f t="shared" si="2"/>
        <v>0</v>
      </c>
      <c r="R39" s="88"/>
      <c r="S39" s="88"/>
      <c r="T39" s="88"/>
    </row>
    <row r="40" spans="1:20" ht="14.95" thickBot="1" x14ac:dyDescent="0.3">
      <c r="A40" s="129" t="s">
        <v>234</v>
      </c>
      <c r="B40" s="181">
        <v>0</v>
      </c>
      <c r="C40" s="183">
        <v>0</v>
      </c>
      <c r="D40" s="131">
        <f t="shared" si="1"/>
        <v>0</v>
      </c>
      <c r="E40" s="86" t="s">
        <v>234</v>
      </c>
      <c r="F40" s="109">
        <v>0</v>
      </c>
      <c r="G40" s="185">
        <v>0</v>
      </c>
      <c r="H40" s="58">
        <f t="shared" si="2"/>
        <v>0</v>
      </c>
    </row>
    <row r="41" spans="1:20" ht="14.95" thickBot="1" x14ac:dyDescent="0.3">
      <c r="A41" s="129" t="s">
        <v>745</v>
      </c>
      <c r="B41" s="181">
        <v>1</v>
      </c>
      <c r="C41" s="183">
        <v>0</v>
      </c>
      <c r="D41" s="131">
        <f t="shared" si="1"/>
        <v>1</v>
      </c>
      <c r="E41" s="86" t="s">
        <v>745</v>
      </c>
      <c r="F41" s="109">
        <v>5</v>
      </c>
      <c r="G41" s="185">
        <v>0</v>
      </c>
      <c r="H41" s="58">
        <f t="shared" si="2"/>
        <v>5</v>
      </c>
    </row>
    <row r="42" spans="1:20" ht="14.95" thickBot="1" x14ac:dyDescent="0.3">
      <c r="A42" s="129" t="s">
        <v>3</v>
      </c>
      <c r="B42" s="181">
        <f>SUM(B3:B41)</f>
        <v>20</v>
      </c>
      <c r="C42" s="183">
        <f>SUM(C3:C41)</f>
        <v>4</v>
      </c>
      <c r="D42" s="131">
        <f t="shared" si="1"/>
        <v>24</v>
      </c>
      <c r="E42" s="86" t="s">
        <v>3</v>
      </c>
      <c r="F42" s="109">
        <f>SUM(F3:F41)</f>
        <v>123</v>
      </c>
      <c r="G42" s="185">
        <f>SUM(G3:G41)</f>
        <v>26</v>
      </c>
      <c r="H42" s="58">
        <f t="shared" si="2"/>
        <v>149</v>
      </c>
    </row>
    <row r="43" spans="1:20" x14ac:dyDescent="0.25">
      <c r="A43" s="255"/>
      <c r="B43" s="256"/>
      <c r="C43" s="256"/>
      <c r="D43" s="256"/>
      <c r="E43" s="256"/>
      <c r="F43" s="256"/>
      <c r="G43" s="88"/>
      <c r="H43" s="20"/>
    </row>
    <row r="44" spans="1:20" ht="14.95" thickBot="1" x14ac:dyDescent="0.3">
      <c r="A44" t="s">
        <v>9</v>
      </c>
      <c r="B44" s="56"/>
      <c r="C44" s="56"/>
      <c r="E44" s="19"/>
      <c r="F44" s="57"/>
      <c r="G44" s="57"/>
      <c r="H44" s="22"/>
    </row>
    <row r="45" spans="1:20" ht="14.95" thickBot="1" x14ac:dyDescent="0.3">
      <c r="A45" s="128" t="s">
        <v>0</v>
      </c>
      <c r="B45" s="180" t="s">
        <v>161</v>
      </c>
      <c r="C45" s="182" t="s">
        <v>167</v>
      </c>
      <c r="D45" s="130" t="s">
        <v>1</v>
      </c>
      <c r="E45" s="85" t="s">
        <v>2</v>
      </c>
      <c r="F45" s="108" t="s">
        <v>161</v>
      </c>
      <c r="G45" s="184" t="s">
        <v>167</v>
      </c>
      <c r="H45" s="59" t="s">
        <v>1</v>
      </c>
    </row>
    <row r="46" spans="1:20" ht="14.95" thickBot="1" x14ac:dyDescent="0.3">
      <c r="A46" s="129" t="s">
        <v>139</v>
      </c>
      <c r="B46" s="181">
        <v>3</v>
      </c>
      <c r="C46" s="183">
        <v>1</v>
      </c>
      <c r="D46" s="131">
        <f>SUM(B46:C46)</f>
        <v>4</v>
      </c>
      <c r="E46" s="86" t="s">
        <v>216</v>
      </c>
      <c r="F46" s="109">
        <v>26</v>
      </c>
      <c r="G46" s="185">
        <v>4</v>
      </c>
      <c r="H46" s="58">
        <f>SUM(F46:G46)</f>
        <v>30</v>
      </c>
    </row>
    <row r="47" spans="1:20" ht="14.95" thickBot="1" x14ac:dyDescent="0.3">
      <c r="A47" s="129" t="s">
        <v>216</v>
      </c>
      <c r="B47" s="181">
        <v>3</v>
      </c>
      <c r="C47" s="183">
        <v>0</v>
      </c>
      <c r="D47" s="131">
        <f>SUM(B47:C47)</f>
        <v>3</v>
      </c>
      <c r="E47" s="86" t="s">
        <v>139</v>
      </c>
      <c r="F47" s="109">
        <v>15</v>
      </c>
      <c r="G47" s="185">
        <v>5</v>
      </c>
      <c r="H47" s="58">
        <f>SUM(F47:G47)</f>
        <v>20</v>
      </c>
    </row>
    <row r="48" spans="1:20" ht="14.95" thickBot="1" x14ac:dyDescent="0.3">
      <c r="A48" s="129" t="s">
        <v>742</v>
      </c>
      <c r="B48" s="181">
        <v>2</v>
      </c>
      <c r="C48" s="183">
        <v>0</v>
      </c>
      <c r="D48" s="131">
        <f>SUM(B48:C48)</f>
        <v>2</v>
      </c>
      <c r="E48" s="86" t="s">
        <v>4</v>
      </c>
      <c r="F48" s="109">
        <v>14</v>
      </c>
      <c r="G48" s="185">
        <v>0</v>
      </c>
      <c r="H48" s="58">
        <f>SUM(F48:G48)</f>
        <v>14</v>
      </c>
    </row>
    <row r="49" spans="1:8" ht="14.95" thickBot="1" x14ac:dyDescent="0.3">
      <c r="A49" s="129" t="s">
        <v>714</v>
      </c>
      <c r="B49" s="181">
        <v>1</v>
      </c>
      <c r="C49" s="183">
        <v>1</v>
      </c>
      <c r="D49" s="131">
        <f>SUM(B49:C49)</f>
        <v>2</v>
      </c>
      <c r="E49" s="86" t="s">
        <v>701</v>
      </c>
      <c r="F49" s="109">
        <v>13</v>
      </c>
      <c r="G49" s="185">
        <v>0</v>
      </c>
      <c r="H49" s="58">
        <f>SUM(F49:G49)</f>
        <v>13</v>
      </c>
    </row>
    <row r="50" spans="1:8" ht="14.95" thickBot="1" x14ac:dyDescent="0.3">
      <c r="A50" s="129" t="s">
        <v>716</v>
      </c>
      <c r="B50" s="181">
        <v>2</v>
      </c>
      <c r="C50" s="183">
        <v>0</v>
      </c>
      <c r="D50" s="131">
        <f>SUM(B50:C50)</f>
        <v>2</v>
      </c>
      <c r="E50" s="86" t="s">
        <v>742</v>
      </c>
      <c r="F50" s="109">
        <v>10</v>
      </c>
      <c r="G50" s="185">
        <v>0</v>
      </c>
      <c r="H50" s="58">
        <f>SUM(F50:G50)</f>
        <v>10</v>
      </c>
    </row>
    <row r="51" spans="1:8" ht="14.95" thickBot="1" x14ac:dyDescent="0.3">
      <c r="A51" s="129" t="s">
        <v>770</v>
      </c>
      <c r="B51" s="181">
        <v>2</v>
      </c>
      <c r="C51" s="183">
        <v>0</v>
      </c>
      <c r="D51" s="131">
        <f>SUM(B51:C51)</f>
        <v>2</v>
      </c>
      <c r="E51" s="86" t="s">
        <v>714</v>
      </c>
      <c r="F51" s="109">
        <v>5</v>
      </c>
      <c r="G51" s="185">
        <v>5</v>
      </c>
      <c r="H51" s="58">
        <f>SUM(F51:G51)</f>
        <v>10</v>
      </c>
    </row>
    <row r="52" spans="1:8" ht="14.95" thickBot="1" x14ac:dyDescent="0.3">
      <c r="A52" s="129" t="s">
        <v>4</v>
      </c>
      <c r="B52" s="181">
        <v>2</v>
      </c>
      <c r="C52" s="183">
        <v>0</v>
      </c>
      <c r="D52" s="131">
        <f>SUM(B52:C52)</f>
        <v>2</v>
      </c>
      <c r="E52" s="86" t="s">
        <v>716</v>
      </c>
      <c r="F52" s="109">
        <v>10</v>
      </c>
      <c r="G52" s="185">
        <v>0</v>
      </c>
      <c r="H52" s="58">
        <f>SUM(F52:G52)</f>
        <v>10</v>
      </c>
    </row>
    <row r="53" spans="1:8" ht="14.95" thickBot="1" x14ac:dyDescent="0.3">
      <c r="A53" s="129" t="s">
        <v>701</v>
      </c>
      <c r="B53" s="181">
        <v>1</v>
      </c>
      <c r="C53" s="183">
        <v>0</v>
      </c>
      <c r="D53" s="131">
        <f>SUM(B53:C53)</f>
        <v>1</v>
      </c>
      <c r="E53" s="86" t="s">
        <v>770</v>
      </c>
      <c r="F53" s="109">
        <v>10</v>
      </c>
      <c r="G53" s="185">
        <v>0</v>
      </c>
      <c r="H53" s="58">
        <f>SUM(F53:G53)</f>
        <v>10</v>
      </c>
    </row>
    <row r="54" spans="1:8" ht="14.95" thickBot="1" x14ac:dyDescent="0.3">
      <c r="A54" s="129" t="s">
        <v>230</v>
      </c>
      <c r="B54" s="181">
        <v>1</v>
      </c>
      <c r="C54" s="183">
        <v>0</v>
      </c>
      <c r="D54" s="131">
        <f>SUM(B54:C54)</f>
        <v>1</v>
      </c>
      <c r="E54" s="86" t="s">
        <v>230</v>
      </c>
      <c r="F54" s="109">
        <v>5</v>
      </c>
      <c r="G54" s="185">
        <v>0</v>
      </c>
      <c r="H54" s="58">
        <f>SUM(F54:G54)</f>
        <v>5</v>
      </c>
    </row>
    <row r="55" spans="1:8" ht="14.95" thickBot="1" x14ac:dyDescent="0.3">
      <c r="A55" s="129" t="s">
        <v>519</v>
      </c>
      <c r="B55" s="181">
        <v>0</v>
      </c>
      <c r="C55" s="183">
        <v>1</v>
      </c>
      <c r="D55" s="131">
        <f>SUM(B55:C55)</f>
        <v>1</v>
      </c>
      <c r="E55" s="86" t="s">
        <v>519</v>
      </c>
      <c r="F55" s="109">
        <v>0</v>
      </c>
      <c r="G55" s="185">
        <v>5</v>
      </c>
      <c r="H55" s="58">
        <f>SUM(F55:G55)</f>
        <v>5</v>
      </c>
    </row>
    <row r="56" spans="1:8" ht="14.95" thickBot="1" x14ac:dyDescent="0.3">
      <c r="A56" s="129" t="s">
        <v>683</v>
      </c>
      <c r="B56" s="181">
        <v>0</v>
      </c>
      <c r="C56" s="183">
        <v>1</v>
      </c>
      <c r="D56" s="131">
        <f>SUM(B56:C56)</f>
        <v>1</v>
      </c>
      <c r="E56" s="86" t="s">
        <v>683</v>
      </c>
      <c r="F56" s="109">
        <v>0</v>
      </c>
      <c r="G56" s="185">
        <v>5</v>
      </c>
      <c r="H56" s="58">
        <f>SUM(F56:G56)</f>
        <v>5</v>
      </c>
    </row>
    <row r="57" spans="1:8" ht="14.95" thickBot="1" x14ac:dyDescent="0.3">
      <c r="A57" s="129" t="s">
        <v>515</v>
      </c>
      <c r="B57" s="181">
        <v>1</v>
      </c>
      <c r="C57" s="183">
        <v>0</v>
      </c>
      <c r="D57" s="131">
        <f>SUM(B57:C57)</f>
        <v>1</v>
      </c>
      <c r="E57" s="86" t="s">
        <v>515</v>
      </c>
      <c r="F57" s="109">
        <v>5</v>
      </c>
      <c r="G57" s="185">
        <v>0</v>
      </c>
      <c r="H57" s="58">
        <f>SUM(F57:G57)</f>
        <v>5</v>
      </c>
    </row>
    <row r="58" spans="1:8" ht="14.95" thickBot="1" x14ac:dyDescent="0.3">
      <c r="A58" s="129" t="s">
        <v>517</v>
      </c>
      <c r="B58" s="181">
        <v>1</v>
      </c>
      <c r="C58" s="183">
        <v>0</v>
      </c>
      <c r="D58" s="131">
        <f>SUM(B58:C58)</f>
        <v>1</v>
      </c>
      <c r="E58" s="86" t="s">
        <v>517</v>
      </c>
      <c r="F58" s="109">
        <v>5</v>
      </c>
      <c r="G58" s="185">
        <v>0</v>
      </c>
      <c r="H58" s="58">
        <f>SUM(F58:G58)</f>
        <v>5</v>
      </c>
    </row>
    <row r="59" spans="1:8" ht="14.95" thickBot="1" x14ac:dyDescent="0.3">
      <c r="A59" s="129" t="s">
        <v>745</v>
      </c>
      <c r="B59" s="181">
        <v>1</v>
      </c>
      <c r="C59" s="183">
        <v>0</v>
      </c>
      <c r="D59" s="131">
        <f>SUM(B59:C59)</f>
        <v>1</v>
      </c>
      <c r="E59" s="86" t="s">
        <v>745</v>
      </c>
      <c r="F59" s="109">
        <v>5</v>
      </c>
      <c r="G59" s="185">
        <v>0</v>
      </c>
      <c r="H59" s="58">
        <f>SUM(F59:G59)</f>
        <v>5</v>
      </c>
    </row>
    <row r="60" spans="1:8" ht="14.95" thickBot="1" x14ac:dyDescent="0.3">
      <c r="A60" s="129" t="s">
        <v>574</v>
      </c>
      <c r="B60" s="181">
        <v>0</v>
      </c>
      <c r="C60" s="183">
        <v>0</v>
      </c>
      <c r="D60" s="131">
        <f>SUM(B60:C60)</f>
        <v>0</v>
      </c>
      <c r="E60" s="86" t="s">
        <v>685</v>
      </c>
      <c r="F60" s="109">
        <v>0</v>
      </c>
      <c r="G60" s="185">
        <v>2</v>
      </c>
      <c r="H60" s="58">
        <f>SUM(F60:G60)</f>
        <v>2</v>
      </c>
    </row>
    <row r="61" spans="1:8" ht="14.95" thickBot="1" x14ac:dyDescent="0.3">
      <c r="A61" s="129" t="s">
        <v>242</v>
      </c>
      <c r="B61" s="181">
        <v>0</v>
      </c>
      <c r="C61" s="183">
        <v>0</v>
      </c>
      <c r="D61" s="131">
        <f>SUM(B61:C61)</f>
        <v>0</v>
      </c>
      <c r="E61" s="86" t="s">
        <v>574</v>
      </c>
      <c r="F61" s="109">
        <v>0</v>
      </c>
      <c r="G61" s="185">
        <v>0</v>
      </c>
      <c r="H61" s="58">
        <f>SUM(F61:G61)</f>
        <v>0</v>
      </c>
    </row>
    <row r="62" spans="1:8" ht="14.95" thickBot="1" x14ac:dyDescent="0.3">
      <c r="A62" s="129" t="s">
        <v>240</v>
      </c>
      <c r="B62" s="181">
        <v>0</v>
      </c>
      <c r="C62" s="183">
        <v>0</v>
      </c>
      <c r="D62" s="131">
        <f>SUM(B62:C62)</f>
        <v>0</v>
      </c>
      <c r="E62" s="86" t="s">
        <v>242</v>
      </c>
      <c r="F62" s="109">
        <v>0</v>
      </c>
      <c r="G62" s="185">
        <v>0</v>
      </c>
      <c r="H62" s="58">
        <f>SUM(F62:G62)</f>
        <v>0</v>
      </c>
    </row>
    <row r="63" spans="1:8" ht="14.95" thickBot="1" x14ac:dyDescent="0.3">
      <c r="A63" s="129" t="s">
        <v>511</v>
      </c>
      <c r="B63" s="181">
        <v>0</v>
      </c>
      <c r="C63" s="183">
        <v>0</v>
      </c>
      <c r="D63" s="131">
        <f>SUM(B63:C63)</f>
        <v>0</v>
      </c>
      <c r="E63" s="86" t="s">
        <v>240</v>
      </c>
      <c r="F63" s="109">
        <v>0</v>
      </c>
      <c r="G63" s="185">
        <v>0</v>
      </c>
      <c r="H63" s="58">
        <f>SUM(F63:G63)</f>
        <v>0</v>
      </c>
    </row>
    <row r="64" spans="1:8" ht="14.95" thickBot="1" x14ac:dyDescent="0.3">
      <c r="A64" s="129" t="s">
        <v>233</v>
      </c>
      <c r="B64" s="181">
        <v>0</v>
      </c>
      <c r="C64" s="183">
        <v>0</v>
      </c>
      <c r="D64" s="131">
        <f>SUM(B64:C64)</f>
        <v>0</v>
      </c>
      <c r="E64" s="86" t="s">
        <v>511</v>
      </c>
      <c r="F64" s="109">
        <v>0</v>
      </c>
      <c r="G64" s="185">
        <v>0</v>
      </c>
      <c r="H64" s="58">
        <f>SUM(F64:G64)</f>
        <v>0</v>
      </c>
    </row>
    <row r="65" spans="1:8" ht="14.95" thickBot="1" x14ac:dyDescent="0.3">
      <c r="A65" s="129" t="s">
        <v>512</v>
      </c>
      <c r="B65" s="181">
        <v>0</v>
      </c>
      <c r="C65" s="183">
        <v>0</v>
      </c>
      <c r="D65" s="131">
        <f>SUM(B65:C65)</f>
        <v>0</v>
      </c>
      <c r="E65" s="86" t="s">
        <v>233</v>
      </c>
      <c r="F65" s="109">
        <v>0</v>
      </c>
      <c r="G65" s="185">
        <v>0</v>
      </c>
      <c r="H65" s="58">
        <f>SUM(F65:G65)</f>
        <v>0</v>
      </c>
    </row>
    <row r="66" spans="1:8" ht="14.95" thickBot="1" x14ac:dyDescent="0.3">
      <c r="A66" s="129" t="s">
        <v>200</v>
      </c>
      <c r="B66" s="181">
        <v>0</v>
      </c>
      <c r="C66" s="183">
        <v>0</v>
      </c>
      <c r="D66" s="131">
        <f>SUM(B66:C66)</f>
        <v>0</v>
      </c>
      <c r="E66" s="86" t="s">
        <v>512</v>
      </c>
      <c r="F66" s="109">
        <v>0</v>
      </c>
      <c r="G66" s="185">
        <v>0</v>
      </c>
      <c r="H66" s="58">
        <f>SUM(F66:G66)</f>
        <v>0</v>
      </c>
    </row>
    <row r="67" spans="1:8" ht="14.95" thickBot="1" x14ac:dyDescent="0.3">
      <c r="A67" s="129" t="s">
        <v>232</v>
      </c>
      <c r="B67" s="181">
        <v>0</v>
      </c>
      <c r="C67" s="183">
        <v>0</v>
      </c>
      <c r="D67" s="131">
        <f>SUM(B67:C67)</f>
        <v>0</v>
      </c>
      <c r="E67" s="86" t="s">
        <v>200</v>
      </c>
      <c r="F67" s="109">
        <v>0</v>
      </c>
      <c r="G67" s="185">
        <v>0</v>
      </c>
      <c r="H67" s="58">
        <f>SUM(F67:G67)</f>
        <v>0</v>
      </c>
    </row>
    <row r="68" spans="1:8" ht="14.95" thickBot="1" x14ac:dyDescent="0.3">
      <c r="A68" s="129" t="s">
        <v>244</v>
      </c>
      <c r="B68" s="181">
        <v>0</v>
      </c>
      <c r="C68" s="183">
        <v>0</v>
      </c>
      <c r="D68" s="131">
        <f>SUM(B68:C68)</f>
        <v>0</v>
      </c>
      <c r="E68" s="86" t="s">
        <v>232</v>
      </c>
      <c r="F68" s="109">
        <v>0</v>
      </c>
      <c r="G68" s="185">
        <v>0</v>
      </c>
      <c r="H68" s="58">
        <f>SUM(F68:G68)</f>
        <v>0</v>
      </c>
    </row>
    <row r="69" spans="1:8" ht="14.95" thickBot="1" x14ac:dyDescent="0.3">
      <c r="A69" s="129" t="s">
        <v>361</v>
      </c>
      <c r="B69" s="181">
        <v>0</v>
      </c>
      <c r="C69" s="183">
        <v>0</v>
      </c>
      <c r="D69" s="131">
        <f>SUM(B69:C69)</f>
        <v>0</v>
      </c>
      <c r="E69" s="86" t="s">
        <v>244</v>
      </c>
      <c r="F69" s="109">
        <v>0</v>
      </c>
      <c r="G69" s="185">
        <v>0</v>
      </c>
      <c r="H69" s="58">
        <f>SUM(F69:G69)</f>
        <v>0</v>
      </c>
    </row>
    <row r="70" spans="1:8" ht="14.95" thickBot="1" x14ac:dyDescent="0.3">
      <c r="A70" s="129" t="s">
        <v>513</v>
      </c>
      <c r="B70" s="181">
        <v>0</v>
      </c>
      <c r="C70" s="183">
        <v>0</v>
      </c>
      <c r="D70" s="131">
        <f>SUM(B70:C70)</f>
        <v>0</v>
      </c>
      <c r="E70" s="86" t="s">
        <v>361</v>
      </c>
      <c r="F70" s="109">
        <v>0</v>
      </c>
      <c r="G70" s="185">
        <v>0</v>
      </c>
      <c r="H70" s="58">
        <f>SUM(F70:G70)</f>
        <v>0</v>
      </c>
    </row>
    <row r="71" spans="1:8" ht="14.95" thickBot="1" x14ac:dyDescent="0.3">
      <c r="A71" s="129" t="s">
        <v>514</v>
      </c>
      <c r="B71" s="181">
        <v>0</v>
      </c>
      <c r="C71" s="183">
        <v>0</v>
      </c>
      <c r="D71" s="131">
        <f>SUM(B71:C71)</f>
        <v>0</v>
      </c>
      <c r="E71" s="86" t="s">
        <v>513</v>
      </c>
      <c r="F71" s="109">
        <v>0</v>
      </c>
      <c r="G71" s="186">
        <v>0</v>
      </c>
      <c r="H71" s="60">
        <f>SUM(F71:G71)</f>
        <v>0</v>
      </c>
    </row>
    <row r="72" spans="1:8" ht="14.95" thickBot="1" x14ac:dyDescent="0.3">
      <c r="A72" s="129" t="s">
        <v>108</v>
      </c>
      <c r="B72" s="181">
        <v>0</v>
      </c>
      <c r="C72" s="183">
        <v>0</v>
      </c>
      <c r="D72" s="131">
        <f>SUM(B72:C72)</f>
        <v>0</v>
      </c>
      <c r="E72" s="86" t="s">
        <v>514</v>
      </c>
      <c r="F72" s="109">
        <v>0</v>
      </c>
      <c r="G72" s="186">
        <v>0</v>
      </c>
      <c r="H72" s="60">
        <f>SUM(F72:G72)</f>
        <v>0</v>
      </c>
    </row>
    <row r="73" spans="1:8" ht="14.95" thickBot="1" x14ac:dyDescent="0.3">
      <c r="A73" s="129" t="s">
        <v>254</v>
      </c>
      <c r="B73" s="181">
        <v>0</v>
      </c>
      <c r="C73" s="183">
        <v>0</v>
      </c>
      <c r="D73" s="131">
        <f>SUM(B73:C73)</f>
        <v>0</v>
      </c>
      <c r="E73" s="86" t="s">
        <v>108</v>
      </c>
      <c r="F73" s="109">
        <v>0</v>
      </c>
      <c r="G73" s="186">
        <v>0</v>
      </c>
      <c r="H73" s="60">
        <f>SUM(F73:G73)</f>
        <v>0</v>
      </c>
    </row>
    <row r="74" spans="1:8" ht="14.95" thickBot="1" x14ac:dyDescent="0.3">
      <c r="A74" s="129" t="s">
        <v>229</v>
      </c>
      <c r="B74" s="181">
        <v>0</v>
      </c>
      <c r="C74" s="183">
        <v>0</v>
      </c>
      <c r="D74" s="131">
        <f>SUM(B74:C74)</f>
        <v>0</v>
      </c>
      <c r="E74" s="86" t="s">
        <v>254</v>
      </c>
      <c r="F74" s="109">
        <v>0</v>
      </c>
      <c r="G74" s="186">
        <v>0</v>
      </c>
      <c r="H74" s="60">
        <f>SUM(F74:G74)</f>
        <v>0</v>
      </c>
    </row>
    <row r="75" spans="1:8" ht="14.95" thickBot="1" x14ac:dyDescent="0.3">
      <c r="A75" s="129" t="s">
        <v>237</v>
      </c>
      <c r="B75" s="181">
        <v>0</v>
      </c>
      <c r="C75" s="183">
        <v>0</v>
      </c>
      <c r="D75" s="131">
        <f>SUM(B75:C75)</f>
        <v>0</v>
      </c>
      <c r="E75" s="86" t="s">
        <v>229</v>
      </c>
      <c r="F75" s="109">
        <v>0</v>
      </c>
      <c r="G75" s="186">
        <v>0</v>
      </c>
      <c r="H75" s="60">
        <f>SUM(F75:G75)</f>
        <v>0</v>
      </c>
    </row>
    <row r="76" spans="1:8" ht="14.95" thickBot="1" x14ac:dyDescent="0.3">
      <c r="A76" s="129" t="s">
        <v>685</v>
      </c>
      <c r="B76" s="181">
        <v>0</v>
      </c>
      <c r="C76" s="183">
        <v>0</v>
      </c>
      <c r="D76" s="131">
        <f>SUM(B76:C76)</f>
        <v>0</v>
      </c>
      <c r="E76" s="86" t="s">
        <v>237</v>
      </c>
      <c r="F76" s="109">
        <v>0</v>
      </c>
      <c r="G76" s="186">
        <v>0</v>
      </c>
      <c r="H76" s="60">
        <f>SUM(F76:G76)</f>
        <v>0</v>
      </c>
    </row>
    <row r="77" spans="1:8" ht="14.95" thickBot="1" x14ac:dyDescent="0.3">
      <c r="A77" s="129" t="s">
        <v>235</v>
      </c>
      <c r="B77" s="181">
        <v>0</v>
      </c>
      <c r="C77" s="183">
        <v>0</v>
      </c>
      <c r="D77" s="131">
        <f>SUM(B77:C77)</f>
        <v>0</v>
      </c>
      <c r="E77" s="86" t="s">
        <v>235</v>
      </c>
      <c r="F77" s="109">
        <v>0</v>
      </c>
      <c r="G77" s="186">
        <v>0</v>
      </c>
      <c r="H77" s="60">
        <f>SUM(F77:G77)</f>
        <v>0</v>
      </c>
    </row>
    <row r="78" spans="1:8" ht="14.95" thickBot="1" x14ac:dyDescent="0.3">
      <c r="A78" s="129" t="s">
        <v>239</v>
      </c>
      <c r="B78" s="181">
        <v>0</v>
      </c>
      <c r="C78" s="183">
        <v>0</v>
      </c>
      <c r="D78" s="131">
        <f>SUM(B78:C78)</f>
        <v>0</v>
      </c>
      <c r="E78" s="86" t="s">
        <v>239</v>
      </c>
      <c r="F78" s="109">
        <v>0</v>
      </c>
      <c r="G78" s="186">
        <v>0</v>
      </c>
      <c r="H78" s="60">
        <f>SUM(F78:G78)</f>
        <v>0</v>
      </c>
    </row>
    <row r="79" spans="1:8" ht="14.95" thickBot="1" x14ac:dyDescent="0.3">
      <c r="A79" s="129" t="s">
        <v>246</v>
      </c>
      <c r="B79" s="181">
        <v>0</v>
      </c>
      <c r="C79" s="183">
        <v>0</v>
      </c>
      <c r="D79" s="131">
        <f>SUM(B79:C79)</f>
        <v>0</v>
      </c>
      <c r="E79" s="86" t="s">
        <v>246</v>
      </c>
      <c r="F79" s="109">
        <v>0</v>
      </c>
      <c r="G79" s="186">
        <v>0</v>
      </c>
      <c r="H79" s="60">
        <f>SUM(F79:G79)</f>
        <v>0</v>
      </c>
    </row>
    <row r="80" spans="1:8" ht="14.95" thickBot="1" x14ac:dyDescent="0.3">
      <c r="A80" s="129" t="s">
        <v>241</v>
      </c>
      <c r="B80" s="181">
        <v>0</v>
      </c>
      <c r="C80" s="183">
        <v>0</v>
      </c>
      <c r="D80" s="131">
        <f>SUM(B80:C80)</f>
        <v>0</v>
      </c>
      <c r="E80" s="86" t="s">
        <v>241</v>
      </c>
      <c r="F80" s="109">
        <v>0</v>
      </c>
      <c r="G80" s="186">
        <v>0</v>
      </c>
      <c r="H80" s="60">
        <f>SUM(F80:G80)</f>
        <v>0</v>
      </c>
    </row>
    <row r="81" spans="1:8" ht="14.95" thickBot="1" x14ac:dyDescent="0.3">
      <c r="A81" s="129" t="s">
        <v>49</v>
      </c>
      <c r="B81" s="181">
        <v>0</v>
      </c>
      <c r="C81" s="183">
        <v>0</v>
      </c>
      <c r="D81" s="131">
        <f>SUM(B81:C81)</f>
        <v>0</v>
      </c>
      <c r="E81" s="86" t="s">
        <v>49</v>
      </c>
      <c r="F81" s="109">
        <v>0</v>
      </c>
      <c r="G81" s="186">
        <v>0</v>
      </c>
      <c r="H81" s="60">
        <f>SUM(F81:G81)</f>
        <v>0</v>
      </c>
    </row>
    <row r="82" spans="1:8" ht="14.95" thickBot="1" x14ac:dyDescent="0.3">
      <c r="A82" s="129" t="s">
        <v>236</v>
      </c>
      <c r="B82" s="181">
        <v>0</v>
      </c>
      <c r="C82" s="183">
        <v>0</v>
      </c>
      <c r="D82" s="131">
        <f>SUM(B82:C82)</f>
        <v>0</v>
      </c>
      <c r="E82" s="86" t="s">
        <v>236</v>
      </c>
      <c r="F82" s="109">
        <v>0</v>
      </c>
      <c r="G82" s="185">
        <v>0</v>
      </c>
      <c r="H82" s="58">
        <f>SUM(F82:G82)</f>
        <v>0</v>
      </c>
    </row>
    <row r="83" spans="1:8" ht="14.95" thickBot="1" x14ac:dyDescent="0.3">
      <c r="A83" s="129" t="s">
        <v>231</v>
      </c>
      <c r="B83" s="181">
        <v>0</v>
      </c>
      <c r="C83" s="183">
        <v>0</v>
      </c>
      <c r="D83" s="131">
        <f>SUM(B83:C83)</f>
        <v>0</v>
      </c>
      <c r="E83" s="86" t="s">
        <v>231</v>
      </c>
      <c r="F83" s="109">
        <v>0</v>
      </c>
      <c r="G83" s="185">
        <v>0</v>
      </c>
      <c r="H83" s="58">
        <f>SUM(F83:G83)</f>
        <v>0</v>
      </c>
    </row>
    <row r="84" spans="1:8" ht="14.95" thickBot="1" x14ac:dyDescent="0.3">
      <c r="A84" s="129" t="s">
        <v>234</v>
      </c>
      <c r="B84" s="181">
        <v>0</v>
      </c>
      <c r="C84" s="183">
        <v>0</v>
      </c>
      <c r="D84" s="131">
        <f>SUM(B84:C84)</f>
        <v>0</v>
      </c>
      <c r="E84" s="86" t="s">
        <v>234</v>
      </c>
      <c r="F84" s="109">
        <v>0</v>
      </c>
      <c r="G84" s="185">
        <v>0</v>
      </c>
      <c r="H84" s="58">
        <f>SUM(F84:G84)</f>
        <v>0</v>
      </c>
    </row>
    <row r="85" spans="1:8" ht="14.95" thickBot="1" x14ac:dyDescent="0.3">
      <c r="A85" s="129" t="s">
        <v>3</v>
      </c>
      <c r="B85" s="181">
        <f>SUM(B46:B84)</f>
        <v>20</v>
      </c>
      <c r="C85" s="183">
        <f>SUM(C46:C84)</f>
        <v>4</v>
      </c>
      <c r="D85" s="131">
        <f t="shared" ref="D48:D85" si="12">SUM(B85:C85)</f>
        <v>24</v>
      </c>
      <c r="E85" s="86" t="s">
        <v>3</v>
      </c>
      <c r="F85" s="109">
        <f>SUM(F46:F84)</f>
        <v>123</v>
      </c>
      <c r="G85" s="185">
        <f>SUM(G46:G84)</f>
        <v>26</v>
      </c>
      <c r="H85" s="58">
        <f t="shared" ref="H48:H85" si="13">SUM(F85:G85)</f>
        <v>149</v>
      </c>
    </row>
    <row r="86" spans="1:8" ht="16.3" x14ac:dyDescent="0.3">
      <c r="A86" s="245" t="s">
        <v>17</v>
      </c>
      <c r="B86" s="246"/>
      <c r="C86" s="246"/>
      <c r="D86" s="246"/>
      <c r="E86" s="246"/>
      <c r="F86" s="246"/>
      <c r="G86" s="246"/>
      <c r="H86" s="246"/>
    </row>
  </sheetData>
  <sortState xmlns:xlrd2="http://schemas.microsoft.com/office/spreadsheetml/2017/richdata2" ref="E46:H84">
    <sortCondition descending="1" ref="H46:H84"/>
  </sortState>
  <mergeCells count="13">
    <mergeCell ref="Z1:AB2"/>
    <mergeCell ref="A86:H86"/>
    <mergeCell ref="M1:O2"/>
    <mergeCell ref="P1:Q2"/>
    <mergeCell ref="U1:W2"/>
    <mergeCell ref="A43:F43"/>
    <mergeCell ref="A1:H1"/>
    <mergeCell ref="I1:I2"/>
    <mergeCell ref="J1:L2"/>
    <mergeCell ref="I9:I10"/>
    <mergeCell ref="J9:L10"/>
    <mergeCell ref="R1:T2"/>
    <mergeCell ref="M9:O1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ABD5A-2709-43E0-9F43-60BCE6110537}">
  <dimension ref="A1:AB86"/>
  <sheetViews>
    <sheetView workbookViewId="0">
      <selection activeCell="R14" sqref="R14"/>
    </sheetView>
  </sheetViews>
  <sheetFormatPr defaultRowHeight="14.3" x14ac:dyDescent="0.25"/>
  <cols>
    <col min="1" max="1" width="16.625" customWidth="1"/>
    <col min="2" max="2" width="5" bestFit="1" customWidth="1"/>
    <col min="3" max="3" width="5" customWidth="1"/>
    <col min="4" max="4" width="3.75" bestFit="1" customWidth="1"/>
    <col min="5" max="5" width="16.625" customWidth="1"/>
    <col min="6" max="6" width="5" bestFit="1" customWidth="1"/>
    <col min="7" max="7" width="5" customWidth="1"/>
    <col min="8" max="8" width="3.75" bestFit="1" customWidth="1"/>
    <col min="9" max="9" width="16.375" customWidth="1"/>
    <col min="10" max="23" width="5.625" customWidth="1"/>
    <col min="26" max="28" width="5.625" customWidth="1"/>
  </cols>
  <sheetData>
    <row r="1" spans="1:28" ht="17" customHeight="1" thickBot="1" x14ac:dyDescent="0.3">
      <c r="A1" s="279" t="s">
        <v>753</v>
      </c>
      <c r="B1" s="280"/>
      <c r="C1" s="280"/>
      <c r="D1" s="280"/>
      <c r="E1" s="280"/>
      <c r="F1" s="280"/>
      <c r="G1" s="280"/>
      <c r="H1" s="281"/>
      <c r="I1" s="264" t="s">
        <v>161</v>
      </c>
      <c r="J1" s="260" t="s">
        <v>12</v>
      </c>
      <c r="K1" s="266"/>
      <c r="L1" s="261"/>
      <c r="M1" s="260" t="s">
        <v>28</v>
      </c>
      <c r="N1" s="266"/>
      <c r="O1" s="261"/>
      <c r="P1" s="260" t="s">
        <v>31</v>
      </c>
      <c r="Q1" s="261"/>
      <c r="R1" s="247" t="s">
        <v>162</v>
      </c>
      <c r="S1" s="248"/>
      <c r="T1" s="249"/>
      <c r="U1" s="247" t="s">
        <v>661</v>
      </c>
      <c r="V1" s="248"/>
      <c r="W1" s="249"/>
      <c r="Z1" s="247" t="s">
        <v>435</v>
      </c>
      <c r="AA1" s="248"/>
      <c r="AB1" s="249"/>
    </row>
    <row r="2" spans="1:28" ht="14.95" customHeight="1" thickBot="1" x14ac:dyDescent="0.3">
      <c r="A2" s="207" t="s">
        <v>0</v>
      </c>
      <c r="B2" s="208" t="s">
        <v>161</v>
      </c>
      <c r="C2" s="218" t="s">
        <v>167</v>
      </c>
      <c r="D2" s="209" t="s">
        <v>1</v>
      </c>
      <c r="E2" s="85" t="s">
        <v>2</v>
      </c>
      <c r="F2" s="108" t="s">
        <v>161</v>
      </c>
      <c r="G2" s="201" t="s">
        <v>167</v>
      </c>
      <c r="H2" s="59" t="s">
        <v>1</v>
      </c>
      <c r="I2" s="265"/>
      <c r="J2" s="262"/>
      <c r="K2" s="267"/>
      <c r="L2" s="263"/>
      <c r="M2" s="262"/>
      <c r="N2" s="267"/>
      <c r="O2" s="263"/>
      <c r="P2" s="262"/>
      <c r="Q2" s="263"/>
      <c r="R2" s="250"/>
      <c r="S2" s="251"/>
      <c r="T2" s="252"/>
      <c r="U2" s="250"/>
      <c r="V2" s="251"/>
      <c r="W2" s="252"/>
      <c r="Z2" s="250"/>
      <c r="AA2" s="251"/>
      <c r="AB2" s="252"/>
    </row>
    <row r="3" spans="1:28" ht="14.95" thickBot="1" x14ac:dyDescent="0.3">
      <c r="A3" s="210" t="s">
        <v>518</v>
      </c>
      <c r="B3" s="211">
        <v>0</v>
      </c>
      <c r="C3" s="219">
        <v>0</v>
      </c>
      <c r="D3" s="212">
        <f>SUM(B3:C3)</f>
        <v>0</v>
      </c>
      <c r="E3" s="86" t="s">
        <v>518</v>
      </c>
      <c r="F3" s="109">
        <v>0</v>
      </c>
      <c r="G3" s="202">
        <v>0</v>
      </c>
      <c r="H3" s="58">
        <f>SUM(F3:G3)</f>
        <v>0</v>
      </c>
      <c r="I3" s="105" t="s">
        <v>14</v>
      </c>
      <c r="J3" s="2" t="s">
        <v>21</v>
      </c>
      <c r="K3" s="2" t="s">
        <v>7</v>
      </c>
      <c r="L3" s="2" t="s">
        <v>8</v>
      </c>
      <c r="M3" s="62" t="s">
        <v>21</v>
      </c>
      <c r="N3" s="2" t="s">
        <v>7</v>
      </c>
      <c r="O3" s="2" t="s">
        <v>8</v>
      </c>
      <c r="P3" s="2" t="s">
        <v>161</v>
      </c>
      <c r="Q3" s="2" t="s">
        <v>22</v>
      </c>
      <c r="R3" s="110" t="s">
        <v>21</v>
      </c>
      <c r="S3" s="110" t="s">
        <v>7</v>
      </c>
      <c r="T3" s="110" t="s">
        <v>8</v>
      </c>
      <c r="U3" s="110" t="s">
        <v>21</v>
      </c>
      <c r="V3" s="110" t="s">
        <v>7</v>
      </c>
      <c r="W3" s="110" t="s">
        <v>8</v>
      </c>
      <c r="Z3" s="4" t="s">
        <v>21</v>
      </c>
      <c r="AA3" s="110" t="s">
        <v>7</v>
      </c>
      <c r="AB3" s="110" t="s">
        <v>8</v>
      </c>
    </row>
    <row r="4" spans="1:28" ht="14.95" thickBot="1" x14ac:dyDescent="0.3">
      <c r="A4" s="210" t="s">
        <v>255</v>
      </c>
      <c r="B4" s="211">
        <v>2</v>
      </c>
      <c r="C4" s="219">
        <v>0</v>
      </c>
      <c r="D4" s="212">
        <f t="shared" ref="D4:D42" si="0">SUM(B4:C4)</f>
        <v>2</v>
      </c>
      <c r="E4" s="86" t="s">
        <v>255</v>
      </c>
      <c r="F4" s="109">
        <v>10</v>
      </c>
      <c r="G4" s="202">
        <v>0</v>
      </c>
      <c r="H4" s="58">
        <f t="shared" ref="H4:H42" si="1">SUM(F4:G4)</f>
        <v>10</v>
      </c>
      <c r="I4" s="207" t="s">
        <v>249</v>
      </c>
      <c r="J4" s="213" t="s">
        <v>13</v>
      </c>
      <c r="K4" s="213" t="s">
        <v>13</v>
      </c>
      <c r="L4" s="214" t="s">
        <v>13</v>
      </c>
      <c r="M4" s="213" t="s">
        <v>13</v>
      </c>
      <c r="N4" s="213" t="s">
        <v>13</v>
      </c>
      <c r="O4" s="214" t="s">
        <v>13</v>
      </c>
      <c r="P4" s="209">
        <v>-2</v>
      </c>
      <c r="Q4" s="209">
        <v>-2</v>
      </c>
      <c r="R4" s="4" t="s">
        <v>13</v>
      </c>
      <c r="S4" s="112" t="s">
        <v>13</v>
      </c>
      <c r="T4" s="111" t="s">
        <v>13</v>
      </c>
      <c r="U4" s="4">
        <v>0</v>
      </c>
      <c r="V4" s="112">
        <v>2</v>
      </c>
      <c r="W4" s="111">
        <f t="shared" ref="W4" si="2">SUM(U4/V4)*100</f>
        <v>0</v>
      </c>
      <c r="Z4" s="4" t="s">
        <v>13</v>
      </c>
      <c r="AA4" s="112" t="s">
        <v>13</v>
      </c>
      <c r="AB4" s="111" t="s">
        <v>13</v>
      </c>
    </row>
    <row r="5" spans="1:28" ht="14.95" thickBot="1" x14ac:dyDescent="0.3">
      <c r="A5" s="210" t="s">
        <v>156</v>
      </c>
      <c r="B5" s="211">
        <v>0</v>
      </c>
      <c r="C5" s="219">
        <v>3</v>
      </c>
      <c r="D5" s="212">
        <f t="shared" si="0"/>
        <v>3</v>
      </c>
      <c r="E5" s="86" t="s">
        <v>156</v>
      </c>
      <c r="F5" s="109">
        <v>0</v>
      </c>
      <c r="G5" s="202">
        <v>15</v>
      </c>
      <c r="H5" s="58">
        <f t="shared" si="1"/>
        <v>15</v>
      </c>
      <c r="I5" s="215" t="s">
        <v>129</v>
      </c>
      <c r="J5" s="213" t="s">
        <v>13</v>
      </c>
      <c r="K5" s="213" t="s">
        <v>13</v>
      </c>
      <c r="L5" s="214" t="s">
        <v>13</v>
      </c>
      <c r="M5" s="213" t="s">
        <v>13</v>
      </c>
      <c r="N5" s="213" t="s">
        <v>13</v>
      </c>
      <c r="O5" s="214" t="s">
        <v>13</v>
      </c>
      <c r="P5" s="209">
        <v>-1</v>
      </c>
      <c r="Q5" s="216">
        <v>2</v>
      </c>
      <c r="R5" s="4">
        <v>9</v>
      </c>
      <c r="S5" s="112">
        <v>14</v>
      </c>
      <c r="T5" s="111">
        <v>64.285714285714292</v>
      </c>
      <c r="U5" s="4" t="s">
        <v>13</v>
      </c>
      <c r="V5" s="112" t="s">
        <v>13</v>
      </c>
      <c r="W5" s="111" t="s">
        <v>13</v>
      </c>
      <c r="Z5" s="4" t="s">
        <v>13</v>
      </c>
      <c r="AA5" s="112" t="s">
        <v>13</v>
      </c>
      <c r="AB5" s="111" t="s">
        <v>13</v>
      </c>
    </row>
    <row r="6" spans="1:28" ht="14.95" thickBot="1" x14ac:dyDescent="0.3">
      <c r="A6" s="210" t="s">
        <v>754</v>
      </c>
      <c r="B6" s="211">
        <v>2</v>
      </c>
      <c r="C6" s="219">
        <v>0</v>
      </c>
      <c r="D6" s="212">
        <f t="shared" si="0"/>
        <v>2</v>
      </c>
      <c r="E6" s="86" t="s">
        <v>754</v>
      </c>
      <c r="F6" s="109">
        <v>10</v>
      </c>
      <c r="G6" s="202">
        <v>0</v>
      </c>
      <c r="H6" s="58">
        <f t="shared" si="1"/>
        <v>10</v>
      </c>
      <c r="I6" s="215" t="s">
        <v>586</v>
      </c>
      <c r="J6" s="213">
        <v>1</v>
      </c>
      <c r="K6" s="213">
        <v>1</v>
      </c>
      <c r="L6" s="214">
        <f t="shared" ref="L6:L8" si="3">SUM(J6/K6)*100</f>
        <v>100</v>
      </c>
      <c r="M6" s="213" t="s">
        <v>13</v>
      </c>
      <c r="N6" s="213" t="s">
        <v>13</v>
      </c>
      <c r="O6" s="214" t="s">
        <v>13</v>
      </c>
      <c r="P6" s="209">
        <v>1</v>
      </c>
      <c r="Q6" s="216">
        <v>1</v>
      </c>
      <c r="R6" s="4">
        <v>2</v>
      </c>
      <c r="S6" s="112">
        <v>3</v>
      </c>
      <c r="T6" s="111">
        <v>66.666666666666657</v>
      </c>
      <c r="U6" s="4" t="s">
        <v>13</v>
      </c>
      <c r="V6" s="112" t="s">
        <v>13</v>
      </c>
      <c r="W6" s="111" t="s">
        <v>13</v>
      </c>
      <c r="Z6" s="4" t="s">
        <v>13</v>
      </c>
      <c r="AA6" s="112" t="s">
        <v>13</v>
      </c>
      <c r="AB6" s="111" t="s">
        <v>13</v>
      </c>
    </row>
    <row r="7" spans="1:28" ht="14.95" thickBot="1" x14ac:dyDescent="0.3">
      <c r="A7" s="210" t="s">
        <v>638</v>
      </c>
      <c r="B7" s="211">
        <v>0</v>
      </c>
      <c r="C7" s="219">
        <v>0</v>
      </c>
      <c r="D7" s="212">
        <f t="shared" si="0"/>
        <v>0</v>
      </c>
      <c r="E7" s="86" t="s">
        <v>638</v>
      </c>
      <c r="F7" s="109">
        <v>0</v>
      </c>
      <c r="G7" s="202">
        <v>0</v>
      </c>
      <c r="H7" s="58">
        <f t="shared" si="1"/>
        <v>0</v>
      </c>
      <c r="I7" s="215" t="s">
        <v>136</v>
      </c>
      <c r="J7" s="213">
        <v>33</v>
      </c>
      <c r="K7" s="213">
        <v>47</v>
      </c>
      <c r="L7" s="214">
        <f t="shared" si="3"/>
        <v>70.212765957446805</v>
      </c>
      <c r="M7" s="213" t="s">
        <v>13</v>
      </c>
      <c r="N7" s="213" t="s">
        <v>13</v>
      </c>
      <c r="O7" s="214" t="s">
        <v>13</v>
      </c>
      <c r="P7" s="209">
        <v>-1</v>
      </c>
      <c r="Q7" s="216">
        <v>-1</v>
      </c>
      <c r="R7" s="4">
        <v>3</v>
      </c>
      <c r="S7" s="112">
        <v>5</v>
      </c>
      <c r="T7" s="111">
        <v>60</v>
      </c>
      <c r="U7" s="4">
        <v>4</v>
      </c>
      <c r="V7" s="112">
        <v>8</v>
      </c>
      <c r="W7" s="111">
        <f t="shared" ref="W7" si="4">SUM(U7/V7)*100</f>
        <v>50</v>
      </c>
      <c r="Z7" s="4" t="s">
        <v>13</v>
      </c>
      <c r="AA7" s="112" t="s">
        <v>13</v>
      </c>
      <c r="AB7" s="111" t="s">
        <v>13</v>
      </c>
    </row>
    <row r="8" spans="1:28" ht="14.95" thickBot="1" x14ac:dyDescent="0.3">
      <c r="A8" s="210" t="s">
        <v>245</v>
      </c>
      <c r="B8" s="211">
        <v>1</v>
      </c>
      <c r="C8" s="219">
        <v>0</v>
      </c>
      <c r="D8" s="212">
        <f t="shared" si="0"/>
        <v>1</v>
      </c>
      <c r="E8" s="86" t="s">
        <v>245</v>
      </c>
      <c r="F8" s="109">
        <v>5</v>
      </c>
      <c r="G8" s="202">
        <v>0</v>
      </c>
      <c r="H8" s="58">
        <f t="shared" si="1"/>
        <v>5</v>
      </c>
      <c r="I8" s="215" t="s">
        <v>189</v>
      </c>
      <c r="J8" s="213">
        <v>11</v>
      </c>
      <c r="K8" s="213">
        <v>17</v>
      </c>
      <c r="L8" s="214">
        <f t="shared" si="3"/>
        <v>64.705882352941174</v>
      </c>
      <c r="M8" s="213">
        <v>3</v>
      </c>
      <c r="N8" s="213">
        <v>4</v>
      </c>
      <c r="O8" s="214">
        <f t="shared" ref="O8" si="5">SUM(M8/N8)*100</f>
        <v>75</v>
      </c>
      <c r="P8" s="209">
        <v>2</v>
      </c>
      <c r="Q8" s="216">
        <v>2</v>
      </c>
      <c r="R8" s="4">
        <v>17</v>
      </c>
      <c r="S8" s="112">
        <v>22</v>
      </c>
      <c r="T8" s="111">
        <v>77.272727272727266</v>
      </c>
      <c r="U8" s="4">
        <v>19</v>
      </c>
      <c r="V8" s="112">
        <v>33</v>
      </c>
      <c r="W8" s="111">
        <v>58</v>
      </c>
      <c r="Z8" s="4">
        <v>3</v>
      </c>
      <c r="AA8" s="112">
        <v>4</v>
      </c>
      <c r="AB8" s="111">
        <v>75</v>
      </c>
    </row>
    <row r="9" spans="1:28" ht="14.95" thickBot="1" x14ac:dyDescent="0.3">
      <c r="A9" s="210" t="s">
        <v>578</v>
      </c>
      <c r="B9" s="211">
        <v>4</v>
      </c>
      <c r="C9" s="219">
        <v>3</v>
      </c>
      <c r="D9" s="212">
        <f t="shared" si="0"/>
        <v>7</v>
      </c>
      <c r="E9" s="86" t="s">
        <v>578</v>
      </c>
      <c r="F9" s="109">
        <v>20</v>
      </c>
      <c r="G9" s="202">
        <v>15</v>
      </c>
      <c r="H9" s="58">
        <f t="shared" si="1"/>
        <v>35</v>
      </c>
      <c r="R9" s="50"/>
      <c r="S9" s="50"/>
      <c r="T9" s="50"/>
    </row>
    <row r="10" spans="1:28" ht="14.95" customHeight="1" thickBot="1" x14ac:dyDescent="0.3">
      <c r="A10" s="210" t="s">
        <v>120</v>
      </c>
      <c r="B10" s="211">
        <v>0</v>
      </c>
      <c r="C10" s="219">
        <v>1</v>
      </c>
      <c r="D10" s="212">
        <f t="shared" si="0"/>
        <v>1</v>
      </c>
      <c r="E10" s="86" t="s">
        <v>120</v>
      </c>
      <c r="F10" s="109">
        <v>0</v>
      </c>
      <c r="G10" s="202">
        <v>5</v>
      </c>
      <c r="H10" s="58">
        <f t="shared" si="1"/>
        <v>5</v>
      </c>
      <c r="I10" s="253" t="s">
        <v>167</v>
      </c>
      <c r="J10" s="260" t="s">
        <v>12</v>
      </c>
      <c r="K10" s="266"/>
      <c r="L10" s="261"/>
      <c r="M10" s="247" t="s">
        <v>661</v>
      </c>
      <c r="N10" s="248"/>
      <c r="O10" s="249"/>
    </row>
    <row r="11" spans="1:28" ht="14.95" customHeight="1" thickBot="1" x14ac:dyDescent="0.3">
      <c r="A11" s="210" t="s">
        <v>688</v>
      </c>
      <c r="B11" s="211">
        <v>0</v>
      </c>
      <c r="C11" s="219">
        <v>1</v>
      </c>
      <c r="D11" s="212">
        <f t="shared" si="0"/>
        <v>1</v>
      </c>
      <c r="E11" s="86" t="s">
        <v>688</v>
      </c>
      <c r="F11" s="109">
        <v>0</v>
      </c>
      <c r="G11" s="202">
        <v>5</v>
      </c>
      <c r="H11" s="58">
        <f t="shared" si="1"/>
        <v>5</v>
      </c>
      <c r="I11" s="254"/>
      <c r="J11" s="262"/>
      <c r="K11" s="267"/>
      <c r="L11" s="263"/>
      <c r="M11" s="250"/>
      <c r="N11" s="251"/>
      <c r="O11" s="252"/>
    </row>
    <row r="12" spans="1:28" ht="14.95" thickBot="1" x14ac:dyDescent="0.3">
      <c r="A12" s="210" t="s">
        <v>249</v>
      </c>
      <c r="B12" s="211">
        <v>1</v>
      </c>
      <c r="C12" s="219">
        <v>0</v>
      </c>
      <c r="D12" s="212">
        <f t="shared" si="0"/>
        <v>1</v>
      </c>
      <c r="E12" s="86" t="s">
        <v>249</v>
      </c>
      <c r="F12" s="109">
        <v>5</v>
      </c>
      <c r="G12" s="202">
        <v>0</v>
      </c>
      <c r="H12" s="58">
        <f t="shared" si="1"/>
        <v>5</v>
      </c>
      <c r="I12" s="149" t="s">
        <v>14</v>
      </c>
      <c r="J12" s="2" t="s">
        <v>21</v>
      </c>
      <c r="K12" s="2" t="s">
        <v>7</v>
      </c>
      <c r="L12" s="2" t="s">
        <v>8</v>
      </c>
      <c r="M12" s="110" t="s">
        <v>21</v>
      </c>
      <c r="N12" s="110" t="s">
        <v>7</v>
      </c>
      <c r="O12" s="110" t="s">
        <v>8</v>
      </c>
    </row>
    <row r="13" spans="1:28" ht="14.95" thickBot="1" x14ac:dyDescent="0.3">
      <c r="A13" s="210" t="s">
        <v>761</v>
      </c>
      <c r="B13" s="211">
        <v>2</v>
      </c>
      <c r="C13" s="219">
        <v>0</v>
      </c>
      <c r="D13" s="212">
        <f t="shared" si="0"/>
        <v>2</v>
      </c>
      <c r="E13" s="86" t="s">
        <v>761</v>
      </c>
      <c r="F13" s="109">
        <v>10</v>
      </c>
      <c r="G13" s="202">
        <v>0</v>
      </c>
      <c r="H13" s="58">
        <f t="shared" si="1"/>
        <v>10</v>
      </c>
      <c r="I13" s="217" t="s">
        <v>129</v>
      </c>
      <c r="J13" s="213">
        <v>17</v>
      </c>
      <c r="K13" s="213">
        <v>21</v>
      </c>
      <c r="L13" s="214">
        <f t="shared" ref="L13" si="6">SUM(J13/K13)*100</f>
        <v>80.952380952380949</v>
      </c>
      <c r="M13" s="110">
        <v>15</v>
      </c>
      <c r="N13" s="110">
        <v>25</v>
      </c>
      <c r="O13" s="140">
        <f t="shared" ref="O13" si="7">SUM(M13/N13)*100</f>
        <v>60</v>
      </c>
    </row>
    <row r="14" spans="1:28" ht="14.95" thickBot="1" x14ac:dyDescent="0.3">
      <c r="A14" s="210" t="s">
        <v>687</v>
      </c>
      <c r="B14" s="211">
        <v>0</v>
      </c>
      <c r="C14" s="219">
        <v>1</v>
      </c>
      <c r="D14" s="212">
        <f t="shared" si="0"/>
        <v>1</v>
      </c>
      <c r="E14" s="86" t="s">
        <v>687</v>
      </c>
      <c r="F14" s="109">
        <v>0</v>
      </c>
      <c r="G14" s="202">
        <v>5</v>
      </c>
      <c r="H14" s="58">
        <f t="shared" si="1"/>
        <v>5</v>
      </c>
    </row>
    <row r="15" spans="1:28" ht="14.95" thickBot="1" x14ac:dyDescent="0.3">
      <c r="A15" s="210" t="s">
        <v>129</v>
      </c>
      <c r="B15" s="211">
        <v>0</v>
      </c>
      <c r="C15" s="219">
        <v>2</v>
      </c>
      <c r="D15" s="212">
        <f t="shared" si="0"/>
        <v>2</v>
      </c>
      <c r="E15" s="86" t="s">
        <v>129</v>
      </c>
      <c r="F15" s="109">
        <v>0</v>
      </c>
      <c r="G15" s="202">
        <v>45</v>
      </c>
      <c r="H15" s="58">
        <f t="shared" si="1"/>
        <v>45</v>
      </c>
      <c r="I15" s="268" t="s">
        <v>436</v>
      </c>
      <c r="J15" s="247" t="s">
        <v>162</v>
      </c>
      <c r="K15" s="248"/>
      <c r="L15" s="249"/>
    </row>
    <row r="16" spans="1:28" ht="14.95" thickBot="1" x14ac:dyDescent="0.3">
      <c r="A16" s="210" t="s">
        <v>250</v>
      </c>
      <c r="B16" s="211">
        <v>4</v>
      </c>
      <c r="C16" s="219">
        <v>1</v>
      </c>
      <c r="D16" s="212">
        <f t="shared" si="0"/>
        <v>5</v>
      </c>
      <c r="E16" s="86" t="s">
        <v>250</v>
      </c>
      <c r="F16" s="109">
        <v>20</v>
      </c>
      <c r="G16" s="202">
        <v>5</v>
      </c>
      <c r="H16" s="58">
        <f t="shared" si="1"/>
        <v>25</v>
      </c>
      <c r="I16" s="269"/>
      <c r="J16" s="250"/>
      <c r="K16" s="251"/>
      <c r="L16" s="252"/>
    </row>
    <row r="17" spans="1:15" ht="14.95" thickBot="1" x14ac:dyDescent="0.3">
      <c r="A17" s="210" t="s">
        <v>257</v>
      </c>
      <c r="B17" s="211">
        <v>2</v>
      </c>
      <c r="C17" s="219">
        <v>0</v>
      </c>
      <c r="D17" s="212">
        <f t="shared" si="0"/>
        <v>2</v>
      </c>
      <c r="E17" s="86" t="s">
        <v>257</v>
      </c>
      <c r="F17" s="109">
        <v>10</v>
      </c>
      <c r="G17" s="202">
        <v>0</v>
      </c>
      <c r="H17" s="58">
        <f t="shared" si="1"/>
        <v>10</v>
      </c>
      <c r="I17" s="172" t="s">
        <v>14</v>
      </c>
      <c r="J17" s="110" t="s">
        <v>21</v>
      </c>
      <c r="K17" s="110" t="s">
        <v>7</v>
      </c>
      <c r="L17" s="110" t="s">
        <v>8</v>
      </c>
    </row>
    <row r="18" spans="1:15" ht="14.95" thickBot="1" x14ac:dyDescent="0.3">
      <c r="A18" s="210" t="s">
        <v>622</v>
      </c>
      <c r="B18" s="211">
        <v>8</v>
      </c>
      <c r="C18" s="219">
        <v>0</v>
      </c>
      <c r="D18" s="212">
        <f t="shared" si="0"/>
        <v>8</v>
      </c>
      <c r="E18" s="86" t="s">
        <v>622</v>
      </c>
      <c r="F18" s="109">
        <v>40</v>
      </c>
      <c r="G18" s="202">
        <v>0</v>
      </c>
      <c r="H18" s="58">
        <f t="shared" si="1"/>
        <v>40</v>
      </c>
      <c r="I18" s="217" t="s">
        <v>129</v>
      </c>
      <c r="J18" s="4">
        <v>6</v>
      </c>
      <c r="K18" s="4">
        <v>8</v>
      </c>
      <c r="L18" s="111">
        <f t="shared" ref="L18" si="8">SUM(J18/K18)*100</f>
        <v>75</v>
      </c>
      <c r="N18" s="44"/>
      <c r="O18" s="44"/>
    </row>
    <row r="19" spans="1:15" ht="14.95" thickBot="1" x14ac:dyDescent="0.3">
      <c r="A19" s="210" t="s">
        <v>579</v>
      </c>
      <c r="B19" s="211">
        <v>0</v>
      </c>
      <c r="C19" s="219">
        <v>0</v>
      </c>
      <c r="D19" s="212">
        <f t="shared" si="0"/>
        <v>0</v>
      </c>
      <c r="E19" s="86" t="s">
        <v>579</v>
      </c>
      <c r="F19" s="109">
        <v>0</v>
      </c>
      <c r="G19" s="202">
        <v>0</v>
      </c>
      <c r="H19" s="58">
        <f t="shared" si="1"/>
        <v>0</v>
      </c>
    </row>
    <row r="20" spans="1:15" ht="14.95" thickBot="1" x14ac:dyDescent="0.3">
      <c r="A20" s="210" t="s">
        <v>586</v>
      </c>
      <c r="B20" s="211">
        <v>7</v>
      </c>
      <c r="C20" s="219">
        <v>0</v>
      </c>
      <c r="D20" s="212">
        <f t="shared" si="0"/>
        <v>7</v>
      </c>
      <c r="E20" s="86" t="s">
        <v>586</v>
      </c>
      <c r="F20" s="109">
        <v>37</v>
      </c>
      <c r="G20" s="202">
        <v>0</v>
      </c>
      <c r="H20" s="58">
        <f t="shared" si="1"/>
        <v>37</v>
      </c>
    </row>
    <row r="21" spans="1:15" ht="14.95" thickBot="1" x14ac:dyDescent="0.3">
      <c r="A21" s="210" t="s">
        <v>520</v>
      </c>
      <c r="B21" s="211">
        <v>2</v>
      </c>
      <c r="C21" s="219">
        <v>1</v>
      </c>
      <c r="D21" s="212">
        <f t="shared" si="0"/>
        <v>3</v>
      </c>
      <c r="E21" s="86" t="s">
        <v>520</v>
      </c>
      <c r="F21" s="109">
        <v>10</v>
      </c>
      <c r="G21" s="202">
        <v>5</v>
      </c>
      <c r="H21" s="58">
        <f t="shared" si="1"/>
        <v>15</v>
      </c>
    </row>
    <row r="22" spans="1:15" ht="14.95" thickBot="1" x14ac:dyDescent="0.3">
      <c r="A22" s="210" t="s">
        <v>521</v>
      </c>
      <c r="B22" s="211">
        <v>0</v>
      </c>
      <c r="C22" s="219">
        <v>0</v>
      </c>
      <c r="D22" s="212">
        <f t="shared" si="0"/>
        <v>0</v>
      </c>
      <c r="E22" s="86" t="s">
        <v>521</v>
      </c>
      <c r="F22" s="109">
        <v>0</v>
      </c>
      <c r="G22" s="202">
        <v>0</v>
      </c>
      <c r="H22" s="58">
        <f t="shared" si="1"/>
        <v>0</v>
      </c>
    </row>
    <row r="23" spans="1:15" ht="14.95" thickBot="1" x14ac:dyDescent="0.3">
      <c r="A23" s="210" t="s">
        <v>243</v>
      </c>
      <c r="B23" s="211">
        <v>0</v>
      </c>
      <c r="C23" s="219">
        <v>0</v>
      </c>
      <c r="D23" s="212">
        <f t="shared" si="0"/>
        <v>0</v>
      </c>
      <c r="E23" s="86" t="s">
        <v>243</v>
      </c>
      <c r="F23" s="109">
        <v>0</v>
      </c>
      <c r="G23" s="202">
        <v>0</v>
      </c>
      <c r="H23" s="58">
        <f t="shared" si="1"/>
        <v>0</v>
      </c>
    </row>
    <row r="24" spans="1:15" ht="14.95" thickBot="1" x14ac:dyDescent="0.3">
      <c r="A24" s="210" t="s">
        <v>557</v>
      </c>
      <c r="B24" s="211">
        <v>1</v>
      </c>
      <c r="C24" s="219">
        <v>0</v>
      </c>
      <c r="D24" s="212">
        <f t="shared" si="0"/>
        <v>1</v>
      </c>
      <c r="E24" s="86" t="s">
        <v>557</v>
      </c>
      <c r="F24" s="109">
        <v>5</v>
      </c>
      <c r="G24" s="202">
        <v>0</v>
      </c>
      <c r="H24" s="58">
        <f>SUM(F24:G24)</f>
        <v>5</v>
      </c>
    </row>
    <row r="25" spans="1:15" ht="14.95" thickBot="1" x14ac:dyDescent="0.3">
      <c r="A25" s="210" t="s">
        <v>582</v>
      </c>
      <c r="B25" s="211">
        <v>3</v>
      </c>
      <c r="C25" s="219">
        <v>0</v>
      </c>
      <c r="D25" s="212">
        <f t="shared" si="0"/>
        <v>3</v>
      </c>
      <c r="E25" s="86" t="s">
        <v>582</v>
      </c>
      <c r="F25" s="109">
        <v>15</v>
      </c>
      <c r="G25" s="202">
        <v>0</v>
      </c>
      <c r="H25" s="58">
        <f t="shared" si="1"/>
        <v>15</v>
      </c>
    </row>
    <row r="26" spans="1:15" ht="14.95" thickBot="1" x14ac:dyDescent="0.3">
      <c r="A26" s="210" t="s">
        <v>585</v>
      </c>
      <c r="B26" s="211">
        <v>2</v>
      </c>
      <c r="C26" s="219">
        <v>1</v>
      </c>
      <c r="D26" s="212">
        <f t="shared" si="0"/>
        <v>3</v>
      </c>
      <c r="E26" s="86" t="s">
        <v>585</v>
      </c>
      <c r="F26" s="109">
        <v>10</v>
      </c>
      <c r="G26" s="203">
        <v>5</v>
      </c>
      <c r="H26" s="60">
        <f t="shared" si="1"/>
        <v>15</v>
      </c>
    </row>
    <row r="27" spans="1:15" ht="14.95" thickBot="1" x14ac:dyDescent="0.3">
      <c r="A27" s="210" t="s">
        <v>136</v>
      </c>
      <c r="B27" s="211">
        <v>0</v>
      </c>
      <c r="C27" s="219">
        <v>0</v>
      </c>
      <c r="D27" s="212">
        <f t="shared" si="0"/>
        <v>0</v>
      </c>
      <c r="E27" s="86" t="s">
        <v>136</v>
      </c>
      <c r="F27" s="109">
        <v>68</v>
      </c>
      <c r="G27" s="203">
        <v>0</v>
      </c>
      <c r="H27" s="60">
        <f t="shared" si="1"/>
        <v>68</v>
      </c>
    </row>
    <row r="28" spans="1:15" ht="14.95" thickBot="1" x14ac:dyDescent="0.3">
      <c r="A28" s="210" t="s">
        <v>4</v>
      </c>
      <c r="B28" s="211">
        <v>0</v>
      </c>
      <c r="C28" s="219">
        <v>0</v>
      </c>
      <c r="D28" s="212">
        <f t="shared" si="0"/>
        <v>0</v>
      </c>
      <c r="E28" s="86" t="s">
        <v>4</v>
      </c>
      <c r="F28" s="109">
        <v>0</v>
      </c>
      <c r="G28" s="203">
        <v>0</v>
      </c>
      <c r="H28" s="60">
        <f t="shared" si="1"/>
        <v>0</v>
      </c>
    </row>
    <row r="29" spans="1:15" ht="14.95" thickBot="1" x14ac:dyDescent="0.3">
      <c r="A29" s="210" t="s">
        <v>686</v>
      </c>
      <c r="B29" s="211">
        <v>0</v>
      </c>
      <c r="C29" s="219">
        <v>1</v>
      </c>
      <c r="D29" s="212">
        <f t="shared" si="0"/>
        <v>1</v>
      </c>
      <c r="E29" s="86" t="s">
        <v>686</v>
      </c>
      <c r="F29" s="109">
        <v>0</v>
      </c>
      <c r="G29" s="203">
        <v>5</v>
      </c>
      <c r="H29" s="60">
        <f t="shared" si="1"/>
        <v>5</v>
      </c>
    </row>
    <row r="30" spans="1:15" ht="14.95" thickBot="1" x14ac:dyDescent="0.3">
      <c r="A30" s="210" t="s">
        <v>189</v>
      </c>
      <c r="B30" s="211">
        <v>0</v>
      </c>
      <c r="C30" s="219">
        <v>0</v>
      </c>
      <c r="D30" s="212">
        <f t="shared" si="0"/>
        <v>0</v>
      </c>
      <c r="E30" s="86" t="s">
        <v>189</v>
      </c>
      <c r="F30" s="109">
        <v>22</v>
      </c>
      <c r="G30" s="203">
        <v>0</v>
      </c>
      <c r="H30" s="60">
        <f t="shared" si="1"/>
        <v>22</v>
      </c>
    </row>
    <row r="31" spans="1:15" ht="14.95" thickBot="1" x14ac:dyDescent="0.3">
      <c r="A31" s="210" t="s">
        <v>241</v>
      </c>
      <c r="B31" s="211">
        <v>3</v>
      </c>
      <c r="C31" s="219">
        <v>0</v>
      </c>
      <c r="D31" s="212">
        <f t="shared" si="0"/>
        <v>3</v>
      </c>
      <c r="E31" s="86" t="s">
        <v>241</v>
      </c>
      <c r="F31" s="109">
        <v>15</v>
      </c>
      <c r="G31" s="203">
        <v>0</v>
      </c>
      <c r="H31" s="60">
        <f t="shared" si="1"/>
        <v>15</v>
      </c>
    </row>
    <row r="32" spans="1:15" ht="14.95" thickBot="1" x14ac:dyDescent="0.3">
      <c r="A32" s="210" t="s">
        <v>248</v>
      </c>
      <c r="B32" s="211">
        <v>0</v>
      </c>
      <c r="C32" s="219">
        <v>4</v>
      </c>
      <c r="D32" s="212">
        <f t="shared" si="0"/>
        <v>4</v>
      </c>
      <c r="E32" s="86" t="s">
        <v>248</v>
      </c>
      <c r="F32" s="109">
        <v>0</v>
      </c>
      <c r="G32" s="202">
        <v>20</v>
      </c>
      <c r="H32" s="58">
        <f t="shared" si="1"/>
        <v>20</v>
      </c>
    </row>
    <row r="33" spans="1:20" ht="14.95" thickBot="1" x14ac:dyDescent="0.3">
      <c r="A33" s="210" t="s">
        <v>733</v>
      </c>
      <c r="B33" s="211">
        <v>2</v>
      </c>
      <c r="C33" s="219">
        <v>0</v>
      </c>
      <c r="D33" s="212">
        <f t="shared" si="0"/>
        <v>2</v>
      </c>
      <c r="E33" s="86" t="s">
        <v>577</v>
      </c>
      <c r="F33" s="109">
        <v>10</v>
      </c>
      <c r="G33" s="202">
        <v>0</v>
      </c>
      <c r="H33" s="58">
        <f t="shared" si="1"/>
        <v>10</v>
      </c>
    </row>
    <row r="34" spans="1:20" ht="14.95" thickBot="1" x14ac:dyDescent="0.3">
      <c r="A34" s="210" t="s">
        <v>556</v>
      </c>
      <c r="B34" s="211">
        <v>0</v>
      </c>
      <c r="C34" s="219">
        <v>0</v>
      </c>
      <c r="D34" s="212">
        <f t="shared" si="0"/>
        <v>0</v>
      </c>
      <c r="E34" s="86" t="s">
        <v>556</v>
      </c>
      <c r="F34" s="109">
        <v>0</v>
      </c>
      <c r="G34" s="202">
        <v>0</v>
      </c>
      <c r="H34" s="58">
        <f t="shared" si="1"/>
        <v>0</v>
      </c>
    </row>
    <row r="35" spans="1:20" ht="14.95" thickBot="1" x14ac:dyDescent="0.3">
      <c r="A35" s="210" t="s">
        <v>580</v>
      </c>
      <c r="B35" s="211">
        <v>5</v>
      </c>
      <c r="C35" s="219">
        <v>0</v>
      </c>
      <c r="D35" s="212">
        <f t="shared" si="0"/>
        <v>5</v>
      </c>
      <c r="E35" s="86" t="s">
        <v>580</v>
      </c>
      <c r="F35" s="109">
        <v>25</v>
      </c>
      <c r="G35" s="202">
        <v>0</v>
      </c>
      <c r="H35" s="58">
        <f t="shared" si="1"/>
        <v>25</v>
      </c>
    </row>
    <row r="36" spans="1:20" ht="14.95" thickBot="1" x14ac:dyDescent="0.3">
      <c r="A36" s="210" t="s">
        <v>256</v>
      </c>
      <c r="B36" s="211">
        <v>1</v>
      </c>
      <c r="C36" s="219">
        <v>1</v>
      </c>
      <c r="D36" s="212">
        <f t="shared" si="0"/>
        <v>2</v>
      </c>
      <c r="E36" s="86" t="s">
        <v>256</v>
      </c>
      <c r="F36" s="109">
        <v>5</v>
      </c>
      <c r="G36" s="202">
        <v>5</v>
      </c>
      <c r="H36" s="58">
        <f t="shared" si="1"/>
        <v>10</v>
      </c>
    </row>
    <row r="37" spans="1:20" ht="14.95" thickBot="1" x14ac:dyDescent="0.3">
      <c r="A37" s="210" t="s">
        <v>522</v>
      </c>
      <c r="B37" s="211">
        <v>0</v>
      </c>
      <c r="C37" s="219">
        <v>0</v>
      </c>
      <c r="D37" s="212">
        <f t="shared" si="0"/>
        <v>0</v>
      </c>
      <c r="E37" s="86" t="s">
        <v>522</v>
      </c>
      <c r="F37" s="109">
        <v>0</v>
      </c>
      <c r="G37" s="202">
        <v>0</v>
      </c>
      <c r="H37" s="58">
        <f t="shared" si="1"/>
        <v>0</v>
      </c>
    </row>
    <row r="38" spans="1:20" ht="14.95" thickBot="1" x14ac:dyDescent="0.3">
      <c r="A38" s="210" t="s">
        <v>251</v>
      </c>
      <c r="B38" s="211">
        <v>10</v>
      </c>
      <c r="C38" s="219">
        <v>0</v>
      </c>
      <c r="D38" s="212">
        <f t="shared" si="0"/>
        <v>10</v>
      </c>
      <c r="E38" s="86" t="s">
        <v>251</v>
      </c>
      <c r="F38" s="109">
        <v>50</v>
      </c>
      <c r="G38" s="202">
        <v>0</v>
      </c>
      <c r="H38" s="58">
        <f t="shared" si="1"/>
        <v>50</v>
      </c>
      <c r="N38" s="88"/>
    </row>
    <row r="39" spans="1:20" ht="14.95" thickBot="1" x14ac:dyDescent="0.3">
      <c r="A39" s="210" t="s">
        <v>5</v>
      </c>
      <c r="B39" s="211">
        <v>1</v>
      </c>
      <c r="C39" s="219">
        <v>1</v>
      </c>
      <c r="D39" s="212">
        <f t="shared" si="0"/>
        <v>2</v>
      </c>
      <c r="E39" s="86" t="s">
        <v>5</v>
      </c>
      <c r="F39" s="109">
        <v>5</v>
      </c>
      <c r="G39" s="202">
        <v>5</v>
      </c>
      <c r="H39" s="58">
        <f t="shared" si="1"/>
        <v>10</v>
      </c>
    </row>
    <row r="40" spans="1:20" ht="14.95" thickBot="1" x14ac:dyDescent="0.3">
      <c r="A40" s="210" t="s">
        <v>523</v>
      </c>
      <c r="B40" s="211">
        <v>0</v>
      </c>
      <c r="C40" s="219">
        <v>0</v>
      </c>
      <c r="D40" s="212">
        <f t="shared" si="0"/>
        <v>0</v>
      </c>
      <c r="E40" s="86" t="s">
        <v>523</v>
      </c>
      <c r="F40" s="109">
        <v>0</v>
      </c>
      <c r="G40" s="202">
        <v>0</v>
      </c>
      <c r="H40" s="58">
        <f t="shared" si="1"/>
        <v>0</v>
      </c>
    </row>
    <row r="41" spans="1:20" ht="14.95" thickBot="1" x14ac:dyDescent="0.3">
      <c r="A41" s="210" t="s">
        <v>146</v>
      </c>
      <c r="B41" s="211">
        <v>0</v>
      </c>
      <c r="C41" s="219">
        <v>0</v>
      </c>
      <c r="D41" s="212">
        <f t="shared" si="0"/>
        <v>0</v>
      </c>
      <c r="E41" s="86" t="s">
        <v>146</v>
      </c>
      <c r="F41" s="109">
        <v>0</v>
      </c>
      <c r="G41" s="202">
        <v>0</v>
      </c>
      <c r="H41" s="58">
        <f t="shared" si="1"/>
        <v>0</v>
      </c>
      <c r="R41" s="88"/>
      <c r="S41" s="88"/>
      <c r="T41" s="88"/>
    </row>
    <row r="42" spans="1:20" ht="14.95" thickBot="1" x14ac:dyDescent="0.3">
      <c r="A42" s="210" t="s">
        <v>3</v>
      </c>
      <c r="B42" s="211">
        <f>SUM(B3:B41)</f>
        <v>63</v>
      </c>
      <c r="C42" s="219">
        <f>SUM(C3:C41)</f>
        <v>21</v>
      </c>
      <c r="D42" s="212">
        <f t="shared" si="0"/>
        <v>84</v>
      </c>
      <c r="E42" s="86" t="s">
        <v>3</v>
      </c>
      <c r="F42" s="109">
        <f>SUM(F3:F41)</f>
        <v>407</v>
      </c>
      <c r="G42" s="202">
        <f>SUM(G3:G41)</f>
        <v>140</v>
      </c>
      <c r="H42" s="58">
        <f t="shared" si="1"/>
        <v>547</v>
      </c>
    </row>
    <row r="43" spans="1:20" x14ac:dyDescent="0.25">
      <c r="A43" s="255"/>
      <c r="B43" s="256"/>
      <c r="C43" s="256"/>
      <c r="D43" s="256"/>
      <c r="E43" s="256"/>
      <c r="F43" s="256"/>
      <c r="G43" s="88"/>
      <c r="H43" s="20"/>
    </row>
    <row r="44" spans="1:20" ht="14.95" thickBot="1" x14ac:dyDescent="0.3">
      <c r="A44" t="s">
        <v>9</v>
      </c>
      <c r="B44" s="56"/>
      <c r="C44" s="56"/>
      <c r="E44" s="19"/>
      <c r="F44" s="57"/>
      <c r="G44" s="57"/>
      <c r="H44" s="22"/>
    </row>
    <row r="45" spans="1:20" ht="14.95" thickBot="1" x14ac:dyDescent="0.3">
      <c r="A45" s="207" t="s">
        <v>0</v>
      </c>
      <c r="B45" s="208" t="s">
        <v>161</v>
      </c>
      <c r="C45" s="218" t="s">
        <v>167</v>
      </c>
      <c r="D45" s="209" t="s">
        <v>1</v>
      </c>
      <c r="E45" s="85" t="s">
        <v>2</v>
      </c>
      <c r="F45" s="108" t="s">
        <v>161</v>
      </c>
      <c r="G45" s="201" t="s">
        <v>167</v>
      </c>
      <c r="H45" s="59" t="s">
        <v>1</v>
      </c>
    </row>
    <row r="46" spans="1:20" ht="14.95" thickBot="1" x14ac:dyDescent="0.3">
      <c r="A46" s="210" t="s">
        <v>251</v>
      </c>
      <c r="B46" s="211">
        <v>10</v>
      </c>
      <c r="C46" s="219">
        <v>0</v>
      </c>
      <c r="D46" s="212">
        <f>SUM(B46:C46)</f>
        <v>10</v>
      </c>
      <c r="E46" s="86" t="s">
        <v>136</v>
      </c>
      <c r="F46" s="109">
        <v>68</v>
      </c>
      <c r="G46" s="202">
        <v>0</v>
      </c>
      <c r="H46" s="58">
        <f>SUM(F46:G46)</f>
        <v>68</v>
      </c>
    </row>
    <row r="47" spans="1:20" ht="14.95" thickBot="1" x14ac:dyDescent="0.3">
      <c r="A47" s="210" t="s">
        <v>622</v>
      </c>
      <c r="B47" s="211">
        <v>8</v>
      </c>
      <c r="C47" s="219">
        <v>0</v>
      </c>
      <c r="D47" s="212">
        <f>SUM(B47:C47)</f>
        <v>8</v>
      </c>
      <c r="E47" s="86" t="s">
        <v>251</v>
      </c>
      <c r="F47" s="109">
        <v>50</v>
      </c>
      <c r="G47" s="202">
        <v>0</v>
      </c>
      <c r="H47" s="58">
        <f>SUM(F47:G47)</f>
        <v>50</v>
      </c>
    </row>
    <row r="48" spans="1:20" ht="14.95" thickBot="1" x14ac:dyDescent="0.3">
      <c r="A48" s="210" t="s">
        <v>578</v>
      </c>
      <c r="B48" s="211">
        <v>4</v>
      </c>
      <c r="C48" s="219">
        <v>3</v>
      </c>
      <c r="D48" s="212">
        <f>SUM(B48:C48)</f>
        <v>7</v>
      </c>
      <c r="E48" s="86" t="s">
        <v>129</v>
      </c>
      <c r="F48" s="109">
        <v>0</v>
      </c>
      <c r="G48" s="202">
        <v>45</v>
      </c>
      <c r="H48" s="58">
        <f>SUM(F48:G48)</f>
        <v>45</v>
      </c>
    </row>
    <row r="49" spans="1:8" ht="14.95" thickBot="1" x14ac:dyDescent="0.3">
      <c r="A49" s="210" t="s">
        <v>586</v>
      </c>
      <c r="B49" s="211">
        <v>7</v>
      </c>
      <c r="C49" s="219">
        <v>0</v>
      </c>
      <c r="D49" s="212">
        <f>SUM(B49:C49)</f>
        <v>7</v>
      </c>
      <c r="E49" s="86" t="s">
        <v>622</v>
      </c>
      <c r="F49" s="109">
        <v>40</v>
      </c>
      <c r="G49" s="202">
        <v>0</v>
      </c>
      <c r="H49" s="58">
        <f>SUM(F49:G49)</f>
        <v>40</v>
      </c>
    </row>
    <row r="50" spans="1:8" ht="14.95" thickBot="1" x14ac:dyDescent="0.3">
      <c r="A50" s="210" t="s">
        <v>250</v>
      </c>
      <c r="B50" s="211">
        <v>4</v>
      </c>
      <c r="C50" s="219">
        <v>1</v>
      </c>
      <c r="D50" s="212">
        <f>SUM(B50:C50)</f>
        <v>5</v>
      </c>
      <c r="E50" s="86" t="s">
        <v>586</v>
      </c>
      <c r="F50" s="109">
        <v>37</v>
      </c>
      <c r="G50" s="202">
        <v>0</v>
      </c>
      <c r="H50" s="58">
        <f>SUM(F50:G50)</f>
        <v>37</v>
      </c>
    </row>
    <row r="51" spans="1:8" ht="14.95" thickBot="1" x14ac:dyDescent="0.3">
      <c r="A51" s="210" t="s">
        <v>580</v>
      </c>
      <c r="B51" s="211">
        <v>5</v>
      </c>
      <c r="C51" s="219">
        <v>0</v>
      </c>
      <c r="D51" s="212">
        <f>SUM(B51:C51)</f>
        <v>5</v>
      </c>
      <c r="E51" s="86" t="s">
        <v>578</v>
      </c>
      <c r="F51" s="109">
        <v>20</v>
      </c>
      <c r="G51" s="202">
        <v>15</v>
      </c>
      <c r="H51" s="58">
        <f>SUM(F51:G51)</f>
        <v>35</v>
      </c>
    </row>
    <row r="52" spans="1:8" ht="14.95" thickBot="1" x14ac:dyDescent="0.3">
      <c r="A52" s="210" t="s">
        <v>248</v>
      </c>
      <c r="B52" s="211">
        <v>0</v>
      </c>
      <c r="C52" s="219">
        <v>4</v>
      </c>
      <c r="D52" s="212">
        <f>SUM(B52:C52)</f>
        <v>4</v>
      </c>
      <c r="E52" s="86" t="s">
        <v>250</v>
      </c>
      <c r="F52" s="109">
        <v>20</v>
      </c>
      <c r="G52" s="202">
        <v>5</v>
      </c>
      <c r="H52" s="58">
        <f>SUM(F52:G52)</f>
        <v>25</v>
      </c>
    </row>
    <row r="53" spans="1:8" ht="14.95" thickBot="1" x14ac:dyDescent="0.3">
      <c r="A53" s="210" t="s">
        <v>156</v>
      </c>
      <c r="B53" s="211">
        <v>0</v>
      </c>
      <c r="C53" s="219">
        <v>3</v>
      </c>
      <c r="D53" s="212">
        <f>SUM(B53:C53)</f>
        <v>3</v>
      </c>
      <c r="E53" s="86" t="s">
        <v>580</v>
      </c>
      <c r="F53" s="109">
        <v>25</v>
      </c>
      <c r="G53" s="202">
        <v>0</v>
      </c>
      <c r="H53" s="58">
        <f>SUM(F53:G53)</f>
        <v>25</v>
      </c>
    </row>
    <row r="54" spans="1:8" ht="14.95" thickBot="1" x14ac:dyDescent="0.3">
      <c r="A54" s="210" t="s">
        <v>520</v>
      </c>
      <c r="B54" s="211">
        <v>2</v>
      </c>
      <c r="C54" s="219">
        <v>1</v>
      </c>
      <c r="D54" s="212">
        <f>SUM(B54:C54)</f>
        <v>3</v>
      </c>
      <c r="E54" s="86" t="s">
        <v>189</v>
      </c>
      <c r="F54" s="109">
        <v>22</v>
      </c>
      <c r="G54" s="202">
        <v>0</v>
      </c>
      <c r="H54" s="58">
        <f>SUM(F54:G54)</f>
        <v>22</v>
      </c>
    </row>
    <row r="55" spans="1:8" ht="14.95" thickBot="1" x14ac:dyDescent="0.3">
      <c r="A55" s="210" t="s">
        <v>582</v>
      </c>
      <c r="B55" s="211">
        <v>3</v>
      </c>
      <c r="C55" s="219">
        <v>0</v>
      </c>
      <c r="D55" s="212">
        <f>SUM(B55:C55)</f>
        <v>3</v>
      </c>
      <c r="E55" s="86" t="s">
        <v>248</v>
      </c>
      <c r="F55" s="109">
        <v>0</v>
      </c>
      <c r="G55" s="202">
        <v>20</v>
      </c>
      <c r="H55" s="58">
        <f>SUM(F55:G55)</f>
        <v>20</v>
      </c>
    </row>
    <row r="56" spans="1:8" ht="14.95" thickBot="1" x14ac:dyDescent="0.3">
      <c r="A56" s="210" t="s">
        <v>585</v>
      </c>
      <c r="B56" s="211">
        <v>2</v>
      </c>
      <c r="C56" s="219">
        <v>1</v>
      </c>
      <c r="D56" s="212">
        <f>SUM(B56:C56)</f>
        <v>3</v>
      </c>
      <c r="E56" s="86" t="s">
        <v>156</v>
      </c>
      <c r="F56" s="109">
        <v>0</v>
      </c>
      <c r="G56" s="202">
        <v>15</v>
      </c>
      <c r="H56" s="58">
        <f>SUM(F56:G56)</f>
        <v>15</v>
      </c>
    </row>
    <row r="57" spans="1:8" ht="14.95" thickBot="1" x14ac:dyDescent="0.3">
      <c r="A57" s="210" t="s">
        <v>241</v>
      </c>
      <c r="B57" s="211">
        <v>3</v>
      </c>
      <c r="C57" s="219">
        <v>0</v>
      </c>
      <c r="D57" s="212">
        <f>SUM(B57:C57)</f>
        <v>3</v>
      </c>
      <c r="E57" s="86" t="s">
        <v>520</v>
      </c>
      <c r="F57" s="109">
        <v>10</v>
      </c>
      <c r="G57" s="202">
        <v>5</v>
      </c>
      <c r="H57" s="58">
        <f>SUM(F57:G57)</f>
        <v>15</v>
      </c>
    </row>
    <row r="58" spans="1:8" ht="14.95" thickBot="1" x14ac:dyDescent="0.3">
      <c r="A58" s="210" t="s">
        <v>255</v>
      </c>
      <c r="B58" s="211">
        <v>2</v>
      </c>
      <c r="C58" s="219">
        <v>0</v>
      </c>
      <c r="D58" s="212">
        <f>SUM(B58:C58)</f>
        <v>2</v>
      </c>
      <c r="E58" s="86" t="s">
        <v>582</v>
      </c>
      <c r="F58" s="109">
        <v>15</v>
      </c>
      <c r="G58" s="202">
        <v>0</v>
      </c>
      <c r="H58" s="58">
        <f>SUM(F58:G58)</f>
        <v>15</v>
      </c>
    </row>
    <row r="59" spans="1:8" ht="14.95" thickBot="1" x14ac:dyDescent="0.3">
      <c r="A59" s="210" t="s">
        <v>754</v>
      </c>
      <c r="B59" s="211">
        <v>2</v>
      </c>
      <c r="C59" s="219">
        <v>0</v>
      </c>
      <c r="D59" s="212">
        <f>SUM(B59:C59)</f>
        <v>2</v>
      </c>
      <c r="E59" s="86" t="s">
        <v>585</v>
      </c>
      <c r="F59" s="109">
        <v>10</v>
      </c>
      <c r="G59" s="202">
        <v>5</v>
      </c>
      <c r="H59" s="58">
        <f>SUM(F59:G59)</f>
        <v>15</v>
      </c>
    </row>
    <row r="60" spans="1:8" ht="14.95" thickBot="1" x14ac:dyDescent="0.3">
      <c r="A60" s="210" t="s">
        <v>761</v>
      </c>
      <c r="B60" s="211">
        <v>2</v>
      </c>
      <c r="C60" s="219">
        <v>0</v>
      </c>
      <c r="D60" s="212">
        <f>SUM(B60:C60)</f>
        <v>2</v>
      </c>
      <c r="E60" s="86" t="s">
        <v>241</v>
      </c>
      <c r="F60" s="109">
        <v>15</v>
      </c>
      <c r="G60" s="202">
        <v>0</v>
      </c>
      <c r="H60" s="58">
        <f>SUM(F60:G60)</f>
        <v>15</v>
      </c>
    </row>
    <row r="61" spans="1:8" ht="14.95" thickBot="1" x14ac:dyDescent="0.3">
      <c r="A61" s="210" t="s">
        <v>129</v>
      </c>
      <c r="B61" s="211">
        <v>0</v>
      </c>
      <c r="C61" s="219">
        <v>2</v>
      </c>
      <c r="D61" s="212">
        <f>SUM(B61:C61)</f>
        <v>2</v>
      </c>
      <c r="E61" s="86" t="s">
        <v>255</v>
      </c>
      <c r="F61" s="109">
        <v>10</v>
      </c>
      <c r="G61" s="202">
        <v>0</v>
      </c>
      <c r="H61" s="58">
        <f>SUM(F61:G61)</f>
        <v>10</v>
      </c>
    </row>
    <row r="62" spans="1:8" ht="14.95" thickBot="1" x14ac:dyDescent="0.3">
      <c r="A62" s="210" t="s">
        <v>257</v>
      </c>
      <c r="B62" s="211">
        <v>2</v>
      </c>
      <c r="C62" s="219">
        <v>0</v>
      </c>
      <c r="D62" s="212">
        <f>SUM(B62:C62)</f>
        <v>2</v>
      </c>
      <c r="E62" s="86" t="s">
        <v>754</v>
      </c>
      <c r="F62" s="109">
        <v>10</v>
      </c>
      <c r="G62" s="202">
        <v>0</v>
      </c>
      <c r="H62" s="58">
        <f>SUM(F62:G62)</f>
        <v>10</v>
      </c>
    </row>
    <row r="63" spans="1:8" ht="14.95" thickBot="1" x14ac:dyDescent="0.3">
      <c r="A63" s="210" t="s">
        <v>733</v>
      </c>
      <c r="B63" s="211">
        <v>2</v>
      </c>
      <c r="C63" s="219">
        <v>0</v>
      </c>
      <c r="D63" s="212">
        <f>SUM(B63:C63)</f>
        <v>2</v>
      </c>
      <c r="E63" s="86" t="s">
        <v>761</v>
      </c>
      <c r="F63" s="109">
        <v>10</v>
      </c>
      <c r="G63" s="202">
        <v>0</v>
      </c>
      <c r="H63" s="58">
        <f>SUM(F63:G63)</f>
        <v>10</v>
      </c>
    </row>
    <row r="64" spans="1:8" ht="14.95" thickBot="1" x14ac:dyDescent="0.3">
      <c r="A64" s="210" t="s">
        <v>256</v>
      </c>
      <c r="B64" s="211">
        <v>1</v>
      </c>
      <c r="C64" s="219">
        <v>1</v>
      </c>
      <c r="D64" s="212">
        <f>SUM(B64:C64)</f>
        <v>2</v>
      </c>
      <c r="E64" s="86" t="s">
        <v>257</v>
      </c>
      <c r="F64" s="109">
        <v>10</v>
      </c>
      <c r="G64" s="202">
        <v>0</v>
      </c>
      <c r="H64" s="58">
        <f>SUM(F64:G64)</f>
        <v>10</v>
      </c>
    </row>
    <row r="65" spans="1:8" ht="14.95" thickBot="1" x14ac:dyDescent="0.3">
      <c r="A65" s="210" t="s">
        <v>5</v>
      </c>
      <c r="B65" s="211">
        <v>1</v>
      </c>
      <c r="C65" s="219">
        <v>1</v>
      </c>
      <c r="D65" s="212">
        <f>SUM(B65:C65)</f>
        <v>2</v>
      </c>
      <c r="E65" s="86" t="s">
        <v>577</v>
      </c>
      <c r="F65" s="109">
        <v>10</v>
      </c>
      <c r="G65" s="202">
        <v>0</v>
      </c>
      <c r="H65" s="58">
        <f>SUM(F65:G65)</f>
        <v>10</v>
      </c>
    </row>
    <row r="66" spans="1:8" ht="14.95" thickBot="1" x14ac:dyDescent="0.3">
      <c r="A66" s="210" t="s">
        <v>245</v>
      </c>
      <c r="B66" s="211">
        <v>1</v>
      </c>
      <c r="C66" s="219">
        <v>0</v>
      </c>
      <c r="D66" s="212">
        <f>SUM(B66:C66)</f>
        <v>1</v>
      </c>
      <c r="E66" s="86" t="s">
        <v>256</v>
      </c>
      <c r="F66" s="109">
        <v>5</v>
      </c>
      <c r="G66" s="202">
        <v>5</v>
      </c>
      <c r="H66" s="58">
        <f>SUM(F66:G66)</f>
        <v>10</v>
      </c>
    </row>
    <row r="67" spans="1:8" ht="14.95" thickBot="1" x14ac:dyDescent="0.3">
      <c r="A67" s="210" t="s">
        <v>120</v>
      </c>
      <c r="B67" s="211">
        <v>0</v>
      </c>
      <c r="C67" s="219">
        <v>1</v>
      </c>
      <c r="D67" s="212">
        <f>SUM(B67:C67)</f>
        <v>1</v>
      </c>
      <c r="E67" s="86" t="s">
        <v>5</v>
      </c>
      <c r="F67" s="109">
        <v>5</v>
      </c>
      <c r="G67" s="202">
        <v>5</v>
      </c>
      <c r="H67" s="58">
        <f>SUM(F67:G67)</f>
        <v>10</v>
      </c>
    </row>
    <row r="68" spans="1:8" ht="14.95" thickBot="1" x14ac:dyDescent="0.3">
      <c r="A68" s="210" t="s">
        <v>688</v>
      </c>
      <c r="B68" s="211">
        <v>0</v>
      </c>
      <c r="C68" s="219">
        <v>1</v>
      </c>
      <c r="D68" s="212">
        <f>SUM(B68:C68)</f>
        <v>1</v>
      </c>
      <c r="E68" s="86" t="s">
        <v>245</v>
      </c>
      <c r="F68" s="109">
        <v>5</v>
      </c>
      <c r="G68" s="202">
        <v>0</v>
      </c>
      <c r="H68" s="58">
        <f>SUM(F68:G68)</f>
        <v>5</v>
      </c>
    </row>
    <row r="69" spans="1:8" ht="14.95" thickBot="1" x14ac:dyDescent="0.3">
      <c r="A69" s="210" t="s">
        <v>249</v>
      </c>
      <c r="B69" s="211">
        <v>1</v>
      </c>
      <c r="C69" s="219">
        <v>0</v>
      </c>
      <c r="D69" s="212">
        <f>SUM(B69:C69)</f>
        <v>1</v>
      </c>
      <c r="E69" s="86" t="s">
        <v>120</v>
      </c>
      <c r="F69" s="109">
        <v>0</v>
      </c>
      <c r="G69" s="203">
        <v>5</v>
      </c>
      <c r="H69" s="60">
        <f>SUM(F69:G69)</f>
        <v>5</v>
      </c>
    </row>
    <row r="70" spans="1:8" ht="14.95" thickBot="1" x14ac:dyDescent="0.3">
      <c r="A70" s="210" t="s">
        <v>687</v>
      </c>
      <c r="B70" s="211">
        <v>0</v>
      </c>
      <c r="C70" s="219">
        <v>1</v>
      </c>
      <c r="D70" s="212">
        <f>SUM(B70:C70)</f>
        <v>1</v>
      </c>
      <c r="E70" s="86" t="s">
        <v>688</v>
      </c>
      <c r="F70" s="109">
        <v>0</v>
      </c>
      <c r="G70" s="203">
        <v>5</v>
      </c>
      <c r="H70" s="60">
        <f>SUM(F70:G70)</f>
        <v>5</v>
      </c>
    </row>
    <row r="71" spans="1:8" ht="14.95" thickBot="1" x14ac:dyDescent="0.3">
      <c r="A71" s="210" t="s">
        <v>557</v>
      </c>
      <c r="B71" s="211">
        <v>1</v>
      </c>
      <c r="C71" s="219">
        <v>0</v>
      </c>
      <c r="D71" s="212">
        <f>SUM(B71:C71)</f>
        <v>1</v>
      </c>
      <c r="E71" s="86" t="s">
        <v>249</v>
      </c>
      <c r="F71" s="109">
        <v>5</v>
      </c>
      <c r="G71" s="203">
        <v>0</v>
      </c>
      <c r="H71" s="60">
        <f>SUM(F71:G71)</f>
        <v>5</v>
      </c>
    </row>
    <row r="72" spans="1:8" ht="14.95" thickBot="1" x14ac:dyDescent="0.3">
      <c r="A72" s="210" t="s">
        <v>686</v>
      </c>
      <c r="B72" s="211">
        <v>0</v>
      </c>
      <c r="C72" s="219">
        <v>1</v>
      </c>
      <c r="D72" s="212">
        <f>SUM(B72:C72)</f>
        <v>1</v>
      </c>
      <c r="E72" s="86" t="s">
        <v>687</v>
      </c>
      <c r="F72" s="109">
        <v>0</v>
      </c>
      <c r="G72" s="203">
        <v>5</v>
      </c>
      <c r="H72" s="60">
        <f>SUM(F72:G72)</f>
        <v>5</v>
      </c>
    </row>
    <row r="73" spans="1:8" ht="14.95" thickBot="1" x14ac:dyDescent="0.3">
      <c r="A73" s="210" t="s">
        <v>518</v>
      </c>
      <c r="B73" s="211">
        <v>0</v>
      </c>
      <c r="C73" s="219">
        <v>0</v>
      </c>
      <c r="D73" s="212">
        <f>SUM(B73:C73)</f>
        <v>0</v>
      </c>
      <c r="E73" s="86" t="s">
        <v>557</v>
      </c>
      <c r="F73" s="109">
        <v>5</v>
      </c>
      <c r="G73" s="203">
        <v>0</v>
      </c>
      <c r="H73" s="60">
        <f>SUM(F73:G73)</f>
        <v>5</v>
      </c>
    </row>
    <row r="74" spans="1:8" ht="14.95" thickBot="1" x14ac:dyDescent="0.3">
      <c r="A74" s="210" t="s">
        <v>638</v>
      </c>
      <c r="B74" s="211">
        <v>0</v>
      </c>
      <c r="C74" s="219">
        <v>0</v>
      </c>
      <c r="D74" s="212">
        <f>SUM(B74:C74)</f>
        <v>0</v>
      </c>
      <c r="E74" s="86" t="s">
        <v>686</v>
      </c>
      <c r="F74" s="109">
        <v>0</v>
      </c>
      <c r="G74" s="203">
        <v>5</v>
      </c>
      <c r="H74" s="60">
        <f>SUM(F74:G74)</f>
        <v>5</v>
      </c>
    </row>
    <row r="75" spans="1:8" ht="14.95" thickBot="1" x14ac:dyDescent="0.3">
      <c r="A75" s="210" t="s">
        <v>579</v>
      </c>
      <c r="B75" s="211">
        <v>0</v>
      </c>
      <c r="C75" s="219">
        <v>0</v>
      </c>
      <c r="D75" s="212">
        <f>SUM(B75:C75)</f>
        <v>0</v>
      </c>
      <c r="E75" s="86" t="s">
        <v>518</v>
      </c>
      <c r="F75" s="109">
        <v>0</v>
      </c>
      <c r="G75" s="202">
        <v>0</v>
      </c>
      <c r="H75" s="58">
        <f>SUM(F75:G75)</f>
        <v>0</v>
      </c>
    </row>
    <row r="76" spans="1:8" ht="14.95" thickBot="1" x14ac:dyDescent="0.3">
      <c r="A76" s="210" t="s">
        <v>521</v>
      </c>
      <c r="B76" s="211">
        <v>0</v>
      </c>
      <c r="C76" s="219">
        <v>0</v>
      </c>
      <c r="D76" s="212">
        <f>SUM(B76:C76)</f>
        <v>0</v>
      </c>
      <c r="E76" s="86" t="s">
        <v>638</v>
      </c>
      <c r="F76" s="109">
        <v>0</v>
      </c>
      <c r="G76" s="202">
        <v>0</v>
      </c>
      <c r="H76" s="58">
        <f>SUM(F76:G76)</f>
        <v>0</v>
      </c>
    </row>
    <row r="77" spans="1:8" ht="14.95" thickBot="1" x14ac:dyDescent="0.3">
      <c r="A77" s="210" t="s">
        <v>243</v>
      </c>
      <c r="B77" s="211">
        <v>0</v>
      </c>
      <c r="C77" s="219">
        <v>0</v>
      </c>
      <c r="D77" s="212">
        <f>SUM(B77:C77)</f>
        <v>0</v>
      </c>
      <c r="E77" s="86" t="s">
        <v>579</v>
      </c>
      <c r="F77" s="109">
        <v>0</v>
      </c>
      <c r="G77" s="202">
        <v>0</v>
      </c>
      <c r="H77" s="58">
        <f>SUM(F77:G77)</f>
        <v>0</v>
      </c>
    </row>
    <row r="78" spans="1:8" ht="14.95" thickBot="1" x14ac:dyDescent="0.3">
      <c r="A78" s="210" t="s">
        <v>136</v>
      </c>
      <c r="B78" s="211">
        <v>0</v>
      </c>
      <c r="C78" s="219">
        <v>0</v>
      </c>
      <c r="D78" s="212">
        <f>SUM(B78:C78)</f>
        <v>0</v>
      </c>
      <c r="E78" s="86" t="s">
        <v>521</v>
      </c>
      <c r="F78" s="109">
        <v>0</v>
      </c>
      <c r="G78" s="202">
        <v>0</v>
      </c>
      <c r="H78" s="58">
        <f>SUM(F78:G78)</f>
        <v>0</v>
      </c>
    </row>
    <row r="79" spans="1:8" ht="14.95" thickBot="1" x14ac:dyDescent="0.3">
      <c r="A79" s="210" t="s">
        <v>4</v>
      </c>
      <c r="B79" s="211">
        <v>0</v>
      </c>
      <c r="C79" s="219">
        <v>0</v>
      </c>
      <c r="D79" s="212">
        <f>SUM(B79:C79)</f>
        <v>0</v>
      </c>
      <c r="E79" s="86" t="s">
        <v>243</v>
      </c>
      <c r="F79" s="109">
        <v>0</v>
      </c>
      <c r="G79" s="202">
        <v>0</v>
      </c>
      <c r="H79" s="58">
        <f>SUM(F79:G79)</f>
        <v>0</v>
      </c>
    </row>
    <row r="80" spans="1:8" ht="14.95" thickBot="1" x14ac:dyDescent="0.3">
      <c r="A80" s="210" t="s">
        <v>189</v>
      </c>
      <c r="B80" s="211">
        <v>0</v>
      </c>
      <c r="C80" s="219">
        <v>0</v>
      </c>
      <c r="D80" s="212">
        <f>SUM(B80:C80)</f>
        <v>0</v>
      </c>
      <c r="E80" s="86" t="s">
        <v>4</v>
      </c>
      <c r="F80" s="109">
        <v>0</v>
      </c>
      <c r="G80" s="202">
        <v>0</v>
      </c>
      <c r="H80" s="58">
        <f>SUM(F80:G80)</f>
        <v>0</v>
      </c>
    </row>
    <row r="81" spans="1:8" ht="14.95" thickBot="1" x14ac:dyDescent="0.3">
      <c r="A81" s="210" t="s">
        <v>556</v>
      </c>
      <c r="B81" s="211">
        <v>0</v>
      </c>
      <c r="C81" s="219">
        <v>0</v>
      </c>
      <c r="D81" s="212">
        <f>SUM(B81:C81)</f>
        <v>0</v>
      </c>
      <c r="E81" s="86" t="s">
        <v>556</v>
      </c>
      <c r="F81" s="109">
        <v>0</v>
      </c>
      <c r="G81" s="202">
        <v>0</v>
      </c>
      <c r="H81" s="58">
        <f>SUM(F81:G81)</f>
        <v>0</v>
      </c>
    </row>
    <row r="82" spans="1:8" ht="14.95" thickBot="1" x14ac:dyDescent="0.3">
      <c r="A82" s="210" t="s">
        <v>522</v>
      </c>
      <c r="B82" s="211">
        <v>0</v>
      </c>
      <c r="C82" s="219">
        <v>0</v>
      </c>
      <c r="D82" s="212">
        <f>SUM(B82:C82)</f>
        <v>0</v>
      </c>
      <c r="E82" s="86" t="s">
        <v>522</v>
      </c>
      <c r="F82" s="109">
        <v>0</v>
      </c>
      <c r="G82" s="202">
        <v>0</v>
      </c>
      <c r="H82" s="58">
        <f>SUM(F82:G82)</f>
        <v>0</v>
      </c>
    </row>
    <row r="83" spans="1:8" ht="16.3" customHeight="1" thickBot="1" x14ac:dyDescent="0.3">
      <c r="A83" s="210" t="s">
        <v>523</v>
      </c>
      <c r="B83" s="211">
        <v>0</v>
      </c>
      <c r="C83" s="219">
        <v>0</v>
      </c>
      <c r="D83" s="212">
        <f>SUM(B83:C83)</f>
        <v>0</v>
      </c>
      <c r="E83" s="86" t="s">
        <v>523</v>
      </c>
      <c r="F83" s="109">
        <v>0</v>
      </c>
      <c r="G83" s="202">
        <v>0</v>
      </c>
      <c r="H83" s="58">
        <f>SUM(F83:G83)</f>
        <v>0</v>
      </c>
    </row>
    <row r="84" spans="1:8" ht="14.95" thickBot="1" x14ac:dyDescent="0.3">
      <c r="A84" s="210" t="s">
        <v>146</v>
      </c>
      <c r="B84" s="211">
        <v>0</v>
      </c>
      <c r="C84" s="219">
        <v>0</v>
      </c>
      <c r="D84" s="212">
        <f>SUM(B84:C84)</f>
        <v>0</v>
      </c>
      <c r="E84" s="86" t="s">
        <v>146</v>
      </c>
      <c r="F84" s="109">
        <v>0</v>
      </c>
      <c r="G84" s="202">
        <v>0</v>
      </c>
      <c r="H84" s="58">
        <f>SUM(F84:G84)</f>
        <v>0</v>
      </c>
    </row>
    <row r="85" spans="1:8" ht="16.3" customHeight="1" thickBot="1" x14ac:dyDescent="0.3">
      <c r="A85" s="210" t="s">
        <v>3</v>
      </c>
      <c r="B85" s="211">
        <f>SUM(B46:B84)</f>
        <v>63</v>
      </c>
      <c r="C85" s="219">
        <f>SUM(C46:C84)</f>
        <v>21</v>
      </c>
      <c r="D85" s="212">
        <f t="shared" ref="D47:D85" si="9">SUM(B85:C85)</f>
        <v>84</v>
      </c>
      <c r="E85" s="86" t="s">
        <v>3</v>
      </c>
      <c r="F85" s="109">
        <f>SUM(F46:F84)</f>
        <v>407</v>
      </c>
      <c r="G85" s="202">
        <f>SUM(G46:G84)</f>
        <v>140</v>
      </c>
      <c r="H85" s="58">
        <f t="shared" ref="H68:H85" si="10">SUM(F85:G85)</f>
        <v>547</v>
      </c>
    </row>
    <row r="86" spans="1:8" ht="16.3" x14ac:dyDescent="0.3">
      <c r="A86" s="245" t="s">
        <v>17</v>
      </c>
      <c r="B86" s="246"/>
      <c r="C86" s="246"/>
      <c r="D86" s="246"/>
      <c r="E86" s="246"/>
      <c r="F86" s="246"/>
      <c r="G86" s="246"/>
      <c r="H86" s="246"/>
    </row>
  </sheetData>
  <sortState xmlns:xlrd2="http://schemas.microsoft.com/office/spreadsheetml/2017/richdata2" ref="E46:H84">
    <sortCondition descending="1" ref="H46:H84"/>
  </sortState>
  <mergeCells count="15">
    <mergeCell ref="A86:H86"/>
    <mergeCell ref="A43:F43"/>
    <mergeCell ref="A1:H1"/>
    <mergeCell ref="I1:I2"/>
    <mergeCell ref="J1:L2"/>
    <mergeCell ref="I10:I11"/>
    <mergeCell ref="J10:L11"/>
    <mergeCell ref="I15:I16"/>
    <mergeCell ref="J15:L16"/>
    <mergeCell ref="Z1:AB2"/>
    <mergeCell ref="M10:O11"/>
    <mergeCell ref="M1:O2"/>
    <mergeCell ref="P1:Q2"/>
    <mergeCell ref="U1:W2"/>
    <mergeCell ref="R1:T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5C7C2-4005-444F-B382-6EF41C7FD372}">
  <dimension ref="A1:AB116"/>
  <sheetViews>
    <sheetView zoomScaleNormal="100" workbookViewId="0">
      <selection activeCell="S18" sqref="S18"/>
    </sheetView>
  </sheetViews>
  <sheetFormatPr defaultRowHeight="14.3" x14ac:dyDescent="0.25"/>
  <cols>
    <col min="1" max="1" width="16.375" customWidth="1"/>
    <col min="2" max="2" width="5" bestFit="1" customWidth="1"/>
    <col min="3" max="3" width="5" customWidth="1"/>
    <col min="4" max="4" width="3.75" customWidth="1"/>
    <col min="5" max="5" width="16.375" customWidth="1"/>
    <col min="6" max="6" width="5" bestFit="1" customWidth="1"/>
    <col min="7" max="7" width="5" customWidth="1"/>
    <col min="8" max="8" width="3.75" customWidth="1"/>
    <col min="9" max="9" width="16.375" customWidth="1"/>
    <col min="10" max="23" width="5.625" customWidth="1"/>
    <col min="26" max="28" width="5.625" customWidth="1"/>
  </cols>
  <sheetData>
    <row r="1" spans="1:28" ht="14.95" customHeight="1" thickBot="1" x14ac:dyDescent="0.3">
      <c r="A1" s="282" t="s">
        <v>656</v>
      </c>
      <c r="B1" s="283"/>
      <c r="C1" s="283"/>
      <c r="D1" s="283"/>
      <c r="E1" s="283"/>
      <c r="F1" s="283"/>
      <c r="G1" s="283"/>
      <c r="H1" s="284"/>
      <c r="I1" s="264" t="s">
        <v>161</v>
      </c>
      <c r="J1" s="260" t="s">
        <v>12</v>
      </c>
      <c r="K1" s="266"/>
      <c r="L1" s="261"/>
      <c r="M1" s="260" t="s">
        <v>19</v>
      </c>
      <c r="N1" s="266"/>
      <c r="O1" s="261"/>
      <c r="P1" s="260" t="s">
        <v>31</v>
      </c>
      <c r="Q1" s="261"/>
      <c r="R1" s="247" t="s">
        <v>162</v>
      </c>
      <c r="S1" s="248"/>
      <c r="T1" s="249"/>
      <c r="U1" s="247" t="s">
        <v>435</v>
      </c>
      <c r="V1" s="248"/>
      <c r="W1" s="249"/>
      <c r="Z1" s="247" t="s">
        <v>435</v>
      </c>
      <c r="AA1" s="248"/>
      <c r="AB1" s="249"/>
    </row>
    <row r="2" spans="1:28" ht="14.95" customHeight="1" thickBot="1" x14ac:dyDescent="0.3">
      <c r="A2" s="103" t="s">
        <v>0</v>
      </c>
      <c r="B2" s="143" t="s">
        <v>161</v>
      </c>
      <c r="C2" s="220" t="s">
        <v>167</v>
      </c>
      <c r="D2" s="104" t="s">
        <v>1</v>
      </c>
      <c r="E2" s="145" t="s">
        <v>2</v>
      </c>
      <c r="F2" s="138" t="s">
        <v>161</v>
      </c>
      <c r="G2" s="153" t="s">
        <v>167</v>
      </c>
      <c r="H2" s="146" t="s">
        <v>1</v>
      </c>
      <c r="I2" s="265"/>
      <c r="J2" s="262"/>
      <c r="K2" s="267"/>
      <c r="L2" s="263"/>
      <c r="M2" s="262"/>
      <c r="N2" s="267"/>
      <c r="O2" s="263"/>
      <c r="P2" s="262"/>
      <c r="Q2" s="263"/>
      <c r="R2" s="250"/>
      <c r="S2" s="251"/>
      <c r="T2" s="252"/>
      <c r="U2" s="250"/>
      <c r="V2" s="251"/>
      <c r="W2" s="252"/>
      <c r="Z2" s="250"/>
      <c r="AA2" s="251"/>
      <c r="AB2" s="252"/>
    </row>
    <row r="3" spans="1:28" ht="14.95" customHeight="1" thickBot="1" x14ac:dyDescent="0.3">
      <c r="A3" s="100" t="s">
        <v>699</v>
      </c>
      <c r="B3" s="144">
        <v>0</v>
      </c>
      <c r="C3" s="221">
        <v>0</v>
      </c>
      <c r="D3" s="101">
        <f>SUM(B3:C3)</f>
        <v>0</v>
      </c>
      <c r="E3" s="147" t="s">
        <v>699</v>
      </c>
      <c r="F3" s="139">
        <v>26</v>
      </c>
      <c r="G3" s="154">
        <v>0</v>
      </c>
      <c r="H3" s="148">
        <f>SUM(F3:G3)</f>
        <v>26</v>
      </c>
      <c r="I3" s="105" t="s">
        <v>14</v>
      </c>
      <c r="J3" s="2" t="s">
        <v>21</v>
      </c>
      <c r="K3" s="2" t="s">
        <v>7</v>
      </c>
      <c r="L3" s="2" t="s">
        <v>8</v>
      </c>
      <c r="M3" s="2" t="s">
        <v>21</v>
      </c>
      <c r="N3" s="2" t="s">
        <v>7</v>
      </c>
      <c r="O3" s="2" t="s">
        <v>8</v>
      </c>
      <c r="P3" s="2" t="s">
        <v>161</v>
      </c>
      <c r="Q3" s="2" t="s">
        <v>22</v>
      </c>
      <c r="R3" s="110" t="s">
        <v>21</v>
      </c>
      <c r="S3" s="110" t="s">
        <v>7</v>
      </c>
      <c r="T3" s="110" t="s">
        <v>8</v>
      </c>
      <c r="U3" s="110" t="s">
        <v>21</v>
      </c>
      <c r="V3" s="110" t="s">
        <v>7</v>
      </c>
      <c r="W3" s="110" t="s">
        <v>8</v>
      </c>
      <c r="Z3" s="194" t="s">
        <v>21</v>
      </c>
      <c r="AA3" s="110" t="s">
        <v>7</v>
      </c>
      <c r="AB3" s="110" t="s">
        <v>8</v>
      </c>
    </row>
    <row r="4" spans="1:28" ht="14.95" customHeight="1" thickBot="1" x14ac:dyDescent="0.3">
      <c r="A4" s="100" t="s">
        <v>147</v>
      </c>
      <c r="B4" s="144">
        <v>0</v>
      </c>
      <c r="C4" s="221">
        <v>0</v>
      </c>
      <c r="D4" s="101">
        <f>SUM(B4:C4)</f>
        <v>0</v>
      </c>
      <c r="E4" s="147" t="s">
        <v>147</v>
      </c>
      <c r="F4" s="139">
        <v>0</v>
      </c>
      <c r="G4" s="154">
        <v>0</v>
      </c>
      <c r="H4" s="148">
        <f>SUM(F4:G4)</f>
        <v>0</v>
      </c>
      <c r="I4" s="100" t="s">
        <v>699</v>
      </c>
      <c r="J4" s="101">
        <v>13</v>
      </c>
      <c r="K4" s="101">
        <v>28</v>
      </c>
      <c r="L4" s="102">
        <f t="shared" ref="L4" si="0">SUM(J4/K4)*100</f>
        <v>46.428571428571431</v>
      </c>
      <c r="M4" s="101" t="s">
        <v>13</v>
      </c>
      <c r="N4" s="101" t="s">
        <v>13</v>
      </c>
      <c r="O4" s="102" t="s">
        <v>13</v>
      </c>
      <c r="P4" s="101">
        <v>2</v>
      </c>
      <c r="Q4" s="101">
        <v>2</v>
      </c>
      <c r="R4" s="110">
        <v>12</v>
      </c>
      <c r="S4" s="110">
        <v>24</v>
      </c>
      <c r="T4" s="140">
        <v>50</v>
      </c>
      <c r="U4" s="110">
        <v>9</v>
      </c>
      <c r="V4" s="110">
        <v>21</v>
      </c>
      <c r="W4" s="140">
        <v>42.857142857142854</v>
      </c>
      <c r="Z4" s="194">
        <v>24</v>
      </c>
      <c r="AA4" s="110">
        <v>38</v>
      </c>
      <c r="AB4" s="140">
        <v>63.157894736842103</v>
      </c>
    </row>
    <row r="5" spans="1:28" ht="14.95" customHeight="1" thickBot="1" x14ac:dyDescent="0.3">
      <c r="A5" s="100" t="s">
        <v>140</v>
      </c>
      <c r="B5" s="144">
        <v>0</v>
      </c>
      <c r="C5" s="221">
        <v>0</v>
      </c>
      <c r="D5" s="101">
        <f t="shared" ref="D5:D57" si="1">SUM(B5:C5)</f>
        <v>0</v>
      </c>
      <c r="E5" s="147" t="s">
        <v>140</v>
      </c>
      <c r="F5" s="139">
        <v>0</v>
      </c>
      <c r="G5" s="154">
        <v>0</v>
      </c>
      <c r="H5" s="148">
        <f t="shared" ref="H5:H57" si="2">SUM(F5:G5)</f>
        <v>0</v>
      </c>
      <c r="I5" s="100" t="s">
        <v>138</v>
      </c>
      <c r="J5" s="101">
        <v>21</v>
      </c>
      <c r="K5" s="101">
        <v>33</v>
      </c>
      <c r="L5" s="102">
        <f t="shared" ref="L5:L6" si="3">SUM(J5/K5)*100</f>
        <v>63.636363636363633</v>
      </c>
      <c r="M5" s="101" t="s">
        <v>13</v>
      </c>
      <c r="N5" s="101" t="s">
        <v>13</v>
      </c>
      <c r="O5" s="102" t="s">
        <v>13</v>
      </c>
      <c r="P5" s="101">
        <v>-1</v>
      </c>
      <c r="Q5" s="101">
        <v>-1</v>
      </c>
      <c r="R5" s="110">
        <v>8</v>
      </c>
      <c r="S5" s="110">
        <v>15</v>
      </c>
      <c r="T5" s="140">
        <v>53.333333333333336</v>
      </c>
      <c r="U5" s="110" t="s">
        <v>13</v>
      </c>
      <c r="V5" s="110" t="s">
        <v>13</v>
      </c>
      <c r="W5" s="140" t="s">
        <v>13</v>
      </c>
      <c r="Z5" s="194">
        <v>26</v>
      </c>
      <c r="AA5" s="110">
        <v>42</v>
      </c>
      <c r="AB5" s="140">
        <f>SUM(Z5/AA5)*100</f>
        <v>61.904761904761905</v>
      </c>
    </row>
    <row r="6" spans="1:28" ht="14.95" customHeight="1" thickBot="1" x14ac:dyDescent="0.3">
      <c r="A6" s="100" t="s">
        <v>156</v>
      </c>
      <c r="B6" s="144">
        <v>0</v>
      </c>
      <c r="C6" s="221">
        <v>0</v>
      </c>
      <c r="D6" s="101">
        <f t="shared" si="1"/>
        <v>0</v>
      </c>
      <c r="E6" s="147" t="s">
        <v>156</v>
      </c>
      <c r="F6" s="139">
        <v>0</v>
      </c>
      <c r="G6" s="154">
        <v>0</v>
      </c>
      <c r="H6" s="148">
        <f t="shared" si="2"/>
        <v>0</v>
      </c>
      <c r="I6" s="100" t="s">
        <v>536</v>
      </c>
      <c r="J6" s="101">
        <v>2</v>
      </c>
      <c r="K6" s="101">
        <v>3</v>
      </c>
      <c r="L6" s="102">
        <f t="shared" si="3"/>
        <v>66.666666666666657</v>
      </c>
      <c r="M6" s="101" t="s">
        <v>13</v>
      </c>
      <c r="N6" s="101" t="s">
        <v>13</v>
      </c>
      <c r="O6" s="102" t="s">
        <v>13</v>
      </c>
      <c r="P6" s="101">
        <v>-1</v>
      </c>
      <c r="Q6" s="101">
        <v>-1</v>
      </c>
      <c r="R6" s="110">
        <v>4</v>
      </c>
      <c r="S6" s="110">
        <v>4</v>
      </c>
      <c r="T6" s="140">
        <v>100</v>
      </c>
      <c r="U6" s="110">
        <v>14</v>
      </c>
      <c r="V6" s="110">
        <v>26</v>
      </c>
      <c r="W6" s="140">
        <f t="shared" ref="W6:W7" si="4">SUM(U6/V6)*100</f>
        <v>53.846153846153847</v>
      </c>
      <c r="Z6" s="194">
        <v>9</v>
      </c>
      <c r="AA6" s="110">
        <v>12</v>
      </c>
      <c r="AB6" s="140">
        <f>SUM(Z6/AA6)*100</f>
        <v>75</v>
      </c>
    </row>
    <row r="7" spans="1:28" ht="14.95" customHeight="1" thickBot="1" x14ac:dyDescent="0.3">
      <c r="A7" s="100" t="s">
        <v>143</v>
      </c>
      <c r="B7" s="144">
        <v>0</v>
      </c>
      <c r="C7" s="221">
        <v>0</v>
      </c>
      <c r="D7" s="101">
        <f t="shared" si="1"/>
        <v>0</v>
      </c>
      <c r="E7" s="147" t="s">
        <v>143</v>
      </c>
      <c r="F7" s="139">
        <v>0</v>
      </c>
      <c r="G7" s="154">
        <v>0</v>
      </c>
      <c r="H7" s="148">
        <f t="shared" si="2"/>
        <v>0</v>
      </c>
      <c r="I7" s="100" t="s">
        <v>183</v>
      </c>
      <c r="J7" s="101" t="s">
        <v>13</v>
      </c>
      <c r="K7" s="101" t="s">
        <v>13</v>
      </c>
      <c r="L7" s="102" t="s">
        <v>13</v>
      </c>
      <c r="M7" s="101" t="s">
        <v>13</v>
      </c>
      <c r="N7" s="101" t="s">
        <v>13</v>
      </c>
      <c r="O7" s="102" t="s">
        <v>13</v>
      </c>
      <c r="P7" s="101">
        <v>-1</v>
      </c>
      <c r="Q7" s="101">
        <v>-1</v>
      </c>
      <c r="R7" s="110" t="s">
        <v>13</v>
      </c>
      <c r="S7" s="110" t="s">
        <v>13</v>
      </c>
      <c r="T7" s="140" t="s">
        <v>13</v>
      </c>
      <c r="U7" s="110">
        <v>1</v>
      </c>
      <c r="V7" s="110">
        <v>2</v>
      </c>
      <c r="W7" s="140">
        <f t="shared" si="4"/>
        <v>50</v>
      </c>
      <c r="Z7" s="194" t="s">
        <v>13</v>
      </c>
      <c r="AA7" s="110" t="s">
        <v>13</v>
      </c>
      <c r="AB7" s="140" t="s">
        <v>13</v>
      </c>
    </row>
    <row r="8" spans="1:28" ht="14.95" customHeight="1" thickBot="1" x14ac:dyDescent="0.3">
      <c r="A8" s="100" t="s">
        <v>690</v>
      </c>
      <c r="B8" s="144">
        <v>0</v>
      </c>
      <c r="C8" s="221">
        <v>1</v>
      </c>
      <c r="D8" s="101">
        <f t="shared" si="1"/>
        <v>1</v>
      </c>
      <c r="E8" s="147" t="s">
        <v>690</v>
      </c>
      <c r="F8" s="139">
        <v>0</v>
      </c>
      <c r="G8" s="154">
        <v>5</v>
      </c>
      <c r="H8" s="148">
        <f t="shared" si="2"/>
        <v>5</v>
      </c>
      <c r="I8" s="49"/>
    </row>
    <row r="9" spans="1:28" ht="14.95" customHeight="1" thickBot="1" x14ac:dyDescent="0.3">
      <c r="A9" s="100" t="s">
        <v>252</v>
      </c>
      <c r="B9" s="144">
        <v>0</v>
      </c>
      <c r="C9" s="221">
        <v>0</v>
      </c>
      <c r="D9" s="101">
        <f t="shared" si="1"/>
        <v>0</v>
      </c>
      <c r="E9" s="147" t="s">
        <v>252</v>
      </c>
      <c r="F9" s="139">
        <v>0</v>
      </c>
      <c r="G9" s="154">
        <v>0</v>
      </c>
      <c r="H9" s="148">
        <f t="shared" si="2"/>
        <v>0</v>
      </c>
      <c r="I9" s="253" t="s">
        <v>167</v>
      </c>
      <c r="J9" s="260" t="s">
        <v>12</v>
      </c>
      <c r="K9" s="266"/>
      <c r="L9" s="261"/>
      <c r="M9" s="247" t="s">
        <v>661</v>
      </c>
      <c r="N9" s="248"/>
      <c r="O9" s="249"/>
    </row>
    <row r="10" spans="1:28" ht="14.95" customHeight="1" thickBot="1" x14ac:dyDescent="0.3">
      <c r="A10" s="100" t="s">
        <v>125</v>
      </c>
      <c r="B10" s="144">
        <v>8</v>
      </c>
      <c r="C10" s="221">
        <v>1</v>
      </c>
      <c r="D10" s="101">
        <f t="shared" si="1"/>
        <v>9</v>
      </c>
      <c r="E10" s="147" t="s">
        <v>125</v>
      </c>
      <c r="F10" s="139">
        <v>40</v>
      </c>
      <c r="G10" s="154">
        <v>5</v>
      </c>
      <c r="H10" s="148">
        <f t="shared" si="2"/>
        <v>45</v>
      </c>
      <c r="I10" s="254"/>
      <c r="J10" s="262"/>
      <c r="K10" s="267"/>
      <c r="L10" s="263"/>
      <c r="M10" s="250"/>
      <c r="N10" s="251"/>
      <c r="O10" s="252"/>
    </row>
    <row r="11" spans="1:28" ht="14.95" customHeight="1" thickBot="1" x14ac:dyDescent="0.3">
      <c r="A11" s="100" t="s">
        <v>530</v>
      </c>
      <c r="B11" s="144">
        <v>2</v>
      </c>
      <c r="C11" s="221">
        <v>0</v>
      </c>
      <c r="D11" s="101">
        <f t="shared" si="1"/>
        <v>2</v>
      </c>
      <c r="E11" s="147" t="s">
        <v>530</v>
      </c>
      <c r="F11" s="139">
        <v>10</v>
      </c>
      <c r="G11" s="154">
        <v>0</v>
      </c>
      <c r="H11" s="148">
        <f t="shared" si="2"/>
        <v>10</v>
      </c>
      <c r="I11" s="149" t="s">
        <v>14</v>
      </c>
      <c r="J11" s="2" t="s">
        <v>21</v>
      </c>
      <c r="K11" s="2" t="s">
        <v>7</v>
      </c>
      <c r="L11" s="2" t="s">
        <v>8</v>
      </c>
      <c r="M11" s="110" t="s">
        <v>21</v>
      </c>
      <c r="N11" s="110" t="s">
        <v>7</v>
      </c>
      <c r="O11" s="110" t="s">
        <v>8</v>
      </c>
    </row>
    <row r="12" spans="1:28" ht="14.95" customHeight="1" thickBot="1" x14ac:dyDescent="0.3">
      <c r="A12" s="100" t="s">
        <v>233</v>
      </c>
      <c r="B12" s="144">
        <v>4</v>
      </c>
      <c r="C12" s="221">
        <v>0</v>
      </c>
      <c r="D12" s="101">
        <f t="shared" si="1"/>
        <v>4</v>
      </c>
      <c r="E12" s="147" t="s">
        <v>233</v>
      </c>
      <c r="F12" s="139">
        <v>20</v>
      </c>
      <c r="G12" s="154">
        <v>0</v>
      </c>
      <c r="H12" s="148">
        <f t="shared" si="2"/>
        <v>20</v>
      </c>
      <c r="I12" s="100" t="s">
        <v>138</v>
      </c>
      <c r="J12" s="101">
        <v>9</v>
      </c>
      <c r="K12" s="101">
        <v>19</v>
      </c>
      <c r="L12" s="102">
        <f t="shared" ref="L12" si="5">SUM(J12/K12)*100</f>
        <v>47.368421052631575</v>
      </c>
      <c r="M12" s="110">
        <v>1</v>
      </c>
      <c r="N12" s="110">
        <v>4</v>
      </c>
      <c r="O12" s="110">
        <f t="shared" ref="O12:O13" si="6">SUM(M12/N12)*100</f>
        <v>25</v>
      </c>
    </row>
    <row r="13" spans="1:28" ht="14.95" customHeight="1" thickBot="1" x14ac:dyDescent="0.3">
      <c r="A13" s="100" t="s">
        <v>512</v>
      </c>
      <c r="B13" s="144">
        <v>6</v>
      </c>
      <c r="C13" s="221">
        <v>0</v>
      </c>
      <c r="D13" s="101">
        <f t="shared" si="1"/>
        <v>6</v>
      </c>
      <c r="E13" s="147" t="s">
        <v>512</v>
      </c>
      <c r="F13" s="139">
        <v>30</v>
      </c>
      <c r="G13" s="154">
        <v>0</v>
      </c>
      <c r="H13" s="148">
        <f t="shared" si="2"/>
        <v>30</v>
      </c>
      <c r="I13" s="100" t="s">
        <v>536</v>
      </c>
      <c r="J13" s="101" t="s">
        <v>13</v>
      </c>
      <c r="K13" s="101" t="s">
        <v>13</v>
      </c>
      <c r="L13" s="102" t="s">
        <v>13</v>
      </c>
      <c r="M13" s="110">
        <v>1</v>
      </c>
      <c r="N13" s="110">
        <v>3</v>
      </c>
      <c r="O13" s="140">
        <f t="shared" si="6"/>
        <v>33.333333333333329</v>
      </c>
    </row>
    <row r="14" spans="1:28" ht="14.95" customHeight="1" thickBot="1" x14ac:dyDescent="0.3">
      <c r="A14" s="100" t="s">
        <v>534</v>
      </c>
      <c r="B14" s="144">
        <v>1</v>
      </c>
      <c r="C14" s="221">
        <v>2</v>
      </c>
      <c r="D14" s="101">
        <f t="shared" si="1"/>
        <v>3</v>
      </c>
      <c r="E14" s="147" t="s">
        <v>534</v>
      </c>
      <c r="F14" s="139">
        <v>5</v>
      </c>
      <c r="G14" s="154">
        <v>10</v>
      </c>
      <c r="H14" s="148">
        <f t="shared" si="2"/>
        <v>15</v>
      </c>
    </row>
    <row r="15" spans="1:28" ht="14.95" customHeight="1" thickBot="1" x14ac:dyDescent="0.3">
      <c r="A15" s="100" t="s">
        <v>142</v>
      </c>
      <c r="B15" s="144">
        <v>0</v>
      </c>
      <c r="C15" s="221">
        <v>0</v>
      </c>
      <c r="D15" s="101">
        <f t="shared" si="1"/>
        <v>0</v>
      </c>
      <c r="E15" s="147" t="s">
        <v>142</v>
      </c>
      <c r="F15" s="139">
        <v>0</v>
      </c>
      <c r="G15" s="154">
        <v>0</v>
      </c>
      <c r="H15" s="148">
        <f t="shared" si="2"/>
        <v>0</v>
      </c>
      <c r="I15" s="268" t="s">
        <v>436</v>
      </c>
      <c r="J15" s="247" t="s">
        <v>162</v>
      </c>
      <c r="K15" s="248"/>
      <c r="L15" s="249"/>
    </row>
    <row r="16" spans="1:28" ht="14.95" customHeight="1" thickBot="1" x14ac:dyDescent="0.3">
      <c r="A16" s="100" t="s">
        <v>138</v>
      </c>
      <c r="B16" s="144">
        <v>1</v>
      </c>
      <c r="C16" s="221">
        <v>0</v>
      </c>
      <c r="D16" s="101">
        <f t="shared" si="1"/>
        <v>1</v>
      </c>
      <c r="E16" s="147" t="s">
        <v>138</v>
      </c>
      <c r="F16" s="139">
        <v>52</v>
      </c>
      <c r="G16" s="154">
        <v>18</v>
      </c>
      <c r="H16" s="148">
        <f t="shared" si="2"/>
        <v>70</v>
      </c>
      <c r="I16" s="269"/>
      <c r="J16" s="250"/>
      <c r="K16" s="251"/>
      <c r="L16" s="252"/>
    </row>
    <row r="17" spans="1:12" ht="14.95" customHeight="1" thickBot="1" x14ac:dyDescent="0.3">
      <c r="A17" s="100" t="s">
        <v>144</v>
      </c>
      <c r="B17" s="144">
        <v>1</v>
      </c>
      <c r="C17" s="221">
        <v>4</v>
      </c>
      <c r="D17" s="101">
        <f t="shared" si="1"/>
        <v>5</v>
      </c>
      <c r="E17" s="147" t="s">
        <v>144</v>
      </c>
      <c r="F17" s="139">
        <v>5</v>
      </c>
      <c r="G17" s="154">
        <v>20</v>
      </c>
      <c r="H17" s="148">
        <f t="shared" si="2"/>
        <v>25</v>
      </c>
      <c r="I17" s="172" t="s">
        <v>14</v>
      </c>
      <c r="J17" s="110" t="s">
        <v>21</v>
      </c>
      <c r="K17" s="110" t="s">
        <v>7</v>
      </c>
      <c r="L17" s="110" t="s">
        <v>8</v>
      </c>
    </row>
    <row r="18" spans="1:12" ht="14.95" customHeight="1" thickBot="1" x14ac:dyDescent="0.3">
      <c r="A18" s="100" t="s">
        <v>244</v>
      </c>
      <c r="B18" s="144">
        <v>2</v>
      </c>
      <c r="C18" s="221">
        <v>0</v>
      </c>
      <c r="D18" s="101">
        <f t="shared" si="1"/>
        <v>2</v>
      </c>
      <c r="E18" s="147" t="s">
        <v>244</v>
      </c>
      <c r="F18" s="139">
        <v>10</v>
      </c>
      <c r="G18" s="154">
        <v>0</v>
      </c>
      <c r="H18" s="148">
        <f t="shared" si="2"/>
        <v>10</v>
      </c>
      <c r="I18" s="100" t="s">
        <v>138</v>
      </c>
      <c r="J18" s="110">
        <v>5</v>
      </c>
      <c r="K18" s="110">
        <v>11</v>
      </c>
      <c r="L18" s="140">
        <f t="shared" ref="L18" si="7">SUM(J18/K18)*100</f>
        <v>45.454545454545453</v>
      </c>
    </row>
    <row r="19" spans="1:12" ht="14.95" customHeight="1" thickBot="1" x14ac:dyDescent="0.3">
      <c r="A19" s="100" t="s">
        <v>275</v>
      </c>
      <c r="B19" s="144">
        <v>0</v>
      </c>
      <c r="C19" s="221">
        <v>0</v>
      </c>
      <c r="D19" s="101">
        <f t="shared" si="1"/>
        <v>0</v>
      </c>
      <c r="E19" s="147" t="s">
        <v>275</v>
      </c>
      <c r="F19" s="139">
        <v>0</v>
      </c>
      <c r="G19" s="154">
        <v>0</v>
      </c>
      <c r="H19" s="148">
        <f t="shared" si="2"/>
        <v>0</v>
      </c>
    </row>
    <row r="20" spans="1:12" ht="14.95" customHeight="1" thickBot="1" x14ac:dyDescent="0.3">
      <c r="A20" s="100" t="s">
        <v>766</v>
      </c>
      <c r="B20" s="144">
        <v>1</v>
      </c>
      <c r="C20" s="221">
        <v>0</v>
      </c>
      <c r="D20" s="101">
        <f t="shared" si="1"/>
        <v>1</v>
      </c>
      <c r="E20" s="147" t="s">
        <v>766</v>
      </c>
      <c r="F20" s="139">
        <v>5</v>
      </c>
      <c r="G20" s="154">
        <v>0</v>
      </c>
      <c r="H20" s="148">
        <f t="shared" si="2"/>
        <v>5</v>
      </c>
    </row>
    <row r="21" spans="1:12" ht="14.95" customHeight="1" thickBot="1" x14ac:dyDescent="0.3">
      <c r="A21" s="100" t="s">
        <v>769</v>
      </c>
      <c r="B21" s="144">
        <v>2</v>
      </c>
      <c r="C21" s="221">
        <v>0</v>
      </c>
      <c r="D21" s="101">
        <f t="shared" si="1"/>
        <v>2</v>
      </c>
      <c r="E21" s="147" t="s">
        <v>769</v>
      </c>
      <c r="F21" s="139">
        <v>10</v>
      </c>
      <c r="G21" s="154">
        <v>0</v>
      </c>
      <c r="H21" s="148">
        <f t="shared" si="2"/>
        <v>10</v>
      </c>
    </row>
    <row r="22" spans="1:12" ht="14.95" customHeight="1" thickBot="1" x14ac:dyDescent="0.3">
      <c r="A22" s="100" t="s">
        <v>647</v>
      </c>
      <c r="B22" s="144">
        <v>0</v>
      </c>
      <c r="C22" s="221">
        <v>0</v>
      </c>
      <c r="D22" s="101">
        <f t="shared" si="1"/>
        <v>0</v>
      </c>
      <c r="E22" s="147" t="s">
        <v>647</v>
      </c>
      <c r="F22" s="139">
        <v>0</v>
      </c>
      <c r="G22" s="154">
        <v>0</v>
      </c>
      <c r="H22" s="148">
        <f t="shared" si="2"/>
        <v>0</v>
      </c>
    </row>
    <row r="23" spans="1:12" ht="14.95" customHeight="1" thickBot="1" x14ac:dyDescent="0.3">
      <c r="A23" s="100" t="s">
        <v>691</v>
      </c>
      <c r="B23" s="144">
        <v>1</v>
      </c>
      <c r="C23" s="221">
        <v>2</v>
      </c>
      <c r="D23" s="101">
        <f t="shared" si="1"/>
        <v>3</v>
      </c>
      <c r="E23" s="147" t="s">
        <v>691</v>
      </c>
      <c r="F23" s="139">
        <v>5</v>
      </c>
      <c r="G23" s="154">
        <v>10</v>
      </c>
      <c r="H23" s="148">
        <f t="shared" si="2"/>
        <v>15</v>
      </c>
    </row>
    <row r="24" spans="1:12" ht="14.95" customHeight="1" thickBot="1" x14ac:dyDescent="0.3">
      <c r="A24" s="100" t="s">
        <v>536</v>
      </c>
      <c r="B24" s="144">
        <v>0</v>
      </c>
      <c r="C24" s="221">
        <v>0</v>
      </c>
      <c r="D24" s="101">
        <f t="shared" si="1"/>
        <v>0</v>
      </c>
      <c r="E24" s="147" t="s">
        <v>536</v>
      </c>
      <c r="F24" s="139">
        <v>4</v>
      </c>
      <c r="G24" s="154">
        <v>0</v>
      </c>
      <c r="H24" s="148">
        <f t="shared" si="2"/>
        <v>4</v>
      </c>
    </row>
    <row r="25" spans="1:12" ht="14.95" customHeight="1" thickBot="1" x14ac:dyDescent="0.3">
      <c r="A25" s="100" t="s">
        <v>158</v>
      </c>
      <c r="B25" s="144">
        <v>0</v>
      </c>
      <c r="C25" s="221">
        <v>0</v>
      </c>
      <c r="D25" s="101">
        <f t="shared" si="1"/>
        <v>0</v>
      </c>
      <c r="E25" s="147" t="s">
        <v>158</v>
      </c>
      <c r="F25" s="139">
        <v>0</v>
      </c>
      <c r="G25" s="154">
        <v>0</v>
      </c>
      <c r="H25" s="148">
        <f t="shared" si="2"/>
        <v>0</v>
      </c>
    </row>
    <row r="26" spans="1:12" ht="14.95" customHeight="1" thickBot="1" x14ac:dyDescent="0.3">
      <c r="A26" s="100" t="s">
        <v>153</v>
      </c>
      <c r="B26" s="144">
        <v>0</v>
      </c>
      <c r="C26" s="221">
        <v>0</v>
      </c>
      <c r="D26" s="101">
        <f t="shared" si="1"/>
        <v>0</v>
      </c>
      <c r="E26" s="147" t="s">
        <v>153</v>
      </c>
      <c r="F26" s="139">
        <v>0</v>
      </c>
      <c r="G26" s="154">
        <v>0</v>
      </c>
      <c r="H26" s="148">
        <f t="shared" si="2"/>
        <v>0</v>
      </c>
    </row>
    <row r="27" spans="1:12" ht="14.95" customHeight="1" thickBot="1" x14ac:dyDescent="0.3">
      <c r="A27" s="100" t="s">
        <v>154</v>
      </c>
      <c r="B27" s="144">
        <v>0</v>
      </c>
      <c r="C27" s="221">
        <v>0</v>
      </c>
      <c r="D27" s="101">
        <f t="shared" si="1"/>
        <v>0</v>
      </c>
      <c r="E27" s="147" t="s">
        <v>154</v>
      </c>
      <c r="F27" s="139">
        <v>0</v>
      </c>
      <c r="G27" s="154">
        <v>0</v>
      </c>
      <c r="H27" s="148">
        <f t="shared" si="2"/>
        <v>0</v>
      </c>
    </row>
    <row r="28" spans="1:12" ht="14.95" customHeight="1" thickBot="1" x14ac:dyDescent="0.3">
      <c r="A28" s="100" t="s">
        <v>696</v>
      </c>
      <c r="B28" s="144">
        <v>4</v>
      </c>
      <c r="C28" s="221">
        <v>0</v>
      </c>
      <c r="D28" s="101">
        <f t="shared" si="1"/>
        <v>4</v>
      </c>
      <c r="E28" s="147" t="s">
        <v>696</v>
      </c>
      <c r="F28" s="139">
        <v>20</v>
      </c>
      <c r="G28" s="154">
        <v>0</v>
      </c>
      <c r="H28" s="148">
        <f t="shared" si="2"/>
        <v>20</v>
      </c>
    </row>
    <row r="29" spans="1:12" ht="14.95" customHeight="1" thickBot="1" x14ac:dyDescent="0.3">
      <c r="A29" s="100" t="s">
        <v>128</v>
      </c>
      <c r="B29" s="144">
        <v>3</v>
      </c>
      <c r="C29" s="221">
        <v>3</v>
      </c>
      <c r="D29" s="101">
        <f t="shared" si="1"/>
        <v>6</v>
      </c>
      <c r="E29" s="147" t="s">
        <v>128</v>
      </c>
      <c r="F29" s="139">
        <v>15</v>
      </c>
      <c r="G29" s="154">
        <v>15</v>
      </c>
      <c r="H29" s="148">
        <f t="shared" si="2"/>
        <v>30</v>
      </c>
    </row>
    <row r="30" spans="1:12" ht="14.95" customHeight="1" thickBot="1" x14ac:dyDescent="0.3">
      <c r="A30" s="100" t="s">
        <v>697</v>
      </c>
      <c r="B30" s="144">
        <v>11</v>
      </c>
      <c r="C30" s="221">
        <v>0</v>
      </c>
      <c r="D30" s="101">
        <f t="shared" si="1"/>
        <v>11</v>
      </c>
      <c r="E30" s="147" t="s">
        <v>697</v>
      </c>
      <c r="F30" s="139">
        <v>55</v>
      </c>
      <c r="G30" s="154">
        <v>0</v>
      </c>
      <c r="H30" s="148">
        <f t="shared" si="2"/>
        <v>55</v>
      </c>
    </row>
    <row r="31" spans="1:12" ht="14.95" customHeight="1" thickBot="1" x14ac:dyDescent="0.3">
      <c r="A31" s="100" t="s">
        <v>34</v>
      </c>
      <c r="B31" s="144">
        <v>0</v>
      </c>
      <c r="C31" s="221">
        <v>0</v>
      </c>
      <c r="D31" s="101">
        <f t="shared" si="1"/>
        <v>0</v>
      </c>
      <c r="E31" s="147" t="s">
        <v>34</v>
      </c>
      <c r="F31" s="139">
        <v>0</v>
      </c>
      <c r="G31" s="154">
        <v>0</v>
      </c>
      <c r="H31" s="148">
        <f t="shared" si="2"/>
        <v>0</v>
      </c>
    </row>
    <row r="32" spans="1:12" ht="14.95" customHeight="1" thickBot="1" x14ac:dyDescent="0.3">
      <c r="A32" s="100" t="s">
        <v>529</v>
      </c>
      <c r="B32" s="144">
        <v>0</v>
      </c>
      <c r="C32" s="221">
        <v>0</v>
      </c>
      <c r="D32" s="101">
        <f t="shared" si="1"/>
        <v>0</v>
      </c>
      <c r="E32" s="147" t="s">
        <v>529</v>
      </c>
      <c r="F32" s="139">
        <v>0</v>
      </c>
      <c r="G32" s="154">
        <v>0</v>
      </c>
      <c r="H32" s="148">
        <f t="shared" si="2"/>
        <v>0</v>
      </c>
      <c r="I32" s="69"/>
    </row>
    <row r="33" spans="1:9" ht="14.95" customHeight="1" thickBot="1" x14ac:dyDescent="0.3">
      <c r="A33" s="100" t="s">
        <v>155</v>
      </c>
      <c r="B33" s="144">
        <v>0</v>
      </c>
      <c r="C33" s="221">
        <v>0</v>
      </c>
      <c r="D33" s="101">
        <f t="shared" si="1"/>
        <v>0</v>
      </c>
      <c r="E33" s="147" t="s">
        <v>155</v>
      </c>
      <c r="F33" s="139">
        <v>0</v>
      </c>
      <c r="G33" s="154">
        <v>0</v>
      </c>
      <c r="H33" s="148">
        <f t="shared" si="2"/>
        <v>0</v>
      </c>
    </row>
    <row r="34" spans="1:9" ht="14.95" customHeight="1" thickBot="1" x14ac:dyDescent="0.3">
      <c r="A34" s="100" t="s">
        <v>531</v>
      </c>
      <c r="B34" s="144">
        <v>0</v>
      </c>
      <c r="C34" s="221">
        <v>0</v>
      </c>
      <c r="D34" s="101">
        <f t="shared" si="1"/>
        <v>0</v>
      </c>
      <c r="E34" s="147" t="s">
        <v>531</v>
      </c>
      <c r="F34" s="139">
        <v>0</v>
      </c>
      <c r="G34" s="154">
        <v>0</v>
      </c>
      <c r="H34" s="148">
        <f t="shared" si="2"/>
        <v>0</v>
      </c>
    </row>
    <row r="35" spans="1:9" ht="14.95" customHeight="1" thickBot="1" x14ac:dyDescent="0.3">
      <c r="A35" s="100" t="s">
        <v>4</v>
      </c>
      <c r="B35" s="144">
        <v>1</v>
      </c>
      <c r="C35" s="221">
        <v>0</v>
      </c>
      <c r="D35" s="101">
        <f t="shared" si="1"/>
        <v>1</v>
      </c>
      <c r="E35" s="147" t="s">
        <v>4</v>
      </c>
      <c r="F35" s="139">
        <v>7</v>
      </c>
      <c r="G35" s="154">
        <v>0</v>
      </c>
      <c r="H35" s="148">
        <f t="shared" si="2"/>
        <v>7</v>
      </c>
    </row>
    <row r="36" spans="1:9" ht="14.95" customHeight="1" thickBot="1" x14ac:dyDescent="0.3">
      <c r="A36" s="100" t="s">
        <v>149</v>
      </c>
      <c r="B36" s="144">
        <v>1</v>
      </c>
      <c r="C36" s="221">
        <v>0</v>
      </c>
      <c r="D36" s="101">
        <f t="shared" si="1"/>
        <v>1</v>
      </c>
      <c r="E36" s="147" t="s">
        <v>149</v>
      </c>
      <c r="F36" s="139">
        <v>5</v>
      </c>
      <c r="G36" s="154">
        <v>0</v>
      </c>
      <c r="H36" s="148">
        <f t="shared" si="2"/>
        <v>5</v>
      </c>
    </row>
    <row r="37" spans="1:9" ht="14.95" customHeight="1" thickBot="1" x14ac:dyDescent="0.3">
      <c r="A37" s="100" t="s">
        <v>720</v>
      </c>
      <c r="B37" s="144">
        <v>0</v>
      </c>
      <c r="C37" s="221">
        <v>0</v>
      </c>
      <c r="D37" s="101">
        <f t="shared" si="1"/>
        <v>0</v>
      </c>
      <c r="E37" s="147" t="s">
        <v>720</v>
      </c>
      <c r="F37" s="139">
        <v>0</v>
      </c>
      <c r="G37" s="154">
        <v>0</v>
      </c>
      <c r="H37" s="148">
        <f t="shared" si="2"/>
        <v>0</v>
      </c>
    </row>
    <row r="38" spans="1:9" ht="14.95" customHeight="1" thickBot="1" x14ac:dyDescent="0.3">
      <c r="A38" s="100" t="s">
        <v>48</v>
      </c>
      <c r="B38" s="144">
        <v>0</v>
      </c>
      <c r="C38" s="221">
        <v>0</v>
      </c>
      <c r="D38" s="101">
        <f t="shared" si="1"/>
        <v>0</v>
      </c>
      <c r="E38" s="147" t="s">
        <v>48</v>
      </c>
      <c r="F38" s="139">
        <v>0</v>
      </c>
      <c r="G38" s="154">
        <v>0</v>
      </c>
      <c r="H38" s="148">
        <f t="shared" si="2"/>
        <v>0</v>
      </c>
    </row>
    <row r="39" spans="1:9" ht="14.95" customHeight="1" thickBot="1" x14ac:dyDescent="0.3">
      <c r="A39" s="100" t="s">
        <v>311</v>
      </c>
      <c r="B39" s="144">
        <v>1</v>
      </c>
      <c r="C39" s="221">
        <v>1</v>
      </c>
      <c r="D39" s="101">
        <f t="shared" si="1"/>
        <v>2</v>
      </c>
      <c r="E39" s="147" t="s">
        <v>311</v>
      </c>
      <c r="F39" s="139">
        <v>5</v>
      </c>
      <c r="G39" s="154">
        <v>5</v>
      </c>
      <c r="H39" s="148">
        <f t="shared" si="2"/>
        <v>10</v>
      </c>
    </row>
    <row r="40" spans="1:9" ht="14.95" customHeight="1" thickBot="1" x14ac:dyDescent="0.3">
      <c r="A40" s="100" t="s">
        <v>533</v>
      </c>
      <c r="B40" s="144">
        <v>3</v>
      </c>
      <c r="C40" s="221">
        <v>0</v>
      </c>
      <c r="D40" s="101">
        <f t="shared" si="1"/>
        <v>3</v>
      </c>
      <c r="E40" s="147" t="s">
        <v>533</v>
      </c>
      <c r="F40" s="139">
        <v>15</v>
      </c>
      <c r="G40" s="154">
        <v>0</v>
      </c>
      <c r="H40" s="148">
        <f t="shared" si="2"/>
        <v>15</v>
      </c>
      <c r="I40" t="s">
        <v>14</v>
      </c>
    </row>
    <row r="41" spans="1:9" ht="14.95" customHeight="1" thickBot="1" x14ac:dyDescent="0.3">
      <c r="A41" s="100" t="s">
        <v>239</v>
      </c>
      <c r="B41" s="144">
        <v>1</v>
      </c>
      <c r="C41" s="221">
        <v>0</v>
      </c>
      <c r="D41" s="101">
        <f t="shared" si="1"/>
        <v>1</v>
      </c>
      <c r="E41" s="147" t="s">
        <v>239</v>
      </c>
      <c r="F41" s="139">
        <v>5</v>
      </c>
      <c r="G41" s="154">
        <v>0</v>
      </c>
      <c r="H41" s="148">
        <f t="shared" si="2"/>
        <v>5</v>
      </c>
    </row>
    <row r="42" spans="1:9" ht="14.95" customHeight="1" thickBot="1" x14ac:dyDescent="0.3">
      <c r="A42" s="100" t="s">
        <v>150</v>
      </c>
      <c r="B42" s="144">
        <v>0</v>
      </c>
      <c r="C42" s="221">
        <v>0</v>
      </c>
      <c r="D42" s="101">
        <f t="shared" si="1"/>
        <v>0</v>
      </c>
      <c r="E42" s="147" t="s">
        <v>150</v>
      </c>
      <c r="F42" s="139">
        <v>0</v>
      </c>
      <c r="G42" s="154">
        <v>0</v>
      </c>
      <c r="H42" s="148">
        <f t="shared" si="2"/>
        <v>0</v>
      </c>
    </row>
    <row r="43" spans="1:9" ht="14.95" customHeight="1" thickBot="1" x14ac:dyDescent="0.3">
      <c r="A43" s="100" t="s">
        <v>183</v>
      </c>
      <c r="B43" s="144">
        <v>1</v>
      </c>
      <c r="C43" s="221">
        <v>0</v>
      </c>
      <c r="D43" s="101">
        <f t="shared" si="1"/>
        <v>1</v>
      </c>
      <c r="E43" s="147" t="s">
        <v>183</v>
      </c>
      <c r="F43" s="139">
        <v>5</v>
      </c>
      <c r="G43" s="154">
        <v>0</v>
      </c>
      <c r="H43" s="148">
        <f t="shared" si="2"/>
        <v>5</v>
      </c>
    </row>
    <row r="44" spans="1:9" ht="14.95" customHeight="1" thickBot="1" x14ac:dyDescent="0.3">
      <c r="A44" s="100" t="s">
        <v>470</v>
      </c>
      <c r="B44" s="144">
        <v>0</v>
      </c>
      <c r="C44" s="221">
        <v>0</v>
      </c>
      <c r="D44" s="101">
        <f t="shared" si="1"/>
        <v>0</v>
      </c>
      <c r="E44" s="147" t="s">
        <v>470</v>
      </c>
      <c r="F44" s="139">
        <v>0</v>
      </c>
      <c r="G44" s="154">
        <v>0</v>
      </c>
      <c r="H44" s="148">
        <f t="shared" si="2"/>
        <v>0</v>
      </c>
    </row>
    <row r="45" spans="1:9" ht="14.95" customHeight="1" thickBot="1" x14ac:dyDescent="0.3">
      <c r="A45" s="100" t="s">
        <v>526</v>
      </c>
      <c r="B45" s="144">
        <v>0</v>
      </c>
      <c r="C45" s="221">
        <v>0</v>
      </c>
      <c r="D45" s="101">
        <f t="shared" si="1"/>
        <v>0</v>
      </c>
      <c r="E45" s="147" t="s">
        <v>526</v>
      </c>
      <c r="F45" s="139">
        <v>0</v>
      </c>
      <c r="G45" s="154">
        <v>0</v>
      </c>
      <c r="H45" s="148">
        <f t="shared" si="2"/>
        <v>0</v>
      </c>
    </row>
    <row r="46" spans="1:9" ht="14.95" customHeight="1" thickBot="1" x14ac:dyDescent="0.3">
      <c r="A46" s="100" t="s">
        <v>527</v>
      </c>
      <c r="B46" s="144">
        <v>0</v>
      </c>
      <c r="C46" s="221">
        <v>0</v>
      </c>
      <c r="D46" s="101">
        <f t="shared" si="1"/>
        <v>0</v>
      </c>
      <c r="E46" s="147" t="s">
        <v>527</v>
      </c>
      <c r="F46" s="139">
        <v>0</v>
      </c>
      <c r="G46" s="154">
        <v>0</v>
      </c>
      <c r="H46" s="148">
        <f t="shared" si="2"/>
        <v>0</v>
      </c>
    </row>
    <row r="47" spans="1:9" ht="14.95" customHeight="1" thickBot="1" x14ac:dyDescent="0.3">
      <c r="A47" s="100" t="s">
        <v>528</v>
      </c>
      <c r="B47" s="144">
        <v>0</v>
      </c>
      <c r="C47" s="221">
        <v>0</v>
      </c>
      <c r="D47" s="101">
        <f t="shared" si="1"/>
        <v>0</v>
      </c>
      <c r="E47" s="147" t="s">
        <v>528</v>
      </c>
      <c r="F47" s="139">
        <v>0</v>
      </c>
      <c r="G47" s="154">
        <v>0</v>
      </c>
      <c r="H47" s="148">
        <f t="shared" si="2"/>
        <v>0</v>
      </c>
    </row>
    <row r="48" spans="1:9" ht="14.95" customHeight="1" thickBot="1" x14ac:dyDescent="0.3">
      <c r="A48" s="100" t="s">
        <v>535</v>
      </c>
      <c r="B48" s="144">
        <v>0</v>
      </c>
      <c r="C48" s="221">
        <v>0</v>
      </c>
      <c r="D48" s="101">
        <f t="shared" si="1"/>
        <v>0</v>
      </c>
      <c r="E48" s="147" t="s">
        <v>535</v>
      </c>
      <c r="F48" s="139">
        <v>0</v>
      </c>
      <c r="G48" s="154">
        <v>0</v>
      </c>
      <c r="H48" s="148">
        <f t="shared" si="2"/>
        <v>0</v>
      </c>
    </row>
    <row r="49" spans="1:8" ht="14.95" customHeight="1" thickBot="1" x14ac:dyDescent="0.3">
      <c r="A49" s="100" t="s">
        <v>151</v>
      </c>
      <c r="B49" s="144">
        <v>0</v>
      </c>
      <c r="C49" s="221">
        <v>0</v>
      </c>
      <c r="D49" s="101">
        <f t="shared" si="1"/>
        <v>0</v>
      </c>
      <c r="E49" s="147" t="s">
        <v>151</v>
      </c>
      <c r="F49" s="139">
        <v>0</v>
      </c>
      <c r="G49" s="154">
        <v>0</v>
      </c>
      <c r="H49" s="148">
        <f t="shared" si="2"/>
        <v>0</v>
      </c>
    </row>
    <row r="50" spans="1:8" ht="14.95" customHeight="1" thickBot="1" x14ac:dyDescent="0.3">
      <c r="A50" s="100" t="s">
        <v>225</v>
      </c>
      <c r="B50" s="144">
        <v>1</v>
      </c>
      <c r="C50" s="221">
        <v>0</v>
      </c>
      <c r="D50" s="101">
        <f t="shared" si="1"/>
        <v>1</v>
      </c>
      <c r="E50" s="147" t="s">
        <v>225</v>
      </c>
      <c r="F50" s="139">
        <v>5</v>
      </c>
      <c r="G50" s="154">
        <v>0</v>
      </c>
      <c r="H50" s="148">
        <f t="shared" si="2"/>
        <v>5</v>
      </c>
    </row>
    <row r="51" spans="1:8" ht="14.95" customHeight="1" thickBot="1" x14ac:dyDescent="0.3">
      <c r="A51" s="100" t="s">
        <v>148</v>
      </c>
      <c r="B51" s="144">
        <v>0</v>
      </c>
      <c r="C51" s="221">
        <v>0</v>
      </c>
      <c r="D51" s="101">
        <f t="shared" si="1"/>
        <v>0</v>
      </c>
      <c r="E51" s="147" t="s">
        <v>148</v>
      </c>
      <c r="F51" s="139">
        <v>0</v>
      </c>
      <c r="G51" s="154">
        <v>0</v>
      </c>
      <c r="H51" s="148">
        <f t="shared" si="2"/>
        <v>0</v>
      </c>
    </row>
    <row r="52" spans="1:8" ht="14.95" customHeight="1" thickBot="1" x14ac:dyDescent="0.3">
      <c r="A52" s="100" t="s">
        <v>141</v>
      </c>
      <c r="B52" s="144">
        <v>1</v>
      </c>
      <c r="C52" s="221">
        <v>5</v>
      </c>
      <c r="D52" s="101">
        <f t="shared" si="1"/>
        <v>6</v>
      </c>
      <c r="E52" s="147" t="s">
        <v>141</v>
      </c>
      <c r="F52" s="139">
        <v>5</v>
      </c>
      <c r="G52" s="154">
        <v>25</v>
      </c>
      <c r="H52" s="148">
        <f t="shared" si="2"/>
        <v>30</v>
      </c>
    </row>
    <row r="53" spans="1:8" ht="14.95" customHeight="1" thickBot="1" x14ac:dyDescent="0.3">
      <c r="A53" s="100" t="s">
        <v>532</v>
      </c>
      <c r="B53" s="144">
        <v>0</v>
      </c>
      <c r="C53" s="221">
        <v>0</v>
      </c>
      <c r="D53" s="101">
        <f t="shared" si="1"/>
        <v>0</v>
      </c>
      <c r="E53" s="147" t="s">
        <v>532</v>
      </c>
      <c r="F53" s="139">
        <v>0</v>
      </c>
      <c r="G53" s="154">
        <v>0</v>
      </c>
      <c r="H53" s="148">
        <f t="shared" si="2"/>
        <v>0</v>
      </c>
    </row>
    <row r="54" spans="1:8" ht="14.95" customHeight="1" thickBot="1" x14ac:dyDescent="0.3">
      <c r="A54" s="100" t="s">
        <v>159</v>
      </c>
      <c r="B54" s="144">
        <v>0</v>
      </c>
      <c r="C54" s="221">
        <v>0</v>
      </c>
      <c r="D54" s="101">
        <f t="shared" si="1"/>
        <v>0</v>
      </c>
      <c r="E54" s="147" t="s">
        <v>159</v>
      </c>
      <c r="F54" s="139">
        <v>0</v>
      </c>
      <c r="G54" s="154">
        <v>0</v>
      </c>
      <c r="H54" s="148">
        <f t="shared" si="2"/>
        <v>0</v>
      </c>
    </row>
    <row r="55" spans="1:8" ht="14.95" customHeight="1" thickBot="1" x14ac:dyDescent="0.3">
      <c r="A55" s="100" t="s">
        <v>160</v>
      </c>
      <c r="B55" s="144">
        <v>0</v>
      </c>
      <c r="C55" s="221">
        <v>0</v>
      </c>
      <c r="D55" s="101">
        <f t="shared" si="1"/>
        <v>0</v>
      </c>
      <c r="E55" s="147" t="s">
        <v>160</v>
      </c>
      <c r="F55" s="139">
        <v>0</v>
      </c>
      <c r="G55" s="154">
        <v>0</v>
      </c>
      <c r="H55" s="148">
        <f t="shared" si="2"/>
        <v>0</v>
      </c>
    </row>
    <row r="56" spans="1:8" ht="14.95" thickBot="1" x14ac:dyDescent="0.3">
      <c r="A56" s="100" t="s">
        <v>152</v>
      </c>
      <c r="B56" s="144">
        <v>1</v>
      </c>
      <c r="C56" s="221">
        <v>0</v>
      </c>
      <c r="D56" s="101">
        <f t="shared" si="1"/>
        <v>1</v>
      </c>
      <c r="E56" s="147" t="s">
        <v>152</v>
      </c>
      <c r="F56" s="139">
        <v>5</v>
      </c>
      <c r="G56" s="154">
        <v>0</v>
      </c>
      <c r="H56" s="148">
        <f t="shared" si="2"/>
        <v>5</v>
      </c>
    </row>
    <row r="57" spans="1:8" ht="14.95" thickBot="1" x14ac:dyDescent="0.3">
      <c r="A57" s="100" t="s">
        <v>3</v>
      </c>
      <c r="B57" s="144">
        <f>SUM(B3:B56)</f>
        <v>58</v>
      </c>
      <c r="C57" s="221">
        <f>SUM(C3:C56)</f>
        <v>19</v>
      </c>
      <c r="D57" s="101">
        <f t="shared" si="1"/>
        <v>77</v>
      </c>
      <c r="E57" s="147" t="s">
        <v>3</v>
      </c>
      <c r="F57" s="139">
        <f>SUM(F3:F56)</f>
        <v>369</v>
      </c>
      <c r="G57" s="154">
        <f>SUM(G3:G56)</f>
        <v>113</v>
      </c>
      <c r="H57" s="148">
        <f t="shared" si="2"/>
        <v>482</v>
      </c>
    </row>
    <row r="58" spans="1:8" x14ac:dyDescent="0.25">
      <c r="A58" s="70"/>
      <c r="B58" s="71"/>
      <c r="C58" s="71"/>
      <c r="D58" s="35"/>
      <c r="E58" s="70"/>
      <c r="F58" s="72"/>
      <c r="G58" s="72"/>
      <c r="H58" s="35"/>
    </row>
    <row r="59" spans="1:8" ht="14.95" thickBot="1" x14ac:dyDescent="0.3">
      <c r="A59" s="32" t="s">
        <v>9</v>
      </c>
      <c r="B59" s="71"/>
      <c r="C59" s="71"/>
      <c r="D59" s="35"/>
      <c r="E59" s="70"/>
      <c r="F59" s="72"/>
      <c r="G59" s="72"/>
      <c r="H59" s="35"/>
    </row>
    <row r="60" spans="1:8" ht="14.95" thickBot="1" x14ac:dyDescent="0.3">
      <c r="A60" s="103" t="s">
        <v>0</v>
      </c>
      <c r="B60" s="143" t="s">
        <v>161</v>
      </c>
      <c r="C60" s="220" t="s">
        <v>167</v>
      </c>
      <c r="D60" s="104" t="s">
        <v>1</v>
      </c>
      <c r="E60" s="145" t="s">
        <v>2</v>
      </c>
      <c r="F60" s="138" t="s">
        <v>161</v>
      </c>
      <c r="G60" s="153" t="s">
        <v>167</v>
      </c>
      <c r="H60" s="146" t="s">
        <v>1</v>
      </c>
    </row>
    <row r="61" spans="1:8" ht="14.95" thickBot="1" x14ac:dyDescent="0.3">
      <c r="A61" s="100" t="s">
        <v>697</v>
      </c>
      <c r="B61" s="144">
        <v>11</v>
      </c>
      <c r="C61" s="221">
        <v>0</v>
      </c>
      <c r="D61" s="101">
        <f t="shared" ref="D61:D92" si="8">SUM(B61:C61)</f>
        <v>11</v>
      </c>
      <c r="E61" s="147" t="s">
        <v>138</v>
      </c>
      <c r="F61" s="139">
        <v>52</v>
      </c>
      <c r="G61" s="154">
        <v>18</v>
      </c>
      <c r="H61" s="148">
        <f t="shared" ref="H61:H92" si="9">SUM(F61:G61)</f>
        <v>70</v>
      </c>
    </row>
    <row r="62" spans="1:8" ht="14.95" thickBot="1" x14ac:dyDescent="0.3">
      <c r="A62" s="100" t="s">
        <v>125</v>
      </c>
      <c r="B62" s="144">
        <v>8</v>
      </c>
      <c r="C62" s="221">
        <v>1</v>
      </c>
      <c r="D62" s="101">
        <f t="shared" si="8"/>
        <v>9</v>
      </c>
      <c r="E62" s="147" t="s">
        <v>697</v>
      </c>
      <c r="F62" s="139">
        <v>55</v>
      </c>
      <c r="G62" s="154">
        <v>0</v>
      </c>
      <c r="H62" s="148">
        <f t="shared" si="9"/>
        <v>55</v>
      </c>
    </row>
    <row r="63" spans="1:8" ht="14.95" thickBot="1" x14ac:dyDescent="0.3">
      <c r="A63" s="100" t="s">
        <v>512</v>
      </c>
      <c r="B63" s="144">
        <v>6</v>
      </c>
      <c r="C63" s="221">
        <v>0</v>
      </c>
      <c r="D63" s="101">
        <f t="shared" si="8"/>
        <v>6</v>
      </c>
      <c r="E63" s="147" t="s">
        <v>125</v>
      </c>
      <c r="F63" s="139">
        <v>40</v>
      </c>
      <c r="G63" s="154">
        <v>5</v>
      </c>
      <c r="H63" s="148">
        <f t="shared" si="9"/>
        <v>45</v>
      </c>
    </row>
    <row r="64" spans="1:8" ht="14.95" thickBot="1" x14ac:dyDescent="0.3">
      <c r="A64" s="100" t="s">
        <v>128</v>
      </c>
      <c r="B64" s="144">
        <v>3</v>
      </c>
      <c r="C64" s="221">
        <v>3</v>
      </c>
      <c r="D64" s="101">
        <f t="shared" si="8"/>
        <v>6</v>
      </c>
      <c r="E64" s="147" t="s">
        <v>512</v>
      </c>
      <c r="F64" s="139">
        <v>30</v>
      </c>
      <c r="G64" s="154">
        <v>0</v>
      </c>
      <c r="H64" s="148">
        <f t="shared" si="9"/>
        <v>30</v>
      </c>
    </row>
    <row r="65" spans="1:8" ht="14.95" thickBot="1" x14ac:dyDescent="0.3">
      <c r="A65" s="100" t="s">
        <v>141</v>
      </c>
      <c r="B65" s="144">
        <v>1</v>
      </c>
      <c r="C65" s="221">
        <v>5</v>
      </c>
      <c r="D65" s="101">
        <f t="shared" si="8"/>
        <v>6</v>
      </c>
      <c r="E65" s="147" t="s">
        <v>128</v>
      </c>
      <c r="F65" s="139">
        <v>15</v>
      </c>
      <c r="G65" s="154">
        <v>15</v>
      </c>
      <c r="H65" s="148">
        <f t="shared" si="9"/>
        <v>30</v>
      </c>
    </row>
    <row r="66" spans="1:8" ht="14.95" thickBot="1" x14ac:dyDescent="0.3">
      <c r="A66" s="100" t="s">
        <v>144</v>
      </c>
      <c r="B66" s="144">
        <v>1</v>
      </c>
      <c r="C66" s="221">
        <v>4</v>
      </c>
      <c r="D66" s="101">
        <f t="shared" si="8"/>
        <v>5</v>
      </c>
      <c r="E66" s="147" t="s">
        <v>141</v>
      </c>
      <c r="F66" s="139">
        <v>5</v>
      </c>
      <c r="G66" s="154">
        <v>25</v>
      </c>
      <c r="H66" s="148">
        <f t="shared" si="9"/>
        <v>30</v>
      </c>
    </row>
    <row r="67" spans="1:8" ht="14.95" thickBot="1" x14ac:dyDescent="0.3">
      <c r="A67" s="100" t="s">
        <v>233</v>
      </c>
      <c r="B67" s="144">
        <v>4</v>
      </c>
      <c r="C67" s="221">
        <v>0</v>
      </c>
      <c r="D67" s="101">
        <f t="shared" si="8"/>
        <v>4</v>
      </c>
      <c r="E67" s="147" t="s">
        <v>699</v>
      </c>
      <c r="F67" s="139">
        <v>26</v>
      </c>
      <c r="G67" s="154">
        <v>0</v>
      </c>
      <c r="H67" s="148">
        <f t="shared" si="9"/>
        <v>26</v>
      </c>
    </row>
    <row r="68" spans="1:8" ht="14.95" thickBot="1" x14ac:dyDescent="0.3">
      <c r="A68" s="100" t="s">
        <v>696</v>
      </c>
      <c r="B68" s="144">
        <v>4</v>
      </c>
      <c r="C68" s="221">
        <v>0</v>
      </c>
      <c r="D68" s="101">
        <f t="shared" si="8"/>
        <v>4</v>
      </c>
      <c r="E68" s="147" t="s">
        <v>144</v>
      </c>
      <c r="F68" s="139">
        <v>5</v>
      </c>
      <c r="G68" s="154">
        <v>20</v>
      </c>
      <c r="H68" s="148">
        <f t="shared" si="9"/>
        <v>25</v>
      </c>
    </row>
    <row r="69" spans="1:8" ht="14.95" thickBot="1" x14ac:dyDescent="0.3">
      <c r="A69" s="100" t="s">
        <v>534</v>
      </c>
      <c r="B69" s="144">
        <v>1</v>
      </c>
      <c r="C69" s="221">
        <v>2</v>
      </c>
      <c r="D69" s="101">
        <f t="shared" si="8"/>
        <v>3</v>
      </c>
      <c r="E69" s="147" t="s">
        <v>233</v>
      </c>
      <c r="F69" s="139">
        <v>20</v>
      </c>
      <c r="G69" s="154">
        <v>0</v>
      </c>
      <c r="H69" s="148">
        <f t="shared" si="9"/>
        <v>20</v>
      </c>
    </row>
    <row r="70" spans="1:8" ht="14.95" thickBot="1" x14ac:dyDescent="0.3">
      <c r="A70" s="100" t="s">
        <v>691</v>
      </c>
      <c r="B70" s="144">
        <v>1</v>
      </c>
      <c r="C70" s="221">
        <v>2</v>
      </c>
      <c r="D70" s="101">
        <f t="shared" si="8"/>
        <v>3</v>
      </c>
      <c r="E70" s="147" t="s">
        <v>696</v>
      </c>
      <c r="F70" s="139">
        <v>20</v>
      </c>
      <c r="G70" s="154">
        <v>0</v>
      </c>
      <c r="H70" s="148">
        <f t="shared" si="9"/>
        <v>20</v>
      </c>
    </row>
    <row r="71" spans="1:8" ht="14.95" thickBot="1" x14ac:dyDescent="0.3">
      <c r="A71" s="100" t="s">
        <v>533</v>
      </c>
      <c r="B71" s="144">
        <v>3</v>
      </c>
      <c r="C71" s="221">
        <v>0</v>
      </c>
      <c r="D71" s="101">
        <f t="shared" si="8"/>
        <v>3</v>
      </c>
      <c r="E71" s="147" t="s">
        <v>534</v>
      </c>
      <c r="F71" s="139">
        <v>5</v>
      </c>
      <c r="G71" s="154">
        <v>10</v>
      </c>
      <c r="H71" s="148">
        <f t="shared" si="9"/>
        <v>15</v>
      </c>
    </row>
    <row r="72" spans="1:8" ht="14.95" thickBot="1" x14ac:dyDescent="0.3">
      <c r="A72" s="100" t="s">
        <v>530</v>
      </c>
      <c r="B72" s="144">
        <v>2</v>
      </c>
      <c r="C72" s="221">
        <v>0</v>
      </c>
      <c r="D72" s="101">
        <f t="shared" si="8"/>
        <v>2</v>
      </c>
      <c r="E72" s="147" t="s">
        <v>691</v>
      </c>
      <c r="F72" s="139">
        <v>5</v>
      </c>
      <c r="G72" s="154">
        <v>10</v>
      </c>
      <c r="H72" s="148">
        <f t="shared" si="9"/>
        <v>15</v>
      </c>
    </row>
    <row r="73" spans="1:8" ht="14.95" thickBot="1" x14ac:dyDescent="0.3">
      <c r="A73" s="100" t="s">
        <v>244</v>
      </c>
      <c r="B73" s="144">
        <v>2</v>
      </c>
      <c r="C73" s="221">
        <v>0</v>
      </c>
      <c r="D73" s="101">
        <f t="shared" si="8"/>
        <v>2</v>
      </c>
      <c r="E73" s="147" t="s">
        <v>533</v>
      </c>
      <c r="F73" s="139">
        <v>15</v>
      </c>
      <c r="G73" s="154">
        <v>0</v>
      </c>
      <c r="H73" s="148">
        <f t="shared" si="9"/>
        <v>15</v>
      </c>
    </row>
    <row r="74" spans="1:8" ht="14.95" thickBot="1" x14ac:dyDescent="0.3">
      <c r="A74" s="100" t="s">
        <v>769</v>
      </c>
      <c r="B74" s="144">
        <v>2</v>
      </c>
      <c r="C74" s="221">
        <v>0</v>
      </c>
      <c r="D74" s="101">
        <f t="shared" si="8"/>
        <v>2</v>
      </c>
      <c r="E74" s="147" t="s">
        <v>530</v>
      </c>
      <c r="F74" s="139">
        <v>10</v>
      </c>
      <c r="G74" s="154">
        <v>0</v>
      </c>
      <c r="H74" s="148">
        <f t="shared" si="9"/>
        <v>10</v>
      </c>
    </row>
    <row r="75" spans="1:8" ht="14.95" thickBot="1" x14ac:dyDescent="0.3">
      <c r="A75" s="100" t="s">
        <v>311</v>
      </c>
      <c r="B75" s="144">
        <v>1</v>
      </c>
      <c r="C75" s="221">
        <v>1</v>
      </c>
      <c r="D75" s="101">
        <f t="shared" si="8"/>
        <v>2</v>
      </c>
      <c r="E75" s="147" t="s">
        <v>244</v>
      </c>
      <c r="F75" s="139">
        <v>10</v>
      </c>
      <c r="G75" s="154">
        <v>0</v>
      </c>
      <c r="H75" s="148">
        <f t="shared" si="9"/>
        <v>10</v>
      </c>
    </row>
    <row r="76" spans="1:8" ht="14.95" thickBot="1" x14ac:dyDescent="0.3">
      <c r="A76" s="100" t="s">
        <v>690</v>
      </c>
      <c r="B76" s="144">
        <v>0</v>
      </c>
      <c r="C76" s="221">
        <v>1</v>
      </c>
      <c r="D76" s="101">
        <f t="shared" si="8"/>
        <v>1</v>
      </c>
      <c r="E76" s="147" t="s">
        <v>769</v>
      </c>
      <c r="F76" s="139">
        <v>10</v>
      </c>
      <c r="G76" s="154">
        <v>0</v>
      </c>
      <c r="H76" s="148">
        <f t="shared" si="9"/>
        <v>10</v>
      </c>
    </row>
    <row r="77" spans="1:8" ht="14.95" thickBot="1" x14ac:dyDescent="0.3">
      <c r="A77" s="100" t="s">
        <v>138</v>
      </c>
      <c r="B77" s="144">
        <v>1</v>
      </c>
      <c r="C77" s="221">
        <v>0</v>
      </c>
      <c r="D77" s="101">
        <f t="shared" si="8"/>
        <v>1</v>
      </c>
      <c r="E77" s="147" t="s">
        <v>311</v>
      </c>
      <c r="F77" s="139">
        <v>5</v>
      </c>
      <c r="G77" s="154">
        <v>5</v>
      </c>
      <c r="H77" s="148">
        <f t="shared" si="9"/>
        <v>10</v>
      </c>
    </row>
    <row r="78" spans="1:8" ht="14.95" thickBot="1" x14ac:dyDescent="0.3">
      <c r="A78" s="100" t="s">
        <v>766</v>
      </c>
      <c r="B78" s="144">
        <v>1</v>
      </c>
      <c r="C78" s="221">
        <v>0</v>
      </c>
      <c r="D78" s="101">
        <f t="shared" si="8"/>
        <v>1</v>
      </c>
      <c r="E78" s="147" t="s">
        <v>4</v>
      </c>
      <c r="F78" s="139">
        <v>7</v>
      </c>
      <c r="G78" s="154">
        <v>0</v>
      </c>
      <c r="H78" s="148">
        <f t="shared" si="9"/>
        <v>7</v>
      </c>
    </row>
    <row r="79" spans="1:8" ht="14.95" thickBot="1" x14ac:dyDescent="0.3">
      <c r="A79" s="100" t="s">
        <v>4</v>
      </c>
      <c r="B79" s="144">
        <v>1</v>
      </c>
      <c r="C79" s="221">
        <v>0</v>
      </c>
      <c r="D79" s="101">
        <f t="shared" si="8"/>
        <v>1</v>
      </c>
      <c r="E79" s="147" t="s">
        <v>690</v>
      </c>
      <c r="F79" s="139">
        <v>0</v>
      </c>
      <c r="G79" s="154">
        <v>5</v>
      </c>
      <c r="H79" s="148">
        <f t="shared" si="9"/>
        <v>5</v>
      </c>
    </row>
    <row r="80" spans="1:8" ht="14.95" thickBot="1" x14ac:dyDescent="0.3">
      <c r="A80" s="100" t="s">
        <v>149</v>
      </c>
      <c r="B80" s="144">
        <v>1</v>
      </c>
      <c r="C80" s="221">
        <v>0</v>
      </c>
      <c r="D80" s="101">
        <f t="shared" si="8"/>
        <v>1</v>
      </c>
      <c r="E80" s="147" t="s">
        <v>766</v>
      </c>
      <c r="F80" s="139">
        <v>5</v>
      </c>
      <c r="G80" s="154">
        <v>0</v>
      </c>
      <c r="H80" s="148">
        <f t="shared" si="9"/>
        <v>5</v>
      </c>
    </row>
    <row r="81" spans="1:8" ht="14.95" thickBot="1" x14ac:dyDescent="0.3">
      <c r="A81" s="100" t="s">
        <v>239</v>
      </c>
      <c r="B81" s="144">
        <v>1</v>
      </c>
      <c r="C81" s="221">
        <v>0</v>
      </c>
      <c r="D81" s="101">
        <f t="shared" si="8"/>
        <v>1</v>
      </c>
      <c r="E81" s="147" t="s">
        <v>149</v>
      </c>
      <c r="F81" s="139">
        <v>5</v>
      </c>
      <c r="G81" s="154">
        <v>0</v>
      </c>
      <c r="H81" s="148">
        <f t="shared" si="9"/>
        <v>5</v>
      </c>
    </row>
    <row r="82" spans="1:8" ht="14.95" thickBot="1" x14ac:dyDescent="0.3">
      <c r="A82" s="100" t="s">
        <v>183</v>
      </c>
      <c r="B82" s="144">
        <v>1</v>
      </c>
      <c r="C82" s="221">
        <v>0</v>
      </c>
      <c r="D82" s="101">
        <f t="shared" si="8"/>
        <v>1</v>
      </c>
      <c r="E82" s="147" t="s">
        <v>239</v>
      </c>
      <c r="F82" s="139">
        <v>5</v>
      </c>
      <c r="G82" s="154">
        <v>0</v>
      </c>
      <c r="H82" s="148">
        <f t="shared" si="9"/>
        <v>5</v>
      </c>
    </row>
    <row r="83" spans="1:8" ht="14.95" thickBot="1" x14ac:dyDescent="0.3">
      <c r="A83" s="100" t="s">
        <v>225</v>
      </c>
      <c r="B83" s="144">
        <v>1</v>
      </c>
      <c r="C83" s="221">
        <v>0</v>
      </c>
      <c r="D83" s="101">
        <f t="shared" si="8"/>
        <v>1</v>
      </c>
      <c r="E83" s="147" t="s">
        <v>183</v>
      </c>
      <c r="F83" s="139">
        <v>5</v>
      </c>
      <c r="G83" s="154">
        <v>0</v>
      </c>
      <c r="H83" s="148">
        <f t="shared" si="9"/>
        <v>5</v>
      </c>
    </row>
    <row r="84" spans="1:8" ht="14.95" thickBot="1" x14ac:dyDescent="0.3">
      <c r="A84" s="100" t="s">
        <v>152</v>
      </c>
      <c r="B84" s="144">
        <v>1</v>
      </c>
      <c r="C84" s="221">
        <v>0</v>
      </c>
      <c r="D84" s="101">
        <f t="shared" si="8"/>
        <v>1</v>
      </c>
      <c r="E84" s="147" t="s">
        <v>225</v>
      </c>
      <c r="F84" s="139">
        <v>5</v>
      </c>
      <c r="G84" s="154">
        <v>0</v>
      </c>
      <c r="H84" s="148">
        <f t="shared" si="9"/>
        <v>5</v>
      </c>
    </row>
    <row r="85" spans="1:8" ht="14.95" thickBot="1" x14ac:dyDescent="0.3">
      <c r="A85" s="100" t="s">
        <v>699</v>
      </c>
      <c r="B85" s="144">
        <v>0</v>
      </c>
      <c r="C85" s="221">
        <v>0</v>
      </c>
      <c r="D85" s="101">
        <f t="shared" si="8"/>
        <v>0</v>
      </c>
      <c r="E85" s="147" t="s">
        <v>152</v>
      </c>
      <c r="F85" s="139">
        <v>5</v>
      </c>
      <c r="G85" s="154">
        <v>0</v>
      </c>
      <c r="H85" s="148">
        <f t="shared" si="9"/>
        <v>5</v>
      </c>
    </row>
    <row r="86" spans="1:8" ht="14.95" thickBot="1" x14ac:dyDescent="0.3">
      <c r="A86" s="100" t="s">
        <v>147</v>
      </c>
      <c r="B86" s="144">
        <v>0</v>
      </c>
      <c r="C86" s="221">
        <v>0</v>
      </c>
      <c r="D86" s="101">
        <f t="shared" si="8"/>
        <v>0</v>
      </c>
      <c r="E86" s="147" t="s">
        <v>536</v>
      </c>
      <c r="F86" s="139">
        <v>4</v>
      </c>
      <c r="G86" s="154">
        <v>0</v>
      </c>
      <c r="H86" s="148">
        <f t="shared" si="9"/>
        <v>4</v>
      </c>
    </row>
    <row r="87" spans="1:8" ht="14.95" thickBot="1" x14ac:dyDescent="0.3">
      <c r="A87" s="100" t="s">
        <v>140</v>
      </c>
      <c r="B87" s="144">
        <v>0</v>
      </c>
      <c r="C87" s="221">
        <v>0</v>
      </c>
      <c r="D87" s="101">
        <f t="shared" si="8"/>
        <v>0</v>
      </c>
      <c r="E87" s="147" t="s">
        <v>147</v>
      </c>
      <c r="F87" s="139">
        <v>0</v>
      </c>
      <c r="G87" s="154">
        <v>0</v>
      </c>
      <c r="H87" s="148">
        <f t="shared" si="9"/>
        <v>0</v>
      </c>
    </row>
    <row r="88" spans="1:8" ht="14.95" thickBot="1" x14ac:dyDescent="0.3">
      <c r="A88" s="100" t="s">
        <v>156</v>
      </c>
      <c r="B88" s="144">
        <v>0</v>
      </c>
      <c r="C88" s="221">
        <v>0</v>
      </c>
      <c r="D88" s="101">
        <f t="shared" si="8"/>
        <v>0</v>
      </c>
      <c r="E88" s="147" t="s">
        <v>140</v>
      </c>
      <c r="F88" s="139">
        <v>0</v>
      </c>
      <c r="G88" s="154">
        <v>0</v>
      </c>
      <c r="H88" s="148">
        <f t="shared" si="9"/>
        <v>0</v>
      </c>
    </row>
    <row r="89" spans="1:8" ht="14.95" thickBot="1" x14ac:dyDescent="0.3">
      <c r="A89" s="100" t="s">
        <v>143</v>
      </c>
      <c r="B89" s="144">
        <v>0</v>
      </c>
      <c r="C89" s="221">
        <v>0</v>
      </c>
      <c r="D89" s="101">
        <f t="shared" si="8"/>
        <v>0</v>
      </c>
      <c r="E89" s="147" t="s">
        <v>156</v>
      </c>
      <c r="F89" s="139">
        <v>0</v>
      </c>
      <c r="G89" s="154">
        <v>0</v>
      </c>
      <c r="H89" s="148">
        <f t="shared" si="9"/>
        <v>0</v>
      </c>
    </row>
    <row r="90" spans="1:8" ht="14.95" thickBot="1" x14ac:dyDescent="0.3">
      <c r="A90" s="100" t="s">
        <v>252</v>
      </c>
      <c r="B90" s="144">
        <v>0</v>
      </c>
      <c r="C90" s="221">
        <v>0</v>
      </c>
      <c r="D90" s="101">
        <f t="shared" si="8"/>
        <v>0</v>
      </c>
      <c r="E90" s="147" t="s">
        <v>143</v>
      </c>
      <c r="F90" s="139">
        <v>0</v>
      </c>
      <c r="G90" s="154">
        <v>0</v>
      </c>
      <c r="H90" s="148">
        <f t="shared" si="9"/>
        <v>0</v>
      </c>
    </row>
    <row r="91" spans="1:8" ht="14.95" thickBot="1" x14ac:dyDescent="0.3">
      <c r="A91" s="100" t="s">
        <v>142</v>
      </c>
      <c r="B91" s="144">
        <v>0</v>
      </c>
      <c r="C91" s="221">
        <v>0</v>
      </c>
      <c r="D91" s="101">
        <f t="shared" si="8"/>
        <v>0</v>
      </c>
      <c r="E91" s="147" t="s">
        <v>252</v>
      </c>
      <c r="F91" s="139">
        <v>0</v>
      </c>
      <c r="G91" s="154">
        <v>0</v>
      </c>
      <c r="H91" s="148">
        <f t="shared" si="9"/>
        <v>0</v>
      </c>
    </row>
    <row r="92" spans="1:8" ht="14.95" thickBot="1" x14ac:dyDescent="0.3">
      <c r="A92" s="100" t="s">
        <v>275</v>
      </c>
      <c r="B92" s="144">
        <v>0</v>
      </c>
      <c r="C92" s="221">
        <v>0</v>
      </c>
      <c r="D92" s="101">
        <f t="shared" si="8"/>
        <v>0</v>
      </c>
      <c r="E92" s="147" t="s">
        <v>142</v>
      </c>
      <c r="F92" s="139">
        <v>0</v>
      </c>
      <c r="G92" s="154">
        <v>0</v>
      </c>
      <c r="H92" s="148">
        <f t="shared" si="9"/>
        <v>0</v>
      </c>
    </row>
    <row r="93" spans="1:8" ht="14.95" thickBot="1" x14ac:dyDescent="0.3">
      <c r="A93" s="100" t="s">
        <v>647</v>
      </c>
      <c r="B93" s="144">
        <v>0</v>
      </c>
      <c r="C93" s="221">
        <v>0</v>
      </c>
      <c r="D93" s="101">
        <f t="shared" ref="D93:D124" si="10">SUM(B93:C93)</f>
        <v>0</v>
      </c>
      <c r="E93" s="147" t="s">
        <v>275</v>
      </c>
      <c r="F93" s="139">
        <v>0</v>
      </c>
      <c r="G93" s="154">
        <v>0</v>
      </c>
      <c r="H93" s="148">
        <f t="shared" ref="H93:H124" si="11">SUM(F93:G93)</f>
        <v>0</v>
      </c>
    </row>
    <row r="94" spans="1:8" ht="14.95" thickBot="1" x14ac:dyDescent="0.3">
      <c r="A94" s="100" t="s">
        <v>536</v>
      </c>
      <c r="B94" s="144">
        <v>0</v>
      </c>
      <c r="C94" s="221">
        <v>0</v>
      </c>
      <c r="D94" s="101">
        <f t="shared" si="10"/>
        <v>0</v>
      </c>
      <c r="E94" s="147" t="s">
        <v>647</v>
      </c>
      <c r="F94" s="139">
        <v>0</v>
      </c>
      <c r="G94" s="154">
        <v>0</v>
      </c>
      <c r="H94" s="148">
        <f t="shared" si="11"/>
        <v>0</v>
      </c>
    </row>
    <row r="95" spans="1:8" ht="14.95" thickBot="1" x14ac:dyDescent="0.3">
      <c r="A95" s="100" t="s">
        <v>158</v>
      </c>
      <c r="B95" s="144">
        <v>0</v>
      </c>
      <c r="C95" s="221">
        <v>0</v>
      </c>
      <c r="D95" s="101">
        <f t="shared" si="10"/>
        <v>0</v>
      </c>
      <c r="E95" s="147" t="s">
        <v>158</v>
      </c>
      <c r="F95" s="139">
        <v>0</v>
      </c>
      <c r="G95" s="154">
        <v>0</v>
      </c>
      <c r="H95" s="148">
        <f t="shared" si="11"/>
        <v>0</v>
      </c>
    </row>
    <row r="96" spans="1:8" ht="14.95" thickBot="1" x14ac:dyDescent="0.3">
      <c r="A96" s="100" t="s">
        <v>153</v>
      </c>
      <c r="B96" s="144">
        <v>0</v>
      </c>
      <c r="C96" s="221">
        <v>0</v>
      </c>
      <c r="D96" s="101">
        <f t="shared" si="10"/>
        <v>0</v>
      </c>
      <c r="E96" s="147" t="s">
        <v>153</v>
      </c>
      <c r="F96" s="139">
        <v>0</v>
      </c>
      <c r="G96" s="154">
        <v>0</v>
      </c>
      <c r="H96" s="148">
        <f t="shared" si="11"/>
        <v>0</v>
      </c>
    </row>
    <row r="97" spans="1:8" ht="14.95" thickBot="1" x14ac:dyDescent="0.3">
      <c r="A97" s="100" t="s">
        <v>154</v>
      </c>
      <c r="B97" s="144">
        <v>0</v>
      </c>
      <c r="C97" s="221">
        <v>0</v>
      </c>
      <c r="D97" s="101">
        <f t="shared" si="10"/>
        <v>0</v>
      </c>
      <c r="E97" s="147" t="s">
        <v>154</v>
      </c>
      <c r="F97" s="139">
        <v>0</v>
      </c>
      <c r="G97" s="154">
        <v>0</v>
      </c>
      <c r="H97" s="148">
        <f t="shared" si="11"/>
        <v>0</v>
      </c>
    </row>
    <row r="98" spans="1:8" ht="14.95" thickBot="1" x14ac:dyDescent="0.3">
      <c r="A98" s="100" t="s">
        <v>34</v>
      </c>
      <c r="B98" s="144">
        <v>0</v>
      </c>
      <c r="C98" s="221">
        <v>0</v>
      </c>
      <c r="D98" s="101">
        <f t="shared" si="10"/>
        <v>0</v>
      </c>
      <c r="E98" s="147" t="s">
        <v>34</v>
      </c>
      <c r="F98" s="139">
        <v>0</v>
      </c>
      <c r="G98" s="154">
        <v>0</v>
      </c>
      <c r="H98" s="148">
        <f t="shared" si="11"/>
        <v>0</v>
      </c>
    </row>
    <row r="99" spans="1:8" ht="14.95" thickBot="1" x14ac:dyDescent="0.3">
      <c r="A99" s="100" t="s">
        <v>529</v>
      </c>
      <c r="B99" s="144">
        <v>0</v>
      </c>
      <c r="C99" s="221">
        <v>0</v>
      </c>
      <c r="D99" s="101">
        <f t="shared" si="10"/>
        <v>0</v>
      </c>
      <c r="E99" s="147" t="s">
        <v>529</v>
      </c>
      <c r="F99" s="139">
        <v>0</v>
      </c>
      <c r="G99" s="154">
        <v>0</v>
      </c>
      <c r="H99" s="148">
        <f t="shared" si="11"/>
        <v>0</v>
      </c>
    </row>
    <row r="100" spans="1:8" ht="14.95" thickBot="1" x14ac:dyDescent="0.3">
      <c r="A100" s="100" t="s">
        <v>155</v>
      </c>
      <c r="B100" s="144">
        <v>0</v>
      </c>
      <c r="C100" s="221">
        <v>0</v>
      </c>
      <c r="D100" s="101">
        <f t="shared" si="10"/>
        <v>0</v>
      </c>
      <c r="E100" s="147" t="s">
        <v>155</v>
      </c>
      <c r="F100" s="139">
        <v>0</v>
      </c>
      <c r="G100" s="154">
        <v>0</v>
      </c>
      <c r="H100" s="148">
        <f t="shared" si="11"/>
        <v>0</v>
      </c>
    </row>
    <row r="101" spans="1:8" ht="14.95" thickBot="1" x14ac:dyDescent="0.3">
      <c r="A101" s="100" t="s">
        <v>531</v>
      </c>
      <c r="B101" s="144">
        <v>0</v>
      </c>
      <c r="C101" s="221">
        <v>0</v>
      </c>
      <c r="D101" s="101">
        <f t="shared" si="10"/>
        <v>0</v>
      </c>
      <c r="E101" s="147" t="s">
        <v>531</v>
      </c>
      <c r="F101" s="139">
        <v>0</v>
      </c>
      <c r="G101" s="154">
        <v>0</v>
      </c>
      <c r="H101" s="148">
        <f t="shared" si="11"/>
        <v>0</v>
      </c>
    </row>
    <row r="102" spans="1:8" ht="14.95" thickBot="1" x14ac:dyDescent="0.3">
      <c r="A102" s="100" t="s">
        <v>720</v>
      </c>
      <c r="B102" s="144">
        <v>0</v>
      </c>
      <c r="C102" s="221">
        <v>0</v>
      </c>
      <c r="D102" s="101">
        <f t="shared" si="10"/>
        <v>0</v>
      </c>
      <c r="E102" s="147" t="s">
        <v>720</v>
      </c>
      <c r="F102" s="139">
        <v>0</v>
      </c>
      <c r="G102" s="154">
        <v>0</v>
      </c>
      <c r="H102" s="148">
        <f t="shared" si="11"/>
        <v>0</v>
      </c>
    </row>
    <row r="103" spans="1:8" ht="14.95" thickBot="1" x14ac:dyDescent="0.3">
      <c r="A103" s="100" t="s">
        <v>48</v>
      </c>
      <c r="B103" s="144">
        <v>0</v>
      </c>
      <c r="C103" s="221">
        <v>0</v>
      </c>
      <c r="D103" s="101">
        <f t="shared" si="10"/>
        <v>0</v>
      </c>
      <c r="E103" s="147" t="s">
        <v>48</v>
      </c>
      <c r="F103" s="139">
        <v>0</v>
      </c>
      <c r="G103" s="154">
        <v>0</v>
      </c>
      <c r="H103" s="148">
        <f t="shared" si="11"/>
        <v>0</v>
      </c>
    </row>
    <row r="104" spans="1:8" ht="14.95" thickBot="1" x14ac:dyDescent="0.3">
      <c r="A104" s="100" t="s">
        <v>150</v>
      </c>
      <c r="B104" s="144">
        <v>0</v>
      </c>
      <c r="C104" s="221">
        <v>0</v>
      </c>
      <c r="D104" s="101">
        <f t="shared" si="10"/>
        <v>0</v>
      </c>
      <c r="E104" s="147" t="s">
        <v>150</v>
      </c>
      <c r="F104" s="139">
        <v>0</v>
      </c>
      <c r="G104" s="154">
        <v>0</v>
      </c>
      <c r="H104" s="148">
        <f t="shared" si="11"/>
        <v>0</v>
      </c>
    </row>
    <row r="105" spans="1:8" ht="14.95" thickBot="1" x14ac:dyDescent="0.3">
      <c r="A105" s="100" t="s">
        <v>470</v>
      </c>
      <c r="B105" s="144">
        <v>0</v>
      </c>
      <c r="C105" s="221">
        <v>0</v>
      </c>
      <c r="D105" s="101">
        <f t="shared" si="10"/>
        <v>0</v>
      </c>
      <c r="E105" s="147" t="s">
        <v>470</v>
      </c>
      <c r="F105" s="139">
        <v>0</v>
      </c>
      <c r="G105" s="154">
        <v>0</v>
      </c>
      <c r="H105" s="148">
        <f t="shared" si="11"/>
        <v>0</v>
      </c>
    </row>
    <row r="106" spans="1:8" ht="14.95" thickBot="1" x14ac:dyDescent="0.3">
      <c r="A106" s="100" t="s">
        <v>526</v>
      </c>
      <c r="B106" s="144">
        <v>0</v>
      </c>
      <c r="C106" s="221">
        <v>0</v>
      </c>
      <c r="D106" s="101">
        <f t="shared" si="10"/>
        <v>0</v>
      </c>
      <c r="E106" s="147" t="s">
        <v>526</v>
      </c>
      <c r="F106" s="139">
        <v>0</v>
      </c>
      <c r="G106" s="154">
        <v>0</v>
      </c>
      <c r="H106" s="148">
        <f t="shared" si="11"/>
        <v>0</v>
      </c>
    </row>
    <row r="107" spans="1:8" ht="14.95" thickBot="1" x14ac:dyDescent="0.3">
      <c r="A107" s="100" t="s">
        <v>527</v>
      </c>
      <c r="B107" s="144">
        <v>0</v>
      </c>
      <c r="C107" s="221">
        <v>0</v>
      </c>
      <c r="D107" s="101">
        <f t="shared" si="10"/>
        <v>0</v>
      </c>
      <c r="E107" s="147" t="s">
        <v>527</v>
      </c>
      <c r="F107" s="139">
        <v>0</v>
      </c>
      <c r="G107" s="154">
        <v>0</v>
      </c>
      <c r="H107" s="148">
        <f t="shared" si="11"/>
        <v>0</v>
      </c>
    </row>
    <row r="108" spans="1:8" ht="14.95" thickBot="1" x14ac:dyDescent="0.3">
      <c r="A108" s="100" t="s">
        <v>528</v>
      </c>
      <c r="B108" s="144">
        <v>0</v>
      </c>
      <c r="C108" s="221">
        <v>0</v>
      </c>
      <c r="D108" s="101">
        <f t="shared" si="10"/>
        <v>0</v>
      </c>
      <c r="E108" s="147" t="s">
        <v>528</v>
      </c>
      <c r="F108" s="139">
        <v>0</v>
      </c>
      <c r="G108" s="154">
        <v>0</v>
      </c>
      <c r="H108" s="148">
        <f t="shared" si="11"/>
        <v>0</v>
      </c>
    </row>
    <row r="109" spans="1:8" ht="14.95" thickBot="1" x14ac:dyDescent="0.3">
      <c r="A109" s="100" t="s">
        <v>535</v>
      </c>
      <c r="B109" s="144">
        <v>0</v>
      </c>
      <c r="C109" s="221">
        <v>0</v>
      </c>
      <c r="D109" s="101">
        <f t="shared" si="10"/>
        <v>0</v>
      </c>
      <c r="E109" s="147" t="s">
        <v>535</v>
      </c>
      <c r="F109" s="139">
        <v>0</v>
      </c>
      <c r="G109" s="154">
        <v>0</v>
      </c>
      <c r="H109" s="148">
        <f t="shared" si="11"/>
        <v>0</v>
      </c>
    </row>
    <row r="110" spans="1:8" ht="14.95" thickBot="1" x14ac:dyDescent="0.3">
      <c r="A110" s="100" t="s">
        <v>151</v>
      </c>
      <c r="B110" s="144">
        <v>0</v>
      </c>
      <c r="C110" s="221">
        <v>0</v>
      </c>
      <c r="D110" s="101">
        <f t="shared" si="10"/>
        <v>0</v>
      </c>
      <c r="E110" s="147" t="s">
        <v>151</v>
      </c>
      <c r="F110" s="139">
        <v>0</v>
      </c>
      <c r="G110" s="154">
        <v>0</v>
      </c>
      <c r="H110" s="148">
        <f t="shared" si="11"/>
        <v>0</v>
      </c>
    </row>
    <row r="111" spans="1:8" ht="14.95" thickBot="1" x14ac:dyDescent="0.3">
      <c r="A111" s="100" t="s">
        <v>148</v>
      </c>
      <c r="B111" s="144">
        <v>0</v>
      </c>
      <c r="C111" s="221">
        <v>0</v>
      </c>
      <c r="D111" s="101">
        <f t="shared" si="10"/>
        <v>0</v>
      </c>
      <c r="E111" s="147" t="s">
        <v>148</v>
      </c>
      <c r="F111" s="139">
        <v>0</v>
      </c>
      <c r="G111" s="154">
        <v>0</v>
      </c>
      <c r="H111" s="148">
        <f t="shared" si="11"/>
        <v>0</v>
      </c>
    </row>
    <row r="112" spans="1:8" ht="14.95" thickBot="1" x14ac:dyDescent="0.3">
      <c r="A112" s="100" t="s">
        <v>532</v>
      </c>
      <c r="B112" s="144">
        <v>0</v>
      </c>
      <c r="C112" s="221">
        <v>0</v>
      </c>
      <c r="D112" s="101">
        <f t="shared" si="10"/>
        <v>0</v>
      </c>
      <c r="E112" s="147" t="s">
        <v>532</v>
      </c>
      <c r="F112" s="139">
        <v>0</v>
      </c>
      <c r="G112" s="154">
        <v>0</v>
      </c>
      <c r="H112" s="148">
        <f t="shared" si="11"/>
        <v>0</v>
      </c>
    </row>
    <row r="113" spans="1:8" ht="14.95" thickBot="1" x14ac:dyDescent="0.3">
      <c r="A113" s="100" t="s">
        <v>159</v>
      </c>
      <c r="B113" s="144">
        <v>0</v>
      </c>
      <c r="C113" s="221">
        <v>0</v>
      </c>
      <c r="D113" s="101">
        <f t="shared" si="10"/>
        <v>0</v>
      </c>
      <c r="E113" s="147" t="s">
        <v>159</v>
      </c>
      <c r="F113" s="139">
        <v>0</v>
      </c>
      <c r="G113" s="154">
        <v>0</v>
      </c>
      <c r="H113" s="148">
        <f t="shared" si="11"/>
        <v>0</v>
      </c>
    </row>
    <row r="114" spans="1:8" ht="14.95" thickBot="1" x14ac:dyDescent="0.3">
      <c r="A114" s="100" t="s">
        <v>160</v>
      </c>
      <c r="B114" s="144">
        <v>0</v>
      </c>
      <c r="C114" s="221">
        <v>0</v>
      </c>
      <c r="D114" s="101">
        <f t="shared" si="10"/>
        <v>0</v>
      </c>
      <c r="E114" s="147" t="s">
        <v>160</v>
      </c>
      <c r="F114" s="139">
        <v>0</v>
      </c>
      <c r="G114" s="154">
        <v>0</v>
      </c>
      <c r="H114" s="148">
        <f t="shared" si="11"/>
        <v>0</v>
      </c>
    </row>
    <row r="115" spans="1:8" ht="14.95" thickBot="1" x14ac:dyDescent="0.3">
      <c r="A115" s="100" t="s">
        <v>3</v>
      </c>
      <c r="B115" s="144">
        <f>SUM(B61:B114)</f>
        <v>58</v>
      </c>
      <c r="C115" s="221">
        <f>SUM(C61:C114)</f>
        <v>19</v>
      </c>
      <c r="D115" s="101">
        <f t="shared" ref="D115" si="12">SUM(B115:C115)</f>
        <v>77</v>
      </c>
      <c r="E115" s="147" t="s">
        <v>3</v>
      </c>
      <c r="F115" s="139">
        <f>SUM(F61:F114)</f>
        <v>369</v>
      </c>
      <c r="G115" s="154">
        <f>SUM(G61:G114)</f>
        <v>113</v>
      </c>
      <c r="H115" s="148">
        <f t="shared" ref="H115" si="13">SUM(F115:G115)</f>
        <v>482</v>
      </c>
    </row>
    <row r="116" spans="1:8" ht="16.3" x14ac:dyDescent="0.3">
      <c r="A116" s="245" t="s">
        <v>17</v>
      </c>
      <c r="B116" s="246"/>
      <c r="C116" s="246"/>
      <c r="D116" s="246"/>
      <c r="E116" s="246"/>
      <c r="F116" s="246"/>
      <c r="G116" s="246"/>
      <c r="H116" s="246"/>
    </row>
  </sheetData>
  <sortState xmlns:xlrd2="http://schemas.microsoft.com/office/spreadsheetml/2017/richdata2" ref="E61:H114">
    <sortCondition descending="1" ref="H61:H114"/>
  </sortState>
  <mergeCells count="14">
    <mergeCell ref="A116:H116"/>
    <mergeCell ref="I15:I16"/>
    <mergeCell ref="J15:L16"/>
    <mergeCell ref="Z1:AB2"/>
    <mergeCell ref="M9:O10"/>
    <mergeCell ref="U1:W2"/>
    <mergeCell ref="I9:I10"/>
    <mergeCell ref="J9:L10"/>
    <mergeCell ref="R1:T2"/>
    <mergeCell ref="A1:H1"/>
    <mergeCell ref="I1:I2"/>
    <mergeCell ref="J1:L2"/>
    <mergeCell ref="M1:O2"/>
    <mergeCell ref="P1:Q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D8030-C84B-454F-B894-8046D17AFCDD}">
  <dimension ref="A1:AB116"/>
  <sheetViews>
    <sheetView topLeftCell="A15" zoomScaleNormal="100" workbookViewId="0">
      <selection activeCell="Y22" sqref="Y22"/>
    </sheetView>
  </sheetViews>
  <sheetFormatPr defaultRowHeight="14.3" x14ac:dyDescent="0.25"/>
  <cols>
    <col min="1" max="1" width="15.75" customWidth="1"/>
    <col min="2" max="2" width="5" bestFit="1" customWidth="1"/>
    <col min="3" max="3" width="5" customWidth="1"/>
    <col min="4" max="4" width="4.75" customWidth="1"/>
    <col min="5" max="5" width="15.75" customWidth="1"/>
    <col min="6" max="8" width="5.25" customWidth="1"/>
    <col min="9" max="9" width="15.75" customWidth="1"/>
    <col min="10" max="25" width="5.75" customWidth="1"/>
    <col min="26" max="28" width="5.625" customWidth="1"/>
  </cols>
  <sheetData>
    <row r="1" spans="1:28" ht="17" thickBot="1" x14ac:dyDescent="0.3">
      <c r="A1" s="285" t="s">
        <v>657</v>
      </c>
      <c r="B1" s="286"/>
      <c r="C1" s="286"/>
      <c r="D1" s="286"/>
      <c r="E1" s="286"/>
      <c r="F1" s="286"/>
      <c r="G1" s="286"/>
      <c r="H1" s="287"/>
      <c r="I1" s="264" t="s">
        <v>161</v>
      </c>
      <c r="J1" s="260" t="s">
        <v>12</v>
      </c>
      <c r="K1" s="266"/>
      <c r="L1" s="261"/>
      <c r="M1" s="260" t="s">
        <v>19</v>
      </c>
      <c r="N1" s="266"/>
      <c r="O1" s="261"/>
      <c r="P1" s="260" t="s">
        <v>31</v>
      </c>
      <c r="Q1" s="261"/>
      <c r="R1" s="247" t="s">
        <v>162</v>
      </c>
      <c r="S1" s="248"/>
      <c r="T1" s="249"/>
      <c r="U1" s="247" t="s">
        <v>661</v>
      </c>
      <c r="V1" s="248"/>
      <c r="W1" s="249"/>
      <c r="Z1" s="247" t="s">
        <v>435</v>
      </c>
      <c r="AA1" s="248"/>
      <c r="AB1" s="249"/>
    </row>
    <row r="2" spans="1:28" ht="14.95" customHeight="1" thickBot="1" x14ac:dyDescent="0.3">
      <c r="A2" s="77" t="s">
        <v>0</v>
      </c>
      <c r="B2" s="136" t="s">
        <v>161</v>
      </c>
      <c r="C2" s="151" t="s">
        <v>167</v>
      </c>
      <c r="D2" s="79" t="s">
        <v>1</v>
      </c>
      <c r="E2" s="169" t="s">
        <v>2</v>
      </c>
      <c r="F2" s="138" t="s">
        <v>161</v>
      </c>
      <c r="G2" s="153" t="s">
        <v>167</v>
      </c>
      <c r="H2" s="189" t="s">
        <v>1</v>
      </c>
      <c r="I2" s="265"/>
      <c r="J2" s="262"/>
      <c r="K2" s="267"/>
      <c r="L2" s="263"/>
      <c r="M2" s="262"/>
      <c r="N2" s="267"/>
      <c r="O2" s="263"/>
      <c r="P2" s="262"/>
      <c r="Q2" s="263"/>
      <c r="R2" s="250"/>
      <c r="S2" s="251"/>
      <c r="T2" s="252"/>
      <c r="U2" s="250"/>
      <c r="V2" s="251"/>
      <c r="W2" s="252"/>
      <c r="Z2" s="250"/>
      <c r="AA2" s="251"/>
      <c r="AB2" s="252"/>
    </row>
    <row r="3" spans="1:28" ht="14.95" customHeight="1" thickBot="1" x14ac:dyDescent="0.3">
      <c r="A3" s="78" t="s">
        <v>712</v>
      </c>
      <c r="B3" s="137">
        <v>9</v>
      </c>
      <c r="C3" s="152">
        <v>0</v>
      </c>
      <c r="D3" s="80">
        <f t="shared" ref="D3:D56" si="0">SUM(B3:C3)</f>
        <v>9</v>
      </c>
      <c r="E3" s="170" t="s">
        <v>712</v>
      </c>
      <c r="F3" s="139">
        <v>45</v>
      </c>
      <c r="G3" s="154">
        <v>0</v>
      </c>
      <c r="H3" s="188">
        <f t="shared" ref="H3:H56" si="1">SUM(F3:G3)</f>
        <v>45</v>
      </c>
      <c r="I3" s="105" t="s">
        <v>14</v>
      </c>
      <c r="J3" s="2" t="s">
        <v>21</v>
      </c>
      <c r="K3" s="2" t="s">
        <v>7</v>
      </c>
      <c r="L3" s="2" t="s">
        <v>8</v>
      </c>
      <c r="M3" s="2" t="s">
        <v>21</v>
      </c>
      <c r="N3" s="2" t="s">
        <v>7</v>
      </c>
      <c r="O3" s="2" t="s">
        <v>8</v>
      </c>
      <c r="P3" s="2" t="s">
        <v>161</v>
      </c>
      <c r="Q3" s="2" t="s">
        <v>22</v>
      </c>
      <c r="R3" s="110" t="s">
        <v>21</v>
      </c>
      <c r="S3" s="110" t="s">
        <v>7</v>
      </c>
      <c r="T3" s="110" t="s">
        <v>8</v>
      </c>
      <c r="U3" s="110" t="s">
        <v>21</v>
      </c>
      <c r="V3" s="110" t="s">
        <v>7</v>
      </c>
      <c r="W3" s="110" t="s">
        <v>8</v>
      </c>
      <c r="Z3" s="194" t="s">
        <v>21</v>
      </c>
      <c r="AA3" s="110" t="s">
        <v>7</v>
      </c>
      <c r="AB3" s="110" t="s">
        <v>8</v>
      </c>
    </row>
    <row r="4" spans="1:28" ht="14.95" customHeight="1" thickBot="1" x14ac:dyDescent="0.3">
      <c r="A4" s="78" t="s">
        <v>537</v>
      </c>
      <c r="B4" s="137">
        <v>0</v>
      </c>
      <c r="C4" s="152">
        <v>1</v>
      </c>
      <c r="D4" s="80">
        <f t="shared" si="0"/>
        <v>1</v>
      </c>
      <c r="E4" s="170" t="s">
        <v>537</v>
      </c>
      <c r="F4" s="139">
        <v>0</v>
      </c>
      <c r="G4" s="154">
        <v>5</v>
      </c>
      <c r="H4" s="188">
        <f t="shared" si="1"/>
        <v>5</v>
      </c>
      <c r="I4" s="78" t="s">
        <v>366</v>
      </c>
      <c r="J4" s="80" t="s">
        <v>13</v>
      </c>
      <c r="K4" s="80" t="s">
        <v>13</v>
      </c>
      <c r="L4" s="81" t="s">
        <v>13</v>
      </c>
      <c r="M4" s="80" t="s">
        <v>13</v>
      </c>
      <c r="N4" s="80" t="s">
        <v>13</v>
      </c>
      <c r="O4" s="81" t="s">
        <v>13</v>
      </c>
      <c r="P4" s="80">
        <v>-2</v>
      </c>
      <c r="Q4" s="80">
        <v>-2</v>
      </c>
      <c r="R4" s="110">
        <v>2</v>
      </c>
      <c r="S4" s="110">
        <v>5</v>
      </c>
      <c r="T4" s="140">
        <v>40</v>
      </c>
      <c r="U4" s="110">
        <v>1</v>
      </c>
      <c r="V4" s="110">
        <v>3</v>
      </c>
      <c r="W4" s="140">
        <f t="shared" ref="W4:W6" si="2">SUM(U4/V4)*100</f>
        <v>33.333333333333329</v>
      </c>
      <c r="Z4" s="194" t="s">
        <v>13</v>
      </c>
      <c r="AA4" s="110" t="s">
        <v>13</v>
      </c>
      <c r="AB4" s="140" t="s">
        <v>13</v>
      </c>
    </row>
    <row r="5" spans="1:28" ht="14.95" customHeight="1" thickBot="1" x14ac:dyDescent="0.3">
      <c r="A5" s="78" t="s">
        <v>546</v>
      </c>
      <c r="B5" s="137">
        <v>0</v>
      </c>
      <c r="C5" s="152">
        <v>0</v>
      </c>
      <c r="D5" s="80">
        <f t="shared" si="0"/>
        <v>0</v>
      </c>
      <c r="E5" s="170" t="s">
        <v>546</v>
      </c>
      <c r="F5" s="139">
        <v>0</v>
      </c>
      <c r="G5" s="154">
        <v>0</v>
      </c>
      <c r="H5" s="188">
        <f t="shared" si="1"/>
        <v>0</v>
      </c>
      <c r="I5" s="78" t="s">
        <v>185</v>
      </c>
      <c r="J5" s="80" t="s">
        <v>13</v>
      </c>
      <c r="K5" s="80" t="s">
        <v>13</v>
      </c>
      <c r="L5" s="81" t="s">
        <v>13</v>
      </c>
      <c r="M5" s="80" t="s">
        <v>13</v>
      </c>
      <c r="N5" s="80" t="s">
        <v>13</v>
      </c>
      <c r="O5" s="81" t="s">
        <v>13</v>
      </c>
      <c r="P5" s="80">
        <v>1</v>
      </c>
      <c r="Q5" s="80">
        <v>1</v>
      </c>
      <c r="R5" s="110" t="s">
        <v>13</v>
      </c>
      <c r="S5" s="110" t="s">
        <v>13</v>
      </c>
      <c r="T5" s="140" t="s">
        <v>13</v>
      </c>
      <c r="U5" s="110">
        <v>23</v>
      </c>
      <c r="V5" s="110">
        <v>50</v>
      </c>
      <c r="W5" s="140">
        <f t="shared" si="2"/>
        <v>46</v>
      </c>
      <c r="Z5" s="194" t="s">
        <v>13</v>
      </c>
      <c r="AA5" s="110" t="s">
        <v>13</v>
      </c>
      <c r="AB5" s="140" t="s">
        <v>13</v>
      </c>
    </row>
    <row r="6" spans="1:28" ht="14.95" customHeight="1" thickBot="1" x14ac:dyDescent="0.3">
      <c r="A6" s="78" t="s">
        <v>366</v>
      </c>
      <c r="B6" s="137">
        <v>1</v>
      </c>
      <c r="C6" s="152">
        <v>0</v>
      </c>
      <c r="D6" s="80">
        <f t="shared" si="0"/>
        <v>1</v>
      </c>
      <c r="E6" s="170" t="s">
        <v>366</v>
      </c>
      <c r="F6" s="139">
        <v>5</v>
      </c>
      <c r="G6" s="154">
        <v>0</v>
      </c>
      <c r="H6" s="188">
        <f t="shared" si="1"/>
        <v>5</v>
      </c>
      <c r="I6" s="78" t="s">
        <v>132</v>
      </c>
      <c r="J6" s="80">
        <v>61</v>
      </c>
      <c r="K6" s="80">
        <v>75</v>
      </c>
      <c r="L6" s="81">
        <f t="shared" ref="L6" si="3">SUM(J6/K6)*100</f>
        <v>81.333333333333329</v>
      </c>
      <c r="M6" s="80">
        <v>7</v>
      </c>
      <c r="N6" s="80">
        <v>8</v>
      </c>
      <c r="O6" s="81">
        <f t="shared" ref="O6" si="4">SUM(M6/N6)*100</f>
        <v>87.5</v>
      </c>
      <c r="P6" s="80">
        <v>5</v>
      </c>
      <c r="Q6" s="80">
        <v>5</v>
      </c>
      <c r="R6" s="110">
        <v>46</v>
      </c>
      <c r="S6" s="110">
        <v>62</v>
      </c>
      <c r="T6" s="140">
        <v>74.193548387096769</v>
      </c>
      <c r="U6" s="110">
        <v>41</v>
      </c>
      <c r="V6" s="110">
        <v>52</v>
      </c>
      <c r="W6" s="140">
        <f t="shared" si="2"/>
        <v>78.84615384615384</v>
      </c>
      <c r="Z6" s="194">
        <v>35</v>
      </c>
      <c r="AA6" s="110">
        <v>57</v>
      </c>
      <c r="AB6" s="140">
        <f>SUM(Z6/AA6)*100</f>
        <v>61.403508771929829</v>
      </c>
    </row>
    <row r="7" spans="1:28" ht="14.95" customHeight="1" thickBot="1" x14ac:dyDescent="0.3">
      <c r="A7" s="78" t="s">
        <v>119</v>
      </c>
      <c r="B7" s="137">
        <v>7</v>
      </c>
      <c r="C7" s="152">
        <v>0</v>
      </c>
      <c r="D7" s="80">
        <f t="shared" si="0"/>
        <v>7</v>
      </c>
      <c r="E7" s="170" t="s">
        <v>119</v>
      </c>
      <c r="F7" s="139">
        <v>35</v>
      </c>
      <c r="G7" s="154">
        <v>0</v>
      </c>
      <c r="H7" s="188">
        <f t="shared" si="1"/>
        <v>35</v>
      </c>
      <c r="I7" s="78" t="s">
        <v>322</v>
      </c>
      <c r="J7" s="80" t="s">
        <v>13</v>
      </c>
      <c r="K7" s="80" t="s">
        <v>13</v>
      </c>
      <c r="L7" s="81" t="s">
        <v>13</v>
      </c>
      <c r="M7" s="80" t="s">
        <v>13</v>
      </c>
      <c r="N7" s="80" t="s">
        <v>13</v>
      </c>
      <c r="O7" s="81" t="s">
        <v>13</v>
      </c>
      <c r="P7" s="80">
        <v>3</v>
      </c>
      <c r="Q7" s="80">
        <v>11</v>
      </c>
      <c r="R7" s="110">
        <v>3</v>
      </c>
      <c r="S7" s="110">
        <v>3</v>
      </c>
      <c r="T7" s="140">
        <v>100</v>
      </c>
      <c r="U7" s="110" t="s">
        <v>13</v>
      </c>
      <c r="V7" s="110" t="s">
        <v>13</v>
      </c>
      <c r="W7" s="140" t="s">
        <v>13</v>
      </c>
      <c r="Z7" s="194" t="s">
        <v>13</v>
      </c>
      <c r="AA7" s="110" t="s">
        <v>13</v>
      </c>
      <c r="AB7" s="140" t="s">
        <v>13</v>
      </c>
    </row>
    <row r="8" spans="1:28" ht="14.95" customHeight="1" thickBot="1" x14ac:dyDescent="0.3">
      <c r="A8" s="78" t="s">
        <v>79</v>
      </c>
      <c r="B8" s="137">
        <v>3</v>
      </c>
      <c r="C8" s="152">
        <v>2</v>
      </c>
      <c r="D8" s="80">
        <f t="shared" si="0"/>
        <v>5</v>
      </c>
      <c r="E8" s="170" t="s">
        <v>79</v>
      </c>
      <c r="F8" s="139">
        <v>15</v>
      </c>
      <c r="G8" s="154">
        <v>10</v>
      </c>
      <c r="H8" s="188">
        <f t="shared" si="1"/>
        <v>25</v>
      </c>
      <c r="I8" s="78" t="s">
        <v>321</v>
      </c>
      <c r="J8" s="80">
        <v>9</v>
      </c>
      <c r="K8" s="80">
        <v>20</v>
      </c>
      <c r="L8" s="81">
        <f t="shared" ref="L8" si="5">SUM(J8/K8)*100</f>
        <v>45</v>
      </c>
      <c r="M8" s="80" t="s">
        <v>13</v>
      </c>
      <c r="N8" s="80" t="s">
        <v>13</v>
      </c>
      <c r="O8" s="81" t="s">
        <v>13</v>
      </c>
      <c r="P8" s="80">
        <v>1</v>
      </c>
      <c r="Q8" s="80">
        <v>1</v>
      </c>
      <c r="R8" s="110">
        <v>24</v>
      </c>
      <c r="S8" s="110">
        <v>33</v>
      </c>
      <c r="T8" s="140">
        <v>72.727272727272734</v>
      </c>
      <c r="U8" s="110">
        <v>0</v>
      </c>
      <c r="V8" s="110">
        <v>2</v>
      </c>
      <c r="W8" s="140">
        <f t="shared" ref="W8" si="6">SUM(U8/V8)*100</f>
        <v>0</v>
      </c>
      <c r="Z8" s="194" t="s">
        <v>13</v>
      </c>
      <c r="AA8" s="110" t="s">
        <v>13</v>
      </c>
      <c r="AB8" s="140" t="s">
        <v>13</v>
      </c>
    </row>
    <row r="9" spans="1:28" ht="14.95" customHeight="1" thickBot="1" x14ac:dyDescent="0.3">
      <c r="A9" s="78" t="s">
        <v>541</v>
      </c>
      <c r="B9" s="137">
        <v>0</v>
      </c>
      <c r="C9" s="152">
        <v>0</v>
      </c>
      <c r="D9" s="80">
        <f t="shared" si="0"/>
        <v>0</v>
      </c>
      <c r="E9" s="170" t="s">
        <v>541</v>
      </c>
      <c r="F9" s="139">
        <v>0</v>
      </c>
      <c r="G9" s="154">
        <v>0</v>
      </c>
      <c r="H9" s="188">
        <f t="shared" si="1"/>
        <v>0</v>
      </c>
      <c r="I9" s="78" t="s">
        <v>127</v>
      </c>
      <c r="J9" s="80" t="s">
        <v>13</v>
      </c>
      <c r="K9" s="80" t="s">
        <v>13</v>
      </c>
      <c r="L9" s="81" t="s">
        <v>13</v>
      </c>
      <c r="M9" s="80" t="s">
        <v>13</v>
      </c>
      <c r="N9" s="80" t="s">
        <v>13</v>
      </c>
      <c r="O9" s="81" t="s">
        <v>13</v>
      </c>
      <c r="P9" s="80">
        <v>1</v>
      </c>
      <c r="Q9" s="80">
        <v>1</v>
      </c>
      <c r="R9" s="110">
        <v>1</v>
      </c>
      <c r="S9" s="110">
        <v>1</v>
      </c>
      <c r="T9" s="140">
        <v>100</v>
      </c>
      <c r="U9" s="110" t="s">
        <v>13</v>
      </c>
      <c r="V9" s="110" t="s">
        <v>13</v>
      </c>
      <c r="W9" s="140" t="s">
        <v>13</v>
      </c>
      <c r="Z9" s="194" t="s">
        <v>13</v>
      </c>
      <c r="AA9" s="110" t="s">
        <v>13</v>
      </c>
      <c r="AB9" s="140" t="s">
        <v>13</v>
      </c>
    </row>
    <row r="10" spans="1:28" ht="14.95" customHeight="1" thickBot="1" x14ac:dyDescent="0.3">
      <c r="A10" s="78" t="s">
        <v>125</v>
      </c>
      <c r="B10" s="137">
        <v>12</v>
      </c>
      <c r="C10" s="152">
        <v>0</v>
      </c>
      <c r="D10" s="80">
        <f t="shared" si="0"/>
        <v>12</v>
      </c>
      <c r="E10" s="170" t="s">
        <v>125</v>
      </c>
      <c r="F10" s="139">
        <v>60</v>
      </c>
      <c r="G10" s="154">
        <v>0</v>
      </c>
      <c r="H10" s="188">
        <f t="shared" si="1"/>
        <v>60</v>
      </c>
      <c r="I10" s="78" t="s">
        <v>5</v>
      </c>
      <c r="J10" s="80" t="s">
        <v>13</v>
      </c>
      <c r="K10" s="80" t="s">
        <v>13</v>
      </c>
      <c r="L10" s="81" t="s">
        <v>13</v>
      </c>
      <c r="M10" s="80" t="s">
        <v>13</v>
      </c>
      <c r="N10" s="80" t="s">
        <v>13</v>
      </c>
      <c r="O10" s="81" t="s">
        <v>13</v>
      </c>
      <c r="P10" s="80">
        <v>2</v>
      </c>
      <c r="Q10" s="80">
        <v>5</v>
      </c>
      <c r="R10" s="110" t="s">
        <v>13</v>
      </c>
      <c r="S10" s="110" t="s">
        <v>13</v>
      </c>
      <c r="T10" s="140" t="s">
        <v>13</v>
      </c>
      <c r="U10" s="110" t="s">
        <v>13</v>
      </c>
      <c r="V10" s="110" t="s">
        <v>13</v>
      </c>
      <c r="W10" s="140" t="s">
        <v>13</v>
      </c>
      <c r="Z10" s="194">
        <v>21</v>
      </c>
      <c r="AA10" s="110">
        <v>35</v>
      </c>
      <c r="AB10" s="140">
        <f>SUM(Z10/AA10)*100</f>
        <v>60</v>
      </c>
    </row>
    <row r="11" spans="1:28" ht="14.95" customHeight="1" thickBot="1" x14ac:dyDescent="0.3">
      <c r="A11" s="78" t="s">
        <v>117</v>
      </c>
      <c r="B11" s="137">
        <v>0</v>
      </c>
      <c r="C11" s="152">
        <v>0</v>
      </c>
      <c r="D11" s="80">
        <f t="shared" si="0"/>
        <v>0</v>
      </c>
      <c r="E11" s="170" t="s">
        <v>117</v>
      </c>
      <c r="F11" s="139">
        <v>0</v>
      </c>
      <c r="G11" s="154">
        <v>0</v>
      </c>
      <c r="H11" s="188">
        <f t="shared" si="1"/>
        <v>0</v>
      </c>
      <c r="I11" s="77" t="s">
        <v>113</v>
      </c>
      <c r="J11" s="80" t="s">
        <v>13</v>
      </c>
      <c r="K11" s="80" t="s">
        <v>13</v>
      </c>
      <c r="L11" s="81" t="s">
        <v>13</v>
      </c>
      <c r="M11" s="80" t="s">
        <v>13</v>
      </c>
      <c r="N11" s="80" t="s">
        <v>13</v>
      </c>
      <c r="O11" s="81" t="s">
        <v>13</v>
      </c>
      <c r="P11" s="82">
        <v>-1</v>
      </c>
      <c r="Q11" s="82">
        <v>-1</v>
      </c>
      <c r="R11" s="110" t="s">
        <v>13</v>
      </c>
      <c r="S11" s="110" t="s">
        <v>13</v>
      </c>
      <c r="T11" s="140" t="s">
        <v>13</v>
      </c>
      <c r="U11" s="110" t="s">
        <v>13</v>
      </c>
      <c r="V11" s="110" t="s">
        <v>13</v>
      </c>
      <c r="W11" s="140" t="s">
        <v>13</v>
      </c>
      <c r="Z11" s="194">
        <v>1</v>
      </c>
      <c r="AA11" s="110">
        <v>2</v>
      </c>
      <c r="AB11" s="140">
        <f>SUM(Z11/AA11)*100</f>
        <v>50</v>
      </c>
    </row>
    <row r="12" spans="1:28" ht="14.95" customHeight="1" thickBot="1" x14ac:dyDescent="0.3">
      <c r="A12" s="78" t="s">
        <v>692</v>
      </c>
      <c r="B12" s="137">
        <v>7</v>
      </c>
      <c r="C12" s="152">
        <v>4</v>
      </c>
      <c r="D12" s="80">
        <f t="shared" si="0"/>
        <v>11</v>
      </c>
      <c r="E12" s="170" t="s">
        <v>692</v>
      </c>
      <c r="F12" s="139">
        <v>35</v>
      </c>
      <c r="G12" s="154">
        <v>20</v>
      </c>
      <c r="H12" s="188">
        <f t="shared" si="1"/>
        <v>55</v>
      </c>
      <c r="I12" s="95"/>
      <c r="J12" s="96"/>
      <c r="K12" s="35"/>
      <c r="L12" s="35"/>
      <c r="M12" s="96"/>
      <c r="N12" s="35"/>
      <c r="O12" s="36"/>
      <c r="P12" s="37"/>
      <c r="Q12" s="21"/>
      <c r="R12" s="50"/>
      <c r="S12" s="50"/>
      <c r="T12" s="50"/>
    </row>
    <row r="13" spans="1:28" ht="14.95" customHeight="1" thickBot="1" x14ac:dyDescent="0.3">
      <c r="A13" s="78" t="s">
        <v>120</v>
      </c>
      <c r="B13" s="137">
        <v>6</v>
      </c>
      <c r="C13" s="152">
        <v>0</v>
      </c>
      <c r="D13" s="80">
        <f t="shared" si="0"/>
        <v>6</v>
      </c>
      <c r="E13" s="170" t="s">
        <v>120</v>
      </c>
      <c r="F13" s="139">
        <v>30</v>
      </c>
      <c r="G13" s="154">
        <v>0</v>
      </c>
      <c r="H13" s="188">
        <f t="shared" si="1"/>
        <v>30</v>
      </c>
      <c r="I13" s="253" t="s">
        <v>167</v>
      </c>
      <c r="J13" s="260" t="s">
        <v>12</v>
      </c>
      <c r="K13" s="266"/>
      <c r="L13" s="261"/>
      <c r="M13" s="247" t="s">
        <v>661</v>
      </c>
      <c r="N13" s="248"/>
      <c r="O13" s="249"/>
      <c r="R13" s="50"/>
      <c r="S13" s="50"/>
      <c r="T13" s="50"/>
    </row>
    <row r="14" spans="1:28" ht="14.95" customHeight="1" thickBot="1" x14ac:dyDescent="0.3">
      <c r="A14" s="78" t="s">
        <v>538</v>
      </c>
      <c r="B14" s="137">
        <v>7</v>
      </c>
      <c r="C14" s="152">
        <v>0</v>
      </c>
      <c r="D14" s="80">
        <f t="shared" si="0"/>
        <v>7</v>
      </c>
      <c r="E14" s="170" t="s">
        <v>538</v>
      </c>
      <c r="F14" s="139">
        <v>35</v>
      </c>
      <c r="G14" s="154">
        <v>0</v>
      </c>
      <c r="H14" s="188">
        <f t="shared" si="1"/>
        <v>35</v>
      </c>
      <c r="I14" s="254"/>
      <c r="J14" s="262"/>
      <c r="K14" s="267"/>
      <c r="L14" s="263"/>
      <c r="M14" s="250"/>
      <c r="N14" s="251"/>
      <c r="O14" s="252"/>
      <c r="R14" s="50"/>
      <c r="S14" s="50"/>
      <c r="T14" s="50"/>
    </row>
    <row r="15" spans="1:28" ht="14.95" customHeight="1" thickBot="1" x14ac:dyDescent="0.3">
      <c r="A15" s="78" t="s">
        <v>295</v>
      </c>
      <c r="B15" s="137">
        <v>3</v>
      </c>
      <c r="C15" s="152">
        <v>4</v>
      </c>
      <c r="D15" s="80">
        <f t="shared" si="0"/>
        <v>7</v>
      </c>
      <c r="E15" s="170" t="s">
        <v>295</v>
      </c>
      <c r="F15" s="139">
        <v>15</v>
      </c>
      <c r="G15" s="154">
        <v>20</v>
      </c>
      <c r="H15" s="188">
        <f t="shared" si="1"/>
        <v>35</v>
      </c>
      <c r="I15" s="149" t="s">
        <v>14</v>
      </c>
      <c r="J15" s="2" t="s">
        <v>21</v>
      </c>
      <c r="K15" s="2" t="s">
        <v>7</v>
      </c>
      <c r="L15" s="2" t="s">
        <v>8</v>
      </c>
      <c r="M15" s="110" t="s">
        <v>21</v>
      </c>
      <c r="N15" s="110" t="s">
        <v>7</v>
      </c>
      <c r="O15" s="110" t="s">
        <v>8</v>
      </c>
      <c r="R15" s="21"/>
      <c r="S15" s="21"/>
      <c r="T15" s="21"/>
    </row>
    <row r="16" spans="1:28" ht="14.95" customHeight="1" thickBot="1" x14ac:dyDescent="0.3">
      <c r="A16" s="78" t="s">
        <v>185</v>
      </c>
      <c r="B16" s="137">
        <v>0</v>
      </c>
      <c r="C16" s="152">
        <v>0</v>
      </c>
      <c r="D16" s="80">
        <f t="shared" si="0"/>
        <v>0</v>
      </c>
      <c r="E16" s="170" t="s">
        <v>185</v>
      </c>
      <c r="F16" s="139">
        <v>0</v>
      </c>
      <c r="G16" s="154">
        <v>0</v>
      </c>
      <c r="H16" s="188">
        <f t="shared" si="1"/>
        <v>0</v>
      </c>
      <c r="I16" s="77" t="s">
        <v>322</v>
      </c>
      <c r="J16" s="80">
        <v>1</v>
      </c>
      <c r="K16" s="80">
        <v>1</v>
      </c>
      <c r="L16" s="81">
        <f t="shared" ref="L16:L17" si="7">SUM(J16/K16)*100</f>
        <v>100</v>
      </c>
      <c r="M16" s="110">
        <v>6</v>
      </c>
      <c r="N16" s="110">
        <v>7</v>
      </c>
      <c r="O16" s="140">
        <f t="shared" ref="O16:O18" si="8">SUM(M16/N16)*100</f>
        <v>85.714285714285708</v>
      </c>
    </row>
    <row r="17" spans="1:15" ht="14.95" customHeight="1" thickBot="1" x14ac:dyDescent="0.3">
      <c r="A17" s="78" t="s">
        <v>115</v>
      </c>
      <c r="B17" s="137">
        <v>1</v>
      </c>
      <c r="C17" s="152">
        <v>0</v>
      </c>
      <c r="D17" s="80">
        <f t="shared" si="0"/>
        <v>1</v>
      </c>
      <c r="E17" s="170" t="s">
        <v>115</v>
      </c>
      <c r="F17" s="139">
        <v>5</v>
      </c>
      <c r="G17" s="154">
        <v>0</v>
      </c>
      <c r="H17" s="188">
        <f t="shared" si="1"/>
        <v>5</v>
      </c>
      <c r="I17" s="77" t="s">
        <v>321</v>
      </c>
      <c r="J17" s="80">
        <v>29</v>
      </c>
      <c r="K17" s="80">
        <v>44</v>
      </c>
      <c r="L17" s="81">
        <f t="shared" si="7"/>
        <v>65.909090909090907</v>
      </c>
      <c r="M17" s="110">
        <v>8</v>
      </c>
      <c r="N17" s="110">
        <v>16</v>
      </c>
      <c r="O17" s="140">
        <f t="shared" si="8"/>
        <v>50</v>
      </c>
    </row>
    <row r="18" spans="1:15" ht="14.95" customHeight="1" thickBot="1" x14ac:dyDescent="0.3">
      <c r="A18" s="78" t="s">
        <v>126</v>
      </c>
      <c r="B18" s="137">
        <v>0</v>
      </c>
      <c r="C18" s="152">
        <v>0</v>
      </c>
      <c r="D18" s="80">
        <f t="shared" si="0"/>
        <v>0</v>
      </c>
      <c r="E18" s="170" t="s">
        <v>126</v>
      </c>
      <c r="F18" s="139">
        <v>0</v>
      </c>
      <c r="G18" s="154">
        <v>0</v>
      </c>
      <c r="H18" s="188">
        <f t="shared" si="1"/>
        <v>0</v>
      </c>
      <c r="I18" s="77" t="s">
        <v>5</v>
      </c>
      <c r="J18" s="80" t="s">
        <v>13</v>
      </c>
      <c r="K18" s="80" t="s">
        <v>13</v>
      </c>
      <c r="L18" s="81" t="s">
        <v>13</v>
      </c>
      <c r="M18" s="4">
        <v>5</v>
      </c>
      <c r="N18" s="4">
        <v>9</v>
      </c>
      <c r="O18" s="140">
        <f t="shared" si="8"/>
        <v>55.555555555555557</v>
      </c>
    </row>
    <row r="19" spans="1:15" ht="14.95" customHeight="1" thickBot="1" x14ac:dyDescent="0.3">
      <c r="A19" s="78" t="s">
        <v>543</v>
      </c>
      <c r="B19" s="137">
        <v>0</v>
      </c>
      <c r="C19" s="152">
        <v>0</v>
      </c>
      <c r="D19" s="80">
        <f t="shared" si="0"/>
        <v>0</v>
      </c>
      <c r="E19" s="170" t="s">
        <v>543</v>
      </c>
      <c r="F19" s="139">
        <v>0</v>
      </c>
      <c r="G19" s="154">
        <v>0</v>
      </c>
      <c r="H19" s="188">
        <f t="shared" si="1"/>
        <v>0</v>
      </c>
    </row>
    <row r="20" spans="1:15" ht="14.95" customHeight="1" thickBot="1" x14ac:dyDescent="0.3">
      <c r="A20" s="78" t="s">
        <v>258</v>
      </c>
      <c r="B20" s="137">
        <v>1</v>
      </c>
      <c r="C20" s="152">
        <v>0</v>
      </c>
      <c r="D20" s="80">
        <f t="shared" si="0"/>
        <v>1</v>
      </c>
      <c r="E20" s="170" t="s">
        <v>258</v>
      </c>
      <c r="F20" s="139">
        <v>5</v>
      </c>
      <c r="G20" s="154">
        <v>0</v>
      </c>
      <c r="H20" s="188">
        <f t="shared" si="1"/>
        <v>5</v>
      </c>
      <c r="I20" s="268" t="s">
        <v>436</v>
      </c>
      <c r="J20" s="247" t="s">
        <v>162</v>
      </c>
      <c r="K20" s="248"/>
      <c r="L20" s="249"/>
    </row>
    <row r="21" spans="1:15" ht="14.95" customHeight="1" thickBot="1" x14ac:dyDescent="0.3">
      <c r="A21" s="78" t="s">
        <v>320</v>
      </c>
      <c r="B21" s="137">
        <v>4</v>
      </c>
      <c r="C21" s="152">
        <v>4</v>
      </c>
      <c r="D21" s="80">
        <f t="shared" si="0"/>
        <v>8</v>
      </c>
      <c r="E21" s="170" t="s">
        <v>320</v>
      </c>
      <c r="F21" s="139">
        <v>20</v>
      </c>
      <c r="G21" s="154">
        <v>20</v>
      </c>
      <c r="H21" s="188">
        <f t="shared" si="1"/>
        <v>40</v>
      </c>
      <c r="I21" s="269"/>
      <c r="J21" s="250"/>
      <c r="K21" s="251"/>
      <c r="L21" s="252"/>
    </row>
    <row r="22" spans="1:15" ht="14.95" customHeight="1" thickBot="1" x14ac:dyDescent="0.3">
      <c r="A22" s="78" t="s">
        <v>542</v>
      </c>
      <c r="B22" s="137">
        <v>0</v>
      </c>
      <c r="C22" s="152">
        <v>0</v>
      </c>
      <c r="D22" s="80">
        <f t="shared" si="0"/>
        <v>0</v>
      </c>
      <c r="E22" s="170" t="s">
        <v>542</v>
      </c>
      <c r="F22" s="139">
        <v>0</v>
      </c>
      <c r="G22" s="154">
        <v>0</v>
      </c>
      <c r="H22" s="188">
        <f t="shared" si="1"/>
        <v>0</v>
      </c>
      <c r="I22" s="172" t="s">
        <v>14</v>
      </c>
      <c r="J22" s="110" t="s">
        <v>21</v>
      </c>
      <c r="K22" s="110" t="s">
        <v>7</v>
      </c>
      <c r="L22" s="110" t="s">
        <v>8</v>
      </c>
    </row>
    <row r="23" spans="1:15" ht="14.95" customHeight="1" thickBot="1" x14ac:dyDescent="0.3">
      <c r="A23" s="78" t="s">
        <v>110</v>
      </c>
      <c r="B23" s="137">
        <v>0</v>
      </c>
      <c r="C23" s="152">
        <v>0</v>
      </c>
      <c r="D23" s="80">
        <f t="shared" si="0"/>
        <v>0</v>
      </c>
      <c r="E23" s="170" t="s">
        <v>110</v>
      </c>
      <c r="F23" s="139">
        <v>0</v>
      </c>
      <c r="G23" s="154">
        <v>0</v>
      </c>
      <c r="H23" s="188">
        <f t="shared" si="1"/>
        <v>0</v>
      </c>
      <c r="I23" s="77" t="s">
        <v>322</v>
      </c>
      <c r="J23" s="110">
        <v>1</v>
      </c>
      <c r="K23" s="110">
        <v>1</v>
      </c>
      <c r="L23" s="140">
        <f t="shared" ref="L23" si="9">SUM(J23/K23)*100</f>
        <v>100</v>
      </c>
    </row>
    <row r="24" spans="1:15" ht="14.95" customHeight="1" thickBot="1" x14ac:dyDescent="0.3">
      <c r="A24" s="78" t="s">
        <v>551</v>
      </c>
      <c r="B24" s="137">
        <v>1</v>
      </c>
      <c r="C24" s="152">
        <v>0</v>
      </c>
      <c r="D24" s="80">
        <f t="shared" si="0"/>
        <v>1</v>
      </c>
      <c r="E24" s="170" t="s">
        <v>551</v>
      </c>
      <c r="F24" s="139">
        <v>5</v>
      </c>
      <c r="G24" s="154">
        <v>0</v>
      </c>
      <c r="H24" s="188">
        <f t="shared" si="1"/>
        <v>5</v>
      </c>
      <c r="I24" s="77" t="s">
        <v>321</v>
      </c>
      <c r="J24" s="110">
        <v>5</v>
      </c>
      <c r="K24" s="110">
        <v>8</v>
      </c>
      <c r="L24" s="140">
        <f t="shared" ref="L24:L25" si="10">SUM(J24/K24)*100</f>
        <v>62.5</v>
      </c>
    </row>
    <row r="25" spans="1:15" ht="14.95" customHeight="1" thickBot="1" x14ac:dyDescent="0.3">
      <c r="A25" s="78" t="s">
        <v>352</v>
      </c>
      <c r="B25" s="137">
        <v>0</v>
      </c>
      <c r="C25" s="152">
        <v>0</v>
      </c>
      <c r="D25" s="80">
        <f t="shared" si="0"/>
        <v>0</v>
      </c>
      <c r="E25" s="170" t="s">
        <v>352</v>
      </c>
      <c r="F25" s="139">
        <v>0</v>
      </c>
      <c r="G25" s="154">
        <v>0</v>
      </c>
      <c r="H25" s="188">
        <f t="shared" si="1"/>
        <v>0</v>
      </c>
      <c r="I25" s="77" t="s">
        <v>5</v>
      </c>
      <c r="J25" s="110">
        <v>3</v>
      </c>
      <c r="K25" s="110">
        <v>3</v>
      </c>
      <c r="L25" s="140">
        <f t="shared" si="10"/>
        <v>100</v>
      </c>
    </row>
    <row r="26" spans="1:15" ht="14.95" customHeight="1" thickBot="1" x14ac:dyDescent="0.3">
      <c r="A26" s="78" t="s">
        <v>549</v>
      </c>
      <c r="B26" s="137">
        <v>0</v>
      </c>
      <c r="C26" s="152">
        <v>0</v>
      </c>
      <c r="D26" s="80">
        <f t="shared" si="0"/>
        <v>0</v>
      </c>
      <c r="E26" s="170" t="s">
        <v>549</v>
      </c>
      <c r="F26" s="139">
        <v>0</v>
      </c>
      <c r="G26" s="154">
        <v>0</v>
      </c>
      <c r="H26" s="188">
        <f t="shared" si="1"/>
        <v>0</v>
      </c>
    </row>
    <row r="27" spans="1:15" ht="14.95" customHeight="1" thickBot="1" x14ac:dyDescent="0.3">
      <c r="A27" s="78" t="s">
        <v>111</v>
      </c>
      <c r="B27" s="137">
        <v>0</v>
      </c>
      <c r="C27" s="152">
        <v>0</v>
      </c>
      <c r="D27" s="80">
        <f t="shared" si="0"/>
        <v>0</v>
      </c>
      <c r="E27" s="170" t="s">
        <v>111</v>
      </c>
      <c r="F27" s="139">
        <v>0</v>
      </c>
      <c r="G27" s="154">
        <v>0</v>
      </c>
      <c r="H27" s="188">
        <f t="shared" si="1"/>
        <v>0</v>
      </c>
    </row>
    <row r="28" spans="1:15" ht="14.95" customHeight="1" thickBot="1" x14ac:dyDescent="0.3">
      <c r="A28" s="78" t="s">
        <v>131</v>
      </c>
      <c r="B28" s="137">
        <v>1</v>
      </c>
      <c r="C28" s="152">
        <v>2</v>
      </c>
      <c r="D28" s="80">
        <f t="shared" si="0"/>
        <v>3</v>
      </c>
      <c r="E28" s="170" t="s">
        <v>131</v>
      </c>
      <c r="F28" s="139">
        <v>5</v>
      </c>
      <c r="G28" s="154">
        <v>10</v>
      </c>
      <c r="H28" s="188">
        <f t="shared" si="1"/>
        <v>15</v>
      </c>
    </row>
    <row r="29" spans="1:15" ht="14.95" customHeight="1" thickBot="1" x14ac:dyDescent="0.3">
      <c r="A29" s="78" t="s">
        <v>253</v>
      </c>
      <c r="B29" s="137">
        <v>1</v>
      </c>
      <c r="C29" s="152">
        <v>2</v>
      </c>
      <c r="D29" s="80">
        <f t="shared" si="0"/>
        <v>3</v>
      </c>
      <c r="E29" s="170" t="s">
        <v>253</v>
      </c>
      <c r="F29" s="139">
        <v>5</v>
      </c>
      <c r="G29" s="154">
        <v>10</v>
      </c>
      <c r="H29" s="188">
        <f t="shared" si="1"/>
        <v>15</v>
      </c>
    </row>
    <row r="30" spans="1:15" ht="14.95" customHeight="1" thickBot="1" x14ac:dyDescent="0.3">
      <c r="A30" s="78" t="s">
        <v>132</v>
      </c>
      <c r="B30" s="137">
        <v>0</v>
      </c>
      <c r="C30" s="152">
        <v>0</v>
      </c>
      <c r="D30" s="80">
        <f t="shared" si="0"/>
        <v>0</v>
      </c>
      <c r="E30" s="170" t="s">
        <v>132</v>
      </c>
      <c r="F30" s="139">
        <v>126</v>
      </c>
      <c r="G30" s="154">
        <v>0</v>
      </c>
      <c r="H30" s="188">
        <f t="shared" si="1"/>
        <v>126</v>
      </c>
    </row>
    <row r="31" spans="1:15" ht="14.95" customHeight="1" thickBot="1" x14ac:dyDescent="0.3">
      <c r="A31" s="78" t="s">
        <v>91</v>
      </c>
      <c r="B31" s="137">
        <v>0</v>
      </c>
      <c r="C31" s="152">
        <v>0</v>
      </c>
      <c r="D31" s="80">
        <f t="shared" si="0"/>
        <v>0</v>
      </c>
      <c r="E31" s="170" t="s">
        <v>91</v>
      </c>
      <c r="F31" s="139">
        <v>0</v>
      </c>
      <c r="G31" s="154">
        <v>0</v>
      </c>
      <c r="H31" s="188">
        <f t="shared" si="1"/>
        <v>0</v>
      </c>
    </row>
    <row r="32" spans="1:15" ht="14.95" customHeight="1" thickBot="1" x14ac:dyDescent="0.3">
      <c r="A32" s="78" t="s">
        <v>121</v>
      </c>
      <c r="B32" s="137">
        <v>0</v>
      </c>
      <c r="C32" s="152">
        <v>0</v>
      </c>
      <c r="D32" s="80">
        <f t="shared" si="0"/>
        <v>0</v>
      </c>
      <c r="E32" s="170" t="s">
        <v>121</v>
      </c>
      <c r="F32" s="139">
        <v>0</v>
      </c>
      <c r="G32" s="154">
        <v>0</v>
      </c>
      <c r="H32" s="188">
        <f t="shared" si="1"/>
        <v>0</v>
      </c>
    </row>
    <row r="33" spans="1:9" ht="14.95" customHeight="1" thickBot="1" x14ac:dyDescent="0.3">
      <c r="A33" s="78" t="s">
        <v>550</v>
      </c>
      <c r="B33" s="137">
        <v>0</v>
      </c>
      <c r="C33" s="152">
        <v>0</v>
      </c>
      <c r="D33" s="80">
        <f t="shared" si="0"/>
        <v>0</v>
      </c>
      <c r="E33" s="170" t="s">
        <v>550</v>
      </c>
      <c r="F33" s="139">
        <v>0</v>
      </c>
      <c r="G33" s="154">
        <v>0</v>
      </c>
      <c r="H33" s="188">
        <f t="shared" si="1"/>
        <v>0</v>
      </c>
    </row>
    <row r="34" spans="1:9" ht="14.95" customHeight="1" thickBot="1" x14ac:dyDescent="0.3">
      <c r="A34" s="78" t="s">
        <v>61</v>
      </c>
      <c r="B34" s="137">
        <v>0</v>
      </c>
      <c r="C34" s="152">
        <v>0</v>
      </c>
      <c r="D34" s="80">
        <f t="shared" si="0"/>
        <v>0</v>
      </c>
      <c r="E34" s="170" t="s">
        <v>61</v>
      </c>
      <c r="F34" s="139">
        <v>0</v>
      </c>
      <c r="G34" s="154">
        <v>0</v>
      </c>
      <c r="H34" s="188">
        <f t="shared" si="1"/>
        <v>0</v>
      </c>
    </row>
    <row r="35" spans="1:9" ht="14.95" customHeight="1" thickBot="1" x14ac:dyDescent="0.3">
      <c r="A35" s="78" t="s">
        <v>547</v>
      </c>
      <c r="B35" s="137">
        <v>0</v>
      </c>
      <c r="C35" s="152">
        <v>0</v>
      </c>
      <c r="D35" s="80">
        <f t="shared" si="0"/>
        <v>0</v>
      </c>
      <c r="E35" s="170" t="s">
        <v>547</v>
      </c>
      <c r="F35" s="139">
        <v>0</v>
      </c>
      <c r="G35" s="154">
        <v>0</v>
      </c>
      <c r="H35" s="188">
        <f t="shared" si="1"/>
        <v>0</v>
      </c>
    </row>
    <row r="36" spans="1:9" ht="14.95" customHeight="1" thickBot="1" x14ac:dyDescent="0.3">
      <c r="A36" s="78" t="s">
        <v>548</v>
      </c>
      <c r="B36" s="137">
        <v>0</v>
      </c>
      <c r="C36" s="152">
        <v>0</v>
      </c>
      <c r="D36" s="80">
        <f t="shared" si="0"/>
        <v>0</v>
      </c>
      <c r="E36" s="170" t="s">
        <v>548</v>
      </c>
      <c r="F36" s="139">
        <v>0</v>
      </c>
      <c r="G36" s="154">
        <v>0</v>
      </c>
      <c r="H36" s="188">
        <f t="shared" si="1"/>
        <v>0</v>
      </c>
    </row>
    <row r="37" spans="1:9" ht="14.95" customHeight="1" thickBot="1" x14ac:dyDescent="0.3">
      <c r="A37" s="78" t="s">
        <v>322</v>
      </c>
      <c r="B37" s="137">
        <v>1</v>
      </c>
      <c r="C37" s="152">
        <v>5</v>
      </c>
      <c r="D37" s="80">
        <f t="shared" si="0"/>
        <v>6</v>
      </c>
      <c r="E37" s="170" t="s">
        <v>322</v>
      </c>
      <c r="F37" s="139">
        <v>5</v>
      </c>
      <c r="G37" s="154">
        <v>27</v>
      </c>
      <c r="H37" s="188">
        <f t="shared" si="1"/>
        <v>32</v>
      </c>
    </row>
    <row r="38" spans="1:9" ht="14.95" customHeight="1" thickBot="1" x14ac:dyDescent="0.3">
      <c r="A38" s="78" t="s">
        <v>118</v>
      </c>
      <c r="B38" s="137">
        <v>0</v>
      </c>
      <c r="C38" s="152">
        <v>0</v>
      </c>
      <c r="D38" s="80">
        <f t="shared" si="0"/>
        <v>0</v>
      </c>
      <c r="E38" s="170" t="s">
        <v>118</v>
      </c>
      <c r="F38" s="139">
        <v>0</v>
      </c>
      <c r="G38" s="154">
        <v>0</v>
      </c>
      <c r="H38" s="188">
        <f t="shared" si="1"/>
        <v>0</v>
      </c>
    </row>
    <row r="39" spans="1:9" ht="14.95" customHeight="1" thickBot="1" x14ac:dyDescent="0.3">
      <c r="A39" s="78" t="s">
        <v>321</v>
      </c>
      <c r="B39" s="137">
        <v>3</v>
      </c>
      <c r="C39" s="152">
        <v>2</v>
      </c>
      <c r="D39" s="80">
        <f t="shared" si="0"/>
        <v>5</v>
      </c>
      <c r="E39" s="170" t="s">
        <v>321</v>
      </c>
      <c r="F39" s="139">
        <v>33</v>
      </c>
      <c r="G39" s="154">
        <v>69</v>
      </c>
      <c r="H39" s="188">
        <f t="shared" si="1"/>
        <v>102</v>
      </c>
    </row>
    <row r="40" spans="1:9" ht="14.95" customHeight="1" thickBot="1" x14ac:dyDescent="0.3">
      <c r="A40" s="78" t="s">
        <v>127</v>
      </c>
      <c r="B40" s="137">
        <v>1</v>
      </c>
      <c r="C40" s="152">
        <v>1</v>
      </c>
      <c r="D40" s="80">
        <f t="shared" si="0"/>
        <v>2</v>
      </c>
      <c r="E40" s="170" t="s">
        <v>127</v>
      </c>
      <c r="F40" s="139">
        <v>5</v>
      </c>
      <c r="G40" s="154">
        <v>5</v>
      </c>
      <c r="H40" s="188">
        <f t="shared" si="1"/>
        <v>10</v>
      </c>
      <c r="I40" s="69"/>
    </row>
    <row r="41" spans="1:9" ht="14.95" customHeight="1" thickBot="1" x14ac:dyDescent="0.3">
      <c r="A41" s="78" t="s">
        <v>122</v>
      </c>
      <c r="B41" s="137">
        <v>2</v>
      </c>
      <c r="C41" s="152">
        <v>2</v>
      </c>
      <c r="D41" s="80">
        <f t="shared" si="0"/>
        <v>4</v>
      </c>
      <c r="E41" s="170" t="s">
        <v>122</v>
      </c>
      <c r="F41" s="139">
        <v>10</v>
      </c>
      <c r="G41" s="154">
        <v>10</v>
      </c>
      <c r="H41" s="188">
        <f t="shared" si="1"/>
        <v>20</v>
      </c>
    </row>
    <row r="42" spans="1:9" ht="14.95" customHeight="1" thickBot="1" x14ac:dyDescent="0.3">
      <c r="A42" s="78" t="s">
        <v>109</v>
      </c>
      <c r="B42" s="137">
        <v>0</v>
      </c>
      <c r="C42" s="152">
        <v>0</v>
      </c>
      <c r="D42" s="80">
        <f t="shared" si="0"/>
        <v>0</v>
      </c>
      <c r="E42" s="170" t="s">
        <v>109</v>
      </c>
      <c r="F42" s="139">
        <v>0</v>
      </c>
      <c r="G42" s="154">
        <v>0</v>
      </c>
      <c r="H42" s="188">
        <f t="shared" si="1"/>
        <v>0</v>
      </c>
    </row>
    <row r="43" spans="1:9" ht="14.95" customHeight="1" thickBot="1" x14ac:dyDescent="0.3">
      <c r="A43" s="78" t="s">
        <v>516</v>
      </c>
      <c r="B43" s="137">
        <v>3</v>
      </c>
      <c r="C43" s="152">
        <v>0</v>
      </c>
      <c r="D43" s="80">
        <f t="shared" si="0"/>
        <v>3</v>
      </c>
      <c r="E43" s="170" t="s">
        <v>516</v>
      </c>
      <c r="F43" s="139">
        <v>15</v>
      </c>
      <c r="G43" s="154">
        <v>0</v>
      </c>
      <c r="H43" s="188">
        <f t="shared" si="1"/>
        <v>15</v>
      </c>
    </row>
    <row r="44" spans="1:9" ht="14.95" customHeight="1" thickBot="1" x14ac:dyDescent="0.3">
      <c r="A44" s="78" t="s">
        <v>124</v>
      </c>
      <c r="B44" s="137">
        <v>4</v>
      </c>
      <c r="C44" s="152">
        <v>0</v>
      </c>
      <c r="D44" s="80">
        <f t="shared" si="0"/>
        <v>4</v>
      </c>
      <c r="E44" s="170" t="s">
        <v>124</v>
      </c>
      <c r="F44" s="139">
        <v>20</v>
      </c>
      <c r="G44" s="154">
        <v>0</v>
      </c>
      <c r="H44" s="188">
        <f t="shared" si="1"/>
        <v>20</v>
      </c>
    </row>
    <row r="45" spans="1:9" ht="14.95" customHeight="1" thickBot="1" x14ac:dyDescent="0.3">
      <c r="A45" s="78" t="s">
        <v>4</v>
      </c>
      <c r="B45" s="137">
        <v>0</v>
      </c>
      <c r="C45" s="152">
        <v>0</v>
      </c>
      <c r="D45" s="80">
        <f t="shared" si="0"/>
        <v>0</v>
      </c>
      <c r="E45" s="170" t="s">
        <v>4</v>
      </c>
      <c r="F45" s="139">
        <v>0</v>
      </c>
      <c r="G45" s="154">
        <v>0</v>
      </c>
      <c r="H45" s="188">
        <f t="shared" si="1"/>
        <v>0</v>
      </c>
    </row>
    <row r="46" spans="1:9" ht="14.95" customHeight="1" thickBot="1" x14ac:dyDescent="0.3">
      <c r="A46" s="78" t="s">
        <v>112</v>
      </c>
      <c r="B46" s="137">
        <v>3</v>
      </c>
      <c r="C46" s="152">
        <v>0</v>
      </c>
      <c r="D46" s="80">
        <f t="shared" si="0"/>
        <v>3</v>
      </c>
      <c r="E46" s="170" t="s">
        <v>112</v>
      </c>
      <c r="F46" s="139">
        <v>15</v>
      </c>
      <c r="G46" s="154">
        <v>0</v>
      </c>
      <c r="H46" s="188">
        <f t="shared" si="1"/>
        <v>15</v>
      </c>
    </row>
    <row r="47" spans="1:9" ht="14.95" customHeight="1" thickBot="1" x14ac:dyDescent="0.3">
      <c r="A47" s="78" t="s">
        <v>709</v>
      </c>
      <c r="B47" s="137">
        <v>1</v>
      </c>
      <c r="C47" s="152">
        <v>0</v>
      </c>
      <c r="D47" s="80">
        <f t="shared" si="0"/>
        <v>1</v>
      </c>
      <c r="E47" s="170" t="s">
        <v>709</v>
      </c>
      <c r="F47" s="139">
        <v>5</v>
      </c>
      <c r="G47" s="154">
        <v>0</v>
      </c>
      <c r="H47" s="188">
        <f t="shared" si="1"/>
        <v>5</v>
      </c>
    </row>
    <row r="48" spans="1:9" ht="14.95" customHeight="1" thickBot="1" x14ac:dyDescent="0.3">
      <c r="A48" s="78" t="s">
        <v>425</v>
      </c>
      <c r="B48" s="137">
        <v>3</v>
      </c>
      <c r="C48" s="152">
        <v>3</v>
      </c>
      <c r="D48" s="80">
        <f t="shared" si="0"/>
        <v>6</v>
      </c>
      <c r="E48" s="170" t="s">
        <v>425</v>
      </c>
      <c r="F48" s="139">
        <v>15</v>
      </c>
      <c r="G48" s="154">
        <v>15</v>
      </c>
      <c r="H48" s="188">
        <f t="shared" si="1"/>
        <v>30</v>
      </c>
    </row>
    <row r="49" spans="1:8" ht="14.95" customHeight="1" thickBot="1" x14ac:dyDescent="0.3">
      <c r="A49" s="78" t="s">
        <v>544</v>
      </c>
      <c r="B49" s="137">
        <v>1</v>
      </c>
      <c r="C49" s="152">
        <v>0</v>
      </c>
      <c r="D49" s="80">
        <f t="shared" si="0"/>
        <v>1</v>
      </c>
      <c r="E49" s="170" t="s">
        <v>544</v>
      </c>
      <c r="F49" s="139">
        <v>5</v>
      </c>
      <c r="G49" s="154">
        <v>0</v>
      </c>
      <c r="H49" s="188">
        <f t="shared" si="1"/>
        <v>5</v>
      </c>
    </row>
    <row r="50" spans="1:8" ht="14.95" customHeight="1" thickBot="1" x14ac:dyDescent="0.3">
      <c r="A50" s="78" t="s">
        <v>545</v>
      </c>
      <c r="B50" s="137">
        <v>4</v>
      </c>
      <c r="C50" s="152">
        <v>0</v>
      </c>
      <c r="D50" s="80">
        <f t="shared" si="0"/>
        <v>4</v>
      </c>
      <c r="E50" s="170" t="s">
        <v>545</v>
      </c>
      <c r="F50" s="139">
        <v>20</v>
      </c>
      <c r="G50" s="154">
        <v>0</v>
      </c>
      <c r="H50" s="188">
        <f t="shared" si="1"/>
        <v>20</v>
      </c>
    </row>
    <row r="51" spans="1:8" ht="14.95" customHeight="1" thickBot="1" x14ac:dyDescent="0.3">
      <c r="A51" s="78" t="s">
        <v>130</v>
      </c>
      <c r="B51" s="137">
        <v>0</v>
      </c>
      <c r="C51" s="152">
        <v>0</v>
      </c>
      <c r="D51" s="80">
        <f t="shared" si="0"/>
        <v>0</v>
      </c>
      <c r="E51" s="170" t="s">
        <v>130</v>
      </c>
      <c r="F51" s="139">
        <v>0</v>
      </c>
      <c r="G51" s="154">
        <v>0</v>
      </c>
      <c r="H51" s="188">
        <f t="shared" si="1"/>
        <v>0</v>
      </c>
    </row>
    <row r="52" spans="1:8" ht="14.95" thickBot="1" x14ac:dyDescent="0.3">
      <c r="A52" s="78" t="s">
        <v>539</v>
      </c>
      <c r="B52" s="137">
        <v>0</v>
      </c>
      <c r="C52" s="152">
        <v>1</v>
      </c>
      <c r="D52" s="80">
        <f t="shared" si="0"/>
        <v>1</v>
      </c>
      <c r="E52" s="170" t="s">
        <v>539</v>
      </c>
      <c r="F52" s="139">
        <v>0</v>
      </c>
      <c r="G52" s="154">
        <v>5</v>
      </c>
      <c r="H52" s="188">
        <f t="shared" si="1"/>
        <v>5</v>
      </c>
    </row>
    <row r="53" spans="1:8" ht="14.95" thickBot="1" x14ac:dyDescent="0.3">
      <c r="A53" s="78" t="s">
        <v>764</v>
      </c>
      <c r="B53" s="137">
        <v>1</v>
      </c>
      <c r="C53" s="152">
        <v>0</v>
      </c>
      <c r="D53" s="80">
        <f t="shared" si="0"/>
        <v>1</v>
      </c>
      <c r="E53" s="170" t="s">
        <v>764</v>
      </c>
      <c r="F53" s="139">
        <v>5</v>
      </c>
      <c r="G53" s="154">
        <v>0</v>
      </c>
      <c r="H53" s="188">
        <f t="shared" si="1"/>
        <v>5</v>
      </c>
    </row>
    <row r="54" spans="1:8" ht="14.95" thickBot="1" x14ac:dyDescent="0.3">
      <c r="A54" s="78" t="s">
        <v>540</v>
      </c>
      <c r="B54" s="137">
        <v>0</v>
      </c>
      <c r="C54" s="152">
        <v>4</v>
      </c>
      <c r="D54" s="80">
        <f t="shared" si="0"/>
        <v>4</v>
      </c>
      <c r="E54" s="170" t="s">
        <v>540</v>
      </c>
      <c r="F54" s="139">
        <v>0</v>
      </c>
      <c r="G54" s="154">
        <v>20</v>
      </c>
      <c r="H54" s="188">
        <f t="shared" si="1"/>
        <v>20</v>
      </c>
    </row>
    <row r="55" spans="1:8" ht="14.95" customHeight="1" thickBot="1" x14ac:dyDescent="0.3">
      <c r="A55" s="78" t="s">
        <v>133</v>
      </c>
      <c r="B55" s="137">
        <v>0</v>
      </c>
      <c r="C55" s="152">
        <v>6</v>
      </c>
      <c r="D55" s="80">
        <f t="shared" si="0"/>
        <v>6</v>
      </c>
      <c r="E55" s="170" t="s">
        <v>133</v>
      </c>
      <c r="F55" s="139">
        <v>0</v>
      </c>
      <c r="G55" s="154">
        <v>30</v>
      </c>
      <c r="H55" s="188">
        <f t="shared" si="1"/>
        <v>30</v>
      </c>
    </row>
    <row r="56" spans="1:8" ht="14.95" thickBot="1" x14ac:dyDescent="0.3">
      <c r="A56" s="78" t="s">
        <v>113</v>
      </c>
      <c r="B56" s="137">
        <v>0</v>
      </c>
      <c r="C56" s="152">
        <v>1</v>
      </c>
      <c r="D56" s="80">
        <f t="shared" si="0"/>
        <v>1</v>
      </c>
      <c r="E56" s="170" t="s">
        <v>113</v>
      </c>
      <c r="F56" s="139">
        <v>0</v>
      </c>
      <c r="G56" s="154">
        <v>5</v>
      </c>
      <c r="H56" s="188">
        <f t="shared" si="1"/>
        <v>5</v>
      </c>
    </row>
    <row r="57" spans="1:8" ht="14.95" thickBot="1" x14ac:dyDescent="0.3">
      <c r="A57" s="78" t="s">
        <v>3</v>
      </c>
      <c r="B57" s="137">
        <f>SUM(B3:B56)</f>
        <v>91</v>
      </c>
      <c r="C57" s="152">
        <f>SUM(C3:C56)</f>
        <v>44</v>
      </c>
      <c r="D57" s="80">
        <f>SUM(B57:C57)</f>
        <v>135</v>
      </c>
      <c r="E57" s="170" t="s">
        <v>3</v>
      </c>
      <c r="F57" s="139">
        <f>SUM(F3:F56)</f>
        <v>599</v>
      </c>
      <c r="G57" s="154">
        <f>SUM(G3:G56)</f>
        <v>281</v>
      </c>
      <c r="H57" s="188">
        <f>SUM(F57:G57)</f>
        <v>880</v>
      </c>
    </row>
    <row r="58" spans="1:8" ht="14.3" customHeight="1" x14ac:dyDescent="0.25">
      <c r="A58" s="70"/>
      <c r="B58" s="71"/>
      <c r="C58" s="71"/>
      <c r="D58" s="35"/>
      <c r="E58" s="70"/>
      <c r="F58" s="72"/>
      <c r="G58" s="72"/>
      <c r="H58" s="190"/>
    </row>
    <row r="59" spans="1:8" ht="14.95" thickBot="1" x14ac:dyDescent="0.3">
      <c r="A59" s="32" t="s">
        <v>9</v>
      </c>
      <c r="B59" s="71"/>
      <c r="C59" s="71"/>
      <c r="D59" s="35"/>
      <c r="E59" s="70"/>
      <c r="F59" s="72"/>
      <c r="G59" s="72"/>
      <c r="H59" s="190"/>
    </row>
    <row r="60" spans="1:8" ht="14.95" customHeight="1" thickBot="1" x14ac:dyDescent="0.3">
      <c r="A60" s="77" t="s">
        <v>0</v>
      </c>
      <c r="B60" s="136" t="s">
        <v>161</v>
      </c>
      <c r="C60" s="151" t="s">
        <v>167</v>
      </c>
      <c r="D60" s="79" t="s">
        <v>1</v>
      </c>
      <c r="E60" s="169" t="s">
        <v>2</v>
      </c>
      <c r="F60" s="138" t="s">
        <v>161</v>
      </c>
      <c r="G60" s="153" t="s">
        <v>167</v>
      </c>
      <c r="H60" s="189" t="s">
        <v>1</v>
      </c>
    </row>
    <row r="61" spans="1:8" ht="14.95" thickBot="1" x14ac:dyDescent="0.3">
      <c r="A61" s="78" t="s">
        <v>125</v>
      </c>
      <c r="B61" s="137">
        <v>12</v>
      </c>
      <c r="C61" s="152">
        <v>0</v>
      </c>
      <c r="D61" s="80">
        <f>SUM(B61:C61)</f>
        <v>12</v>
      </c>
      <c r="E61" s="170" t="s">
        <v>132</v>
      </c>
      <c r="F61" s="139">
        <v>126</v>
      </c>
      <c r="G61" s="154">
        <v>0</v>
      </c>
      <c r="H61" s="188">
        <f>SUM(F61:G61)</f>
        <v>126</v>
      </c>
    </row>
    <row r="62" spans="1:8" ht="14.95" thickBot="1" x14ac:dyDescent="0.3">
      <c r="A62" s="78" t="s">
        <v>692</v>
      </c>
      <c r="B62" s="137">
        <v>7</v>
      </c>
      <c r="C62" s="152">
        <v>4</v>
      </c>
      <c r="D62" s="80">
        <f>SUM(B62:C62)</f>
        <v>11</v>
      </c>
      <c r="E62" s="170" t="s">
        <v>321</v>
      </c>
      <c r="F62" s="139">
        <v>33</v>
      </c>
      <c r="G62" s="154">
        <v>69</v>
      </c>
      <c r="H62" s="188">
        <f>SUM(F62:G62)</f>
        <v>102</v>
      </c>
    </row>
    <row r="63" spans="1:8" ht="14.95" thickBot="1" x14ac:dyDescent="0.3">
      <c r="A63" s="78" t="s">
        <v>712</v>
      </c>
      <c r="B63" s="137">
        <v>9</v>
      </c>
      <c r="C63" s="152">
        <v>0</v>
      </c>
      <c r="D63" s="80">
        <f>SUM(B63:C63)</f>
        <v>9</v>
      </c>
      <c r="E63" s="170" t="s">
        <v>125</v>
      </c>
      <c r="F63" s="139">
        <v>60</v>
      </c>
      <c r="G63" s="154">
        <v>0</v>
      </c>
      <c r="H63" s="188">
        <f>SUM(F63:G63)</f>
        <v>60</v>
      </c>
    </row>
    <row r="64" spans="1:8" ht="14.95" thickBot="1" x14ac:dyDescent="0.3">
      <c r="A64" s="78" t="s">
        <v>320</v>
      </c>
      <c r="B64" s="137">
        <v>4</v>
      </c>
      <c r="C64" s="152">
        <v>4</v>
      </c>
      <c r="D64" s="80">
        <f>SUM(B64:C64)</f>
        <v>8</v>
      </c>
      <c r="E64" s="170" t="s">
        <v>692</v>
      </c>
      <c r="F64" s="139">
        <v>35</v>
      </c>
      <c r="G64" s="154">
        <v>20</v>
      </c>
      <c r="H64" s="188">
        <f>SUM(F64:G64)</f>
        <v>55</v>
      </c>
    </row>
    <row r="65" spans="1:8" ht="14.95" thickBot="1" x14ac:dyDescent="0.3">
      <c r="A65" s="78" t="s">
        <v>119</v>
      </c>
      <c r="B65" s="137">
        <v>7</v>
      </c>
      <c r="C65" s="152">
        <v>0</v>
      </c>
      <c r="D65" s="80">
        <f>SUM(B65:C65)</f>
        <v>7</v>
      </c>
      <c r="E65" s="170" t="s">
        <v>712</v>
      </c>
      <c r="F65" s="139">
        <v>45</v>
      </c>
      <c r="G65" s="154">
        <v>0</v>
      </c>
      <c r="H65" s="188">
        <f>SUM(F65:G65)</f>
        <v>45</v>
      </c>
    </row>
    <row r="66" spans="1:8" ht="14.95" thickBot="1" x14ac:dyDescent="0.3">
      <c r="A66" s="78" t="s">
        <v>538</v>
      </c>
      <c r="B66" s="137">
        <v>7</v>
      </c>
      <c r="C66" s="152">
        <v>0</v>
      </c>
      <c r="D66" s="80">
        <f>SUM(B66:C66)</f>
        <v>7</v>
      </c>
      <c r="E66" s="170" t="s">
        <v>320</v>
      </c>
      <c r="F66" s="139">
        <v>20</v>
      </c>
      <c r="G66" s="154">
        <v>20</v>
      </c>
      <c r="H66" s="188">
        <f>SUM(F66:G66)</f>
        <v>40</v>
      </c>
    </row>
    <row r="67" spans="1:8" ht="14.95" thickBot="1" x14ac:dyDescent="0.3">
      <c r="A67" s="78" t="s">
        <v>295</v>
      </c>
      <c r="B67" s="137">
        <v>3</v>
      </c>
      <c r="C67" s="152">
        <v>4</v>
      </c>
      <c r="D67" s="80">
        <f>SUM(B67:C67)</f>
        <v>7</v>
      </c>
      <c r="E67" s="170" t="s">
        <v>119</v>
      </c>
      <c r="F67" s="139">
        <v>35</v>
      </c>
      <c r="G67" s="154">
        <v>0</v>
      </c>
      <c r="H67" s="188">
        <f>SUM(F67:G67)</f>
        <v>35</v>
      </c>
    </row>
    <row r="68" spans="1:8" ht="14.95" thickBot="1" x14ac:dyDescent="0.3">
      <c r="A68" s="78" t="s">
        <v>120</v>
      </c>
      <c r="B68" s="137">
        <v>6</v>
      </c>
      <c r="C68" s="152">
        <v>0</v>
      </c>
      <c r="D68" s="80">
        <f>SUM(B68:C68)</f>
        <v>6</v>
      </c>
      <c r="E68" s="170" t="s">
        <v>538</v>
      </c>
      <c r="F68" s="139">
        <v>35</v>
      </c>
      <c r="G68" s="154">
        <v>0</v>
      </c>
      <c r="H68" s="188">
        <f>SUM(F68:G68)</f>
        <v>35</v>
      </c>
    </row>
    <row r="69" spans="1:8" ht="14.95" thickBot="1" x14ac:dyDescent="0.3">
      <c r="A69" s="78" t="s">
        <v>322</v>
      </c>
      <c r="B69" s="137">
        <v>1</v>
      </c>
      <c r="C69" s="152">
        <v>5</v>
      </c>
      <c r="D69" s="80">
        <f>SUM(B69:C69)</f>
        <v>6</v>
      </c>
      <c r="E69" s="170" t="s">
        <v>295</v>
      </c>
      <c r="F69" s="139">
        <v>15</v>
      </c>
      <c r="G69" s="154">
        <v>20</v>
      </c>
      <c r="H69" s="188">
        <f>SUM(F69:G69)</f>
        <v>35</v>
      </c>
    </row>
    <row r="70" spans="1:8" ht="14.95" thickBot="1" x14ac:dyDescent="0.3">
      <c r="A70" s="78" t="s">
        <v>425</v>
      </c>
      <c r="B70" s="137">
        <v>3</v>
      </c>
      <c r="C70" s="152">
        <v>3</v>
      </c>
      <c r="D70" s="80">
        <f>SUM(B70:C70)</f>
        <v>6</v>
      </c>
      <c r="E70" s="170" t="s">
        <v>322</v>
      </c>
      <c r="F70" s="139">
        <v>5</v>
      </c>
      <c r="G70" s="154">
        <v>27</v>
      </c>
      <c r="H70" s="188">
        <f>SUM(F70:G70)</f>
        <v>32</v>
      </c>
    </row>
    <row r="71" spans="1:8" ht="14.95" thickBot="1" x14ac:dyDescent="0.3">
      <c r="A71" s="78" t="s">
        <v>133</v>
      </c>
      <c r="B71" s="137">
        <v>0</v>
      </c>
      <c r="C71" s="152">
        <v>6</v>
      </c>
      <c r="D71" s="80">
        <f>SUM(B71:C71)</f>
        <v>6</v>
      </c>
      <c r="E71" s="170" t="s">
        <v>120</v>
      </c>
      <c r="F71" s="139">
        <v>30</v>
      </c>
      <c r="G71" s="154">
        <v>0</v>
      </c>
      <c r="H71" s="188">
        <f>SUM(F71:G71)</f>
        <v>30</v>
      </c>
    </row>
    <row r="72" spans="1:8" ht="14.95" thickBot="1" x14ac:dyDescent="0.3">
      <c r="A72" s="78" t="s">
        <v>79</v>
      </c>
      <c r="B72" s="137">
        <v>3</v>
      </c>
      <c r="C72" s="152">
        <v>2</v>
      </c>
      <c r="D72" s="80">
        <f>SUM(B72:C72)</f>
        <v>5</v>
      </c>
      <c r="E72" s="170" t="s">
        <v>425</v>
      </c>
      <c r="F72" s="139">
        <v>15</v>
      </c>
      <c r="G72" s="154">
        <v>15</v>
      </c>
      <c r="H72" s="188">
        <f>SUM(F72:G72)</f>
        <v>30</v>
      </c>
    </row>
    <row r="73" spans="1:8" ht="14.95" thickBot="1" x14ac:dyDescent="0.3">
      <c r="A73" s="78" t="s">
        <v>321</v>
      </c>
      <c r="B73" s="137">
        <v>3</v>
      </c>
      <c r="C73" s="152">
        <v>2</v>
      </c>
      <c r="D73" s="80">
        <f>SUM(B73:C73)</f>
        <v>5</v>
      </c>
      <c r="E73" s="170" t="s">
        <v>133</v>
      </c>
      <c r="F73" s="139">
        <v>0</v>
      </c>
      <c r="G73" s="154">
        <v>30</v>
      </c>
      <c r="H73" s="188">
        <f>SUM(F73:G73)</f>
        <v>30</v>
      </c>
    </row>
    <row r="74" spans="1:8" ht="14.95" thickBot="1" x14ac:dyDescent="0.3">
      <c r="A74" s="78" t="s">
        <v>122</v>
      </c>
      <c r="B74" s="137">
        <v>2</v>
      </c>
      <c r="C74" s="152">
        <v>2</v>
      </c>
      <c r="D74" s="80">
        <f>SUM(B74:C74)</f>
        <v>4</v>
      </c>
      <c r="E74" s="170" t="s">
        <v>79</v>
      </c>
      <c r="F74" s="139">
        <v>15</v>
      </c>
      <c r="G74" s="154">
        <v>10</v>
      </c>
      <c r="H74" s="188">
        <f>SUM(F74:G74)</f>
        <v>25</v>
      </c>
    </row>
    <row r="75" spans="1:8" ht="14.95" thickBot="1" x14ac:dyDescent="0.3">
      <c r="A75" s="78" t="s">
        <v>124</v>
      </c>
      <c r="B75" s="137">
        <v>4</v>
      </c>
      <c r="C75" s="152">
        <v>0</v>
      </c>
      <c r="D75" s="80">
        <f>SUM(B75:C75)</f>
        <v>4</v>
      </c>
      <c r="E75" s="170" t="s">
        <v>122</v>
      </c>
      <c r="F75" s="139">
        <v>10</v>
      </c>
      <c r="G75" s="154">
        <v>10</v>
      </c>
      <c r="H75" s="188">
        <f>SUM(F75:G75)</f>
        <v>20</v>
      </c>
    </row>
    <row r="76" spans="1:8" ht="14.95" thickBot="1" x14ac:dyDescent="0.3">
      <c r="A76" s="78" t="s">
        <v>545</v>
      </c>
      <c r="B76" s="137">
        <v>4</v>
      </c>
      <c r="C76" s="152">
        <v>0</v>
      </c>
      <c r="D76" s="80">
        <f>SUM(B76:C76)</f>
        <v>4</v>
      </c>
      <c r="E76" s="170" t="s">
        <v>124</v>
      </c>
      <c r="F76" s="139">
        <v>20</v>
      </c>
      <c r="G76" s="154">
        <v>0</v>
      </c>
      <c r="H76" s="188">
        <f>SUM(F76:G76)</f>
        <v>20</v>
      </c>
    </row>
    <row r="77" spans="1:8" ht="14.95" thickBot="1" x14ac:dyDescent="0.3">
      <c r="A77" s="78" t="s">
        <v>540</v>
      </c>
      <c r="B77" s="137">
        <v>0</v>
      </c>
      <c r="C77" s="152">
        <v>4</v>
      </c>
      <c r="D77" s="80">
        <f>SUM(B77:C77)</f>
        <v>4</v>
      </c>
      <c r="E77" s="170" t="s">
        <v>545</v>
      </c>
      <c r="F77" s="139">
        <v>20</v>
      </c>
      <c r="G77" s="154">
        <v>0</v>
      </c>
      <c r="H77" s="188">
        <f>SUM(F77:G77)</f>
        <v>20</v>
      </c>
    </row>
    <row r="78" spans="1:8" ht="14.95" thickBot="1" x14ac:dyDescent="0.3">
      <c r="A78" s="78" t="s">
        <v>131</v>
      </c>
      <c r="B78" s="137">
        <v>1</v>
      </c>
      <c r="C78" s="152">
        <v>2</v>
      </c>
      <c r="D78" s="80">
        <f>SUM(B78:C78)</f>
        <v>3</v>
      </c>
      <c r="E78" s="170" t="s">
        <v>540</v>
      </c>
      <c r="F78" s="139">
        <v>0</v>
      </c>
      <c r="G78" s="154">
        <v>20</v>
      </c>
      <c r="H78" s="188">
        <f>SUM(F78:G78)</f>
        <v>20</v>
      </c>
    </row>
    <row r="79" spans="1:8" ht="14.95" thickBot="1" x14ac:dyDescent="0.3">
      <c r="A79" s="78" t="s">
        <v>253</v>
      </c>
      <c r="B79" s="137">
        <v>1</v>
      </c>
      <c r="C79" s="152">
        <v>2</v>
      </c>
      <c r="D79" s="80">
        <f>SUM(B79:C79)</f>
        <v>3</v>
      </c>
      <c r="E79" s="170" t="s">
        <v>131</v>
      </c>
      <c r="F79" s="139">
        <v>5</v>
      </c>
      <c r="G79" s="154">
        <v>10</v>
      </c>
      <c r="H79" s="188">
        <f>SUM(F79:G79)</f>
        <v>15</v>
      </c>
    </row>
    <row r="80" spans="1:8" ht="14.95" thickBot="1" x14ac:dyDescent="0.3">
      <c r="A80" s="78" t="s">
        <v>516</v>
      </c>
      <c r="B80" s="137">
        <v>3</v>
      </c>
      <c r="C80" s="152">
        <v>0</v>
      </c>
      <c r="D80" s="80">
        <f>SUM(B80:C80)</f>
        <v>3</v>
      </c>
      <c r="E80" s="170" t="s">
        <v>253</v>
      </c>
      <c r="F80" s="139">
        <v>5</v>
      </c>
      <c r="G80" s="154">
        <v>10</v>
      </c>
      <c r="H80" s="188">
        <f>SUM(F80:G80)</f>
        <v>15</v>
      </c>
    </row>
    <row r="81" spans="1:8" ht="14.95" thickBot="1" x14ac:dyDescent="0.3">
      <c r="A81" s="78" t="s">
        <v>112</v>
      </c>
      <c r="B81" s="137">
        <v>3</v>
      </c>
      <c r="C81" s="152">
        <v>0</v>
      </c>
      <c r="D81" s="80">
        <f>SUM(B81:C81)</f>
        <v>3</v>
      </c>
      <c r="E81" s="170" t="s">
        <v>516</v>
      </c>
      <c r="F81" s="139">
        <v>15</v>
      </c>
      <c r="G81" s="154">
        <v>0</v>
      </c>
      <c r="H81" s="188">
        <f>SUM(F81:G81)</f>
        <v>15</v>
      </c>
    </row>
    <row r="82" spans="1:8" ht="14.95" thickBot="1" x14ac:dyDescent="0.3">
      <c r="A82" s="78" t="s">
        <v>127</v>
      </c>
      <c r="B82" s="137">
        <v>1</v>
      </c>
      <c r="C82" s="152">
        <v>1</v>
      </c>
      <c r="D82" s="80">
        <f>SUM(B82:C82)</f>
        <v>2</v>
      </c>
      <c r="E82" s="170" t="s">
        <v>112</v>
      </c>
      <c r="F82" s="139">
        <v>15</v>
      </c>
      <c r="G82" s="154">
        <v>0</v>
      </c>
      <c r="H82" s="188">
        <f>SUM(F82:G82)</f>
        <v>15</v>
      </c>
    </row>
    <row r="83" spans="1:8" ht="14.95" thickBot="1" x14ac:dyDescent="0.3">
      <c r="A83" s="78" t="s">
        <v>537</v>
      </c>
      <c r="B83" s="137">
        <v>0</v>
      </c>
      <c r="C83" s="152">
        <v>1</v>
      </c>
      <c r="D83" s="80">
        <f>SUM(B83:C83)</f>
        <v>1</v>
      </c>
      <c r="E83" s="170" t="s">
        <v>127</v>
      </c>
      <c r="F83" s="139">
        <v>5</v>
      </c>
      <c r="G83" s="154">
        <v>5</v>
      </c>
      <c r="H83" s="188">
        <f>SUM(F83:G83)</f>
        <v>10</v>
      </c>
    </row>
    <row r="84" spans="1:8" ht="14.95" thickBot="1" x14ac:dyDescent="0.3">
      <c r="A84" s="78" t="s">
        <v>366</v>
      </c>
      <c r="B84" s="137">
        <v>1</v>
      </c>
      <c r="C84" s="152">
        <v>0</v>
      </c>
      <c r="D84" s="80">
        <f>SUM(B84:C84)</f>
        <v>1</v>
      </c>
      <c r="E84" s="170" t="s">
        <v>537</v>
      </c>
      <c r="F84" s="139">
        <v>0</v>
      </c>
      <c r="G84" s="154">
        <v>5</v>
      </c>
      <c r="H84" s="188">
        <f>SUM(F84:G84)</f>
        <v>5</v>
      </c>
    </row>
    <row r="85" spans="1:8" ht="14.95" thickBot="1" x14ac:dyDescent="0.3">
      <c r="A85" s="78" t="s">
        <v>115</v>
      </c>
      <c r="B85" s="137">
        <v>1</v>
      </c>
      <c r="C85" s="152">
        <v>0</v>
      </c>
      <c r="D85" s="80">
        <f>SUM(B85:C85)</f>
        <v>1</v>
      </c>
      <c r="E85" s="170" t="s">
        <v>366</v>
      </c>
      <c r="F85" s="139">
        <v>5</v>
      </c>
      <c r="G85" s="154">
        <v>0</v>
      </c>
      <c r="H85" s="188">
        <f>SUM(F85:G85)</f>
        <v>5</v>
      </c>
    </row>
    <row r="86" spans="1:8" ht="14.95" thickBot="1" x14ac:dyDescent="0.3">
      <c r="A86" s="78" t="s">
        <v>258</v>
      </c>
      <c r="B86" s="137">
        <v>1</v>
      </c>
      <c r="C86" s="152">
        <v>0</v>
      </c>
      <c r="D86" s="80">
        <f>SUM(B86:C86)</f>
        <v>1</v>
      </c>
      <c r="E86" s="170" t="s">
        <v>115</v>
      </c>
      <c r="F86" s="139">
        <v>5</v>
      </c>
      <c r="G86" s="154">
        <v>0</v>
      </c>
      <c r="H86" s="188">
        <f>SUM(F86:G86)</f>
        <v>5</v>
      </c>
    </row>
    <row r="87" spans="1:8" ht="14.95" thickBot="1" x14ac:dyDescent="0.3">
      <c r="A87" s="78" t="s">
        <v>551</v>
      </c>
      <c r="B87" s="137">
        <v>1</v>
      </c>
      <c r="C87" s="152">
        <v>0</v>
      </c>
      <c r="D87" s="80">
        <f>SUM(B87:C87)</f>
        <v>1</v>
      </c>
      <c r="E87" s="170" t="s">
        <v>258</v>
      </c>
      <c r="F87" s="139">
        <v>5</v>
      </c>
      <c r="G87" s="154">
        <v>0</v>
      </c>
      <c r="H87" s="188">
        <f>SUM(F87:G87)</f>
        <v>5</v>
      </c>
    </row>
    <row r="88" spans="1:8" ht="14.95" thickBot="1" x14ac:dyDescent="0.3">
      <c r="A88" s="78" t="s">
        <v>709</v>
      </c>
      <c r="B88" s="137">
        <v>1</v>
      </c>
      <c r="C88" s="152">
        <v>0</v>
      </c>
      <c r="D88" s="80">
        <f>SUM(B88:C88)</f>
        <v>1</v>
      </c>
      <c r="E88" s="170" t="s">
        <v>551</v>
      </c>
      <c r="F88" s="139">
        <v>5</v>
      </c>
      <c r="G88" s="154">
        <v>0</v>
      </c>
      <c r="H88" s="188">
        <f>SUM(F88:G88)</f>
        <v>5</v>
      </c>
    </row>
    <row r="89" spans="1:8" ht="14.95" thickBot="1" x14ac:dyDescent="0.3">
      <c r="A89" s="78" t="s">
        <v>544</v>
      </c>
      <c r="B89" s="137">
        <v>1</v>
      </c>
      <c r="C89" s="152">
        <v>0</v>
      </c>
      <c r="D89" s="80">
        <f>SUM(B89:C89)</f>
        <v>1</v>
      </c>
      <c r="E89" s="170" t="s">
        <v>709</v>
      </c>
      <c r="F89" s="139">
        <v>5</v>
      </c>
      <c r="G89" s="154">
        <v>0</v>
      </c>
      <c r="H89" s="188">
        <f>SUM(F89:G89)</f>
        <v>5</v>
      </c>
    </row>
    <row r="90" spans="1:8" ht="14.95" thickBot="1" x14ac:dyDescent="0.3">
      <c r="A90" s="78" t="s">
        <v>539</v>
      </c>
      <c r="B90" s="137">
        <v>0</v>
      </c>
      <c r="C90" s="152">
        <v>1</v>
      </c>
      <c r="D90" s="80">
        <f>SUM(B90:C90)</f>
        <v>1</v>
      </c>
      <c r="E90" s="170" t="s">
        <v>544</v>
      </c>
      <c r="F90" s="139">
        <v>5</v>
      </c>
      <c r="G90" s="154">
        <v>0</v>
      </c>
      <c r="H90" s="188">
        <f>SUM(F90:G90)</f>
        <v>5</v>
      </c>
    </row>
    <row r="91" spans="1:8" ht="14.95" thickBot="1" x14ac:dyDescent="0.3">
      <c r="A91" s="78" t="s">
        <v>764</v>
      </c>
      <c r="B91" s="137">
        <v>1</v>
      </c>
      <c r="C91" s="152">
        <v>0</v>
      </c>
      <c r="D91" s="80">
        <f>SUM(B91:C91)</f>
        <v>1</v>
      </c>
      <c r="E91" s="170" t="s">
        <v>539</v>
      </c>
      <c r="F91" s="139">
        <v>0</v>
      </c>
      <c r="G91" s="154">
        <v>5</v>
      </c>
      <c r="H91" s="188">
        <f>SUM(F91:G91)</f>
        <v>5</v>
      </c>
    </row>
    <row r="92" spans="1:8" ht="14.95" thickBot="1" x14ac:dyDescent="0.3">
      <c r="A92" s="78" t="s">
        <v>113</v>
      </c>
      <c r="B92" s="137">
        <v>0</v>
      </c>
      <c r="C92" s="152">
        <v>1</v>
      </c>
      <c r="D92" s="80">
        <f>SUM(B92:C92)</f>
        <v>1</v>
      </c>
      <c r="E92" s="170" t="s">
        <v>764</v>
      </c>
      <c r="F92" s="139">
        <v>5</v>
      </c>
      <c r="G92" s="154">
        <v>0</v>
      </c>
      <c r="H92" s="188">
        <f>SUM(F92:G92)</f>
        <v>5</v>
      </c>
    </row>
    <row r="93" spans="1:8" ht="14.95" thickBot="1" x14ac:dyDescent="0.3">
      <c r="A93" s="78" t="s">
        <v>546</v>
      </c>
      <c r="B93" s="137">
        <v>0</v>
      </c>
      <c r="C93" s="152">
        <v>0</v>
      </c>
      <c r="D93" s="80">
        <f>SUM(B93:C93)</f>
        <v>0</v>
      </c>
      <c r="E93" s="170" t="s">
        <v>113</v>
      </c>
      <c r="F93" s="139">
        <v>0</v>
      </c>
      <c r="G93" s="154">
        <v>5</v>
      </c>
      <c r="H93" s="188">
        <f>SUM(F93:G93)</f>
        <v>5</v>
      </c>
    </row>
    <row r="94" spans="1:8" ht="14.95" thickBot="1" x14ac:dyDescent="0.3">
      <c r="A94" s="78" t="s">
        <v>541</v>
      </c>
      <c r="B94" s="137">
        <v>0</v>
      </c>
      <c r="C94" s="152">
        <v>0</v>
      </c>
      <c r="D94" s="80">
        <f>SUM(B94:C94)</f>
        <v>0</v>
      </c>
      <c r="E94" s="170" t="s">
        <v>546</v>
      </c>
      <c r="F94" s="139">
        <v>0</v>
      </c>
      <c r="G94" s="154">
        <v>0</v>
      </c>
      <c r="H94" s="188">
        <f>SUM(F94:G94)</f>
        <v>0</v>
      </c>
    </row>
    <row r="95" spans="1:8" ht="14.95" thickBot="1" x14ac:dyDescent="0.3">
      <c r="A95" s="78" t="s">
        <v>117</v>
      </c>
      <c r="B95" s="137">
        <v>0</v>
      </c>
      <c r="C95" s="152">
        <v>0</v>
      </c>
      <c r="D95" s="80">
        <f>SUM(B95:C95)</f>
        <v>0</v>
      </c>
      <c r="E95" s="170" t="s">
        <v>541</v>
      </c>
      <c r="F95" s="139">
        <v>0</v>
      </c>
      <c r="G95" s="154">
        <v>0</v>
      </c>
      <c r="H95" s="188">
        <f>SUM(F95:G95)</f>
        <v>0</v>
      </c>
    </row>
    <row r="96" spans="1:8" ht="14.95" thickBot="1" x14ac:dyDescent="0.3">
      <c r="A96" s="78" t="s">
        <v>185</v>
      </c>
      <c r="B96" s="137">
        <v>0</v>
      </c>
      <c r="C96" s="152">
        <v>0</v>
      </c>
      <c r="D96" s="80">
        <f>SUM(B96:C96)</f>
        <v>0</v>
      </c>
      <c r="E96" s="170" t="s">
        <v>117</v>
      </c>
      <c r="F96" s="139">
        <v>0</v>
      </c>
      <c r="G96" s="154">
        <v>0</v>
      </c>
      <c r="H96" s="188">
        <f>SUM(F96:G96)</f>
        <v>0</v>
      </c>
    </row>
    <row r="97" spans="1:8" ht="14.95" thickBot="1" x14ac:dyDescent="0.3">
      <c r="A97" s="78" t="s">
        <v>126</v>
      </c>
      <c r="B97" s="137">
        <v>0</v>
      </c>
      <c r="C97" s="152">
        <v>0</v>
      </c>
      <c r="D97" s="80">
        <f>SUM(B97:C97)</f>
        <v>0</v>
      </c>
      <c r="E97" s="170" t="s">
        <v>185</v>
      </c>
      <c r="F97" s="139">
        <v>0</v>
      </c>
      <c r="G97" s="154">
        <v>0</v>
      </c>
      <c r="H97" s="188">
        <f>SUM(F97:G97)</f>
        <v>0</v>
      </c>
    </row>
    <row r="98" spans="1:8" ht="14.95" thickBot="1" x14ac:dyDescent="0.3">
      <c r="A98" s="78" t="s">
        <v>543</v>
      </c>
      <c r="B98" s="137">
        <v>0</v>
      </c>
      <c r="C98" s="152">
        <v>0</v>
      </c>
      <c r="D98" s="80">
        <f>SUM(B98:C98)</f>
        <v>0</v>
      </c>
      <c r="E98" s="170" t="s">
        <v>126</v>
      </c>
      <c r="F98" s="139">
        <v>0</v>
      </c>
      <c r="G98" s="154">
        <v>0</v>
      </c>
      <c r="H98" s="188">
        <f>SUM(F98:G98)</f>
        <v>0</v>
      </c>
    </row>
    <row r="99" spans="1:8" ht="14.95" thickBot="1" x14ac:dyDescent="0.3">
      <c r="A99" s="78" t="s">
        <v>542</v>
      </c>
      <c r="B99" s="137">
        <v>0</v>
      </c>
      <c r="C99" s="152">
        <v>0</v>
      </c>
      <c r="D99" s="80">
        <f>SUM(B99:C99)</f>
        <v>0</v>
      </c>
      <c r="E99" s="170" t="s">
        <v>543</v>
      </c>
      <c r="F99" s="139">
        <v>0</v>
      </c>
      <c r="G99" s="154">
        <v>0</v>
      </c>
      <c r="H99" s="188">
        <f>SUM(F99:G99)</f>
        <v>0</v>
      </c>
    </row>
    <row r="100" spans="1:8" ht="14.95" thickBot="1" x14ac:dyDescent="0.3">
      <c r="A100" s="78" t="s">
        <v>110</v>
      </c>
      <c r="B100" s="137">
        <v>0</v>
      </c>
      <c r="C100" s="152">
        <v>0</v>
      </c>
      <c r="D100" s="80">
        <f>SUM(B100:C100)</f>
        <v>0</v>
      </c>
      <c r="E100" s="170" t="s">
        <v>542</v>
      </c>
      <c r="F100" s="139">
        <v>0</v>
      </c>
      <c r="G100" s="154">
        <v>0</v>
      </c>
      <c r="H100" s="188">
        <f>SUM(F100:G100)</f>
        <v>0</v>
      </c>
    </row>
    <row r="101" spans="1:8" ht="14.95" thickBot="1" x14ac:dyDescent="0.3">
      <c r="A101" s="78" t="s">
        <v>352</v>
      </c>
      <c r="B101" s="137">
        <v>0</v>
      </c>
      <c r="C101" s="152">
        <v>0</v>
      </c>
      <c r="D101" s="80">
        <f>SUM(B101:C101)</f>
        <v>0</v>
      </c>
      <c r="E101" s="170" t="s">
        <v>110</v>
      </c>
      <c r="F101" s="139">
        <v>0</v>
      </c>
      <c r="G101" s="154">
        <v>0</v>
      </c>
      <c r="H101" s="188">
        <f>SUM(F101:G101)</f>
        <v>0</v>
      </c>
    </row>
    <row r="102" spans="1:8" ht="14.95" thickBot="1" x14ac:dyDescent="0.3">
      <c r="A102" s="78" t="s">
        <v>549</v>
      </c>
      <c r="B102" s="137">
        <v>0</v>
      </c>
      <c r="C102" s="152">
        <v>0</v>
      </c>
      <c r="D102" s="80">
        <f>SUM(B102:C102)</f>
        <v>0</v>
      </c>
      <c r="E102" s="170" t="s">
        <v>352</v>
      </c>
      <c r="F102" s="139">
        <v>0</v>
      </c>
      <c r="G102" s="154">
        <v>0</v>
      </c>
      <c r="H102" s="188">
        <f>SUM(F102:G102)</f>
        <v>0</v>
      </c>
    </row>
    <row r="103" spans="1:8" ht="14.95" thickBot="1" x14ac:dyDescent="0.3">
      <c r="A103" s="78" t="s">
        <v>111</v>
      </c>
      <c r="B103" s="137">
        <v>0</v>
      </c>
      <c r="C103" s="152">
        <v>0</v>
      </c>
      <c r="D103" s="80">
        <f>SUM(B103:C103)</f>
        <v>0</v>
      </c>
      <c r="E103" s="170" t="s">
        <v>549</v>
      </c>
      <c r="F103" s="139">
        <v>0</v>
      </c>
      <c r="G103" s="154">
        <v>0</v>
      </c>
      <c r="H103" s="188">
        <f>SUM(F103:G103)</f>
        <v>0</v>
      </c>
    </row>
    <row r="104" spans="1:8" ht="14.95" thickBot="1" x14ac:dyDescent="0.3">
      <c r="A104" s="78" t="s">
        <v>132</v>
      </c>
      <c r="B104" s="137">
        <v>0</v>
      </c>
      <c r="C104" s="152">
        <v>0</v>
      </c>
      <c r="D104" s="80">
        <f>SUM(B104:C104)</f>
        <v>0</v>
      </c>
      <c r="E104" s="170" t="s">
        <v>111</v>
      </c>
      <c r="F104" s="139">
        <v>0</v>
      </c>
      <c r="G104" s="154">
        <v>0</v>
      </c>
      <c r="H104" s="188">
        <f>SUM(F104:G104)</f>
        <v>0</v>
      </c>
    </row>
    <row r="105" spans="1:8" ht="14.95" thickBot="1" x14ac:dyDescent="0.3">
      <c r="A105" s="78" t="s">
        <v>91</v>
      </c>
      <c r="B105" s="137">
        <v>0</v>
      </c>
      <c r="C105" s="152">
        <v>0</v>
      </c>
      <c r="D105" s="80">
        <f>SUM(B105:C105)</f>
        <v>0</v>
      </c>
      <c r="E105" s="170" t="s">
        <v>91</v>
      </c>
      <c r="F105" s="139">
        <v>0</v>
      </c>
      <c r="G105" s="154">
        <v>0</v>
      </c>
      <c r="H105" s="188">
        <f>SUM(F105:G105)</f>
        <v>0</v>
      </c>
    </row>
    <row r="106" spans="1:8" ht="14.95" thickBot="1" x14ac:dyDescent="0.3">
      <c r="A106" s="78" t="s">
        <v>121</v>
      </c>
      <c r="B106" s="137">
        <v>0</v>
      </c>
      <c r="C106" s="152">
        <v>0</v>
      </c>
      <c r="D106" s="80">
        <f>SUM(B106:C106)</f>
        <v>0</v>
      </c>
      <c r="E106" s="170" t="s">
        <v>121</v>
      </c>
      <c r="F106" s="139">
        <v>0</v>
      </c>
      <c r="G106" s="154">
        <v>0</v>
      </c>
      <c r="H106" s="188">
        <f>SUM(F106:G106)</f>
        <v>0</v>
      </c>
    </row>
    <row r="107" spans="1:8" ht="14.95" thickBot="1" x14ac:dyDescent="0.3">
      <c r="A107" s="78" t="s">
        <v>550</v>
      </c>
      <c r="B107" s="137">
        <v>0</v>
      </c>
      <c r="C107" s="152">
        <v>0</v>
      </c>
      <c r="D107" s="80">
        <f>SUM(B107:C107)</f>
        <v>0</v>
      </c>
      <c r="E107" s="170" t="s">
        <v>550</v>
      </c>
      <c r="F107" s="139">
        <v>0</v>
      </c>
      <c r="G107" s="154">
        <v>0</v>
      </c>
      <c r="H107" s="188">
        <f>SUM(F107:G107)</f>
        <v>0</v>
      </c>
    </row>
    <row r="108" spans="1:8" ht="14.95" thickBot="1" x14ac:dyDescent="0.3">
      <c r="A108" s="78" t="s">
        <v>61</v>
      </c>
      <c r="B108" s="137">
        <v>0</v>
      </c>
      <c r="C108" s="152">
        <v>0</v>
      </c>
      <c r="D108" s="80">
        <f>SUM(B108:C108)</f>
        <v>0</v>
      </c>
      <c r="E108" s="170" t="s">
        <v>61</v>
      </c>
      <c r="F108" s="139">
        <v>0</v>
      </c>
      <c r="G108" s="154">
        <v>0</v>
      </c>
      <c r="H108" s="188">
        <f>SUM(F108:G108)</f>
        <v>0</v>
      </c>
    </row>
    <row r="109" spans="1:8" ht="14.95" thickBot="1" x14ac:dyDescent="0.3">
      <c r="A109" s="78" t="s">
        <v>547</v>
      </c>
      <c r="B109" s="137">
        <v>0</v>
      </c>
      <c r="C109" s="152">
        <v>0</v>
      </c>
      <c r="D109" s="80">
        <f>SUM(B109:C109)</f>
        <v>0</v>
      </c>
      <c r="E109" s="170" t="s">
        <v>547</v>
      </c>
      <c r="F109" s="139">
        <v>0</v>
      </c>
      <c r="G109" s="154">
        <v>0</v>
      </c>
      <c r="H109" s="188">
        <f>SUM(F109:G109)</f>
        <v>0</v>
      </c>
    </row>
    <row r="110" spans="1:8" ht="14.95" thickBot="1" x14ac:dyDescent="0.3">
      <c r="A110" s="78" t="s">
        <v>548</v>
      </c>
      <c r="B110" s="137">
        <v>0</v>
      </c>
      <c r="C110" s="152">
        <v>0</v>
      </c>
      <c r="D110" s="80">
        <f>SUM(B110:C110)</f>
        <v>0</v>
      </c>
      <c r="E110" s="170" t="s">
        <v>548</v>
      </c>
      <c r="F110" s="139">
        <v>0</v>
      </c>
      <c r="G110" s="154">
        <v>0</v>
      </c>
      <c r="H110" s="188">
        <f>SUM(F110:G110)</f>
        <v>0</v>
      </c>
    </row>
    <row r="111" spans="1:8" ht="14.95" thickBot="1" x14ac:dyDescent="0.3">
      <c r="A111" s="78" t="s">
        <v>118</v>
      </c>
      <c r="B111" s="137">
        <v>0</v>
      </c>
      <c r="C111" s="152">
        <v>0</v>
      </c>
      <c r="D111" s="80">
        <f>SUM(B111:C111)</f>
        <v>0</v>
      </c>
      <c r="E111" s="170" t="s">
        <v>118</v>
      </c>
      <c r="F111" s="139">
        <v>0</v>
      </c>
      <c r="G111" s="154">
        <v>0</v>
      </c>
      <c r="H111" s="188">
        <f>SUM(F111:G111)</f>
        <v>0</v>
      </c>
    </row>
    <row r="112" spans="1:8" ht="14.95" thickBot="1" x14ac:dyDescent="0.3">
      <c r="A112" s="78" t="s">
        <v>109</v>
      </c>
      <c r="B112" s="137">
        <v>0</v>
      </c>
      <c r="C112" s="152">
        <v>0</v>
      </c>
      <c r="D112" s="80">
        <f>SUM(B112:C112)</f>
        <v>0</v>
      </c>
      <c r="E112" s="170" t="s">
        <v>109</v>
      </c>
      <c r="F112" s="139">
        <v>0</v>
      </c>
      <c r="G112" s="154">
        <v>0</v>
      </c>
      <c r="H112" s="188">
        <f>SUM(F112:G112)</f>
        <v>0</v>
      </c>
    </row>
    <row r="113" spans="1:8" ht="14.95" thickBot="1" x14ac:dyDescent="0.3">
      <c r="A113" s="78" t="s">
        <v>4</v>
      </c>
      <c r="B113" s="137">
        <v>0</v>
      </c>
      <c r="C113" s="152">
        <v>0</v>
      </c>
      <c r="D113" s="80">
        <f>SUM(B113:C113)</f>
        <v>0</v>
      </c>
      <c r="E113" s="170" t="s">
        <v>4</v>
      </c>
      <c r="F113" s="139">
        <v>0</v>
      </c>
      <c r="G113" s="154">
        <v>0</v>
      </c>
      <c r="H113" s="188">
        <f>SUM(F113:G113)</f>
        <v>0</v>
      </c>
    </row>
    <row r="114" spans="1:8" ht="14.95" thickBot="1" x14ac:dyDescent="0.3">
      <c r="A114" s="78" t="s">
        <v>130</v>
      </c>
      <c r="B114" s="137">
        <v>0</v>
      </c>
      <c r="C114" s="152">
        <v>0</v>
      </c>
      <c r="D114" s="80">
        <f>SUM(B114:C114)</f>
        <v>0</v>
      </c>
      <c r="E114" s="170" t="s">
        <v>130</v>
      </c>
      <c r="F114" s="139">
        <v>0</v>
      </c>
      <c r="G114" s="154">
        <v>0</v>
      </c>
      <c r="H114" s="188">
        <f>SUM(F114:G114)</f>
        <v>0</v>
      </c>
    </row>
    <row r="115" spans="1:8" ht="14.95" thickBot="1" x14ac:dyDescent="0.3">
      <c r="A115" s="78" t="s">
        <v>3</v>
      </c>
      <c r="B115" s="137">
        <f>SUM(B61:B114)</f>
        <v>91</v>
      </c>
      <c r="C115" s="152">
        <f>SUM(C61:C114)</f>
        <v>44</v>
      </c>
      <c r="D115" s="80">
        <f>SUM(B115:C115)</f>
        <v>135</v>
      </c>
      <c r="E115" s="170" t="s">
        <v>3</v>
      </c>
      <c r="F115" s="139">
        <f>SUM(F61:F114)</f>
        <v>599</v>
      </c>
      <c r="G115" s="154">
        <f>SUM(G61:G114)</f>
        <v>281</v>
      </c>
      <c r="H115" s="188">
        <f>SUM(F115:G115)</f>
        <v>880</v>
      </c>
    </row>
    <row r="116" spans="1:8" ht="16.3" x14ac:dyDescent="0.3">
      <c r="A116" s="245" t="s">
        <v>17</v>
      </c>
      <c r="B116" s="246"/>
      <c r="C116" s="246"/>
      <c r="D116" s="246"/>
      <c r="E116" s="246"/>
      <c r="F116" s="246"/>
      <c r="G116" s="246"/>
      <c r="H116" s="246"/>
    </row>
  </sheetData>
  <sortState xmlns:xlrd2="http://schemas.microsoft.com/office/spreadsheetml/2017/richdata2" ref="E61:H114">
    <sortCondition descending="1" ref="H61:H114"/>
  </sortState>
  <mergeCells count="14">
    <mergeCell ref="Z1:AB2"/>
    <mergeCell ref="M13:O14"/>
    <mergeCell ref="A116:H116"/>
    <mergeCell ref="I13:I14"/>
    <mergeCell ref="J13:L14"/>
    <mergeCell ref="U1:W2"/>
    <mergeCell ref="P1:Q2"/>
    <mergeCell ref="A1:H1"/>
    <mergeCell ref="I1:I2"/>
    <mergeCell ref="J1:L2"/>
    <mergeCell ref="M1:O2"/>
    <mergeCell ref="R1:T2"/>
    <mergeCell ref="I20:I21"/>
    <mergeCell ref="J20:L2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70F34-3130-400D-BC57-B6FB457BC335}">
  <dimension ref="A1:AB112"/>
  <sheetViews>
    <sheetView workbookViewId="0">
      <selection activeCell="Q11" sqref="Q11"/>
    </sheetView>
  </sheetViews>
  <sheetFormatPr defaultRowHeight="14.3" x14ac:dyDescent="0.25"/>
  <cols>
    <col min="1" max="1" width="16.375" customWidth="1"/>
    <col min="2" max="2" width="5" bestFit="1" customWidth="1"/>
    <col min="3" max="3" width="5" customWidth="1"/>
    <col min="4" max="4" width="3.75" bestFit="1" customWidth="1"/>
    <col min="5" max="5" width="16.375" customWidth="1"/>
    <col min="6" max="6" width="5" bestFit="1" customWidth="1"/>
    <col min="7" max="7" width="5" customWidth="1"/>
    <col min="8" max="8" width="3.75" bestFit="1" customWidth="1"/>
    <col min="9" max="9" width="16.375" customWidth="1"/>
    <col min="10" max="23" width="5.625" customWidth="1"/>
    <col min="26" max="28" width="5.625" customWidth="1"/>
  </cols>
  <sheetData>
    <row r="1" spans="1:28" ht="17" customHeight="1" thickBot="1" x14ac:dyDescent="0.3">
      <c r="A1" s="288" t="s">
        <v>658</v>
      </c>
      <c r="B1" s="289"/>
      <c r="C1" s="289"/>
      <c r="D1" s="289"/>
      <c r="E1" s="289"/>
      <c r="F1" s="289"/>
      <c r="G1" s="289"/>
      <c r="H1" s="290"/>
      <c r="I1" s="264" t="s">
        <v>161</v>
      </c>
      <c r="J1" s="260" t="s">
        <v>12</v>
      </c>
      <c r="K1" s="266"/>
      <c r="L1" s="261"/>
      <c r="M1" s="260" t="s">
        <v>28</v>
      </c>
      <c r="N1" s="266"/>
      <c r="O1" s="261"/>
      <c r="P1" s="260" t="s">
        <v>31</v>
      </c>
      <c r="Q1" s="261"/>
      <c r="R1" s="247" t="s">
        <v>162</v>
      </c>
      <c r="S1" s="248"/>
      <c r="T1" s="249"/>
      <c r="U1" s="247" t="s">
        <v>661</v>
      </c>
      <c r="V1" s="248"/>
      <c r="W1" s="249"/>
      <c r="Z1" s="247" t="s">
        <v>435</v>
      </c>
      <c r="AA1" s="248"/>
      <c r="AB1" s="249"/>
    </row>
    <row r="2" spans="1:28" ht="14.95" customHeight="1" thickBot="1" x14ac:dyDescent="0.3">
      <c r="A2" s="222" t="s">
        <v>0</v>
      </c>
      <c r="B2" s="223" t="s">
        <v>161</v>
      </c>
      <c r="C2" s="224" t="s">
        <v>167</v>
      </c>
      <c r="D2" s="225" t="s">
        <v>1</v>
      </c>
      <c r="E2" s="85" t="s">
        <v>2</v>
      </c>
      <c r="F2" s="108" t="s">
        <v>161</v>
      </c>
      <c r="G2" s="201" t="s">
        <v>167</v>
      </c>
      <c r="H2" s="59" t="s">
        <v>1</v>
      </c>
      <c r="I2" s="265"/>
      <c r="J2" s="262"/>
      <c r="K2" s="267"/>
      <c r="L2" s="263"/>
      <c r="M2" s="262"/>
      <c r="N2" s="267"/>
      <c r="O2" s="263"/>
      <c r="P2" s="262"/>
      <c r="Q2" s="263"/>
      <c r="R2" s="250"/>
      <c r="S2" s="251"/>
      <c r="T2" s="252"/>
      <c r="U2" s="250"/>
      <c r="V2" s="251"/>
      <c r="W2" s="252"/>
      <c r="Z2" s="250"/>
      <c r="AA2" s="251"/>
      <c r="AB2" s="252"/>
    </row>
    <row r="3" spans="1:28" ht="14.95" customHeight="1" thickBot="1" x14ac:dyDescent="0.3">
      <c r="A3" s="226" t="s">
        <v>192</v>
      </c>
      <c r="B3" s="227">
        <v>1</v>
      </c>
      <c r="C3" s="228">
        <v>1</v>
      </c>
      <c r="D3" s="229">
        <f>SUM(B3:C3)</f>
        <v>2</v>
      </c>
      <c r="E3" s="86" t="s">
        <v>192</v>
      </c>
      <c r="F3" s="109">
        <v>5</v>
      </c>
      <c r="G3" s="202">
        <v>5</v>
      </c>
      <c r="H3" s="58">
        <f>SUM(F3:G3)</f>
        <v>10</v>
      </c>
      <c r="I3" s="105" t="s">
        <v>14</v>
      </c>
      <c r="J3" s="2" t="s">
        <v>21</v>
      </c>
      <c r="K3" s="2" t="s">
        <v>7</v>
      </c>
      <c r="L3" s="2" t="s">
        <v>8</v>
      </c>
      <c r="M3" s="62" t="s">
        <v>21</v>
      </c>
      <c r="N3" s="2" t="s">
        <v>7</v>
      </c>
      <c r="O3" s="2" t="s">
        <v>8</v>
      </c>
      <c r="P3" s="2" t="s">
        <v>161</v>
      </c>
      <c r="Q3" s="2" t="s">
        <v>22</v>
      </c>
      <c r="R3" s="110" t="s">
        <v>21</v>
      </c>
      <c r="S3" s="110" t="s">
        <v>7</v>
      </c>
      <c r="T3" s="110" t="s">
        <v>8</v>
      </c>
      <c r="U3" s="110" t="s">
        <v>21</v>
      </c>
      <c r="V3" s="110" t="s">
        <v>7</v>
      </c>
      <c r="W3" s="110" t="s">
        <v>8</v>
      </c>
      <c r="Z3" s="4" t="s">
        <v>21</v>
      </c>
      <c r="AA3" s="110" t="s">
        <v>7</v>
      </c>
      <c r="AB3" s="110" t="s">
        <v>8</v>
      </c>
    </row>
    <row r="4" spans="1:28" ht="14.95" customHeight="1" thickBot="1" x14ac:dyDescent="0.3">
      <c r="A4" s="226" t="s">
        <v>36</v>
      </c>
      <c r="B4" s="227">
        <v>0</v>
      </c>
      <c r="C4" s="228">
        <v>0</v>
      </c>
      <c r="D4" s="229">
        <f t="shared" ref="D4:D55" si="0">SUM(B4:C4)</f>
        <v>0</v>
      </c>
      <c r="E4" s="86" t="s">
        <v>36</v>
      </c>
      <c r="F4" s="109">
        <v>0</v>
      </c>
      <c r="G4" s="202">
        <v>0</v>
      </c>
      <c r="H4" s="58">
        <f t="shared" ref="H4:H55" si="1">SUM(F4:G4)</f>
        <v>0</v>
      </c>
      <c r="I4" s="230" t="s">
        <v>192</v>
      </c>
      <c r="J4" s="231" t="s">
        <v>13</v>
      </c>
      <c r="K4" s="231" t="s">
        <v>13</v>
      </c>
      <c r="L4" s="232" t="s">
        <v>13</v>
      </c>
      <c r="M4" s="231" t="s">
        <v>13</v>
      </c>
      <c r="N4" s="231" t="s">
        <v>13</v>
      </c>
      <c r="O4" s="232" t="s">
        <v>13</v>
      </c>
      <c r="P4" s="231">
        <v>-3</v>
      </c>
      <c r="Q4" s="233">
        <v>-3</v>
      </c>
      <c r="R4" s="4">
        <v>0</v>
      </c>
      <c r="S4" s="112">
        <v>3</v>
      </c>
      <c r="T4" s="111">
        <v>0</v>
      </c>
      <c r="U4" s="4" t="s">
        <v>13</v>
      </c>
      <c r="V4" s="112" t="s">
        <v>13</v>
      </c>
      <c r="W4" s="111" t="s">
        <v>13</v>
      </c>
      <c r="Z4" s="194" t="s">
        <v>13</v>
      </c>
      <c r="AA4" s="112" t="s">
        <v>13</v>
      </c>
      <c r="AB4" s="111" t="s">
        <v>13</v>
      </c>
    </row>
    <row r="5" spans="1:28" ht="14.95" customHeight="1" thickBot="1" x14ac:dyDescent="0.3">
      <c r="A5" s="226" t="s">
        <v>343</v>
      </c>
      <c r="B5" s="227">
        <v>0</v>
      </c>
      <c r="C5" s="228">
        <v>0</v>
      </c>
      <c r="D5" s="229">
        <f t="shared" si="0"/>
        <v>0</v>
      </c>
      <c r="E5" s="86" t="s">
        <v>343</v>
      </c>
      <c r="F5" s="109">
        <v>0</v>
      </c>
      <c r="G5" s="202">
        <v>0</v>
      </c>
      <c r="H5" s="58">
        <f t="shared" si="1"/>
        <v>0</v>
      </c>
      <c r="I5" s="230" t="s">
        <v>711</v>
      </c>
      <c r="J5" s="231">
        <v>18</v>
      </c>
      <c r="K5" s="231">
        <v>27</v>
      </c>
      <c r="L5" s="232">
        <f t="shared" ref="L5:L6" si="2">SUM(J5/K5)*100</f>
        <v>66.666666666666657</v>
      </c>
      <c r="M5" s="231">
        <v>1</v>
      </c>
      <c r="N5" s="231">
        <v>6</v>
      </c>
      <c r="O5" s="232">
        <f t="shared" ref="O5" si="3">SUM(M5/N5)*100</f>
        <v>16.666666666666664</v>
      </c>
      <c r="P5" s="231">
        <v>-1</v>
      </c>
      <c r="Q5" s="233">
        <v>-1</v>
      </c>
      <c r="R5" s="4" t="s">
        <v>13</v>
      </c>
      <c r="S5" s="112" t="s">
        <v>13</v>
      </c>
      <c r="T5" s="111" t="s">
        <v>13</v>
      </c>
      <c r="U5" s="4" t="s">
        <v>13</v>
      </c>
      <c r="V5" s="112" t="s">
        <v>13</v>
      </c>
      <c r="W5" s="111" t="s">
        <v>13</v>
      </c>
      <c r="Z5" s="4" t="s">
        <v>13</v>
      </c>
      <c r="AA5" s="112" t="s">
        <v>13</v>
      </c>
      <c r="AB5" s="111" t="s">
        <v>13</v>
      </c>
    </row>
    <row r="6" spans="1:28" ht="14.95" customHeight="1" thickBot="1" x14ac:dyDescent="0.3">
      <c r="A6" s="226" t="s">
        <v>342</v>
      </c>
      <c r="B6" s="227">
        <v>3</v>
      </c>
      <c r="C6" s="228">
        <v>0</v>
      </c>
      <c r="D6" s="229">
        <f t="shared" si="0"/>
        <v>3</v>
      </c>
      <c r="E6" s="86" t="s">
        <v>342</v>
      </c>
      <c r="F6" s="109">
        <v>15</v>
      </c>
      <c r="G6" s="202">
        <v>0</v>
      </c>
      <c r="H6" s="58">
        <f t="shared" si="1"/>
        <v>15</v>
      </c>
      <c r="I6" s="230" t="s">
        <v>309</v>
      </c>
      <c r="J6" s="231">
        <v>13</v>
      </c>
      <c r="K6" s="231">
        <v>17</v>
      </c>
      <c r="L6" s="232">
        <f t="shared" si="2"/>
        <v>76.470588235294116</v>
      </c>
      <c r="M6" s="231" t="s">
        <v>13</v>
      </c>
      <c r="N6" s="231" t="s">
        <v>13</v>
      </c>
      <c r="O6" s="232" t="s">
        <v>13</v>
      </c>
      <c r="P6" s="231">
        <v>2</v>
      </c>
      <c r="Q6" s="233">
        <v>2</v>
      </c>
      <c r="R6" s="4">
        <v>1</v>
      </c>
      <c r="S6" s="112">
        <v>3</v>
      </c>
      <c r="T6" s="111">
        <v>33.333333333333329</v>
      </c>
      <c r="U6" s="4">
        <v>1</v>
      </c>
      <c r="V6" s="112">
        <v>8</v>
      </c>
      <c r="W6" s="111">
        <f t="shared" ref="W6:W8" si="4">SUM(U6/V6)*100</f>
        <v>12.5</v>
      </c>
      <c r="Z6" s="4" t="s">
        <v>13</v>
      </c>
      <c r="AA6" s="112" t="s">
        <v>13</v>
      </c>
      <c r="AB6" s="111" t="s">
        <v>13</v>
      </c>
    </row>
    <row r="7" spans="1:28" ht="14.95" customHeight="1" thickBot="1" x14ac:dyDescent="0.3">
      <c r="A7" s="226" t="s">
        <v>331</v>
      </c>
      <c r="B7" s="227">
        <v>0</v>
      </c>
      <c r="C7" s="228">
        <v>0</v>
      </c>
      <c r="D7" s="229">
        <f t="shared" si="0"/>
        <v>0</v>
      </c>
      <c r="E7" s="86" t="s">
        <v>331</v>
      </c>
      <c r="F7" s="109">
        <v>0</v>
      </c>
      <c r="G7" s="202">
        <v>0</v>
      </c>
      <c r="H7" s="58">
        <f t="shared" si="1"/>
        <v>0</v>
      </c>
      <c r="I7" s="230" t="s">
        <v>202</v>
      </c>
      <c r="J7" s="231">
        <v>15</v>
      </c>
      <c r="K7" s="231">
        <v>23</v>
      </c>
      <c r="L7" s="232">
        <f t="shared" ref="L7" si="5">SUM(J7/K7)*100</f>
        <v>65.217391304347828</v>
      </c>
      <c r="M7" s="231" t="s">
        <v>13</v>
      </c>
      <c r="N7" s="231" t="s">
        <v>13</v>
      </c>
      <c r="O7" s="232" t="s">
        <v>13</v>
      </c>
      <c r="P7" s="231">
        <v>-1</v>
      </c>
      <c r="Q7" s="233">
        <v>-1</v>
      </c>
      <c r="R7" s="4">
        <v>6</v>
      </c>
      <c r="S7" s="112">
        <v>16</v>
      </c>
      <c r="T7" s="111">
        <v>37.5</v>
      </c>
      <c r="U7" s="4">
        <v>21</v>
      </c>
      <c r="V7" s="112">
        <v>35</v>
      </c>
      <c r="W7" s="111">
        <v>60</v>
      </c>
      <c r="Z7" s="4" t="s">
        <v>13</v>
      </c>
      <c r="AA7" s="112" t="s">
        <v>13</v>
      </c>
      <c r="AB7" s="111" t="s">
        <v>13</v>
      </c>
    </row>
    <row r="8" spans="1:28" ht="14.95" customHeight="1" thickBot="1" x14ac:dyDescent="0.3">
      <c r="A8" s="226" t="s">
        <v>718</v>
      </c>
      <c r="B8" s="227">
        <v>4</v>
      </c>
      <c r="C8" s="228">
        <v>0</v>
      </c>
      <c r="D8" s="229">
        <f t="shared" si="0"/>
        <v>4</v>
      </c>
      <c r="E8" s="86" t="s">
        <v>718</v>
      </c>
      <c r="F8" s="109">
        <v>20</v>
      </c>
      <c r="G8" s="202">
        <v>0</v>
      </c>
      <c r="H8" s="58">
        <f t="shared" si="1"/>
        <v>20</v>
      </c>
      <c r="I8" s="230" t="s">
        <v>323</v>
      </c>
      <c r="J8" s="231" t="s">
        <v>13</v>
      </c>
      <c r="K8" s="231" t="s">
        <v>13</v>
      </c>
      <c r="L8" s="232" t="s">
        <v>13</v>
      </c>
      <c r="M8" s="231" t="s">
        <v>13</v>
      </c>
      <c r="N8" s="231" t="s">
        <v>13</v>
      </c>
      <c r="O8" s="232" t="s">
        <v>13</v>
      </c>
      <c r="P8" s="231">
        <v>4</v>
      </c>
      <c r="Q8" s="233">
        <v>4</v>
      </c>
      <c r="R8" s="4">
        <v>17</v>
      </c>
      <c r="S8" s="4">
        <v>32</v>
      </c>
      <c r="T8" s="111">
        <v>53.125</v>
      </c>
      <c r="U8" s="4">
        <v>6</v>
      </c>
      <c r="V8" s="4">
        <v>11</v>
      </c>
      <c r="W8" s="111">
        <f t="shared" si="4"/>
        <v>54.54545454545454</v>
      </c>
      <c r="Z8" s="4" t="s">
        <v>13</v>
      </c>
      <c r="AA8" s="112" t="s">
        <v>13</v>
      </c>
      <c r="AB8" s="111" t="s">
        <v>13</v>
      </c>
    </row>
    <row r="9" spans="1:28" ht="14.95" customHeight="1" thickBot="1" x14ac:dyDescent="0.3">
      <c r="A9" s="226" t="s">
        <v>55</v>
      </c>
      <c r="B9" s="227">
        <v>3</v>
      </c>
      <c r="C9" s="228">
        <v>1</v>
      </c>
      <c r="D9" s="229">
        <f t="shared" si="0"/>
        <v>4</v>
      </c>
      <c r="E9" s="86" t="s">
        <v>55</v>
      </c>
      <c r="F9" s="109">
        <v>15</v>
      </c>
      <c r="G9" s="202">
        <v>5</v>
      </c>
      <c r="H9" s="58">
        <f t="shared" si="1"/>
        <v>20</v>
      </c>
      <c r="I9" s="230" t="s">
        <v>220</v>
      </c>
      <c r="J9" s="231">
        <v>1</v>
      </c>
      <c r="K9" s="231">
        <v>1</v>
      </c>
      <c r="L9" s="232">
        <f t="shared" ref="L9" si="6">SUM(J9/K9)*100</f>
        <v>100</v>
      </c>
      <c r="M9" s="231">
        <v>1</v>
      </c>
      <c r="N9" s="231">
        <v>1</v>
      </c>
      <c r="O9" s="232">
        <f t="shared" ref="O9" si="7">SUM(M9/N9)*100</f>
        <v>100</v>
      </c>
      <c r="P9" s="231">
        <v>1</v>
      </c>
      <c r="Q9" s="233">
        <v>1</v>
      </c>
      <c r="R9" s="4">
        <v>27</v>
      </c>
      <c r="S9" s="112">
        <v>39</v>
      </c>
      <c r="T9" s="111">
        <v>69.230769230769226</v>
      </c>
      <c r="U9" s="4" t="s">
        <v>13</v>
      </c>
      <c r="V9" s="112" t="s">
        <v>13</v>
      </c>
      <c r="W9" s="111" t="s">
        <v>13</v>
      </c>
      <c r="Z9" s="4" t="s">
        <v>13</v>
      </c>
      <c r="AA9" s="112" t="s">
        <v>13</v>
      </c>
      <c r="AB9" s="111" t="s">
        <v>13</v>
      </c>
    </row>
    <row r="10" spans="1:28" ht="14.95" customHeight="1" thickBot="1" x14ac:dyDescent="0.3">
      <c r="A10" s="226" t="s">
        <v>345</v>
      </c>
      <c r="B10" s="227">
        <v>1</v>
      </c>
      <c r="C10" s="228">
        <v>0</v>
      </c>
      <c r="D10" s="229">
        <f t="shared" si="0"/>
        <v>1</v>
      </c>
      <c r="E10" s="86" t="s">
        <v>345</v>
      </c>
      <c r="F10" s="109">
        <v>5</v>
      </c>
      <c r="G10" s="202">
        <v>0</v>
      </c>
      <c r="H10" s="58">
        <f t="shared" si="1"/>
        <v>5</v>
      </c>
      <c r="I10" s="230" t="s">
        <v>596</v>
      </c>
      <c r="J10" s="231" t="s">
        <v>13</v>
      </c>
      <c r="K10" s="231" t="s">
        <v>13</v>
      </c>
      <c r="L10" s="232" t="s">
        <v>13</v>
      </c>
      <c r="M10" s="231" t="s">
        <v>13</v>
      </c>
      <c r="N10" s="231" t="s">
        <v>13</v>
      </c>
      <c r="O10" s="232" t="s">
        <v>13</v>
      </c>
      <c r="P10" s="231">
        <v>1</v>
      </c>
      <c r="Q10" s="233">
        <v>1</v>
      </c>
      <c r="R10" s="4">
        <v>2</v>
      </c>
      <c r="S10" s="112">
        <v>5</v>
      </c>
      <c r="T10" s="111">
        <v>40</v>
      </c>
      <c r="U10" s="4" t="s">
        <v>13</v>
      </c>
      <c r="V10" s="112" t="s">
        <v>13</v>
      </c>
      <c r="W10" s="111" t="s">
        <v>13</v>
      </c>
      <c r="Z10" s="4" t="s">
        <v>13</v>
      </c>
      <c r="AA10" s="112" t="s">
        <v>13</v>
      </c>
      <c r="AB10" s="111" t="s">
        <v>13</v>
      </c>
    </row>
    <row r="11" spans="1:28" ht="14.95" customHeight="1" thickBot="1" x14ac:dyDescent="0.3">
      <c r="A11" s="226" t="s">
        <v>344</v>
      </c>
      <c r="B11" s="227">
        <v>0</v>
      </c>
      <c r="C11" s="228">
        <v>0</v>
      </c>
      <c r="D11" s="229">
        <f t="shared" si="0"/>
        <v>0</v>
      </c>
      <c r="E11" s="86" t="s">
        <v>344</v>
      </c>
      <c r="F11" s="109">
        <v>0</v>
      </c>
      <c r="G11" s="202">
        <v>0</v>
      </c>
      <c r="H11" s="58">
        <f t="shared" si="1"/>
        <v>0</v>
      </c>
      <c r="R11" s="50"/>
      <c r="S11" s="50"/>
      <c r="T11" s="50"/>
    </row>
    <row r="12" spans="1:28" ht="14.95" customHeight="1" thickBot="1" x14ac:dyDescent="0.3">
      <c r="A12" s="226" t="s">
        <v>335</v>
      </c>
      <c r="B12" s="227">
        <v>0</v>
      </c>
      <c r="C12" s="228">
        <v>0</v>
      </c>
      <c r="D12" s="229">
        <f t="shared" si="0"/>
        <v>0</v>
      </c>
      <c r="E12" s="86" t="s">
        <v>335</v>
      </c>
      <c r="F12" s="109">
        <v>0</v>
      </c>
      <c r="G12" s="202">
        <v>0</v>
      </c>
      <c r="H12" s="58">
        <f t="shared" si="1"/>
        <v>0</v>
      </c>
      <c r="I12" s="253" t="s">
        <v>167</v>
      </c>
      <c r="J12" s="260" t="s">
        <v>12</v>
      </c>
      <c r="K12" s="266"/>
      <c r="L12" s="261"/>
      <c r="M12" s="247" t="s">
        <v>661</v>
      </c>
      <c r="N12" s="248"/>
      <c r="O12" s="249"/>
    </row>
    <row r="13" spans="1:28" ht="14.95" customHeight="1" thickBot="1" x14ac:dyDescent="0.3">
      <c r="A13" s="226" t="s">
        <v>332</v>
      </c>
      <c r="B13" s="227">
        <v>7</v>
      </c>
      <c r="C13" s="228">
        <v>0</v>
      </c>
      <c r="D13" s="229">
        <f t="shared" si="0"/>
        <v>7</v>
      </c>
      <c r="E13" s="86" t="s">
        <v>332</v>
      </c>
      <c r="F13" s="109">
        <v>35</v>
      </c>
      <c r="G13" s="202">
        <v>0</v>
      </c>
      <c r="H13" s="58">
        <f t="shared" si="1"/>
        <v>35</v>
      </c>
      <c r="I13" s="254"/>
      <c r="J13" s="262"/>
      <c r="K13" s="267"/>
      <c r="L13" s="263"/>
      <c r="M13" s="250"/>
      <c r="N13" s="251"/>
      <c r="O13" s="252"/>
    </row>
    <row r="14" spans="1:28" ht="14.95" customHeight="1" thickBot="1" x14ac:dyDescent="0.3">
      <c r="A14" s="226" t="s">
        <v>334</v>
      </c>
      <c r="B14" s="227">
        <v>0</v>
      </c>
      <c r="C14" s="228">
        <v>0</v>
      </c>
      <c r="D14" s="229">
        <f t="shared" si="0"/>
        <v>0</v>
      </c>
      <c r="E14" s="86" t="s">
        <v>334</v>
      </c>
      <c r="F14" s="109">
        <v>0</v>
      </c>
      <c r="G14" s="202">
        <v>0</v>
      </c>
      <c r="H14" s="58">
        <f t="shared" si="1"/>
        <v>0</v>
      </c>
      <c r="I14" s="149" t="s">
        <v>14</v>
      </c>
      <c r="J14" s="2" t="s">
        <v>21</v>
      </c>
      <c r="K14" s="2" t="s">
        <v>7</v>
      </c>
      <c r="L14" s="2" t="s">
        <v>8</v>
      </c>
      <c r="M14" s="110" t="s">
        <v>21</v>
      </c>
      <c r="N14" s="110" t="s">
        <v>7</v>
      </c>
      <c r="O14" s="110" t="s">
        <v>8</v>
      </c>
    </row>
    <row r="15" spans="1:28" ht="14.95" customHeight="1" thickBot="1" x14ac:dyDescent="0.3">
      <c r="A15" s="226" t="s">
        <v>270</v>
      </c>
      <c r="B15" s="227">
        <v>0</v>
      </c>
      <c r="C15" s="228">
        <v>0</v>
      </c>
      <c r="D15" s="229">
        <f t="shared" si="0"/>
        <v>0</v>
      </c>
      <c r="E15" s="86" t="s">
        <v>270</v>
      </c>
      <c r="F15" s="109">
        <v>0</v>
      </c>
      <c r="G15" s="202">
        <v>0</v>
      </c>
      <c r="H15" s="58">
        <f t="shared" si="1"/>
        <v>0</v>
      </c>
      <c r="I15" s="222" t="s">
        <v>711</v>
      </c>
      <c r="J15" s="231">
        <v>1</v>
      </c>
      <c r="K15" s="231">
        <v>2</v>
      </c>
      <c r="L15" s="232">
        <f t="shared" ref="L15" si="8">SUM(J15/K15)*100</f>
        <v>50</v>
      </c>
      <c r="M15" s="4" t="s">
        <v>13</v>
      </c>
      <c r="N15" s="112" t="s">
        <v>13</v>
      </c>
      <c r="O15" s="111" t="s">
        <v>13</v>
      </c>
    </row>
    <row r="16" spans="1:28" ht="14.95" customHeight="1" thickBot="1" x14ac:dyDescent="0.3">
      <c r="A16" s="226" t="s">
        <v>552</v>
      </c>
      <c r="B16" s="227">
        <v>0</v>
      </c>
      <c r="C16" s="228">
        <v>0</v>
      </c>
      <c r="D16" s="229">
        <f t="shared" si="0"/>
        <v>0</v>
      </c>
      <c r="E16" s="86" t="s">
        <v>552</v>
      </c>
      <c r="F16" s="109">
        <v>0</v>
      </c>
      <c r="G16" s="202">
        <v>0</v>
      </c>
      <c r="H16" s="58">
        <f t="shared" si="1"/>
        <v>0</v>
      </c>
      <c r="I16" s="222" t="s">
        <v>309</v>
      </c>
      <c r="J16" s="231" t="s">
        <v>13</v>
      </c>
      <c r="K16" s="231" t="s">
        <v>13</v>
      </c>
      <c r="L16" s="232" t="s">
        <v>13</v>
      </c>
      <c r="M16" s="110">
        <v>4</v>
      </c>
      <c r="N16" s="110">
        <v>8</v>
      </c>
      <c r="O16" s="140">
        <f t="shared" ref="O16" si="9">SUM(M16/N16)*100</f>
        <v>50</v>
      </c>
    </row>
    <row r="17" spans="1:20" ht="14.95" customHeight="1" thickBot="1" x14ac:dyDescent="0.3">
      <c r="A17" s="226" t="s">
        <v>337</v>
      </c>
      <c r="B17" s="227">
        <v>2</v>
      </c>
      <c r="C17" s="228">
        <v>0</v>
      </c>
      <c r="D17" s="229">
        <f t="shared" si="0"/>
        <v>2</v>
      </c>
      <c r="E17" s="86" t="s">
        <v>337</v>
      </c>
      <c r="F17" s="109">
        <v>10</v>
      </c>
      <c r="G17" s="202">
        <v>0</v>
      </c>
      <c r="H17" s="58">
        <f t="shared" si="1"/>
        <v>10</v>
      </c>
      <c r="I17" s="230" t="s">
        <v>323</v>
      </c>
      <c r="J17" s="231" t="s">
        <v>13</v>
      </c>
      <c r="K17" s="231" t="s">
        <v>13</v>
      </c>
      <c r="L17" s="232" t="s">
        <v>13</v>
      </c>
      <c r="M17" s="4">
        <v>1</v>
      </c>
      <c r="N17" s="110">
        <v>1</v>
      </c>
      <c r="O17" s="140">
        <f t="shared" ref="O17" si="10">SUM(M17/N17)*100</f>
        <v>100</v>
      </c>
    </row>
    <row r="18" spans="1:20" ht="14.95" customHeight="1" thickBot="1" x14ac:dyDescent="0.3">
      <c r="A18" s="226" t="s">
        <v>554</v>
      </c>
      <c r="B18" s="227">
        <v>0</v>
      </c>
      <c r="C18" s="228">
        <v>0</v>
      </c>
      <c r="D18" s="229">
        <f t="shared" si="0"/>
        <v>0</v>
      </c>
      <c r="E18" s="86" t="s">
        <v>554</v>
      </c>
      <c r="F18" s="109">
        <v>0</v>
      </c>
      <c r="G18" s="202">
        <v>0</v>
      </c>
      <c r="H18" s="58">
        <f t="shared" si="1"/>
        <v>0</v>
      </c>
      <c r="I18" s="230" t="s">
        <v>220</v>
      </c>
      <c r="J18" s="231">
        <v>5</v>
      </c>
      <c r="K18" s="231">
        <v>12</v>
      </c>
      <c r="L18" s="232">
        <f t="shared" ref="L18" si="11">SUM(J18/K18)*100</f>
        <v>41.666666666666671</v>
      </c>
      <c r="M18" s="4">
        <v>1</v>
      </c>
      <c r="N18" s="110">
        <v>1</v>
      </c>
      <c r="O18" s="140">
        <f t="shared" ref="O18" si="12">SUM(M18/N18)*100</f>
        <v>100</v>
      </c>
    </row>
    <row r="19" spans="1:20" ht="14.95" customHeight="1" thickBot="1" x14ac:dyDescent="0.3">
      <c r="A19" s="226" t="s">
        <v>711</v>
      </c>
      <c r="B19" s="227">
        <v>3</v>
      </c>
      <c r="C19" s="228">
        <v>1</v>
      </c>
      <c r="D19" s="229">
        <f t="shared" ref="D19" si="13">SUM(B19:C19)</f>
        <v>4</v>
      </c>
      <c r="E19" s="86" t="s">
        <v>711</v>
      </c>
      <c r="F19" s="109">
        <v>51</v>
      </c>
      <c r="G19" s="202">
        <v>7</v>
      </c>
      <c r="H19" s="58">
        <f t="shared" ref="H19" si="14">SUM(F19:G19)</f>
        <v>58</v>
      </c>
      <c r="I19" s="291" t="s">
        <v>14</v>
      </c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</row>
    <row r="20" spans="1:20" ht="14.95" customHeight="1" thickBot="1" x14ac:dyDescent="0.3">
      <c r="A20" s="226" t="s">
        <v>693</v>
      </c>
      <c r="B20" s="227">
        <v>0</v>
      </c>
      <c r="C20" s="228">
        <v>2</v>
      </c>
      <c r="D20" s="229">
        <f t="shared" si="0"/>
        <v>2</v>
      </c>
      <c r="E20" s="86" t="s">
        <v>693</v>
      </c>
      <c r="F20" s="109">
        <v>0</v>
      </c>
      <c r="G20" s="202">
        <v>10</v>
      </c>
      <c r="H20" s="58">
        <f t="shared" si="1"/>
        <v>10</v>
      </c>
      <c r="I20" s="268" t="s">
        <v>436</v>
      </c>
      <c r="J20" s="247" t="s">
        <v>162</v>
      </c>
      <c r="K20" s="248"/>
      <c r="L20" s="249"/>
      <c r="N20" s="44"/>
      <c r="O20" s="44"/>
    </row>
    <row r="21" spans="1:20" ht="14.95" customHeight="1" thickBot="1" x14ac:dyDescent="0.3">
      <c r="A21" s="226" t="s">
        <v>346</v>
      </c>
      <c r="B21" s="227">
        <v>0</v>
      </c>
      <c r="C21" s="228">
        <v>0</v>
      </c>
      <c r="D21" s="229">
        <f t="shared" si="0"/>
        <v>0</v>
      </c>
      <c r="E21" s="86" t="s">
        <v>346</v>
      </c>
      <c r="F21" s="109">
        <v>0</v>
      </c>
      <c r="G21" s="202">
        <v>0</v>
      </c>
      <c r="H21" s="58">
        <f t="shared" si="1"/>
        <v>0</v>
      </c>
      <c r="I21" s="269"/>
      <c r="J21" s="250"/>
      <c r="K21" s="251"/>
      <c r="L21" s="252"/>
    </row>
    <row r="22" spans="1:20" ht="14.95" customHeight="1" thickBot="1" x14ac:dyDescent="0.3">
      <c r="A22" s="226" t="s">
        <v>309</v>
      </c>
      <c r="B22" s="227">
        <v>3</v>
      </c>
      <c r="C22" s="228">
        <v>1</v>
      </c>
      <c r="D22" s="229">
        <f t="shared" si="0"/>
        <v>4</v>
      </c>
      <c r="E22" s="86" t="s">
        <v>309</v>
      </c>
      <c r="F22" s="109">
        <v>42</v>
      </c>
      <c r="G22" s="202">
        <v>5</v>
      </c>
      <c r="H22" s="58">
        <f t="shared" si="1"/>
        <v>47</v>
      </c>
      <c r="I22" s="172" t="s">
        <v>14</v>
      </c>
      <c r="J22" s="110" t="s">
        <v>21</v>
      </c>
      <c r="K22" s="110" t="s">
        <v>7</v>
      </c>
      <c r="L22" s="110" t="s">
        <v>8</v>
      </c>
    </row>
    <row r="23" spans="1:20" ht="14.95" customHeight="1" thickBot="1" x14ac:dyDescent="0.3">
      <c r="A23" s="226" t="s">
        <v>154</v>
      </c>
      <c r="B23" s="227">
        <v>0</v>
      </c>
      <c r="C23" s="228">
        <v>1</v>
      </c>
      <c r="D23" s="229">
        <f t="shared" si="0"/>
        <v>1</v>
      </c>
      <c r="E23" s="86" t="s">
        <v>154</v>
      </c>
      <c r="F23" s="109">
        <v>0</v>
      </c>
      <c r="G23" s="202">
        <v>5</v>
      </c>
      <c r="H23" s="58">
        <f t="shared" si="1"/>
        <v>5</v>
      </c>
      <c r="I23" s="230" t="s">
        <v>220</v>
      </c>
      <c r="J23" s="4">
        <v>7</v>
      </c>
      <c r="K23" s="4">
        <v>10</v>
      </c>
      <c r="L23" s="111">
        <f t="shared" ref="L23" si="15">SUM(J23/K23)*100</f>
        <v>70</v>
      </c>
    </row>
    <row r="24" spans="1:20" ht="14.95" customHeight="1" thickBot="1" x14ac:dyDescent="0.3">
      <c r="A24" s="226" t="s">
        <v>92</v>
      </c>
      <c r="B24" s="227">
        <v>0</v>
      </c>
      <c r="C24" s="228">
        <v>1</v>
      </c>
      <c r="D24" s="229">
        <f t="shared" si="0"/>
        <v>1</v>
      </c>
      <c r="E24" s="86" t="s">
        <v>92</v>
      </c>
      <c r="F24" s="109">
        <v>0</v>
      </c>
      <c r="G24" s="202">
        <v>5</v>
      </c>
      <c r="H24" s="58">
        <f t="shared" si="1"/>
        <v>5</v>
      </c>
    </row>
    <row r="25" spans="1:20" ht="14.95" customHeight="1" thickBot="1" x14ac:dyDescent="0.3">
      <c r="A25" s="226" t="s">
        <v>202</v>
      </c>
      <c r="B25" s="227">
        <v>2</v>
      </c>
      <c r="C25" s="228">
        <v>0</v>
      </c>
      <c r="D25" s="229">
        <f t="shared" si="0"/>
        <v>2</v>
      </c>
      <c r="E25" s="86" t="s">
        <v>202</v>
      </c>
      <c r="F25" s="109">
        <v>40</v>
      </c>
      <c r="G25" s="202">
        <v>0</v>
      </c>
      <c r="H25" s="58">
        <f t="shared" si="1"/>
        <v>40</v>
      </c>
    </row>
    <row r="26" spans="1:20" ht="14.95" customHeight="1" thickBot="1" x14ac:dyDescent="0.3">
      <c r="A26" s="226" t="s">
        <v>776</v>
      </c>
      <c r="B26" s="227">
        <v>1</v>
      </c>
      <c r="C26" s="228">
        <v>0</v>
      </c>
      <c r="D26" s="229">
        <f t="shared" si="0"/>
        <v>1</v>
      </c>
      <c r="E26" s="86" t="s">
        <v>776</v>
      </c>
      <c r="F26" s="109">
        <v>5</v>
      </c>
      <c r="G26" s="202">
        <v>0</v>
      </c>
      <c r="H26" s="58">
        <f t="shared" si="1"/>
        <v>5</v>
      </c>
    </row>
    <row r="27" spans="1:20" ht="14.95" customHeight="1" thickBot="1" x14ac:dyDescent="0.3">
      <c r="A27" s="226" t="s">
        <v>593</v>
      </c>
      <c r="B27" s="227">
        <v>4</v>
      </c>
      <c r="C27" s="228">
        <v>2</v>
      </c>
      <c r="D27" s="229">
        <f t="shared" si="0"/>
        <v>6</v>
      </c>
      <c r="E27" s="86" t="s">
        <v>593</v>
      </c>
      <c r="F27" s="109">
        <v>20</v>
      </c>
      <c r="G27" s="202">
        <v>10</v>
      </c>
      <c r="H27" s="58">
        <f t="shared" si="1"/>
        <v>30</v>
      </c>
    </row>
    <row r="28" spans="1:20" ht="14.95" customHeight="1" thickBot="1" x14ac:dyDescent="0.3">
      <c r="A28" s="226" t="s">
        <v>340</v>
      </c>
      <c r="B28" s="227">
        <v>0</v>
      </c>
      <c r="C28" s="228">
        <v>0</v>
      </c>
      <c r="D28" s="229">
        <f t="shared" si="0"/>
        <v>0</v>
      </c>
      <c r="E28" s="86" t="s">
        <v>340</v>
      </c>
      <c r="F28" s="109">
        <v>0</v>
      </c>
      <c r="G28" s="202">
        <v>0</v>
      </c>
      <c r="H28" s="58">
        <f t="shared" si="1"/>
        <v>0</v>
      </c>
    </row>
    <row r="29" spans="1:20" ht="14.95" customHeight="1" thickBot="1" x14ac:dyDescent="0.3">
      <c r="A29" s="226" t="s">
        <v>633</v>
      </c>
      <c r="B29" s="227">
        <v>1</v>
      </c>
      <c r="C29" s="228">
        <v>0</v>
      </c>
      <c r="D29" s="229">
        <f t="shared" si="0"/>
        <v>1</v>
      </c>
      <c r="E29" s="86" t="s">
        <v>633</v>
      </c>
      <c r="F29" s="109">
        <v>5</v>
      </c>
      <c r="G29" s="202">
        <v>0</v>
      </c>
      <c r="H29" s="58">
        <f t="shared" si="1"/>
        <v>5</v>
      </c>
    </row>
    <row r="30" spans="1:20" ht="14.95" customHeight="1" thickBot="1" x14ac:dyDescent="0.3">
      <c r="A30" s="226" t="s">
        <v>188</v>
      </c>
      <c r="B30" s="227">
        <v>2</v>
      </c>
      <c r="C30" s="228">
        <v>0</v>
      </c>
      <c r="D30" s="229">
        <f t="shared" si="0"/>
        <v>2</v>
      </c>
      <c r="E30" s="86" t="s">
        <v>188</v>
      </c>
      <c r="F30" s="109">
        <v>10</v>
      </c>
      <c r="G30" s="202">
        <v>0</v>
      </c>
      <c r="H30" s="58">
        <f t="shared" si="1"/>
        <v>10</v>
      </c>
    </row>
    <row r="31" spans="1:20" ht="14.95" customHeight="1" thickBot="1" x14ac:dyDescent="0.3">
      <c r="A31" s="226" t="s">
        <v>595</v>
      </c>
      <c r="B31" s="227">
        <v>0</v>
      </c>
      <c r="C31" s="228">
        <v>0</v>
      </c>
      <c r="D31" s="229">
        <f t="shared" si="0"/>
        <v>0</v>
      </c>
      <c r="E31" s="86" t="s">
        <v>595</v>
      </c>
      <c r="F31" s="109">
        <v>0</v>
      </c>
      <c r="G31" s="202">
        <v>0</v>
      </c>
      <c r="H31" s="58">
        <f t="shared" si="1"/>
        <v>0</v>
      </c>
    </row>
    <row r="32" spans="1:20" ht="14.95" customHeight="1" thickBot="1" x14ac:dyDescent="0.3">
      <c r="A32" s="226" t="s">
        <v>199</v>
      </c>
      <c r="B32" s="227">
        <v>2</v>
      </c>
      <c r="C32" s="228">
        <v>0</v>
      </c>
      <c r="D32" s="229">
        <f t="shared" si="0"/>
        <v>2</v>
      </c>
      <c r="E32" s="86" t="s">
        <v>199</v>
      </c>
      <c r="F32" s="109">
        <v>10</v>
      </c>
      <c r="G32" s="202">
        <v>0</v>
      </c>
      <c r="H32" s="58">
        <f t="shared" si="1"/>
        <v>10</v>
      </c>
    </row>
    <row r="33" spans="1:20" ht="14.95" customHeight="1" thickBot="1" x14ac:dyDescent="0.3">
      <c r="A33" s="226" t="s">
        <v>333</v>
      </c>
      <c r="B33" s="227">
        <v>0</v>
      </c>
      <c r="C33" s="228">
        <v>0</v>
      </c>
      <c r="D33" s="229">
        <f t="shared" si="0"/>
        <v>0</v>
      </c>
      <c r="E33" s="86" t="s">
        <v>333</v>
      </c>
      <c r="F33" s="109">
        <v>0</v>
      </c>
      <c r="G33" s="202">
        <v>0</v>
      </c>
      <c r="H33" s="58">
        <f t="shared" si="1"/>
        <v>0</v>
      </c>
    </row>
    <row r="34" spans="1:20" ht="14.95" customHeight="1" thickBot="1" x14ac:dyDescent="0.3">
      <c r="A34" s="226" t="s">
        <v>348</v>
      </c>
      <c r="B34" s="227">
        <v>2</v>
      </c>
      <c r="C34" s="228">
        <v>0</v>
      </c>
      <c r="D34" s="229">
        <f t="shared" si="0"/>
        <v>2</v>
      </c>
      <c r="E34" s="86" t="s">
        <v>348</v>
      </c>
      <c r="F34" s="109">
        <v>10</v>
      </c>
      <c r="G34" s="202">
        <v>0</v>
      </c>
      <c r="H34" s="58">
        <f t="shared" si="1"/>
        <v>10</v>
      </c>
    </row>
    <row r="35" spans="1:20" ht="14.95" customHeight="1" thickBot="1" x14ac:dyDescent="0.3">
      <c r="A35" s="226" t="s">
        <v>34</v>
      </c>
      <c r="B35" s="227">
        <v>0</v>
      </c>
      <c r="C35" s="228">
        <v>0</v>
      </c>
      <c r="D35" s="229">
        <f t="shared" si="0"/>
        <v>0</v>
      </c>
      <c r="E35" s="86" t="s">
        <v>34</v>
      </c>
      <c r="F35" s="109">
        <v>0</v>
      </c>
      <c r="G35" s="202">
        <v>0</v>
      </c>
      <c r="H35" s="58">
        <f t="shared" si="1"/>
        <v>0</v>
      </c>
    </row>
    <row r="36" spans="1:20" ht="14.95" customHeight="1" thickBot="1" x14ac:dyDescent="0.3">
      <c r="A36" s="226" t="s">
        <v>749</v>
      </c>
      <c r="B36" s="227">
        <v>1</v>
      </c>
      <c r="C36" s="228">
        <v>0</v>
      </c>
      <c r="D36" s="229">
        <f t="shared" si="0"/>
        <v>1</v>
      </c>
      <c r="E36" s="86" t="s">
        <v>749</v>
      </c>
      <c r="F36" s="109">
        <v>5</v>
      </c>
      <c r="G36" s="203">
        <v>0</v>
      </c>
      <c r="H36" s="60">
        <f t="shared" si="1"/>
        <v>5</v>
      </c>
    </row>
    <row r="37" spans="1:20" ht="14.95" customHeight="1" thickBot="1" x14ac:dyDescent="0.3">
      <c r="A37" s="226" t="s">
        <v>4</v>
      </c>
      <c r="B37" s="227">
        <v>1</v>
      </c>
      <c r="C37" s="228">
        <v>0</v>
      </c>
      <c r="D37" s="229">
        <f t="shared" si="0"/>
        <v>1</v>
      </c>
      <c r="E37" s="86" t="s">
        <v>4</v>
      </c>
      <c r="F37" s="109">
        <v>7</v>
      </c>
      <c r="G37" s="203">
        <v>0</v>
      </c>
      <c r="H37" s="60">
        <f t="shared" si="1"/>
        <v>7</v>
      </c>
    </row>
    <row r="38" spans="1:20" ht="14.95" customHeight="1" thickBot="1" x14ac:dyDescent="0.3">
      <c r="A38" s="226" t="s">
        <v>347</v>
      </c>
      <c r="B38" s="227">
        <v>0</v>
      </c>
      <c r="C38" s="228">
        <v>0</v>
      </c>
      <c r="D38" s="229">
        <f t="shared" si="0"/>
        <v>0</v>
      </c>
      <c r="E38" s="86" t="s">
        <v>347</v>
      </c>
      <c r="F38" s="109">
        <v>0</v>
      </c>
      <c r="G38" s="203">
        <v>0</v>
      </c>
      <c r="H38" s="60">
        <f t="shared" si="1"/>
        <v>0</v>
      </c>
    </row>
    <row r="39" spans="1:20" ht="14.95" customHeight="1" thickBot="1" x14ac:dyDescent="0.3">
      <c r="A39" s="226" t="s">
        <v>694</v>
      </c>
      <c r="B39" s="227">
        <v>8</v>
      </c>
      <c r="C39" s="228">
        <v>0</v>
      </c>
      <c r="D39" s="229">
        <f t="shared" si="0"/>
        <v>8</v>
      </c>
      <c r="E39" s="86" t="s">
        <v>694</v>
      </c>
      <c r="F39" s="109">
        <v>40</v>
      </c>
      <c r="G39" s="203">
        <v>0</v>
      </c>
      <c r="H39" s="60">
        <f t="shared" si="1"/>
        <v>40</v>
      </c>
    </row>
    <row r="40" spans="1:20" ht="14.95" customHeight="1" thickBot="1" x14ac:dyDescent="0.3">
      <c r="A40" s="226" t="s">
        <v>757</v>
      </c>
      <c r="B40" s="227">
        <v>1</v>
      </c>
      <c r="C40" s="228">
        <v>0</v>
      </c>
      <c r="D40" s="229">
        <f t="shared" si="0"/>
        <v>1</v>
      </c>
      <c r="E40" s="86" t="s">
        <v>757</v>
      </c>
      <c r="F40" s="109">
        <v>5</v>
      </c>
      <c r="G40" s="203">
        <v>0</v>
      </c>
      <c r="H40" s="60">
        <f t="shared" si="1"/>
        <v>5</v>
      </c>
    </row>
    <row r="41" spans="1:20" ht="14.95" customHeight="1" thickBot="1" x14ac:dyDescent="0.3">
      <c r="A41" s="226" t="s">
        <v>323</v>
      </c>
      <c r="B41" s="227">
        <v>2</v>
      </c>
      <c r="C41" s="228">
        <v>0</v>
      </c>
      <c r="D41" s="229">
        <f t="shared" si="0"/>
        <v>2</v>
      </c>
      <c r="E41" s="86" t="s">
        <v>323</v>
      </c>
      <c r="F41" s="109">
        <v>10</v>
      </c>
      <c r="G41" s="202">
        <v>0</v>
      </c>
      <c r="H41" s="58">
        <f t="shared" si="1"/>
        <v>10</v>
      </c>
      <c r="N41" s="88"/>
    </row>
    <row r="42" spans="1:20" ht="14.95" customHeight="1" thickBot="1" x14ac:dyDescent="0.3">
      <c r="A42" s="226" t="s">
        <v>341</v>
      </c>
      <c r="B42" s="227">
        <v>0</v>
      </c>
      <c r="C42" s="228">
        <v>0</v>
      </c>
      <c r="D42" s="229">
        <f t="shared" si="0"/>
        <v>0</v>
      </c>
      <c r="E42" s="86" t="s">
        <v>341</v>
      </c>
      <c r="F42" s="109">
        <v>0</v>
      </c>
      <c r="G42" s="202">
        <v>0</v>
      </c>
      <c r="H42" s="58">
        <f t="shared" si="1"/>
        <v>0</v>
      </c>
    </row>
    <row r="43" spans="1:20" ht="14.95" customHeight="1" thickBot="1" x14ac:dyDescent="0.3">
      <c r="A43" s="226" t="s">
        <v>553</v>
      </c>
      <c r="B43" s="227">
        <v>0</v>
      </c>
      <c r="C43" s="228">
        <v>0</v>
      </c>
      <c r="D43" s="229">
        <f t="shared" si="0"/>
        <v>0</v>
      </c>
      <c r="E43" s="86" t="s">
        <v>553</v>
      </c>
      <c r="F43" s="109">
        <v>0</v>
      </c>
      <c r="G43" s="202">
        <v>0</v>
      </c>
      <c r="H43" s="58">
        <f t="shared" si="1"/>
        <v>0</v>
      </c>
    </row>
    <row r="44" spans="1:20" ht="14.95" customHeight="1" thickBot="1" x14ac:dyDescent="0.3">
      <c r="A44" s="226" t="s">
        <v>151</v>
      </c>
      <c r="B44" s="227">
        <v>0</v>
      </c>
      <c r="C44" s="228">
        <v>1</v>
      </c>
      <c r="D44" s="229">
        <f t="shared" si="0"/>
        <v>1</v>
      </c>
      <c r="E44" s="86" t="s">
        <v>151</v>
      </c>
      <c r="F44" s="109">
        <v>0</v>
      </c>
      <c r="G44" s="202">
        <v>5</v>
      </c>
      <c r="H44" s="58">
        <f t="shared" si="1"/>
        <v>5</v>
      </c>
      <c r="R44" s="88"/>
      <c r="S44" s="88"/>
      <c r="T44" s="88"/>
    </row>
    <row r="45" spans="1:20" ht="14.95" customHeight="1" thickBot="1" x14ac:dyDescent="0.3">
      <c r="A45" s="226" t="s">
        <v>220</v>
      </c>
      <c r="B45" s="227">
        <v>1</v>
      </c>
      <c r="C45" s="228">
        <v>0</v>
      </c>
      <c r="D45" s="229">
        <f t="shared" si="0"/>
        <v>1</v>
      </c>
      <c r="E45" s="86" t="s">
        <v>220</v>
      </c>
      <c r="F45" s="109">
        <v>7</v>
      </c>
      <c r="G45" s="202">
        <v>10</v>
      </c>
      <c r="H45" s="58">
        <f t="shared" si="1"/>
        <v>17</v>
      </c>
    </row>
    <row r="46" spans="1:20" ht="14.95" customHeight="1" thickBot="1" x14ac:dyDescent="0.3">
      <c r="A46" s="226" t="s">
        <v>596</v>
      </c>
      <c r="B46" s="227">
        <v>0</v>
      </c>
      <c r="C46" s="228">
        <v>0</v>
      </c>
      <c r="D46" s="229">
        <f t="shared" si="0"/>
        <v>0</v>
      </c>
      <c r="E46" s="86" t="s">
        <v>596</v>
      </c>
      <c r="F46" s="109">
        <v>0</v>
      </c>
      <c r="G46" s="202">
        <v>0</v>
      </c>
      <c r="H46" s="58">
        <f t="shared" si="1"/>
        <v>0</v>
      </c>
    </row>
    <row r="47" spans="1:20" ht="14.95" customHeight="1" thickBot="1" x14ac:dyDescent="0.3">
      <c r="A47" s="226" t="s">
        <v>339</v>
      </c>
      <c r="B47" s="227">
        <v>3</v>
      </c>
      <c r="C47" s="228">
        <v>1</v>
      </c>
      <c r="D47" s="229">
        <f t="shared" si="0"/>
        <v>4</v>
      </c>
      <c r="E47" s="86" t="s">
        <v>339</v>
      </c>
      <c r="F47" s="109">
        <v>15</v>
      </c>
      <c r="G47" s="202">
        <v>5</v>
      </c>
      <c r="H47" s="58">
        <f t="shared" si="1"/>
        <v>20</v>
      </c>
    </row>
    <row r="48" spans="1:20" ht="14.95" customHeight="1" thickBot="1" x14ac:dyDescent="0.3">
      <c r="A48" s="226" t="s">
        <v>336</v>
      </c>
      <c r="B48" s="227">
        <v>1</v>
      </c>
      <c r="C48" s="228">
        <v>0</v>
      </c>
      <c r="D48" s="229">
        <f t="shared" si="0"/>
        <v>1</v>
      </c>
      <c r="E48" s="86" t="s">
        <v>336</v>
      </c>
      <c r="F48" s="109">
        <v>5</v>
      </c>
      <c r="G48" s="202">
        <v>0</v>
      </c>
      <c r="H48" s="58">
        <f t="shared" si="1"/>
        <v>5</v>
      </c>
    </row>
    <row r="49" spans="1:8" ht="14.95" thickBot="1" x14ac:dyDescent="0.3">
      <c r="A49" s="226" t="s">
        <v>773</v>
      </c>
      <c r="B49" s="227">
        <v>1</v>
      </c>
      <c r="C49" s="228">
        <v>0</v>
      </c>
      <c r="D49" s="229">
        <f t="shared" si="0"/>
        <v>1</v>
      </c>
      <c r="E49" s="86" t="s">
        <v>773</v>
      </c>
      <c r="F49" s="109">
        <v>5</v>
      </c>
      <c r="G49" s="202">
        <v>0</v>
      </c>
      <c r="H49" s="58">
        <f t="shared" si="1"/>
        <v>5</v>
      </c>
    </row>
    <row r="50" spans="1:8" ht="14.95" thickBot="1" x14ac:dyDescent="0.3">
      <c r="A50" s="226" t="s">
        <v>51</v>
      </c>
      <c r="B50" s="227">
        <v>5</v>
      </c>
      <c r="C50" s="228">
        <v>3</v>
      </c>
      <c r="D50" s="229">
        <f t="shared" si="0"/>
        <v>8</v>
      </c>
      <c r="E50" s="86" t="s">
        <v>51</v>
      </c>
      <c r="F50" s="109">
        <v>25</v>
      </c>
      <c r="G50" s="202">
        <v>15</v>
      </c>
      <c r="H50" s="58">
        <f t="shared" si="1"/>
        <v>40</v>
      </c>
    </row>
    <row r="51" spans="1:8" ht="14.95" thickBot="1" x14ac:dyDescent="0.3">
      <c r="A51" s="226" t="s">
        <v>75</v>
      </c>
      <c r="B51" s="227">
        <v>0</v>
      </c>
      <c r="C51" s="228">
        <v>0</v>
      </c>
      <c r="D51" s="229">
        <f t="shared" si="0"/>
        <v>0</v>
      </c>
      <c r="E51" s="86" t="s">
        <v>75</v>
      </c>
      <c r="F51" s="109">
        <v>0</v>
      </c>
      <c r="G51" s="202">
        <v>0</v>
      </c>
      <c r="H51" s="58">
        <f t="shared" si="1"/>
        <v>0</v>
      </c>
    </row>
    <row r="52" spans="1:8" ht="14.95" thickBot="1" x14ac:dyDescent="0.3">
      <c r="A52" s="226" t="s">
        <v>5</v>
      </c>
      <c r="B52" s="227">
        <v>0</v>
      </c>
      <c r="C52" s="228">
        <v>0</v>
      </c>
      <c r="D52" s="229">
        <f t="shared" si="0"/>
        <v>0</v>
      </c>
      <c r="E52" s="86" t="s">
        <v>5</v>
      </c>
      <c r="F52" s="109">
        <v>0</v>
      </c>
      <c r="G52" s="202">
        <v>0</v>
      </c>
      <c r="H52" s="58">
        <f t="shared" si="1"/>
        <v>0</v>
      </c>
    </row>
    <row r="53" spans="1:8" ht="14.95" thickBot="1" x14ac:dyDescent="0.3">
      <c r="A53" s="226" t="s">
        <v>159</v>
      </c>
      <c r="B53" s="227">
        <v>0</v>
      </c>
      <c r="C53" s="228">
        <v>0</v>
      </c>
      <c r="D53" s="229">
        <f t="shared" si="0"/>
        <v>0</v>
      </c>
      <c r="E53" s="86" t="s">
        <v>159</v>
      </c>
      <c r="F53" s="109">
        <v>0</v>
      </c>
      <c r="G53" s="202">
        <v>0</v>
      </c>
      <c r="H53" s="58">
        <f t="shared" si="1"/>
        <v>0</v>
      </c>
    </row>
    <row r="54" spans="1:8" ht="14.95" thickBot="1" x14ac:dyDescent="0.3">
      <c r="A54" s="226" t="s">
        <v>76</v>
      </c>
      <c r="B54" s="227">
        <v>3</v>
      </c>
      <c r="C54" s="228">
        <v>0</v>
      </c>
      <c r="D54" s="229">
        <f t="shared" si="0"/>
        <v>3</v>
      </c>
      <c r="E54" s="86" t="s">
        <v>76</v>
      </c>
      <c r="F54" s="109">
        <v>15</v>
      </c>
      <c r="G54" s="202">
        <v>0</v>
      </c>
      <c r="H54" s="58">
        <f t="shared" si="1"/>
        <v>15</v>
      </c>
    </row>
    <row r="55" spans="1:8" ht="14.95" thickBot="1" x14ac:dyDescent="0.3">
      <c r="A55" s="226" t="s">
        <v>3</v>
      </c>
      <c r="B55" s="227">
        <f>SUM(B3:B54)</f>
        <v>68</v>
      </c>
      <c r="C55" s="228">
        <f>SUM(C3:C54)</f>
        <v>15</v>
      </c>
      <c r="D55" s="229">
        <f t="shared" si="0"/>
        <v>83</v>
      </c>
      <c r="E55" s="86" t="s">
        <v>3</v>
      </c>
      <c r="F55" s="109">
        <f>SUM(F3:F54)</f>
        <v>437</v>
      </c>
      <c r="G55" s="202">
        <f>SUM(G3:G54)</f>
        <v>87</v>
      </c>
      <c r="H55" s="58">
        <f t="shared" si="1"/>
        <v>524</v>
      </c>
    </row>
    <row r="56" spans="1:8" x14ac:dyDescent="0.25">
      <c r="A56" s="255"/>
      <c r="B56" s="256"/>
      <c r="C56" s="256"/>
      <c r="D56" s="256"/>
      <c r="E56" s="256"/>
      <c r="F56" s="256"/>
      <c r="G56" s="88"/>
      <c r="H56" s="20"/>
    </row>
    <row r="57" spans="1:8" ht="14.95" thickBot="1" x14ac:dyDescent="0.3">
      <c r="A57" t="s">
        <v>9</v>
      </c>
      <c r="B57" s="56"/>
      <c r="C57" s="56"/>
      <c r="E57" s="19"/>
      <c r="F57" s="57"/>
      <c r="G57" s="57"/>
      <c r="H57" s="22"/>
    </row>
    <row r="58" spans="1:8" ht="14.95" thickBot="1" x14ac:dyDescent="0.3">
      <c r="A58" s="222" t="s">
        <v>0</v>
      </c>
      <c r="B58" s="223" t="s">
        <v>161</v>
      </c>
      <c r="C58" s="224" t="s">
        <v>167</v>
      </c>
      <c r="D58" s="225" t="s">
        <v>1</v>
      </c>
      <c r="E58" s="85" t="s">
        <v>2</v>
      </c>
      <c r="F58" s="108" t="s">
        <v>161</v>
      </c>
      <c r="G58" s="201" t="s">
        <v>167</v>
      </c>
      <c r="H58" s="59" t="s">
        <v>1</v>
      </c>
    </row>
    <row r="59" spans="1:8" ht="14.95" thickBot="1" x14ac:dyDescent="0.3">
      <c r="A59" s="226" t="s">
        <v>694</v>
      </c>
      <c r="B59" s="227">
        <v>8</v>
      </c>
      <c r="C59" s="228">
        <v>0</v>
      </c>
      <c r="D59" s="229">
        <f>SUM(B59:C59)</f>
        <v>8</v>
      </c>
      <c r="E59" s="86" t="s">
        <v>711</v>
      </c>
      <c r="F59" s="109">
        <v>51</v>
      </c>
      <c r="G59" s="202">
        <v>7</v>
      </c>
      <c r="H59" s="58">
        <f>SUM(F59:G59)</f>
        <v>58</v>
      </c>
    </row>
    <row r="60" spans="1:8" ht="14.95" thickBot="1" x14ac:dyDescent="0.3">
      <c r="A60" s="226" t="s">
        <v>51</v>
      </c>
      <c r="B60" s="227">
        <v>5</v>
      </c>
      <c r="C60" s="228">
        <v>3</v>
      </c>
      <c r="D60" s="229">
        <f>SUM(B60:C60)</f>
        <v>8</v>
      </c>
      <c r="E60" s="86" t="s">
        <v>309</v>
      </c>
      <c r="F60" s="109">
        <v>42</v>
      </c>
      <c r="G60" s="202">
        <v>5</v>
      </c>
      <c r="H60" s="58">
        <f>SUM(F60:G60)</f>
        <v>47</v>
      </c>
    </row>
    <row r="61" spans="1:8" ht="14.95" thickBot="1" x14ac:dyDescent="0.3">
      <c r="A61" s="226" t="s">
        <v>332</v>
      </c>
      <c r="B61" s="227">
        <v>7</v>
      </c>
      <c r="C61" s="228">
        <v>0</v>
      </c>
      <c r="D61" s="229">
        <f>SUM(B61:C61)</f>
        <v>7</v>
      </c>
      <c r="E61" s="86" t="s">
        <v>202</v>
      </c>
      <c r="F61" s="109">
        <v>40</v>
      </c>
      <c r="G61" s="202">
        <v>0</v>
      </c>
      <c r="H61" s="58">
        <f>SUM(F61:G61)</f>
        <v>40</v>
      </c>
    </row>
    <row r="62" spans="1:8" ht="14.95" thickBot="1" x14ac:dyDescent="0.3">
      <c r="A62" s="226" t="s">
        <v>593</v>
      </c>
      <c r="B62" s="227">
        <v>4</v>
      </c>
      <c r="C62" s="228">
        <v>2</v>
      </c>
      <c r="D62" s="229">
        <f>SUM(B62:C62)</f>
        <v>6</v>
      </c>
      <c r="E62" s="86" t="s">
        <v>694</v>
      </c>
      <c r="F62" s="109">
        <v>40</v>
      </c>
      <c r="G62" s="202">
        <v>0</v>
      </c>
      <c r="H62" s="58">
        <f>SUM(F62:G62)</f>
        <v>40</v>
      </c>
    </row>
    <row r="63" spans="1:8" ht="14.95" thickBot="1" x14ac:dyDescent="0.3">
      <c r="A63" s="226" t="s">
        <v>718</v>
      </c>
      <c r="B63" s="227">
        <v>4</v>
      </c>
      <c r="C63" s="228">
        <v>0</v>
      </c>
      <c r="D63" s="229">
        <f>SUM(B63:C63)</f>
        <v>4</v>
      </c>
      <c r="E63" s="86" t="s">
        <v>51</v>
      </c>
      <c r="F63" s="109">
        <v>25</v>
      </c>
      <c r="G63" s="202">
        <v>15</v>
      </c>
      <c r="H63" s="58">
        <f>SUM(F63:G63)</f>
        <v>40</v>
      </c>
    </row>
    <row r="64" spans="1:8" ht="14.95" thickBot="1" x14ac:dyDescent="0.3">
      <c r="A64" s="226" t="s">
        <v>55</v>
      </c>
      <c r="B64" s="227">
        <v>3</v>
      </c>
      <c r="C64" s="228">
        <v>1</v>
      </c>
      <c r="D64" s="229">
        <f>SUM(B64:C64)</f>
        <v>4</v>
      </c>
      <c r="E64" s="86" t="s">
        <v>332</v>
      </c>
      <c r="F64" s="109">
        <v>35</v>
      </c>
      <c r="G64" s="202">
        <v>0</v>
      </c>
      <c r="H64" s="58">
        <f>SUM(F64:G64)</f>
        <v>35</v>
      </c>
    </row>
    <row r="65" spans="1:8" ht="14.95" thickBot="1" x14ac:dyDescent="0.3">
      <c r="A65" s="226" t="s">
        <v>711</v>
      </c>
      <c r="B65" s="227">
        <v>3</v>
      </c>
      <c r="C65" s="228">
        <v>1</v>
      </c>
      <c r="D65" s="229">
        <f>SUM(B65:C65)</f>
        <v>4</v>
      </c>
      <c r="E65" s="86" t="s">
        <v>593</v>
      </c>
      <c r="F65" s="109">
        <v>20</v>
      </c>
      <c r="G65" s="202">
        <v>10</v>
      </c>
      <c r="H65" s="58">
        <f>SUM(F65:G65)</f>
        <v>30</v>
      </c>
    </row>
    <row r="66" spans="1:8" ht="14.95" thickBot="1" x14ac:dyDescent="0.3">
      <c r="A66" s="226" t="s">
        <v>309</v>
      </c>
      <c r="B66" s="227">
        <v>3</v>
      </c>
      <c r="C66" s="228">
        <v>1</v>
      </c>
      <c r="D66" s="229">
        <f>SUM(B66:C66)</f>
        <v>4</v>
      </c>
      <c r="E66" s="86" t="s">
        <v>718</v>
      </c>
      <c r="F66" s="109">
        <v>20</v>
      </c>
      <c r="G66" s="202">
        <v>0</v>
      </c>
      <c r="H66" s="58">
        <f>SUM(F66:G66)</f>
        <v>20</v>
      </c>
    </row>
    <row r="67" spans="1:8" ht="14.95" thickBot="1" x14ac:dyDescent="0.3">
      <c r="A67" s="226" t="s">
        <v>339</v>
      </c>
      <c r="B67" s="227">
        <v>3</v>
      </c>
      <c r="C67" s="228">
        <v>1</v>
      </c>
      <c r="D67" s="229">
        <f>SUM(B67:C67)</f>
        <v>4</v>
      </c>
      <c r="E67" s="86" t="s">
        <v>55</v>
      </c>
      <c r="F67" s="109">
        <v>15</v>
      </c>
      <c r="G67" s="202">
        <v>5</v>
      </c>
      <c r="H67" s="58">
        <f>SUM(F67:G67)</f>
        <v>20</v>
      </c>
    </row>
    <row r="68" spans="1:8" ht="14.95" thickBot="1" x14ac:dyDescent="0.3">
      <c r="A68" s="226" t="s">
        <v>342</v>
      </c>
      <c r="B68" s="227">
        <v>3</v>
      </c>
      <c r="C68" s="228">
        <v>0</v>
      </c>
      <c r="D68" s="229">
        <f>SUM(B68:C68)</f>
        <v>3</v>
      </c>
      <c r="E68" s="86" t="s">
        <v>339</v>
      </c>
      <c r="F68" s="109">
        <v>15</v>
      </c>
      <c r="G68" s="202">
        <v>5</v>
      </c>
      <c r="H68" s="58">
        <f>SUM(F68:G68)</f>
        <v>20</v>
      </c>
    </row>
    <row r="69" spans="1:8" ht="14.95" thickBot="1" x14ac:dyDescent="0.3">
      <c r="A69" s="226" t="s">
        <v>76</v>
      </c>
      <c r="B69" s="227">
        <v>3</v>
      </c>
      <c r="C69" s="228">
        <v>0</v>
      </c>
      <c r="D69" s="229">
        <f>SUM(B69:C69)</f>
        <v>3</v>
      </c>
      <c r="E69" s="86" t="s">
        <v>220</v>
      </c>
      <c r="F69" s="109">
        <v>7</v>
      </c>
      <c r="G69" s="202">
        <v>10</v>
      </c>
      <c r="H69" s="58">
        <f>SUM(F69:G69)</f>
        <v>17</v>
      </c>
    </row>
    <row r="70" spans="1:8" ht="14.95" thickBot="1" x14ac:dyDescent="0.3">
      <c r="A70" s="226" t="s">
        <v>192</v>
      </c>
      <c r="B70" s="227">
        <v>1</v>
      </c>
      <c r="C70" s="228">
        <v>1</v>
      </c>
      <c r="D70" s="229">
        <f>SUM(B70:C70)</f>
        <v>2</v>
      </c>
      <c r="E70" s="86" t="s">
        <v>342</v>
      </c>
      <c r="F70" s="109">
        <v>15</v>
      </c>
      <c r="G70" s="202">
        <v>0</v>
      </c>
      <c r="H70" s="58">
        <f>SUM(F70:G70)</f>
        <v>15</v>
      </c>
    </row>
    <row r="71" spans="1:8" ht="14.95" thickBot="1" x14ac:dyDescent="0.3">
      <c r="A71" s="226" t="s">
        <v>337</v>
      </c>
      <c r="B71" s="227">
        <v>2</v>
      </c>
      <c r="C71" s="228">
        <v>0</v>
      </c>
      <c r="D71" s="229">
        <f>SUM(B71:C71)</f>
        <v>2</v>
      </c>
      <c r="E71" s="86" t="s">
        <v>76</v>
      </c>
      <c r="F71" s="109">
        <v>15</v>
      </c>
      <c r="G71" s="202">
        <v>0</v>
      </c>
      <c r="H71" s="58">
        <f>SUM(F71:G71)</f>
        <v>15</v>
      </c>
    </row>
    <row r="72" spans="1:8" ht="14.95" thickBot="1" x14ac:dyDescent="0.3">
      <c r="A72" s="226" t="s">
        <v>693</v>
      </c>
      <c r="B72" s="227">
        <v>0</v>
      </c>
      <c r="C72" s="228">
        <v>2</v>
      </c>
      <c r="D72" s="229">
        <f>SUM(B72:C72)</f>
        <v>2</v>
      </c>
      <c r="E72" s="86" t="s">
        <v>192</v>
      </c>
      <c r="F72" s="109">
        <v>5</v>
      </c>
      <c r="G72" s="202">
        <v>5</v>
      </c>
      <c r="H72" s="58">
        <f>SUM(F72:G72)</f>
        <v>10</v>
      </c>
    </row>
    <row r="73" spans="1:8" ht="14.95" thickBot="1" x14ac:dyDescent="0.3">
      <c r="A73" s="226" t="s">
        <v>202</v>
      </c>
      <c r="B73" s="227">
        <v>2</v>
      </c>
      <c r="C73" s="228">
        <v>0</v>
      </c>
      <c r="D73" s="229">
        <f>SUM(B73:C73)</f>
        <v>2</v>
      </c>
      <c r="E73" s="86" t="s">
        <v>337</v>
      </c>
      <c r="F73" s="109">
        <v>10</v>
      </c>
      <c r="G73" s="202">
        <v>0</v>
      </c>
      <c r="H73" s="58">
        <f>SUM(F73:G73)</f>
        <v>10</v>
      </c>
    </row>
    <row r="74" spans="1:8" ht="14.95" thickBot="1" x14ac:dyDescent="0.3">
      <c r="A74" s="226" t="s">
        <v>188</v>
      </c>
      <c r="B74" s="227">
        <v>2</v>
      </c>
      <c r="C74" s="228">
        <v>0</v>
      </c>
      <c r="D74" s="229">
        <f>SUM(B74:C74)</f>
        <v>2</v>
      </c>
      <c r="E74" s="86" t="s">
        <v>693</v>
      </c>
      <c r="F74" s="109">
        <v>0</v>
      </c>
      <c r="G74" s="202">
        <v>10</v>
      </c>
      <c r="H74" s="58">
        <f>SUM(F74:G74)</f>
        <v>10</v>
      </c>
    </row>
    <row r="75" spans="1:8" ht="14.95" thickBot="1" x14ac:dyDescent="0.3">
      <c r="A75" s="226" t="s">
        <v>199</v>
      </c>
      <c r="B75" s="227">
        <v>2</v>
      </c>
      <c r="C75" s="228">
        <v>0</v>
      </c>
      <c r="D75" s="229">
        <f>SUM(B75:C75)</f>
        <v>2</v>
      </c>
      <c r="E75" s="86" t="s">
        <v>188</v>
      </c>
      <c r="F75" s="109">
        <v>10</v>
      </c>
      <c r="G75" s="202">
        <v>0</v>
      </c>
      <c r="H75" s="58">
        <f>SUM(F75:G75)</f>
        <v>10</v>
      </c>
    </row>
    <row r="76" spans="1:8" ht="14.95" thickBot="1" x14ac:dyDescent="0.3">
      <c r="A76" s="226" t="s">
        <v>348</v>
      </c>
      <c r="B76" s="227">
        <v>2</v>
      </c>
      <c r="C76" s="228">
        <v>0</v>
      </c>
      <c r="D76" s="229">
        <f>SUM(B76:C76)</f>
        <v>2</v>
      </c>
      <c r="E76" s="86" t="s">
        <v>199</v>
      </c>
      <c r="F76" s="109">
        <v>10</v>
      </c>
      <c r="G76" s="202">
        <v>0</v>
      </c>
      <c r="H76" s="58">
        <f>SUM(F76:G76)</f>
        <v>10</v>
      </c>
    </row>
    <row r="77" spans="1:8" ht="14.95" thickBot="1" x14ac:dyDescent="0.3">
      <c r="A77" s="226" t="s">
        <v>323</v>
      </c>
      <c r="B77" s="227">
        <v>2</v>
      </c>
      <c r="C77" s="228">
        <v>0</v>
      </c>
      <c r="D77" s="229">
        <f>SUM(B77:C77)</f>
        <v>2</v>
      </c>
      <c r="E77" s="86" t="s">
        <v>348</v>
      </c>
      <c r="F77" s="109">
        <v>10</v>
      </c>
      <c r="G77" s="202">
        <v>0</v>
      </c>
      <c r="H77" s="58">
        <f>SUM(F77:G77)</f>
        <v>10</v>
      </c>
    </row>
    <row r="78" spans="1:8" ht="14.95" thickBot="1" x14ac:dyDescent="0.3">
      <c r="A78" s="226" t="s">
        <v>345</v>
      </c>
      <c r="B78" s="227">
        <v>1</v>
      </c>
      <c r="C78" s="228">
        <v>0</v>
      </c>
      <c r="D78" s="229">
        <f>SUM(B78:C78)</f>
        <v>1</v>
      </c>
      <c r="E78" s="86" t="s">
        <v>323</v>
      </c>
      <c r="F78" s="109">
        <v>10</v>
      </c>
      <c r="G78" s="202">
        <v>0</v>
      </c>
      <c r="H78" s="58">
        <f>SUM(F78:G78)</f>
        <v>10</v>
      </c>
    </row>
    <row r="79" spans="1:8" ht="14.95" thickBot="1" x14ac:dyDescent="0.3">
      <c r="A79" s="226" t="s">
        <v>154</v>
      </c>
      <c r="B79" s="227">
        <v>0</v>
      </c>
      <c r="C79" s="228">
        <v>1</v>
      </c>
      <c r="D79" s="229">
        <f>SUM(B79:C79)</f>
        <v>1</v>
      </c>
      <c r="E79" s="86" t="s">
        <v>4</v>
      </c>
      <c r="F79" s="109">
        <v>7</v>
      </c>
      <c r="G79" s="202">
        <v>0</v>
      </c>
      <c r="H79" s="58">
        <f>SUM(F79:G79)</f>
        <v>7</v>
      </c>
    </row>
    <row r="80" spans="1:8" ht="14.95" thickBot="1" x14ac:dyDescent="0.3">
      <c r="A80" s="226" t="s">
        <v>92</v>
      </c>
      <c r="B80" s="227">
        <v>0</v>
      </c>
      <c r="C80" s="228">
        <v>1</v>
      </c>
      <c r="D80" s="229">
        <f>SUM(B80:C80)</f>
        <v>1</v>
      </c>
      <c r="E80" s="86" t="s">
        <v>345</v>
      </c>
      <c r="F80" s="109">
        <v>5</v>
      </c>
      <c r="G80" s="202">
        <v>0</v>
      </c>
      <c r="H80" s="58">
        <f>SUM(F80:G80)</f>
        <v>5</v>
      </c>
    </row>
    <row r="81" spans="1:8" ht="14.95" thickBot="1" x14ac:dyDescent="0.3">
      <c r="A81" s="226" t="s">
        <v>776</v>
      </c>
      <c r="B81" s="227">
        <v>1</v>
      </c>
      <c r="C81" s="228">
        <v>0</v>
      </c>
      <c r="D81" s="229">
        <f>SUM(B81:C81)</f>
        <v>1</v>
      </c>
      <c r="E81" s="86" t="s">
        <v>154</v>
      </c>
      <c r="F81" s="109">
        <v>0</v>
      </c>
      <c r="G81" s="202">
        <v>5</v>
      </c>
      <c r="H81" s="58">
        <f>SUM(F81:G81)</f>
        <v>5</v>
      </c>
    </row>
    <row r="82" spans="1:8" ht="14.95" thickBot="1" x14ac:dyDescent="0.3">
      <c r="A82" s="226" t="s">
        <v>633</v>
      </c>
      <c r="B82" s="227">
        <v>1</v>
      </c>
      <c r="C82" s="228">
        <v>0</v>
      </c>
      <c r="D82" s="229">
        <f>SUM(B82:C82)</f>
        <v>1</v>
      </c>
      <c r="E82" s="86" t="s">
        <v>92</v>
      </c>
      <c r="F82" s="109">
        <v>0</v>
      </c>
      <c r="G82" s="202">
        <v>5</v>
      </c>
      <c r="H82" s="58">
        <f>SUM(F82:G82)</f>
        <v>5</v>
      </c>
    </row>
    <row r="83" spans="1:8" ht="14.95" thickBot="1" x14ac:dyDescent="0.3">
      <c r="A83" s="226" t="s">
        <v>749</v>
      </c>
      <c r="B83" s="227">
        <v>1</v>
      </c>
      <c r="C83" s="228">
        <v>0</v>
      </c>
      <c r="D83" s="229">
        <f>SUM(B83:C83)</f>
        <v>1</v>
      </c>
      <c r="E83" s="86" t="s">
        <v>776</v>
      </c>
      <c r="F83" s="109">
        <v>5</v>
      </c>
      <c r="G83" s="202">
        <v>0</v>
      </c>
      <c r="H83" s="58">
        <f>SUM(F83:G83)</f>
        <v>5</v>
      </c>
    </row>
    <row r="84" spans="1:8" ht="14.95" thickBot="1" x14ac:dyDescent="0.3">
      <c r="A84" s="226" t="s">
        <v>4</v>
      </c>
      <c r="B84" s="227">
        <v>1</v>
      </c>
      <c r="C84" s="228">
        <v>0</v>
      </c>
      <c r="D84" s="229">
        <f>SUM(B84:C84)</f>
        <v>1</v>
      </c>
      <c r="E84" s="86" t="s">
        <v>633</v>
      </c>
      <c r="F84" s="109">
        <v>5</v>
      </c>
      <c r="G84" s="202">
        <v>0</v>
      </c>
      <c r="H84" s="58">
        <f>SUM(F84:G84)</f>
        <v>5</v>
      </c>
    </row>
    <row r="85" spans="1:8" ht="14.95" thickBot="1" x14ac:dyDescent="0.3">
      <c r="A85" s="226" t="s">
        <v>757</v>
      </c>
      <c r="B85" s="227">
        <v>1</v>
      </c>
      <c r="C85" s="228">
        <v>0</v>
      </c>
      <c r="D85" s="229">
        <f>SUM(B85:C85)</f>
        <v>1</v>
      </c>
      <c r="E85" s="86" t="s">
        <v>749</v>
      </c>
      <c r="F85" s="109">
        <v>5</v>
      </c>
      <c r="G85" s="202">
        <v>0</v>
      </c>
      <c r="H85" s="58">
        <f>SUM(F85:G85)</f>
        <v>5</v>
      </c>
    </row>
    <row r="86" spans="1:8" ht="14.95" thickBot="1" x14ac:dyDescent="0.3">
      <c r="A86" s="226" t="s">
        <v>151</v>
      </c>
      <c r="B86" s="227">
        <v>0</v>
      </c>
      <c r="C86" s="228">
        <v>1</v>
      </c>
      <c r="D86" s="229">
        <f>SUM(B86:C86)</f>
        <v>1</v>
      </c>
      <c r="E86" s="86" t="s">
        <v>757</v>
      </c>
      <c r="F86" s="109">
        <v>5</v>
      </c>
      <c r="G86" s="202">
        <v>0</v>
      </c>
      <c r="H86" s="58">
        <f>SUM(F86:G86)</f>
        <v>5</v>
      </c>
    </row>
    <row r="87" spans="1:8" ht="14.95" thickBot="1" x14ac:dyDescent="0.3">
      <c r="A87" s="226" t="s">
        <v>220</v>
      </c>
      <c r="B87" s="227">
        <v>1</v>
      </c>
      <c r="C87" s="228">
        <v>0</v>
      </c>
      <c r="D87" s="229">
        <f>SUM(B87:C87)</f>
        <v>1</v>
      </c>
      <c r="E87" s="86" t="s">
        <v>151</v>
      </c>
      <c r="F87" s="109">
        <v>0</v>
      </c>
      <c r="G87" s="202">
        <v>5</v>
      </c>
      <c r="H87" s="58">
        <f>SUM(F87:G87)</f>
        <v>5</v>
      </c>
    </row>
    <row r="88" spans="1:8" ht="14.95" thickBot="1" x14ac:dyDescent="0.3">
      <c r="A88" s="226" t="s">
        <v>336</v>
      </c>
      <c r="B88" s="227">
        <v>1</v>
      </c>
      <c r="C88" s="228">
        <v>0</v>
      </c>
      <c r="D88" s="229">
        <f>SUM(B88:C88)</f>
        <v>1</v>
      </c>
      <c r="E88" s="86" t="s">
        <v>336</v>
      </c>
      <c r="F88" s="109">
        <v>5</v>
      </c>
      <c r="G88" s="202">
        <v>0</v>
      </c>
      <c r="H88" s="58">
        <f>SUM(F88:G88)</f>
        <v>5</v>
      </c>
    </row>
    <row r="89" spans="1:8" ht="14.95" thickBot="1" x14ac:dyDescent="0.3">
      <c r="A89" s="226" t="s">
        <v>773</v>
      </c>
      <c r="B89" s="227">
        <v>1</v>
      </c>
      <c r="C89" s="228">
        <v>0</v>
      </c>
      <c r="D89" s="229">
        <f>SUM(B89:C89)</f>
        <v>1</v>
      </c>
      <c r="E89" s="86" t="s">
        <v>773</v>
      </c>
      <c r="F89" s="109">
        <v>5</v>
      </c>
      <c r="G89" s="202">
        <v>0</v>
      </c>
      <c r="H89" s="58">
        <f>SUM(F89:G89)</f>
        <v>5</v>
      </c>
    </row>
    <row r="90" spans="1:8" ht="14.95" thickBot="1" x14ac:dyDescent="0.3">
      <c r="A90" s="226" t="s">
        <v>36</v>
      </c>
      <c r="B90" s="227">
        <v>0</v>
      </c>
      <c r="C90" s="228">
        <v>0</v>
      </c>
      <c r="D90" s="229">
        <f>SUM(B90:C90)</f>
        <v>0</v>
      </c>
      <c r="E90" s="86" t="s">
        <v>36</v>
      </c>
      <c r="F90" s="109">
        <v>0</v>
      </c>
      <c r="G90" s="202">
        <v>0</v>
      </c>
      <c r="H90" s="58">
        <f>SUM(F90:G90)</f>
        <v>0</v>
      </c>
    </row>
    <row r="91" spans="1:8" ht="14.95" thickBot="1" x14ac:dyDescent="0.3">
      <c r="A91" s="226" t="s">
        <v>343</v>
      </c>
      <c r="B91" s="227">
        <v>0</v>
      </c>
      <c r="C91" s="228">
        <v>0</v>
      </c>
      <c r="D91" s="229">
        <f>SUM(B91:C91)</f>
        <v>0</v>
      </c>
      <c r="E91" s="86" t="s">
        <v>343</v>
      </c>
      <c r="F91" s="109">
        <v>0</v>
      </c>
      <c r="G91" s="202">
        <v>0</v>
      </c>
      <c r="H91" s="58">
        <f>SUM(F91:G91)</f>
        <v>0</v>
      </c>
    </row>
    <row r="92" spans="1:8" ht="14.95" thickBot="1" x14ac:dyDescent="0.3">
      <c r="A92" s="226" t="s">
        <v>331</v>
      </c>
      <c r="B92" s="227">
        <v>0</v>
      </c>
      <c r="C92" s="228">
        <v>0</v>
      </c>
      <c r="D92" s="229">
        <f>SUM(B92:C92)</f>
        <v>0</v>
      </c>
      <c r="E92" s="86" t="s">
        <v>331</v>
      </c>
      <c r="F92" s="109">
        <v>0</v>
      </c>
      <c r="G92" s="203">
        <v>0</v>
      </c>
      <c r="H92" s="60">
        <f>SUM(F92:G92)</f>
        <v>0</v>
      </c>
    </row>
    <row r="93" spans="1:8" ht="14.95" thickBot="1" x14ac:dyDescent="0.3">
      <c r="A93" s="226" t="s">
        <v>344</v>
      </c>
      <c r="B93" s="227">
        <v>0</v>
      </c>
      <c r="C93" s="228">
        <v>0</v>
      </c>
      <c r="D93" s="229">
        <f>SUM(B93:C93)</f>
        <v>0</v>
      </c>
      <c r="E93" s="86" t="s">
        <v>344</v>
      </c>
      <c r="F93" s="109">
        <v>0</v>
      </c>
      <c r="G93" s="203">
        <v>0</v>
      </c>
      <c r="H93" s="60">
        <f>SUM(F93:G93)</f>
        <v>0</v>
      </c>
    </row>
    <row r="94" spans="1:8" ht="14.95" thickBot="1" x14ac:dyDescent="0.3">
      <c r="A94" s="226" t="s">
        <v>335</v>
      </c>
      <c r="B94" s="227">
        <v>0</v>
      </c>
      <c r="C94" s="228">
        <v>0</v>
      </c>
      <c r="D94" s="229">
        <f>SUM(B94:C94)</f>
        <v>0</v>
      </c>
      <c r="E94" s="86" t="s">
        <v>335</v>
      </c>
      <c r="F94" s="109">
        <v>0</v>
      </c>
      <c r="G94" s="203">
        <v>0</v>
      </c>
      <c r="H94" s="60">
        <f>SUM(F94:G94)</f>
        <v>0</v>
      </c>
    </row>
    <row r="95" spans="1:8" ht="14.95" thickBot="1" x14ac:dyDescent="0.3">
      <c r="A95" s="226" t="s">
        <v>334</v>
      </c>
      <c r="B95" s="227">
        <v>0</v>
      </c>
      <c r="C95" s="228">
        <v>0</v>
      </c>
      <c r="D95" s="229">
        <f>SUM(B95:C95)</f>
        <v>0</v>
      </c>
      <c r="E95" s="86" t="s">
        <v>334</v>
      </c>
      <c r="F95" s="109">
        <v>0</v>
      </c>
      <c r="G95" s="203">
        <v>0</v>
      </c>
      <c r="H95" s="60">
        <f>SUM(F95:G95)</f>
        <v>0</v>
      </c>
    </row>
    <row r="96" spans="1:8" ht="14.95" thickBot="1" x14ac:dyDescent="0.3">
      <c r="A96" s="226" t="s">
        <v>270</v>
      </c>
      <c r="B96" s="227">
        <v>0</v>
      </c>
      <c r="C96" s="228">
        <v>0</v>
      </c>
      <c r="D96" s="229">
        <f>SUM(B96:C96)</f>
        <v>0</v>
      </c>
      <c r="E96" s="86" t="s">
        <v>270</v>
      </c>
      <c r="F96" s="109">
        <v>0</v>
      </c>
      <c r="G96" s="203">
        <v>0</v>
      </c>
      <c r="H96" s="60">
        <f>SUM(F96:G96)</f>
        <v>0</v>
      </c>
    </row>
    <row r="97" spans="1:8" ht="14.95" thickBot="1" x14ac:dyDescent="0.3">
      <c r="A97" s="226" t="s">
        <v>552</v>
      </c>
      <c r="B97" s="227">
        <v>0</v>
      </c>
      <c r="C97" s="228">
        <v>0</v>
      </c>
      <c r="D97" s="229">
        <f>SUM(B97:C97)</f>
        <v>0</v>
      </c>
      <c r="E97" s="86" t="s">
        <v>552</v>
      </c>
      <c r="F97" s="109">
        <v>0</v>
      </c>
      <c r="G97" s="202">
        <v>0</v>
      </c>
      <c r="H97" s="58">
        <f>SUM(F97:G97)</f>
        <v>0</v>
      </c>
    </row>
    <row r="98" spans="1:8" ht="14.95" thickBot="1" x14ac:dyDescent="0.3">
      <c r="A98" s="226" t="s">
        <v>554</v>
      </c>
      <c r="B98" s="227">
        <v>0</v>
      </c>
      <c r="C98" s="228">
        <v>0</v>
      </c>
      <c r="D98" s="229">
        <f>SUM(B98:C98)</f>
        <v>0</v>
      </c>
      <c r="E98" s="86" t="s">
        <v>554</v>
      </c>
      <c r="F98" s="109">
        <v>0</v>
      </c>
      <c r="G98" s="202">
        <v>0</v>
      </c>
      <c r="H98" s="58">
        <f>SUM(F98:G98)</f>
        <v>0</v>
      </c>
    </row>
    <row r="99" spans="1:8" ht="14.95" thickBot="1" x14ac:dyDescent="0.3">
      <c r="A99" s="226" t="s">
        <v>346</v>
      </c>
      <c r="B99" s="227">
        <v>0</v>
      </c>
      <c r="C99" s="228">
        <v>0</v>
      </c>
      <c r="D99" s="229">
        <f>SUM(B99:C99)</f>
        <v>0</v>
      </c>
      <c r="E99" s="86" t="s">
        <v>346</v>
      </c>
      <c r="F99" s="109">
        <v>0</v>
      </c>
      <c r="G99" s="202">
        <v>0</v>
      </c>
      <c r="H99" s="58">
        <f>SUM(F99:G99)</f>
        <v>0</v>
      </c>
    </row>
    <row r="100" spans="1:8" ht="14.95" thickBot="1" x14ac:dyDescent="0.3">
      <c r="A100" s="226" t="s">
        <v>340</v>
      </c>
      <c r="B100" s="227">
        <v>0</v>
      </c>
      <c r="C100" s="228">
        <v>0</v>
      </c>
      <c r="D100" s="229">
        <f>SUM(B100:C100)</f>
        <v>0</v>
      </c>
      <c r="E100" s="86" t="s">
        <v>340</v>
      </c>
      <c r="F100" s="109">
        <v>0</v>
      </c>
      <c r="G100" s="202">
        <v>0</v>
      </c>
      <c r="H100" s="58">
        <f>SUM(F100:G100)</f>
        <v>0</v>
      </c>
    </row>
    <row r="101" spans="1:8" ht="14.95" thickBot="1" x14ac:dyDescent="0.3">
      <c r="A101" s="226" t="s">
        <v>595</v>
      </c>
      <c r="B101" s="227">
        <v>0</v>
      </c>
      <c r="C101" s="228">
        <v>0</v>
      </c>
      <c r="D101" s="229">
        <f>SUM(B101:C101)</f>
        <v>0</v>
      </c>
      <c r="E101" s="86" t="s">
        <v>595</v>
      </c>
      <c r="F101" s="109">
        <v>0</v>
      </c>
      <c r="G101" s="202">
        <v>0</v>
      </c>
      <c r="H101" s="58">
        <f>SUM(F101:G101)</f>
        <v>0</v>
      </c>
    </row>
    <row r="102" spans="1:8" ht="14.95" thickBot="1" x14ac:dyDescent="0.3">
      <c r="A102" s="226" t="s">
        <v>333</v>
      </c>
      <c r="B102" s="227">
        <v>0</v>
      </c>
      <c r="C102" s="228">
        <v>0</v>
      </c>
      <c r="D102" s="229">
        <f>SUM(B102:C102)</f>
        <v>0</v>
      </c>
      <c r="E102" s="86" t="s">
        <v>333</v>
      </c>
      <c r="F102" s="109">
        <v>0</v>
      </c>
      <c r="G102" s="202">
        <v>0</v>
      </c>
      <c r="H102" s="58">
        <f>SUM(F102:G102)</f>
        <v>0</v>
      </c>
    </row>
    <row r="103" spans="1:8" ht="16.3" customHeight="1" thickBot="1" x14ac:dyDescent="0.3">
      <c r="A103" s="226" t="s">
        <v>34</v>
      </c>
      <c r="B103" s="227">
        <v>0</v>
      </c>
      <c r="C103" s="228">
        <v>0</v>
      </c>
      <c r="D103" s="229">
        <f>SUM(B103:C103)</f>
        <v>0</v>
      </c>
      <c r="E103" s="86" t="s">
        <v>34</v>
      </c>
      <c r="F103" s="109">
        <v>0</v>
      </c>
      <c r="G103" s="202">
        <v>0</v>
      </c>
      <c r="H103" s="58">
        <f>SUM(F103:G103)</f>
        <v>0</v>
      </c>
    </row>
    <row r="104" spans="1:8" ht="14.95" thickBot="1" x14ac:dyDescent="0.3">
      <c r="A104" s="226" t="s">
        <v>347</v>
      </c>
      <c r="B104" s="227">
        <v>0</v>
      </c>
      <c r="C104" s="228">
        <v>0</v>
      </c>
      <c r="D104" s="229">
        <f>SUM(B104:C104)</f>
        <v>0</v>
      </c>
      <c r="E104" s="86" t="s">
        <v>347</v>
      </c>
      <c r="F104" s="109">
        <v>0</v>
      </c>
      <c r="G104" s="202">
        <v>0</v>
      </c>
      <c r="H104" s="58">
        <f>SUM(F104:G104)</f>
        <v>0</v>
      </c>
    </row>
    <row r="105" spans="1:8" ht="14.95" thickBot="1" x14ac:dyDescent="0.3">
      <c r="A105" s="226" t="s">
        <v>341</v>
      </c>
      <c r="B105" s="227">
        <v>0</v>
      </c>
      <c r="C105" s="228">
        <v>0</v>
      </c>
      <c r="D105" s="229">
        <f>SUM(B105:C105)</f>
        <v>0</v>
      </c>
      <c r="E105" s="86" t="s">
        <v>341</v>
      </c>
      <c r="F105" s="109">
        <v>0</v>
      </c>
      <c r="G105" s="202">
        <v>0</v>
      </c>
      <c r="H105" s="58">
        <f>SUM(F105:G105)</f>
        <v>0</v>
      </c>
    </row>
    <row r="106" spans="1:8" ht="14.95" thickBot="1" x14ac:dyDescent="0.3">
      <c r="A106" s="226" t="s">
        <v>553</v>
      </c>
      <c r="B106" s="227">
        <v>0</v>
      </c>
      <c r="C106" s="228">
        <v>0</v>
      </c>
      <c r="D106" s="229">
        <f>SUM(B106:C106)</f>
        <v>0</v>
      </c>
      <c r="E106" s="86" t="s">
        <v>553</v>
      </c>
      <c r="F106" s="109">
        <v>0</v>
      </c>
      <c r="G106" s="202">
        <v>0</v>
      </c>
      <c r="H106" s="58">
        <f>SUM(F106:G106)</f>
        <v>0</v>
      </c>
    </row>
    <row r="107" spans="1:8" ht="16.3" customHeight="1" thickBot="1" x14ac:dyDescent="0.3">
      <c r="A107" s="226" t="s">
        <v>596</v>
      </c>
      <c r="B107" s="227">
        <v>0</v>
      </c>
      <c r="C107" s="228">
        <v>0</v>
      </c>
      <c r="D107" s="229">
        <f>SUM(B107:C107)</f>
        <v>0</v>
      </c>
      <c r="E107" s="86" t="s">
        <v>596</v>
      </c>
      <c r="F107" s="109">
        <v>0</v>
      </c>
      <c r="G107" s="202">
        <v>0</v>
      </c>
      <c r="H107" s="58">
        <f>SUM(F107:G107)</f>
        <v>0</v>
      </c>
    </row>
    <row r="108" spans="1:8" ht="14.95" thickBot="1" x14ac:dyDescent="0.3">
      <c r="A108" s="226" t="s">
        <v>75</v>
      </c>
      <c r="B108" s="227">
        <v>0</v>
      </c>
      <c r="C108" s="228">
        <v>0</v>
      </c>
      <c r="D108" s="229">
        <f>SUM(B108:C108)</f>
        <v>0</v>
      </c>
      <c r="E108" s="86" t="s">
        <v>75</v>
      </c>
      <c r="F108" s="109">
        <v>0</v>
      </c>
      <c r="G108" s="202">
        <v>0</v>
      </c>
      <c r="H108" s="58">
        <f>SUM(F108:G108)</f>
        <v>0</v>
      </c>
    </row>
    <row r="109" spans="1:8" ht="16.3" customHeight="1" thickBot="1" x14ac:dyDescent="0.3">
      <c r="A109" s="226" t="s">
        <v>5</v>
      </c>
      <c r="B109" s="227">
        <v>0</v>
      </c>
      <c r="C109" s="228">
        <v>0</v>
      </c>
      <c r="D109" s="229">
        <f>SUM(B109:C109)</f>
        <v>0</v>
      </c>
      <c r="E109" s="86" t="s">
        <v>5</v>
      </c>
      <c r="F109" s="109">
        <v>0</v>
      </c>
      <c r="G109" s="202">
        <v>0</v>
      </c>
      <c r="H109" s="58">
        <f>SUM(F109:G109)</f>
        <v>0</v>
      </c>
    </row>
    <row r="110" spans="1:8" ht="14.95" thickBot="1" x14ac:dyDescent="0.3">
      <c r="A110" s="226" t="s">
        <v>159</v>
      </c>
      <c r="B110" s="227">
        <v>0</v>
      </c>
      <c r="C110" s="228">
        <v>0</v>
      </c>
      <c r="D110" s="229">
        <f>SUM(B110:C110)</f>
        <v>0</v>
      </c>
      <c r="E110" s="86" t="s">
        <v>159</v>
      </c>
      <c r="F110" s="109">
        <v>0</v>
      </c>
      <c r="G110" s="202">
        <v>0</v>
      </c>
      <c r="H110" s="58">
        <f>SUM(F110:G110)</f>
        <v>0</v>
      </c>
    </row>
    <row r="111" spans="1:8" ht="16.3" customHeight="1" thickBot="1" x14ac:dyDescent="0.3">
      <c r="A111" s="226" t="s">
        <v>3</v>
      </c>
      <c r="B111" s="227">
        <f>SUM(B59:B110)</f>
        <v>68</v>
      </c>
      <c r="C111" s="228">
        <f>SUM(C59:C110)</f>
        <v>15</v>
      </c>
      <c r="D111" s="229">
        <f t="shared" ref="D60:D111" si="16">SUM(B111:C111)</f>
        <v>83</v>
      </c>
      <c r="E111" s="86" t="s">
        <v>3</v>
      </c>
      <c r="F111" s="109">
        <f>SUM(F59:F110)</f>
        <v>437</v>
      </c>
      <c r="G111" s="202">
        <f>SUM(G59:G110)</f>
        <v>87</v>
      </c>
      <c r="H111" s="58">
        <f t="shared" ref="H60:H111" si="17">SUM(F111:G111)</f>
        <v>524</v>
      </c>
    </row>
    <row r="112" spans="1:8" ht="16.3" x14ac:dyDescent="0.3">
      <c r="A112" s="245" t="s">
        <v>17</v>
      </c>
      <c r="B112" s="246"/>
      <c r="C112" s="246"/>
      <c r="D112" s="246"/>
      <c r="E112" s="246"/>
      <c r="F112" s="246"/>
      <c r="G112" s="246"/>
      <c r="H112" s="246"/>
    </row>
  </sheetData>
  <sortState xmlns:xlrd2="http://schemas.microsoft.com/office/spreadsheetml/2017/richdata2" ref="E59:H110">
    <sortCondition descending="1" ref="H59:H110"/>
  </sortState>
  <mergeCells count="16">
    <mergeCell ref="A112:H112"/>
    <mergeCell ref="Z1:AB2"/>
    <mergeCell ref="M12:O13"/>
    <mergeCell ref="M1:O2"/>
    <mergeCell ref="P1:Q2"/>
    <mergeCell ref="U1:W2"/>
    <mergeCell ref="A56:F56"/>
    <mergeCell ref="A1:H1"/>
    <mergeCell ref="I1:I2"/>
    <mergeCell ref="J1:L2"/>
    <mergeCell ref="I12:I13"/>
    <mergeCell ref="J12:L13"/>
    <mergeCell ref="I19:T19"/>
    <mergeCell ref="R1:T2"/>
    <mergeCell ref="I20:I21"/>
    <mergeCell ref="J20:L2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903</vt:i4>
      </vt:variant>
    </vt:vector>
  </HeadingPairs>
  <TitlesOfParts>
    <vt:vector size="913" baseType="lpstr">
      <vt:lpstr>BRI</vt:lpstr>
      <vt:lpstr>EXE</vt:lpstr>
      <vt:lpstr>GLO</vt:lpstr>
      <vt:lpstr>HAR</vt:lpstr>
      <vt:lpstr>LEI</vt:lpstr>
      <vt:lpstr>LOU</vt:lpstr>
      <vt:lpstr>SAL</vt:lpstr>
      <vt:lpstr>SAR</vt:lpstr>
      <vt:lpstr>TFW</vt:lpstr>
      <vt:lpstr>OVERALL</vt:lpstr>
      <vt:lpstr>Adejimisarpts</vt:lpstr>
      <vt:lpstr>Adejimisartries</vt:lpstr>
      <vt:lpstr>Adeolokunbripts</vt:lpstr>
      <vt:lpstr>Adeolokunbritries</vt:lpstr>
      <vt:lpstr>afoabripts</vt:lpstr>
      <vt:lpstr>afoabritries</vt:lpstr>
      <vt:lpstr>Aitchisonsalgls</vt:lpstr>
      <vt:lpstr>Aitchisonsalpts</vt:lpstr>
      <vt:lpstr>Aitchisonsaltries</vt:lpstr>
      <vt:lpstr>Alemaleipts</vt:lpstr>
      <vt:lpstr>Alemaleitries</vt:lpstr>
      <vt:lpstr>ALLENEXEATT</vt:lpstr>
      <vt:lpstr>AllenEXEGLS</vt:lpstr>
      <vt:lpstr>Amorytfrpts</vt:lpstr>
      <vt:lpstr>Amorytfrtries</vt:lpstr>
      <vt:lpstr>amorytfwatt</vt:lpstr>
      <vt:lpstr>Amorytfwgls</vt:lpstr>
      <vt:lpstr>Antwissalpts</vt:lpstr>
      <vt:lpstr>Antwissaltries</vt:lpstr>
      <vt:lpstr>Armanddonpts</vt:lpstr>
      <vt:lpstr>Armanddontries</vt:lpstr>
      <vt:lpstr>Armstrongbripts</vt:lpstr>
      <vt:lpstr>Armstrongbritries</vt:lpstr>
      <vt:lpstr>Armstrongjakebripts</vt:lpstr>
      <vt:lpstr>Armstrongjakebritries</vt:lpstr>
      <vt:lpstr>Ascherlbripts</vt:lpstr>
      <vt:lpstr>Ascherlbritries</vt:lpstr>
      <vt:lpstr>Aspinallglopts</vt:lpstr>
      <vt:lpstr>Aspinallglotries</vt:lpstr>
      <vt:lpstr>atichisonsalatt</vt:lpstr>
      <vt:lpstr>Atkin_Daviesbripts</vt:lpstr>
      <vt:lpstr>Atkin_Daviesbritries</vt:lpstr>
      <vt:lpstr>Atkinson_Sglopts</vt:lpstr>
      <vt:lpstr>Atkinson_Sglotries</vt:lpstr>
      <vt:lpstr>Auckenharpts</vt:lpstr>
      <vt:lpstr>Auckenhartries</vt:lpstr>
      <vt:lpstr>baileybriatt</vt:lpstr>
      <vt:lpstr>baileybrigls</vt:lpstr>
      <vt:lpstr>Baileybripts</vt:lpstr>
      <vt:lpstr>Baileybritries</vt:lpstr>
      <vt:lpstr>Baileyharpts</vt:lpstr>
      <vt:lpstr>Baileyhartries</vt:lpstr>
      <vt:lpstr>Balmainglopts</vt:lpstr>
      <vt:lpstr>Balmainglotries</vt:lpstr>
      <vt:lpstr>Bartlettleipts</vt:lpstr>
      <vt:lpstr>Bartlettleitries</vt:lpstr>
      <vt:lpstr>Bartonglopts</vt:lpstr>
      <vt:lpstr>Bartonglotries</vt:lpstr>
      <vt:lpstr>Barwicktfrpts</vt:lpstr>
      <vt:lpstr>Barwicktfrtries</vt:lpstr>
      <vt:lpstr>Bawdensalpts</vt:lpstr>
      <vt:lpstr>Bawdensaltries</vt:lpstr>
      <vt:lpstr>Beaverleipts</vt:lpstr>
      <vt:lpstr>Beaverleitries</vt:lpstr>
      <vt:lpstr>becconsallexeatt</vt:lpstr>
      <vt:lpstr>becconsallexegls</vt:lpstr>
      <vt:lpstr>bedlowbriatt</vt:lpstr>
      <vt:lpstr>Bedlowbrigls</vt:lpstr>
      <vt:lpstr>Bedlowbripts</vt:lpstr>
      <vt:lpstr>bedlowbritries</vt:lpstr>
      <vt:lpstr>Belisleloupts</vt:lpstr>
      <vt:lpstr>Belisleloutries</vt:lpstr>
      <vt:lpstr>Bellharpts</vt:lpstr>
      <vt:lpstr>Bellhartries</vt:lpstr>
      <vt:lpstr>Bellloupts</vt:lpstr>
      <vt:lpstr>Bellloutries</vt:lpstr>
      <vt:lpstr>Benjaminharpts</vt:lpstr>
      <vt:lpstr>Benjaminhartries</vt:lpstr>
      <vt:lpstr>Bensonsalpts</vt:lpstr>
      <vt:lpstr>Bensonsaltries</vt:lpstr>
      <vt:lpstr>Benz_Salomon_Jbripts</vt:lpstr>
      <vt:lpstr>Benz_Salomon_Jbritri</vt:lpstr>
      <vt:lpstr>Bermudezloupts</vt:lpstr>
      <vt:lpstr>Bermudezloutries</vt:lpstr>
      <vt:lpstr>Beukeboomtfwpts</vt:lpstr>
      <vt:lpstr>Beukeboomtfwtries</vt:lpstr>
      <vt:lpstr>Bevingtonbstpts</vt:lpstr>
      <vt:lpstr>Bevingtonbsttries</vt:lpstr>
      <vt:lpstr>bitterleiatt</vt:lpstr>
      <vt:lpstr>Bitterleigls</vt:lpstr>
      <vt:lpstr>Blackburn__Emilyharpts</vt:lpstr>
      <vt:lpstr>Blackburn__Emilyhartries</vt:lpstr>
      <vt:lpstr>Blackburn__Emmaharpts</vt:lpstr>
      <vt:lpstr>Blackburn__Emmahartries</vt:lpstr>
      <vt:lpstr>blacklocksaratt</vt:lpstr>
      <vt:lpstr>Blacklocksargls</vt:lpstr>
      <vt:lpstr>Blakeglopts</vt:lpstr>
      <vt:lpstr>Blakeglotries</vt:lpstr>
      <vt:lpstr>Blancotfwgls</vt:lpstr>
      <vt:lpstr>Blancotfwpts</vt:lpstr>
      <vt:lpstr>Blancotfwtries</vt:lpstr>
      <vt:lpstr>Boagglopts</vt:lpstr>
      <vt:lpstr>Boagglotries</vt:lpstr>
      <vt:lpstr>Boatmantfwpts</vt:lpstr>
      <vt:lpstr>Boatmantfwtries</vt:lpstr>
      <vt:lpstr>Borlandtfwpts</vt:lpstr>
      <vt:lpstr>Borlandtfwtries</vt:lpstr>
      <vt:lpstr>Botterman_Hbritries</vt:lpstr>
      <vt:lpstr>Bottermanbripts</vt:lpstr>
      <vt:lpstr>Bradleytfwpts</vt:lpstr>
      <vt:lpstr>Bradleytfwtries</vt:lpstr>
      <vt:lpstr>Brebner_Holdenloupts</vt:lpstr>
      <vt:lpstr>Brebner_Holdenloutries</vt:lpstr>
      <vt:lpstr>brennanexepts</vt:lpstr>
      <vt:lpstr>Brennanexetries</vt:lpstr>
      <vt:lpstr>Bricknellexepts</vt:lpstr>
      <vt:lpstr>Bricknellexetries</vt:lpstr>
      <vt:lpstr>Bridgerglopts</vt:lpstr>
      <vt:lpstr>Bridgerglotries</vt:lpstr>
      <vt:lpstr>Brincattfwpts</vt:lpstr>
      <vt:lpstr>Brincattfwtries</vt:lpstr>
      <vt:lpstr>BristolPts</vt:lpstr>
      <vt:lpstr>BristolTries</vt:lpstr>
      <vt:lpstr>Brodyloupts</vt:lpstr>
      <vt:lpstr>Brodyloutries</vt:lpstr>
      <vt:lpstr>brownsharpts</vt:lpstr>
      <vt:lpstr>brownshartries</vt:lpstr>
      <vt:lpstr>Bryansarpts</vt:lpstr>
      <vt:lpstr>Bryansartries</vt:lpstr>
      <vt:lpstr>Buisabripts</vt:lpstr>
      <vt:lpstr>Buisabritries</vt:lpstr>
      <vt:lpstr>Burtontfwpts</vt:lpstr>
      <vt:lpstr>Burtontfwtries</vt:lpstr>
      <vt:lpstr>Bushharpts</vt:lpstr>
      <vt:lpstr>Bushhartries</vt:lpstr>
      <vt:lpstr>Byrnebripts</vt:lpstr>
      <vt:lpstr>Byrnebritries</vt:lpstr>
      <vt:lpstr>Cairnsexepts</vt:lpstr>
      <vt:lpstr>Cairnsexetries</vt:lpstr>
      <vt:lpstr>Caldwellexepts</vt:lpstr>
      <vt:lpstr>Caldwellexetries</vt:lpstr>
      <vt:lpstr>Calladineloupts</vt:lpstr>
      <vt:lpstr>Calladineloutries</vt:lpstr>
      <vt:lpstr>Callenderharpts</vt:lpstr>
      <vt:lpstr>Callenderhartries</vt:lpstr>
      <vt:lpstr>Campbellsalpts</vt:lpstr>
      <vt:lpstr>Campbellsaltries</vt:lpstr>
      <vt:lpstr>Capellsalpts</vt:lpstr>
      <vt:lpstr>Capellsaltries</vt:lpstr>
      <vt:lpstr>Capstickexepts</vt:lpstr>
      <vt:lpstr>Capstickexetries</vt:lpstr>
      <vt:lpstr>Carrbripts</vt:lpstr>
      <vt:lpstr>Carrbritries</vt:lpstr>
      <vt:lpstr>Carrerasglopts</vt:lpstr>
      <vt:lpstr>Carrerasglotries</vt:lpstr>
      <vt:lpstr>Carrick_Smithexepts</vt:lpstr>
      <vt:lpstr>Carrick_Smithexetries</vt:lpstr>
      <vt:lpstr>chapmangloatt</vt:lpstr>
      <vt:lpstr>chapmanglogls</vt:lpstr>
      <vt:lpstr>Chapmanglopts</vt:lpstr>
      <vt:lpstr>Chapmanglotries</vt:lpstr>
      <vt:lpstr>Childsleipts</vt:lpstr>
      <vt:lpstr>Childsleitries</vt:lpstr>
      <vt:lpstr>Childssalpts</vt:lpstr>
      <vt:lpstr>Childssaltries</vt:lpstr>
      <vt:lpstr>Clarke_Rbripts</vt:lpstr>
      <vt:lpstr>Clarke_Rbritries</vt:lpstr>
      <vt:lpstr>Clarkebripts</vt:lpstr>
      <vt:lpstr>Clarkebritries</vt:lpstr>
      <vt:lpstr>clarkeloupts</vt:lpstr>
      <vt:lpstr>Clarkelouptscorrect</vt:lpstr>
      <vt:lpstr>clarkeloutries</vt:lpstr>
      <vt:lpstr>Clarkeloutriescorrect</vt:lpstr>
      <vt:lpstr>Clarkglopts</vt:lpstr>
      <vt:lpstr>Clarkglotries</vt:lpstr>
      <vt:lpstr>Cockaynekeitries</vt:lpstr>
      <vt:lpstr>Cockayneleipts</vt:lpstr>
      <vt:lpstr>Coetzerglopts</vt:lpstr>
      <vt:lpstr>Coetzerglotries</vt:lpstr>
      <vt:lpstr>Cokaynesalpts</vt:lpstr>
      <vt:lpstr>Cokaynesaltries</vt:lpstr>
      <vt:lpstr>Cookseytfwpts</vt:lpstr>
      <vt:lpstr>Cookseytfwtries</vt:lpstr>
      <vt:lpstr>Cooperharpts</vt:lpstr>
      <vt:lpstr>Cooperhartries</vt:lpstr>
      <vt:lpstr>Corrigansarpts</vt:lpstr>
      <vt:lpstr>Corrigansartries</vt:lpstr>
      <vt:lpstr>Courtlipts</vt:lpstr>
      <vt:lpstr>Courtlitries</vt:lpstr>
      <vt:lpstr>Cousineautfwptss</vt:lpstr>
      <vt:lpstr>Cousineautfwtries</vt:lpstr>
      <vt:lpstr>Cowansalpts</vt:lpstr>
      <vt:lpstr>Cowansaltries</vt:lpstr>
      <vt:lpstr>Cowellharpts</vt:lpstr>
      <vt:lpstr>Cowellhartries</vt:lpstr>
      <vt:lpstr>Coxtfwpts</vt:lpstr>
      <vt:lpstr>Coxtfwtries</vt:lpstr>
      <vt:lpstr>Crakesarpts</vt:lpstr>
      <vt:lpstr>Crakesartries</vt:lpstr>
      <vt:lpstr>cranebripts</vt:lpstr>
      <vt:lpstr>Cranebritries</vt:lpstr>
      <vt:lpstr>Cromackharatt</vt:lpstr>
      <vt:lpstr>Cromackhargls</vt:lpstr>
      <vt:lpstr>CromackHARPTS</vt:lpstr>
      <vt:lpstr>CromackHARTRIES</vt:lpstr>
      <vt:lpstr>Cromptonharpts</vt:lpstr>
      <vt:lpstr>Cromptonhartries</vt:lpstr>
      <vt:lpstr>Daleyleipts</vt:lpstr>
      <vt:lpstr>Daleyleitries</vt:lpstr>
      <vt:lpstr>Dallavalleglopts</vt:lpstr>
      <vt:lpstr>Dallavalleglotries</vt:lpstr>
      <vt:lpstr>dalysarattcorrect</vt:lpstr>
      <vt:lpstr>dalysarglscorrect</vt:lpstr>
      <vt:lpstr>Dalysarptscorrect</vt:lpstr>
      <vt:lpstr>Dalysartriescorrect</vt:lpstr>
      <vt:lpstr>Dansarpts</vt:lpstr>
      <vt:lpstr>Dansartries</vt:lpstr>
      <vt:lpstr>Dareexepts</vt:lpstr>
      <vt:lpstr>Dareexetries</vt:lpstr>
      <vt:lpstr>daveylouatt</vt:lpstr>
      <vt:lpstr>Daveylougls</vt:lpstr>
      <vt:lpstr>Daveyloupts</vt:lpstr>
      <vt:lpstr>Daveyloutries</vt:lpstr>
      <vt:lpstr>Davidbripts</vt:lpstr>
      <vt:lpstr>Davidbritries</vt:lpstr>
      <vt:lpstr>Davidsonglopts</vt:lpstr>
      <vt:lpstr>Davidsonglotries</vt:lpstr>
      <vt:lpstr>Daviesbripts</vt:lpstr>
      <vt:lpstr>Daviesbriptscorrect</vt:lpstr>
      <vt:lpstr>Daviesbritries</vt:lpstr>
      <vt:lpstr>Daviesbritriescorrect</vt:lpstr>
      <vt:lpstr>Daviesglopts</vt:lpstr>
      <vt:lpstr>Daviesglotries</vt:lpstr>
      <vt:lpstr>de_Haassarptscorrect</vt:lpstr>
      <vt:lpstr>de_Haassartriescorrect</vt:lpstr>
      <vt:lpstr>dehaassaratt</vt:lpstr>
      <vt:lpstr>dehaassargls</vt:lpstr>
      <vt:lpstr>Delanysalpts</vt:lpstr>
      <vt:lpstr>Delanysaltries</vt:lpstr>
      <vt:lpstr>Delgadoharpts</vt:lpstr>
      <vt:lpstr>Delgadohartries</vt:lpstr>
      <vt:lpstr>demantbriatt</vt:lpstr>
      <vt:lpstr>Demantbrigls</vt:lpstr>
      <vt:lpstr>Dentonglopts</vt:lpstr>
      <vt:lpstr>Dentonglotries</vt:lpstr>
      <vt:lpstr>Devotoexepts</vt:lpstr>
      <vt:lpstr>Devotoexetries</vt:lpstr>
      <vt:lpstr>Donaldsonleipts</vt:lpstr>
      <vt:lpstr>Donaldsonleitries</vt:lpstr>
      <vt:lpstr>Dowtfrpts</vt:lpstr>
      <vt:lpstr>Dowtfrtries</vt:lpstr>
      <vt:lpstr>Duffyharpts</vt:lpstr>
      <vt:lpstr>Duffyhartries</vt:lpstr>
      <vt:lpstr>duffysalatt</vt:lpstr>
      <vt:lpstr>Duffysalgls</vt:lpstr>
      <vt:lpstr>Duffysalpts</vt:lpstr>
      <vt:lpstr>Duffysaltries</vt:lpstr>
      <vt:lpstr>Duguidexepts</vt:lpstr>
      <vt:lpstr>Duguidexetries</vt:lpstr>
      <vt:lpstr>Edenbripts</vt:lpstr>
      <vt:lpstr>Edenbritries</vt:lpstr>
      <vt:lpstr>Ehreckeloupts</vt:lpstr>
      <vt:lpstr>Ehreckeloutries</vt:lpstr>
      <vt:lpstr>Evans_Lglopts</vt:lpstr>
      <vt:lpstr>Evans_Lglotries</vt:lpstr>
      <vt:lpstr>evansbriatt</vt:lpstr>
      <vt:lpstr>evansbrigls</vt:lpstr>
      <vt:lpstr>evanslgloatt</vt:lpstr>
      <vt:lpstr>evanslglogoals</vt:lpstr>
      <vt:lpstr>Evansnbripts</vt:lpstr>
      <vt:lpstr>Evansnbritries</vt:lpstr>
      <vt:lpstr>Evanstfwpts</vt:lpstr>
      <vt:lpstr>Evanstfwtries</vt:lpstr>
      <vt:lpstr>Ewersexepts</vt:lpstr>
      <vt:lpstr>Ewersexetries</vt:lpstr>
      <vt:lpstr>ExeterPts</vt:lpstr>
      <vt:lpstr>ExeterTries</vt:lpstr>
      <vt:lpstr>farrellsarattcorrect</vt:lpstr>
      <vt:lpstr>farrellsarglscorrect</vt:lpstr>
      <vt:lpstr>Farrellsarptscorrect</vt:lpstr>
      <vt:lpstr>farrellsartriescorrect</vt:lpstr>
      <vt:lpstr>Fenbylipts</vt:lpstr>
      <vt:lpstr>Fenbylitries</vt:lpstr>
      <vt:lpstr>Feuryglopts</vt:lpstr>
      <vt:lpstr>Feuryglotries</vt:lpstr>
      <vt:lpstr>feuryleiatt</vt:lpstr>
      <vt:lpstr>Feuryleigls</vt:lpstr>
      <vt:lpstr>Fieldingsalpts</vt:lpstr>
      <vt:lpstr>Fieldingsaltries</vt:lpstr>
      <vt:lpstr>Fieldsarpts</vt:lpstr>
      <vt:lpstr>Fieldsartries</vt:lpstr>
      <vt:lpstr>Fisherharpts</vt:lpstr>
      <vt:lpstr>Fisherhartries</vt:lpstr>
      <vt:lpstr>Fitzgeraldsarpts</vt:lpstr>
      <vt:lpstr>Fitzgeraldsartries</vt:lpstr>
      <vt:lpstr>Flemingharpts</vt:lpstr>
      <vt:lpstr>Fleminghartries</vt:lpstr>
      <vt:lpstr>Ford_Robinsonglopts</vt:lpstr>
      <vt:lpstr>Ford_Robinsonglotries</vt:lpstr>
      <vt:lpstr>FrayLEIPTS</vt:lpstr>
      <vt:lpstr>FrayLEITRIES</vt:lpstr>
      <vt:lpstr>Frischbripts</vt:lpstr>
      <vt:lpstr>Frischbritries</vt:lpstr>
      <vt:lpstr>Galarzaglopts</vt:lpstr>
      <vt:lpstr>Galarzaglotries</vt:lpstr>
      <vt:lpstr>Gallagherleicpts</vt:lpstr>
      <vt:lpstr>Gallagherleictries</vt:lpstr>
      <vt:lpstr>gallaghertfwatt</vt:lpstr>
      <vt:lpstr>Gallaghertfwgls</vt:lpstr>
      <vt:lpstr>Georgesarptscorrect</vt:lpstr>
      <vt:lpstr>Georgesartriescorrect</vt:lpstr>
      <vt:lpstr>Geraghtypts</vt:lpstr>
      <vt:lpstr>GloucesterPts</vt:lpstr>
      <vt:lpstr>GloucesterTries</vt:lpstr>
      <vt:lpstr>Goldthorploupts</vt:lpstr>
      <vt:lpstr>Goldthorploutries</vt:lpstr>
      <vt:lpstr>Gondwesarpts</vt:lpstr>
      <vt:lpstr>Gondwesartries</vt:lpstr>
      <vt:lpstr>GOODESARATTCORRECT</vt:lpstr>
      <vt:lpstr>goodesarglscorrect</vt:lpstr>
      <vt:lpstr>Goodesarptscorrect</vt:lpstr>
      <vt:lpstr>Goodesartriescorrect</vt:lpstr>
      <vt:lpstr>greengloatt</vt:lpstr>
      <vt:lpstr>Greenglogls</vt:lpstr>
      <vt:lpstr>Greenloupts</vt:lpstr>
      <vt:lpstr>Greenloutries</vt:lpstr>
      <vt:lpstr>Gregsonsarpts</vt:lpstr>
      <vt:lpstr>Gregsonsartries</vt:lpstr>
      <vt:lpstr>GrieveSALPTS</vt:lpstr>
      <vt:lpstr>GrieveSALTRIES</vt:lpstr>
      <vt:lpstr>Grogutharpts</vt:lpstr>
      <vt:lpstr>Groguthartries</vt:lpstr>
      <vt:lpstr>Gunterleipts</vt:lpstr>
      <vt:lpstr>Gunterleitries</vt:lpstr>
      <vt:lpstr>Hainingbripts</vt:lpstr>
      <vt:lpstr>Hainingbritries</vt:lpstr>
      <vt:lpstr>Hanlonharpts</vt:lpstr>
      <vt:lpstr>Hanlonhartries</vt:lpstr>
      <vt:lpstr>Hannayharpts</vt:lpstr>
      <vt:lpstr>Hannayhartries</vt:lpstr>
      <vt:lpstr>Hardysarpts</vt:lpstr>
      <vt:lpstr>Hardysartries</vt:lpstr>
      <vt:lpstr>Harperharpts</vt:lpstr>
      <vt:lpstr>Harperhartries</vt:lpstr>
      <vt:lpstr>Harpersalepts</vt:lpstr>
      <vt:lpstr>Harpersaletries</vt:lpstr>
      <vt:lpstr>harrisonsarpts</vt:lpstr>
      <vt:lpstr>Harrisonsartriesd</vt:lpstr>
      <vt:lpstr>Hartleysarpts</vt:lpstr>
      <vt:lpstr>Hartleysartries</vt:lpstr>
      <vt:lpstr>Heeleyglopts</vt:lpstr>
      <vt:lpstr>Heeleyglotries</vt:lpstr>
      <vt:lpstr>Hendricksonexepts</vt:lpstr>
      <vt:lpstr>Hendricksonexetries</vt:lpstr>
      <vt:lpstr>Hendriksonexetries</vt:lpstr>
      <vt:lpstr>Henrichleipts</vt:lpstr>
      <vt:lpstr>Henrichleitries</vt:lpstr>
      <vt:lpstr>Henwoodharpyts</vt:lpstr>
      <vt:lpstr>Henwoodhartries</vt:lpstr>
      <vt:lpstr>Hepburnexepts</vt:lpstr>
      <vt:lpstr>Hepburnexetries</vt:lpstr>
      <vt:lpstr>Herringbripts</vt:lpstr>
      <vt:lpstr>Herringbritries</vt:lpstr>
      <vt:lpstr>Heryetharpts</vt:lpstr>
      <vt:lpstr>Heryethartries</vt:lpstr>
      <vt:lpstr>heskethbriatt</vt:lpstr>
      <vt:lpstr>heskethbrigls</vt:lpstr>
      <vt:lpstr>Heskethbripts</vt:lpstr>
      <vt:lpstr>Heskethbritries</vt:lpstr>
      <vt:lpstr>Hewardbripts</vt:lpstr>
      <vt:lpstr>Hewardbritries</vt:lpstr>
      <vt:lpstr>Hibbert_Jonesloupts</vt:lpstr>
      <vt:lpstr>Hibbert_Jonesloutries</vt:lpstr>
      <vt:lpstr>Hillierharpts</vt:lpstr>
      <vt:lpstr>Hillierhartries</vt:lpstr>
      <vt:lpstr>Hodgeexepts</vt:lpstr>
      <vt:lpstr>Hodgeexetries</vt:lpstr>
      <vt:lpstr>Hogansalpts</vt:lpstr>
      <vt:lpstr>Hogansaltries</vt:lpstr>
      <vt:lpstr>Holmesexepts</vt:lpstr>
      <vt:lpstr>holmesexetries</vt:lpstr>
      <vt:lpstr>Hopkinsbripts</vt:lpstr>
      <vt:lpstr>Hopkinsbritries</vt:lpstr>
      <vt:lpstr>Hopkinsglopts</vt:lpstr>
      <vt:lpstr>Hopkinsglotries</vt:lpstr>
      <vt:lpstr>Hopkinssalpts</vt:lpstr>
      <vt:lpstr>Hopkinssaltries</vt:lpstr>
      <vt:lpstr>Howardsalpts</vt:lpstr>
      <vt:lpstr>Howardsaltries</vt:lpstr>
      <vt:lpstr>Hudsonglopts</vt:lpstr>
      <vt:lpstr>Hudsonglotries</vt:lpstr>
      <vt:lpstr>Hunter_Hillsarptscorrect</vt:lpstr>
      <vt:lpstr>Hunter_Hillsartriescorrect</vt:lpstr>
      <vt:lpstr>Huntsarpts</vt:lpstr>
      <vt:lpstr>Huntsartries</vt:lpstr>
      <vt:lpstr>Hyndmansalpts</vt:lpstr>
      <vt:lpstr>Hyndmansaltries</vt:lpstr>
      <vt:lpstr>Inmantfrpts</vt:lpstr>
      <vt:lpstr>Inmantfrtries</vt:lpstr>
      <vt:lpstr>InmanTFWATT</vt:lpstr>
      <vt:lpstr>InmanTFWGLS</vt:lpstr>
      <vt:lpstr>Irwin_V_Asalgls</vt:lpstr>
      <vt:lpstr>Irwin_V_Asalpts</vt:lpstr>
      <vt:lpstr>Irwin_V_Asaltries</vt:lpstr>
      <vt:lpstr>irwinvasalatt</vt:lpstr>
      <vt:lpstr>Isiekwesarptscorrect</vt:lpstr>
      <vt:lpstr>Isiekwesartriescorrect</vt:lpstr>
      <vt:lpstr>Itojesarptscorrect</vt:lpstr>
      <vt:lpstr>Itojesartriescorrect</vt:lpstr>
      <vt:lpstr>Ives_Campionloupts</vt:lpstr>
      <vt:lpstr>Ives_Campionloutries</vt:lpstr>
      <vt:lpstr>Jacksonsarpts</vt:lpstr>
      <vt:lpstr>Jacksonsartries</vt:lpstr>
      <vt:lpstr>Jacobsleipts</vt:lpstr>
      <vt:lpstr>Jacobsleitries</vt:lpstr>
      <vt:lpstr>Jahbripts</vt:lpstr>
      <vt:lpstr>Jahbritries</vt:lpstr>
      <vt:lpstr>Jamesnicksalpts</vt:lpstr>
      <vt:lpstr>Jamesnicksaltries</vt:lpstr>
      <vt:lpstr>Jeffriesbriptscorrect</vt:lpstr>
      <vt:lpstr>Jeffriesbritriescorrect</vt:lpstr>
      <vt:lpstr>jenkinsiexeatt</vt:lpstr>
      <vt:lpstr>jenkinsiexegls</vt:lpstr>
      <vt:lpstr>Johnbripts</vt:lpstr>
      <vt:lpstr>Johnbritries</vt:lpstr>
      <vt:lpstr>Jones_Mtfwatt</vt:lpstr>
      <vt:lpstr>Jones_Mtfwgls</vt:lpstr>
      <vt:lpstr>Jones_Mtfwpts</vt:lpstr>
      <vt:lpstr>Jones_Mtfwtries</vt:lpstr>
      <vt:lpstr>Jones_Nleipts</vt:lpstr>
      <vt:lpstr>Jones_Nleitries</vt:lpstr>
      <vt:lpstr>Jonesleipts</vt:lpstr>
      <vt:lpstr>Jonesleitries</vt:lpstr>
      <vt:lpstr>Joyce_Butchers_Abripts</vt:lpstr>
      <vt:lpstr>Joyce_Butchers_Abritries</vt:lpstr>
      <vt:lpstr>Kabeyaloupts</vt:lpstr>
      <vt:lpstr>Kabeyalouptscorrect</vt:lpstr>
      <vt:lpstr>Kabeyaloutries</vt:lpstr>
      <vt:lpstr>Kabeyaloutriescorrect</vt:lpstr>
      <vt:lpstr>Kalounivaletfwpts</vt:lpstr>
      <vt:lpstr>Kalounivaletfwtries</vt:lpstr>
      <vt:lpstr>Kasololoupts</vt:lpstr>
      <vt:lpstr>kasololoutries</vt:lpstr>
      <vt:lpstr>Keastexepts</vt:lpstr>
      <vt:lpstr>Keastexetries</vt:lpstr>
      <vt:lpstr>Keatesloupts</vt:lpstr>
      <vt:lpstr>Keatesloutries</vt:lpstr>
      <vt:lpstr>Kellysalpts</vt:lpstr>
      <vt:lpstr>Kellysaltries</vt:lpstr>
      <vt:lpstr>Kelterloupts</vt:lpstr>
      <vt:lpstr>Kelterloutries</vt:lpstr>
      <vt:lpstr>Kelterlouyratt</vt:lpstr>
      <vt:lpstr>Kelterlouyrgls</vt:lpstr>
      <vt:lpstr>Kennyexepts</vt:lpstr>
      <vt:lpstr>Kennyexetries</vt:lpstr>
      <vt:lpstr>Kerrbripts</vt:lpstr>
      <vt:lpstr>Kerrbritries</vt:lpstr>
      <vt:lpstr>Kildunneharpts</vt:lpstr>
      <vt:lpstr>Kildunnehartries</vt:lpstr>
      <vt:lpstr>Kirstenexepts</vt:lpstr>
      <vt:lpstr>Kirstenexetries</vt:lpstr>
      <vt:lpstr>Knightgloptscorrect</vt:lpstr>
      <vt:lpstr>Knightglotriescorrect</vt:lpstr>
      <vt:lpstr>Kobayashisarpts</vt:lpstr>
      <vt:lpstr>Kobayashisartries</vt:lpstr>
      <vt:lpstr>Konkel_Robertsharpts</vt:lpstr>
      <vt:lpstr>Konkel_Robertshartries</vt:lpstr>
      <vt:lpstr>Krielglopts</vt:lpstr>
      <vt:lpstr>Krielglotries</vt:lpstr>
      <vt:lpstr>Labeyrieleipts</vt:lpstr>
      <vt:lpstr>Labeyrieleitries</vt:lpstr>
      <vt:lpstr>Laflintfwpts</vt:lpstr>
      <vt:lpstr>Laflintfwtries</vt:lpstr>
      <vt:lpstr>Lanebripts</vt:lpstr>
      <vt:lpstr>Lanebritries</vt:lpstr>
      <vt:lpstr>Latsha_Bharpts</vt:lpstr>
      <vt:lpstr>Latsha_Bhartries</vt:lpstr>
      <vt:lpstr>Layzellharpts</vt:lpstr>
      <vt:lpstr>Layzellhartries</vt:lpstr>
      <vt:lpstr>Leaneyharpts</vt:lpstr>
      <vt:lpstr>Leaneyhartries</vt:lpstr>
      <vt:lpstr>LeathermanTFWPTS</vt:lpstr>
      <vt:lpstr>LeathermanTFWTRIES</vt:lpstr>
      <vt:lpstr>Lewissarptscorrect</vt:lpstr>
      <vt:lpstr>Lewissartriescorrect</vt:lpstr>
      <vt:lpstr>Linkinssaratt</vt:lpstr>
      <vt:lpstr>Linkinssargls</vt:lpstr>
      <vt:lpstr>LloydBriPts</vt:lpstr>
      <vt:lpstr>LloydBriTries</vt:lpstr>
      <vt:lpstr>Lloydsalpts</vt:lpstr>
      <vt:lpstr>Lloydsaltries</vt:lpstr>
      <vt:lpstr>Loaderlirpts</vt:lpstr>
      <vt:lpstr>Loaderlirtries</vt:lpstr>
      <vt:lpstr>Lochnerharpts</vt:lpstr>
      <vt:lpstr>Lochnerhartries</vt:lpstr>
      <vt:lpstr>lovibondbriatt</vt:lpstr>
      <vt:lpstr>lovibondbrigls</vt:lpstr>
      <vt:lpstr>lozowskisarattcorrect</vt:lpstr>
      <vt:lpstr>MacDougallsaratt</vt:lpstr>
      <vt:lpstr>MacDougallsargls</vt:lpstr>
      <vt:lpstr>Maitlandsarptscorrect</vt:lpstr>
      <vt:lpstr>Maitlandsartriescorrect</vt:lpstr>
      <vt:lpstr>malcolmtfwpts</vt:lpstr>
      <vt:lpstr>malcolmtfwtries</vt:lpstr>
      <vt:lpstr>Malinssarptscorrect</vt:lpstr>
      <vt:lpstr>Malinssartriescorrect</vt:lpstr>
      <vt:lpstr>Mataitogaloupts</vt:lpstr>
      <vt:lpstr>Mataitogalouptscorrect</vt:lpstr>
      <vt:lpstr>Mataitogaloutries</vt:lpstr>
      <vt:lpstr>Mataitogaloutriescorrect</vt:lpstr>
      <vt:lpstr>Mattinsontfwpts</vt:lpstr>
      <vt:lpstr>Mattinsontfwtries</vt:lpstr>
      <vt:lpstr>Maudeloupts</vt:lpstr>
      <vt:lpstr>Maudeloutries</vt:lpstr>
      <vt:lpstr>Maunder_Sexepts</vt:lpstr>
      <vt:lpstr>Maunder_Sexetries</vt:lpstr>
      <vt:lpstr>Maunderexepts</vt:lpstr>
      <vt:lpstr>Maunderexetries</vt:lpstr>
      <vt:lpstr>Mawisarptscorrect</vt:lpstr>
      <vt:lpstr>Mawisartriescorrect</vt:lpstr>
      <vt:lpstr>Mayhewharpts</vt:lpstr>
      <vt:lpstr>Mayhewhartries</vt:lpstr>
      <vt:lpstr>Mayhewlipts</vt:lpstr>
      <vt:lpstr>Mayhewlitries</vt:lpstr>
      <vt:lpstr>McBrienleicpts</vt:lpstr>
      <vt:lpstr>McBrienleictris</vt:lpstr>
      <vt:lpstr>McGhietfwpts</vt:lpstr>
      <vt:lpstr>McGhietfwtries</vt:lpstr>
      <vt:lpstr>McGuiganglopts</vt:lpstr>
      <vt:lpstr>McGuiganglotries</vt:lpstr>
      <vt:lpstr>mcintoshharpts</vt:lpstr>
      <vt:lpstr>McIntoshharptscorrect</vt:lpstr>
      <vt:lpstr>mcIntoshhartries</vt:lpstr>
      <vt:lpstr>mckennasaryratt</vt:lpstr>
      <vt:lpstr>McKennasaryrgls</vt:lpstr>
      <vt:lpstr>mckennasaryrpts</vt:lpstr>
      <vt:lpstr>McNallylirpts</vt:lpstr>
      <vt:lpstr>McNallylirtries</vt:lpstr>
      <vt:lpstr>McQuadetfwpts</vt:lpstr>
      <vt:lpstr>McQuadeTFWTRIES</vt:lpstr>
      <vt:lpstr>Meehanglopts</vt:lpstr>
      <vt:lpstr>Meehanglotries</vt:lpstr>
      <vt:lpstr>Metatfwpts</vt:lpstr>
      <vt:lpstr>Metatfwtries</vt:lpstr>
      <vt:lpstr>Meullerharpts</vt:lpstr>
      <vt:lpstr>Meullerhartries</vt:lpstr>
      <vt:lpstr>Millar_Millsharpts</vt:lpstr>
      <vt:lpstr>Millar_Millshartries</vt:lpstr>
      <vt:lpstr>Moloney_MacDonald_Claudiaexepts</vt:lpstr>
      <vt:lpstr>Moloney_MacDonald_Claudiaexetries</vt:lpstr>
      <vt:lpstr>Mooresarpts</vt:lpstr>
      <vt:lpstr>Mooresartries</vt:lpstr>
      <vt:lpstr>Mooretfwpts</vt:lpstr>
      <vt:lpstr>Mooretfwtries</vt:lpstr>
      <vt:lpstr>Moriartyglopts</vt:lpstr>
      <vt:lpstr>Moriartyglotries</vt:lpstr>
      <vt:lpstr>Morralllouptscorrect</vt:lpstr>
      <vt:lpstr>Morrallloutriescorrect</vt:lpstr>
      <vt:lpstr>Morrisglopts</vt:lpstr>
      <vt:lpstr>Morrisglotries</vt:lpstr>
      <vt:lpstr>morrisjgloatt</vt:lpstr>
      <vt:lpstr>Morrisjglogls</vt:lpstr>
      <vt:lpstr>Morrissarptscorrect</vt:lpstr>
      <vt:lpstr>Morrissartriescorrect</vt:lpstr>
      <vt:lpstr>Mossharpts</vt:lpstr>
      <vt:lpstr>Mosshartries</vt:lpstr>
      <vt:lpstr>Mulchronelipts</vt:lpstr>
      <vt:lpstr>MulchronelirtriesCORRECT</vt:lpstr>
      <vt:lpstr>Mulchronelitries</vt:lpstr>
      <vt:lpstr>Muldowneybripts</vt:lpstr>
      <vt:lpstr>Muldowneybritries</vt:lpstr>
      <vt:lpstr>Mullenharptss</vt:lpstr>
      <vt:lpstr>Mullenhartries</vt:lpstr>
      <vt:lpstr>Mummpts</vt:lpstr>
      <vt:lpstr>mummtries</vt:lpstr>
      <vt:lpstr>Mundyleipts</vt:lpstr>
      <vt:lpstr>Mundyleitries</vt:lpstr>
      <vt:lpstr>Musgrovetfrpts</vt:lpstr>
      <vt:lpstr>Musgrovetfrtries</vt:lpstr>
      <vt:lpstr>Nellerharpts</vt:lpstr>
      <vt:lpstr>Nellerhartries</vt:lpstr>
      <vt:lpstr>nelsonlouatt</vt:lpstr>
      <vt:lpstr>Nelsonlougls</vt:lpstr>
      <vt:lpstr>Nelsonloupts</vt:lpstr>
      <vt:lpstr>Nelsonloutries</vt:lpstr>
      <vt:lpstr>Neumannharpts</vt:lpstr>
      <vt:lpstr>Neumannhartries</vt:lpstr>
      <vt:lpstr>Nicholasleiatt</vt:lpstr>
      <vt:lpstr>Nicholasleigls</vt:lpstr>
      <vt:lpstr>Nicholasleipts</vt:lpstr>
      <vt:lpstr>Nicholasleitries</vt:lpstr>
      <vt:lpstr>Nigrelliexeatt</vt:lpstr>
      <vt:lpstr>Nigrelliexegls</vt:lpstr>
      <vt:lpstr>Noreyexepts</vt:lpstr>
      <vt:lpstr>Noreyexetries</vt:lpstr>
      <vt:lpstr>Nyeexepts</vt:lpstr>
      <vt:lpstr>Nyeexetries</vt:lpstr>
      <vt:lpstr>O_Brienexepts</vt:lpstr>
      <vt:lpstr>O_Brienexetries</vt:lpstr>
      <vt:lpstr>Ortizsalpts</vt:lpstr>
      <vt:lpstr>Ortizsaltries</vt:lpstr>
      <vt:lpstr>Packerharpts</vt:lpstr>
      <vt:lpstr>Packerhartries</vt:lpstr>
      <vt:lpstr>Palamobrispts</vt:lpstr>
      <vt:lpstr>Palamobristries</vt:lpstr>
      <vt:lpstr>Parryharpts</vt:lpstr>
      <vt:lpstr>Parryhartries</vt:lpstr>
      <vt:lpstr>penaharatt</vt:lpstr>
      <vt:lpstr>Penahargls</vt:lpstr>
      <vt:lpstr>Penaharpts</vt:lpstr>
      <vt:lpstr>Penahartries</vt:lpstr>
      <vt:lpstr>Penalty_Triesbripts</vt:lpstr>
      <vt:lpstr>Penalty_Triesbritries</vt:lpstr>
      <vt:lpstr>Penalty_Triesexepts</vt:lpstr>
      <vt:lpstr>Penalty_Triesexetries</vt:lpstr>
      <vt:lpstr>Penalty_Triesharptscorrect</vt:lpstr>
      <vt:lpstr>Penalty_Trieshartriescorerct</vt:lpstr>
      <vt:lpstr>Penalty_Triesleipts</vt:lpstr>
      <vt:lpstr>Penalty_Triesleitries</vt:lpstr>
      <vt:lpstr>Penalty_Triesloupts</vt:lpstr>
      <vt:lpstr>Penalty_Triesloutries</vt:lpstr>
      <vt:lpstr>Penalty_Triessalptscorrect</vt:lpstr>
      <vt:lpstr>Penalty_Triessaltriescorrect</vt:lpstr>
      <vt:lpstr>Penalty_Triessarwomentries</vt:lpstr>
      <vt:lpstr>Penalty_Triestfrpts</vt:lpstr>
      <vt:lpstr>Penalty_Triestfrtries</vt:lpstr>
      <vt:lpstr>penaltytriessarwomenpts</vt:lpstr>
      <vt:lpstr>Perrinsalpts</vt:lpstr>
      <vt:lpstr>Perrinsaltries</vt:lpstr>
      <vt:lpstr>Perris_Redding_Gsalpts</vt:lpstr>
      <vt:lpstr>Perris_Redding_Gsaltries</vt:lpstr>
      <vt:lpstr>Perryglopts</vt:lpstr>
      <vt:lpstr>Perrygloptscorrect</vt:lpstr>
      <vt:lpstr>Perryglotries</vt:lpstr>
      <vt:lpstr>Perryglotriescorrect</vt:lpstr>
      <vt:lpstr>Phillipsharpts</vt:lpstr>
      <vt:lpstr>Phillipshartries</vt:lpstr>
      <vt:lpstr>Phillipssalptscorrect</vt:lpstr>
      <vt:lpstr>Phillipssaltriescorrect</vt:lpstr>
      <vt:lpstr>Picton_Powellbripts</vt:lpstr>
      <vt:lpstr>Picton_Powellbritries</vt:lpstr>
      <vt:lpstr>Pifeletisarptscorrect</vt:lpstr>
      <vt:lpstr>Pifeletisartriescorrect</vt:lpstr>
      <vt:lpstr>Poulinexepts</vt:lpstr>
      <vt:lpstr>Poulinexetries</vt:lpstr>
      <vt:lpstr>Powell_Kharatt</vt:lpstr>
      <vt:lpstr>Powell_Khargls</vt:lpstr>
      <vt:lpstr>Powell_Kharpts</vt:lpstr>
      <vt:lpstr>Powell_Khartries</vt:lpstr>
      <vt:lpstr>Powellharpts</vt:lpstr>
      <vt:lpstr>Powellhartries</vt:lpstr>
      <vt:lpstr>Pritchardglopts</vt:lpstr>
      <vt:lpstr>Pritchardglotries</vt:lpstr>
      <vt:lpstr>Protherosalpts</vt:lpstr>
      <vt:lpstr>Protherosaltries</vt:lpstr>
      <vt:lpstr>Pyrssalpts</vt:lpstr>
      <vt:lpstr>Pyrssaltries</vt:lpstr>
      <vt:lpstr>Radradrabripts</vt:lpstr>
      <vt:lpstr>Radradrabritries</vt:lpstr>
      <vt:lpstr>Randallbripts</vt:lpstr>
      <vt:lpstr>Randallbritries</vt:lpstr>
      <vt:lpstr>Rees_Zammitglopts</vt:lpstr>
      <vt:lpstr>Rees_Zammitglotries</vt:lpstr>
      <vt:lpstr>Reffellsarptscorrect</vt:lpstr>
      <vt:lpstr>Reffellsartriescorrect</vt:lpstr>
      <vt:lpstr>Relfaltries</vt:lpstr>
      <vt:lpstr>relfleiatt</vt:lpstr>
      <vt:lpstr>Relfleigls</vt:lpstr>
      <vt:lpstr>Relfleipts</vt:lpstr>
      <vt:lpstr>Relfleitries</vt:lpstr>
      <vt:lpstr>Relfsalpts</vt:lpstr>
      <vt:lpstr>Reltonexepts</vt:lpstr>
      <vt:lpstr>Reltonexetries</vt:lpstr>
      <vt:lpstr>Riccionisarptscorrect</vt:lpstr>
      <vt:lpstr>Riccionisartriescorrect</vt:lpstr>
      <vt:lpstr>Richardsonleipts</vt:lpstr>
      <vt:lpstr>RichardsonLEITRIES</vt:lpstr>
      <vt:lpstr>rigonisalatt</vt:lpstr>
      <vt:lpstr>Rigonisalgls</vt:lpstr>
      <vt:lpstr>Rigonisalpts</vt:lpstr>
      <vt:lpstr>Rigonisaltries</vt:lpstr>
      <vt:lpstr>Robertsloupts</vt:lpstr>
      <vt:lpstr>Robertsloutries</vt:lpstr>
      <vt:lpstr>Robinson_Fexeatt</vt:lpstr>
      <vt:lpstr>Robinson_Fexegls</vt:lpstr>
      <vt:lpstr>Robinson_Fexepts</vt:lpstr>
      <vt:lpstr>Robinson_Fexetries</vt:lpstr>
      <vt:lpstr>robinsonfexexattcorrect</vt:lpstr>
      <vt:lpstr>Robinsonglopts</vt:lpstr>
      <vt:lpstr>Robinsonglotries</vt:lpstr>
      <vt:lpstr>Rollietfwpts</vt:lpstr>
      <vt:lpstr>Rollietfwtries</vt:lpstr>
      <vt:lpstr>Roostfwpts</vt:lpstr>
      <vt:lpstr>Roostfwtries</vt:lpstr>
      <vt:lpstr>Rowlandlouattcorrect</vt:lpstr>
      <vt:lpstr>Rowlandlouglscorrect</vt:lpstr>
      <vt:lpstr>Rowlandlouptscorrect</vt:lpstr>
      <vt:lpstr>Rowlandloutriescorrect</vt:lpstr>
      <vt:lpstr>Royersarpts</vt:lpstr>
      <vt:lpstr>Royersartries</vt:lpstr>
      <vt:lpstr>Rugmanglopts</vt:lpstr>
      <vt:lpstr>Rugmanglotries</vt:lpstr>
      <vt:lpstr>Ruleexepts</vt:lpstr>
      <vt:lpstr>Ruleexetries</vt:lpstr>
      <vt:lpstr>Russellleipts</vt:lpstr>
      <vt:lpstr>Russellleitries</vt:lpstr>
      <vt:lpstr>Sagapoluleipts</vt:lpstr>
      <vt:lpstr>Sagapoluleitries</vt:lpstr>
      <vt:lpstr>Sagapoluloupts</vt:lpstr>
      <vt:lpstr>Sagapoluloutries</vt:lpstr>
      <vt:lpstr>Samudaglopts</vt:lpstr>
      <vt:lpstr>Samudaglotries</vt:lpstr>
      <vt:lpstr>Schelltfrpts</vt:lpstr>
      <vt:lpstr>Schelltfrtries</vt:lpstr>
      <vt:lpstr>SCHELLTFWATT</vt:lpstr>
      <vt:lpstr>SchellTFWGLS</vt:lpstr>
      <vt:lpstr>Schickerlingexepts</vt:lpstr>
      <vt:lpstr>Schickerlingexetries</vt:lpstr>
      <vt:lpstr>schutzlersarpts</vt:lpstr>
      <vt:lpstr>Schutzlersartries</vt:lpstr>
      <vt:lpstr>scottglohpts</vt:lpstr>
      <vt:lpstr>Scottglohtries</vt:lpstr>
      <vt:lpstr>Scurfieldloupts</vt:lpstr>
      <vt:lpstr>Scurfieldloutries</vt:lpstr>
      <vt:lpstr>Seabrookglopts</vt:lpstr>
      <vt:lpstr>Seabrookglotries</vt:lpstr>
      <vt:lpstr>Senftsarpts</vt:lpstr>
      <vt:lpstr>Senftsartries</vt:lpstr>
      <vt:lpstr>Seyetfwpts</vt:lpstr>
      <vt:lpstr>SeyeTFWTRIES</vt:lpstr>
      <vt:lpstr>Sharpsarpts</vt:lpstr>
      <vt:lpstr>Sharpsartries</vt:lpstr>
      <vt:lpstr>ShillakerHARPTS</vt:lpstr>
      <vt:lpstr>ShillakerHARTRIES</vt:lpstr>
      <vt:lpstr>Shirleyharpts</vt:lpstr>
      <vt:lpstr>Shirleyhartries</vt:lpstr>
      <vt:lpstr>Shortbripts</vt:lpstr>
      <vt:lpstr>Shortbritries</vt:lpstr>
      <vt:lpstr>Simmonds_Sexepts</vt:lpstr>
      <vt:lpstr>Simmonds_Sexetries</vt:lpstr>
      <vt:lpstr>Simmondsexepts</vt:lpstr>
      <vt:lpstr>Simmondsexetries</vt:lpstr>
      <vt:lpstr>Simpson_Gsarpts</vt:lpstr>
      <vt:lpstr>Simpson_Gsartries</vt:lpstr>
      <vt:lpstr>Simpsonglopts</vt:lpstr>
      <vt:lpstr>Simpsonglotries</vt:lpstr>
      <vt:lpstr>Simpsonlucyglopts</vt:lpstr>
      <vt:lpstr>Simpsonlucyglotries</vt:lpstr>
      <vt:lpstr>SimsHARPTS</vt:lpstr>
      <vt:lpstr>SimsHARTRIES</vt:lpstr>
      <vt:lpstr>Sinclairexeatt</vt:lpstr>
      <vt:lpstr>Sinclairexegls</vt:lpstr>
      <vt:lpstr>Singglopts</vt:lpstr>
      <vt:lpstr>Singglotries</vt:lpstr>
      <vt:lpstr>Sioexepts</vt:lpstr>
      <vt:lpstr>Sioexetries</vt:lpstr>
      <vt:lpstr>Skeatesexepts</vt:lpstr>
      <vt:lpstr>Skeatesexetries</vt:lpstr>
      <vt:lpstr>Skeldonbriopts</vt:lpstr>
      <vt:lpstr>Skeldonbritries</vt:lpstr>
      <vt:lpstr>Skusebriatt</vt:lpstr>
      <vt:lpstr>Skusebrigls</vt:lpstr>
      <vt:lpstr>Sladeexepts</vt:lpstr>
      <vt:lpstr>Sladeexetries</vt:lpstr>
      <vt:lpstr>Slaterglopts</vt:lpstr>
      <vt:lpstr>Slaterglotries</vt:lpstr>
      <vt:lpstr>smithbriatt</vt:lpstr>
      <vt:lpstr>Smithbrigls</vt:lpstr>
      <vt:lpstr>smithexepts</vt:lpstr>
      <vt:lpstr>Smithexetries</vt:lpstr>
      <vt:lpstr>Socinoglopts</vt:lpstr>
      <vt:lpstr>Socinoglotries</vt:lpstr>
      <vt:lpstr>SpurrierHARPTS</vt:lpstr>
      <vt:lpstr>SpurrierHARTRIES</vt:lpstr>
      <vt:lpstr>Stanleyglopts</vt:lpstr>
      <vt:lpstr>Stanleyglotries</vt:lpstr>
      <vt:lpstr>Stefansalpts</vt:lpstr>
      <vt:lpstr>Stefansaltries</vt:lpstr>
      <vt:lpstr>Streetexepts</vt:lpstr>
      <vt:lpstr>Streetexetries</vt:lpstr>
      <vt:lpstr>svobodaharprts</vt:lpstr>
      <vt:lpstr>Svobodaharptscorrect</vt:lpstr>
      <vt:lpstr>Svobodahartries</vt:lpstr>
      <vt:lpstr>Swailessalpts</vt:lpstr>
      <vt:lpstr>Swailessaltries</vt:lpstr>
      <vt:lpstr>Swannexepts</vt:lpstr>
      <vt:lpstr>Swannexetries</vt:lpstr>
      <vt:lpstr>Swordsharpts</vt:lpstr>
      <vt:lpstr>Swordshartries</vt:lpstr>
      <vt:lpstr>Tallingsalpts</vt:lpstr>
      <vt:lpstr>Tallingsaltries</vt:lpstr>
      <vt:lpstr>Tandyglopts</vt:lpstr>
      <vt:lpstr>Tandyglotries</vt:lpstr>
      <vt:lpstr>Taskerexepts</vt:lpstr>
      <vt:lpstr>Taskerexetries</vt:lpstr>
      <vt:lpstr>Taskerloupts</vt:lpstr>
      <vt:lpstr>Taskerloutries</vt:lpstr>
      <vt:lpstr>Taufoouloupts</vt:lpstr>
      <vt:lpstr>Taufoouloutries</vt:lpstr>
      <vt:lpstr>Taylorpwrglopts</vt:lpstr>
      <vt:lpstr>Taylorpwrglotries</vt:lpstr>
      <vt:lpstr>Taylorsarptscorrect</vt:lpstr>
      <vt:lpstr>Taylorsartriescorrect</vt:lpstr>
      <vt:lpstr>Taylortfwatt</vt:lpstr>
      <vt:lpstr>Taylortfwgls</vt:lpstr>
      <vt:lpstr>Taylortfwpts</vt:lpstr>
      <vt:lpstr>Taylortfwtries</vt:lpstr>
      <vt:lpstr>Terryglopts</vt:lpstr>
      <vt:lpstr>Terryglotries</vt:lpstr>
      <vt:lpstr>tessierexeatt</vt:lpstr>
      <vt:lpstr>Tessierexegls</vt:lpstr>
      <vt:lpstr>Tessierexepts</vt:lpstr>
      <vt:lpstr>Tessierexetries</vt:lpstr>
      <vt:lpstr>thomsonliztfwatt</vt:lpstr>
      <vt:lpstr>Thomsonliztfwgls</vt:lpstr>
      <vt:lpstr>Thomsontfwpts</vt:lpstr>
      <vt:lpstr>Thomsontfwtries</vt:lpstr>
      <vt:lpstr>Thorleygloptscorrect</vt:lpstr>
      <vt:lpstr>Thorleyglotriescorrect</vt:lpstr>
      <vt:lpstr>Thorpesalpts</vt:lpstr>
      <vt:lpstr>Thorpesaltries</vt:lpstr>
      <vt:lpstr>Torleyharpts</vt:lpstr>
      <vt:lpstr>Torleyhartries</vt:lpstr>
      <vt:lpstr>Tshiunzaexepts</vt:lpstr>
      <vt:lpstr>Tshiunzaexetries</vt:lpstr>
      <vt:lpstr>Tuffnailtfwpts</vt:lpstr>
      <vt:lpstr>Tuffnailtfwtries</vt:lpstr>
      <vt:lpstr>Tuimaexepts</vt:lpstr>
      <vt:lpstr>Tuimaexetries</vt:lpstr>
      <vt:lpstr>tuimaharatt</vt:lpstr>
      <vt:lpstr>Tuimahargls</vt:lpstr>
      <vt:lpstr>Tuimaharpts</vt:lpstr>
      <vt:lpstr>Tuimahartries</vt:lpstr>
      <vt:lpstr>tuipulotuglopts</vt:lpstr>
      <vt:lpstr>Tuipulotuglotries</vt:lpstr>
      <vt:lpstr>Turaniharpts</vt:lpstr>
      <vt:lpstr>Turanihartries</vt:lpstr>
      <vt:lpstr>Tuttleipts</vt:lpstr>
      <vt:lpstr>Tuttleitries</vt:lpstr>
      <vt:lpstr>twelvetreesatt</vt:lpstr>
      <vt:lpstr>twelvetreesgoals</vt:lpstr>
      <vt:lpstr>Urentfwpts</vt:lpstr>
      <vt:lpstr>Urentfwtries</vt:lpstr>
      <vt:lpstr>van_der_Sluysexepts</vt:lpstr>
      <vt:lpstr>van_der_Sluysexetries</vt:lpstr>
      <vt:lpstr>van_Heerdenexepts</vt:lpstr>
      <vt:lpstr>van_Heerdenexetries</vt:lpstr>
      <vt:lpstr>van_Zylsarptscorrect</vt:lpstr>
      <vt:lpstr>van_Zylsartriescorrect</vt:lpstr>
      <vt:lpstr>Varleybripts</vt:lpstr>
      <vt:lpstr>Varleybritries</vt:lpstr>
      <vt:lpstr>vennerglohpts</vt:lpstr>
      <vt:lpstr>Vennerglohtries</vt:lpstr>
      <vt:lpstr>Visagieglopts</vt:lpstr>
      <vt:lpstr>Visagieglotries</vt:lpstr>
      <vt:lpstr>Vunipola__Makosarptscorrect</vt:lpstr>
      <vt:lpstr>Vunipola__Makosartriescorrect</vt:lpstr>
      <vt:lpstr>Vunipola_Bsarptscorrect</vt:lpstr>
      <vt:lpstr>Vunipola_Bsartriescorrect</vt:lpstr>
      <vt:lpstr>vunipolasarattcorrect</vt:lpstr>
      <vt:lpstr>vunipolasarglscorrect</vt:lpstr>
      <vt:lpstr>walkerglohpts</vt:lpstr>
      <vt:lpstr>Walkerglohtries</vt:lpstr>
      <vt:lpstr>Wasselltfwpts</vt:lpstr>
      <vt:lpstr>Wasselltfwtries</vt:lpstr>
      <vt:lpstr>Waudbyloupts</vt:lpstr>
      <vt:lpstr>Waudbyloutries</vt:lpstr>
      <vt:lpstr>Wedervangharpts</vt:lpstr>
      <vt:lpstr>Wedervanghartries</vt:lpstr>
      <vt:lpstr>Westcombe_Evansloupts</vt:lpstr>
      <vt:lpstr>Westcombe_Evanslouptscorrect</vt:lpstr>
      <vt:lpstr>Westcombe_Evansloutriescorrect</vt:lpstr>
      <vt:lpstr>Westcombe_Evansloutris</vt:lpstr>
      <vt:lpstr>Whitetfwpts</vt:lpstr>
      <vt:lpstr>Whitetfwtries</vt:lpstr>
      <vt:lpstr>Whittenpts</vt:lpstr>
      <vt:lpstr>Whittentries</vt:lpstr>
      <vt:lpstr>Wilcockharpts</vt:lpstr>
      <vt:lpstr>Wilcockhartries</vt:lpstr>
      <vt:lpstr>Wilkinsonbripts</vt:lpstr>
      <vt:lpstr>Wilkinsonbritries</vt:lpstr>
      <vt:lpstr>Wilkinssalpts</vt:lpstr>
      <vt:lpstr>Wilkinssaltries</vt:lpstr>
      <vt:lpstr>Williams_Cloupts</vt:lpstr>
      <vt:lpstr>Williams_Cloutries</vt:lpstr>
      <vt:lpstr>Williams_Morrisglopts</vt:lpstr>
      <vt:lpstr>Williams_Morrisglotries</vt:lpstr>
      <vt:lpstr>Williamsloupts</vt:lpstr>
      <vt:lpstr>Williamsloutries</vt:lpstr>
      <vt:lpstr>Willsleipts</vt:lpstr>
      <vt:lpstr>Willsleitries</vt:lpstr>
      <vt:lpstr>Wilsonsarpts</vt:lpstr>
      <vt:lpstr>Wilsonsartries</vt:lpstr>
      <vt:lpstr>Woodmanglopts</vt:lpstr>
      <vt:lpstr>Woodmanglotries</vt:lpstr>
      <vt:lpstr>Woodsalpts</vt:lpstr>
      <vt:lpstr>Woodsaltries</vt:lpstr>
      <vt:lpstr>WoodTFWPTS</vt:lpstr>
      <vt:lpstr>WoodTFWTRIES</vt:lpstr>
      <vt:lpstr>Woodwardglopts</vt:lpstr>
      <vt:lpstr>Woodwardglotries</vt:lpstr>
      <vt:lpstr>Woolstencroftsarptscorrect</vt:lpstr>
      <vt:lpstr>Woolstencroftsartriescorrect</vt:lpstr>
      <vt:lpstr>worsleybriatt</vt:lpstr>
      <vt:lpstr>worsleybrigls</vt:lpstr>
      <vt:lpstr>Wraysarptscorrect</vt:lpstr>
      <vt:lpstr>Wraysartriescorrect</vt:lpstr>
      <vt:lpstr>Wrightsalpts</vt:lpstr>
      <vt:lpstr>Wrightsaltries</vt:lpstr>
      <vt:lpstr>Wytheharpts</vt:lpstr>
      <vt:lpstr>Wythehartries</vt:lpstr>
      <vt:lpstr>Zackarytfrpts</vt:lpstr>
      <vt:lpstr>Zackarytfrtries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</dc:creator>
  <cp:lastModifiedBy>Ade Hill</cp:lastModifiedBy>
  <dcterms:created xsi:type="dcterms:W3CDTF">2012-08-28T10:26:03Z</dcterms:created>
  <dcterms:modified xsi:type="dcterms:W3CDTF">2026-05-20T16:48:54Z</dcterms:modified>
</cp:coreProperties>
</file>